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Thomas\Desktop\"/>
    </mc:Choice>
  </mc:AlternateContent>
  <xr:revisionPtr revIDLastSave="0" documentId="13_ncr:1_{A1689967-5C04-4DA0-B735-3113B25C3140}" xr6:coauthVersionLast="45" xr6:coauthVersionMax="45" xr10:uidLastSave="{00000000-0000-0000-0000-000000000000}"/>
  <bookViews>
    <workbookView xWindow="-120" yWindow="-120" windowWidth="24240" windowHeight="13140" tabRatio="702" activeTab="3" xr2:uid="{00000000-000D-0000-FFFF-FFFF00000000}"/>
  </bookViews>
  <sheets>
    <sheet name="Dashboard" sheetId="24" r:id="rId1"/>
    <sheet name="Übungsübersicht" sheetId="7" r:id="rId2"/>
    <sheet name="Maximalkraftwerte" sheetId="1" r:id="rId3"/>
    <sheet name="Zyklus" sheetId="2" r:id="rId4"/>
    <sheet name="Kalender" sheetId="31" r:id="rId5"/>
    <sheet name="WarmUps" sheetId="5" r:id="rId6"/>
    <sheet name="Gewichts- Calculator" sheetId="22" r:id="rId7"/>
    <sheet name="Strength Calculator" sheetId="10" r:id="rId8"/>
    <sheet name="Ziele Mesozyklus" sheetId="6" r:id="rId9"/>
    <sheet name="Funktions-Tabelle" sheetId="23" r:id="rId10"/>
    <sheet name="Rechner" sheetId="3" r:id="rId11"/>
    <sheet name="TopSets" sheetId="4" r:id="rId12"/>
    <sheet name="Dashboard Daten" sheetId="25" r:id="rId13"/>
    <sheet name="Übungsauswahl" sheetId="8" state="hidden" r:id="rId14"/>
    <sheet name="Tabelle1" sheetId="9" state="hidden" r:id="rId15"/>
  </sheets>
  <definedNames>
    <definedName name="_xlnm._FilterDatabase" localSheetId="7" hidden="1">'Strength Calculator'!$L$48:$N$48</definedName>
    <definedName name="_xlnm._FilterDatabase" localSheetId="3" hidden="1">Zyklus!$P$93:$T$101</definedName>
    <definedName name="a">Rechner!$L$12</definedName>
    <definedName name="Calendar1Month">#REF!</definedName>
    <definedName name="Calendar1MonthOption">MATCH(Calendar1Month,Months,0)</definedName>
    <definedName name="Calendar1Year">#REF!</definedName>
    <definedName name="Daten">Übungsübersicht!$E$8:$G$42</definedName>
    <definedName name="Days">{0,1,2,3,4,5,6}</definedName>
    <definedName name="Months">{"January","February","March","April","May","June","July","August","September","October","November","December"}</definedName>
    <definedName name="Volumen">Zyklus!$P$100:$P$100</definedName>
    <definedName name="w">Rechner!$K$12</definedName>
    <definedName name="WeekdayOption">MATCH(WeekStart,Weekdays,0)+10</definedName>
    <definedName name="Weekdays">{"Monday","Tuesday","Wednesday","Thursday","Friday","Saturday","Sunday"}</definedName>
    <definedName name="WeekStart">#REF!</definedName>
    <definedName name="x">Rechner!$L$13</definedName>
    <definedName name="y">Rechner!$K$16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8" i="22" l="1"/>
  <c r="D27" i="22" s="1"/>
  <c r="C28" i="22"/>
  <c r="C27" i="22" s="1"/>
  <c r="B28" i="22"/>
  <c r="B27" i="22" s="1"/>
  <c r="D31" i="10"/>
  <c r="C31" i="10"/>
  <c r="B31" i="10"/>
  <c r="U16" i="2" l="1" a="1"/>
  <c r="U16" i="2" s="1"/>
  <c r="U15" i="2" a="1"/>
  <c r="U15" i="2" s="1"/>
  <c r="S66" i="2" l="1"/>
  <c r="O66" i="2"/>
  <c r="K66" i="2"/>
  <c r="G66" i="2"/>
  <c r="C66" i="2"/>
  <c r="J6" i="7"/>
  <c r="J26" i="31"/>
  <c r="J10" i="31"/>
  <c r="C5" i="31"/>
  <c r="E68" i="2" a="1"/>
  <c r="E68" i="2" s="1"/>
  <c r="E57" i="2" a="1"/>
  <c r="E57" i="2" s="1"/>
  <c r="E58" i="2" a="1"/>
  <c r="E58" i="2" s="1"/>
  <c r="E59" i="2" a="1"/>
  <c r="E59" i="2" s="1"/>
  <c r="E60" i="2" a="1"/>
  <c r="E60" i="2" s="1"/>
  <c r="E61" i="2" a="1"/>
  <c r="E61" i="2" s="1"/>
  <c r="E62" i="2" a="1"/>
  <c r="E62" i="2" s="1"/>
  <c r="E63" i="2" a="1"/>
  <c r="E63" i="2" s="1"/>
  <c r="E56" i="2" a="1"/>
  <c r="E56" i="2" s="1"/>
  <c r="E47" i="2" a="1"/>
  <c r="E47" i="2" s="1"/>
  <c r="E48" i="2" a="1"/>
  <c r="E48" i="2" s="1"/>
  <c r="E49" i="2" a="1"/>
  <c r="E49" i="2" s="1"/>
  <c r="E50" i="2" a="1"/>
  <c r="E50" i="2" s="1"/>
  <c r="E51" i="2" a="1"/>
  <c r="E51" i="2" s="1"/>
  <c r="E46" i="2" a="1"/>
  <c r="E46" i="2" s="1"/>
  <c r="E35" i="2" a="1"/>
  <c r="E35" i="2" s="1"/>
  <c r="E36" i="2" a="1"/>
  <c r="E36" i="2" s="1"/>
  <c r="E37" i="2" a="1"/>
  <c r="E37" i="2" s="1"/>
  <c r="E38" i="2" a="1"/>
  <c r="E38" i="2" s="1"/>
  <c r="E39" i="2" a="1"/>
  <c r="E39" i="2" s="1"/>
  <c r="E40" i="2" a="1"/>
  <c r="E40" i="2" s="1"/>
  <c r="E41" i="2" a="1"/>
  <c r="E41" i="2" s="1"/>
  <c r="E42" i="2" a="1"/>
  <c r="E42" i="2" s="1"/>
  <c r="E34" i="2" a="1"/>
  <c r="E34" i="2" s="1"/>
  <c r="E27" i="2" a="1"/>
  <c r="E27" i="2" s="1"/>
  <c r="E28" i="2" a="1"/>
  <c r="E28" i="2" s="1"/>
  <c r="E29" i="2" a="1"/>
  <c r="E29" i="2" s="1"/>
  <c r="E30" i="2" a="1"/>
  <c r="E30" i="2" s="1"/>
  <c r="E26" i="2" a="1"/>
  <c r="E26" i="2" s="1"/>
  <c r="E16" i="2" a="1"/>
  <c r="E16" i="2" s="1"/>
  <c r="E17" i="2" a="1"/>
  <c r="E17" i="2" s="1"/>
  <c r="E18" i="2" a="1"/>
  <c r="E18" i="2" s="1"/>
  <c r="E19" i="2" a="1"/>
  <c r="E19" i="2" s="1"/>
  <c r="E20" i="2" a="1"/>
  <c r="E20" i="2" s="1"/>
  <c r="E21" i="2" a="1"/>
  <c r="E21" i="2" s="1"/>
  <c r="E22" i="2" a="1"/>
  <c r="E22" i="2" s="1"/>
  <c r="E15" i="2" a="1"/>
  <c r="E15" i="2" s="1"/>
  <c r="V7" i="2"/>
  <c r="L5" i="23"/>
  <c r="L6" i="23" s="1"/>
  <c r="L7" i="23" s="1"/>
  <c r="S69" i="23"/>
  <c r="S68" i="23"/>
  <c r="S62" i="23"/>
  <c r="S61" i="23"/>
  <c r="S60" i="23"/>
  <c r="S72" i="23"/>
  <c r="Q63" i="23"/>
  <c r="Q62" i="23"/>
  <c r="Q61" i="23"/>
  <c r="S73" i="23"/>
  <c r="S74" i="23"/>
  <c r="S76" i="23"/>
  <c r="S75" i="23"/>
  <c r="S71" i="23"/>
  <c r="S70" i="23"/>
  <c r="S65" i="23"/>
  <c r="S64" i="23"/>
  <c r="S63" i="23"/>
  <c r="Q60" i="23"/>
  <c r="B27" i="23"/>
  <c r="B21" i="31"/>
  <c r="C21" i="31"/>
  <c r="B5" i="31"/>
  <c r="B23" i="31" l="1"/>
  <c r="C23" i="31" s="1"/>
  <c r="D23" i="31" s="1"/>
  <c r="E23" i="31" s="1"/>
  <c r="F23" i="31" s="1"/>
  <c r="G23" i="31" s="1"/>
  <c r="H23" i="31" s="1"/>
  <c r="B7" i="31"/>
  <c r="C7" i="31" s="1"/>
  <c r="D7" i="31" s="1"/>
  <c r="E7" i="31" s="1"/>
  <c r="F7" i="31" s="1"/>
  <c r="G7" i="31" s="1"/>
  <c r="H7" i="31" s="1"/>
  <c r="B9" i="31" s="1"/>
  <c r="C9" i="31" s="1"/>
  <c r="D9" i="31" s="1"/>
  <c r="E9" i="31" s="1"/>
  <c r="F9" i="31" s="1"/>
  <c r="G9" i="31" s="1"/>
  <c r="H9" i="31" s="1"/>
  <c r="M6" i="23" a="1"/>
  <c r="M6" i="23" s="1"/>
  <c r="B25" i="31" l="1"/>
  <c r="C25" i="31" l="1"/>
  <c r="D25" i="31" s="1"/>
  <c r="E25" i="31" s="1"/>
  <c r="F25" i="31" s="1"/>
  <c r="G25" i="31" s="1"/>
  <c r="H25" i="31" s="1"/>
  <c r="B27" i="31" s="1"/>
  <c r="C27" i="31" l="1"/>
  <c r="D27" i="31" s="1"/>
  <c r="E27" i="31" s="1"/>
  <c r="F27" i="31" s="1"/>
  <c r="G27" i="31" s="1"/>
  <c r="H27" i="31" s="1"/>
  <c r="B29" i="31" s="1"/>
  <c r="B11" i="31"/>
  <c r="C11" i="31" s="1"/>
  <c r="D11" i="31" s="1"/>
  <c r="E11" i="31" s="1"/>
  <c r="F11" i="31" s="1"/>
  <c r="G11" i="31" s="1"/>
  <c r="H11" i="31" s="1"/>
  <c r="C29" i="31" l="1"/>
  <c r="D29" i="31" s="1"/>
  <c r="E29" i="31" s="1"/>
  <c r="F29" i="31" s="1"/>
  <c r="G29" i="31" s="1"/>
  <c r="H29" i="31" s="1"/>
  <c r="B31" i="31" s="1"/>
  <c r="B13" i="31"/>
  <c r="C13" i="31" s="1"/>
  <c r="D13" i="31" s="1"/>
  <c r="E13" i="31" s="1"/>
  <c r="F13" i="31" s="1"/>
  <c r="G13" i="31" s="1"/>
  <c r="H13" i="31" s="1"/>
  <c r="B34" i="23"/>
  <c r="B33" i="23"/>
  <c r="B32" i="23"/>
  <c r="B31" i="23"/>
  <c r="B30" i="23"/>
  <c r="B29" i="23"/>
  <c r="B28" i="23"/>
  <c r="AB20" i="2"/>
  <c r="C31" i="31" l="1"/>
  <c r="D31" i="31" s="1"/>
  <c r="E31" i="31" s="1"/>
  <c r="F31" i="31" s="1"/>
  <c r="G31" i="31" s="1"/>
  <c r="H31" i="31" s="1"/>
  <c r="B33" i="31" s="1"/>
  <c r="C33" i="31" s="1"/>
  <c r="D33" i="31" s="1"/>
  <c r="E33" i="31" s="1"/>
  <c r="F33" i="31" s="1"/>
  <c r="G33" i="31" s="1"/>
  <c r="H33" i="31" s="1"/>
  <c r="AB21" i="2"/>
  <c r="I22" i="22"/>
  <c r="AB23" i="2" l="1"/>
  <c r="Y7" i="2"/>
  <c r="B15" i="31"/>
  <c r="C15" i="31" s="1"/>
  <c r="D15" i="31" s="1"/>
  <c r="E15" i="31" s="1"/>
  <c r="F15" i="31" s="1"/>
  <c r="G15" i="31" s="1"/>
  <c r="H15" i="31" s="1"/>
  <c r="D28" i="10"/>
  <c r="C28" i="10"/>
  <c r="V3" i="2"/>
  <c r="E9" i="1"/>
  <c r="H22" i="22" s="1"/>
  <c r="Q50" i="23"/>
  <c r="U42" i="23"/>
  <c r="R42" i="23"/>
  <c r="U54" i="23"/>
  <c r="S54" i="23"/>
  <c r="Q54" i="23"/>
  <c r="U53" i="23"/>
  <c r="S53" i="23"/>
  <c r="Q53" i="23"/>
  <c r="U52" i="23"/>
  <c r="S52" i="23"/>
  <c r="Q52" i="23"/>
  <c r="U51" i="23"/>
  <c r="S51" i="23"/>
  <c r="Q51" i="23"/>
  <c r="U50" i="23"/>
  <c r="S50" i="23"/>
  <c r="B15" i="25"/>
  <c r="B16" i="25" s="1"/>
  <c r="P7" i="2" l="1"/>
  <c r="T7" i="2"/>
  <c r="H7" i="2"/>
  <c r="D7" i="2"/>
  <c r="Q3" i="2"/>
  <c r="L7" i="2"/>
  <c r="C15" i="25" a="1"/>
  <c r="C15" i="25" s="1"/>
  <c r="C16" i="25" a="1"/>
  <c r="C16" i="25" s="1"/>
  <c r="B17" i="25"/>
  <c r="I25" i="10"/>
  <c r="B17" i="31" l="1"/>
  <c r="C17" i="31" s="1"/>
  <c r="D17" i="31" s="1"/>
  <c r="E17" i="31" s="1"/>
  <c r="F17" i="31" s="1"/>
  <c r="G17" i="31" s="1"/>
  <c r="H17" i="31" s="1"/>
  <c r="E15" i="25"/>
  <c r="E16" i="25"/>
  <c r="B18" i="25"/>
  <c r="C17" i="25" a="1"/>
  <c r="C17" i="25" s="1"/>
  <c r="Q95" i="2"/>
  <c r="N54" i="10"/>
  <c r="K54" i="10"/>
  <c r="H54" i="10"/>
  <c r="E54" i="10"/>
  <c r="N50" i="10"/>
  <c r="K50" i="10"/>
  <c r="H50" i="10"/>
  <c r="E50" i="10"/>
  <c r="N53" i="10"/>
  <c r="N52" i="10"/>
  <c r="K53" i="10"/>
  <c r="K52" i="10"/>
  <c r="H53" i="10"/>
  <c r="H52" i="10"/>
  <c r="E53" i="10"/>
  <c r="E52" i="10"/>
  <c r="M50" i="10"/>
  <c r="J50" i="10"/>
  <c r="G50" i="10"/>
  <c r="D50" i="10"/>
  <c r="L57" i="10"/>
  <c r="I57" i="10"/>
  <c r="F57" i="10"/>
  <c r="C57" i="10"/>
  <c r="N58" i="10"/>
  <c r="K58" i="10"/>
  <c r="H58" i="10"/>
  <c r="E58" i="10"/>
  <c r="N57" i="10"/>
  <c r="K57" i="10"/>
  <c r="H57" i="10"/>
  <c r="E57" i="10"/>
  <c r="I43" i="10"/>
  <c r="I42" i="10"/>
  <c r="I41" i="10"/>
  <c r="H43" i="10"/>
  <c r="H42" i="10"/>
  <c r="G13" i="10"/>
  <c r="G12" i="10"/>
  <c r="G11" i="10"/>
  <c r="A115" i="22"/>
  <c r="D22" i="22"/>
  <c r="D25" i="10"/>
  <c r="D72" i="10"/>
  <c r="D74" i="10" s="1"/>
  <c r="C74" i="10" s="1"/>
  <c r="C72" i="10"/>
  <c r="C71" i="10"/>
  <c r="D70" i="10"/>
  <c r="D69" i="10"/>
  <c r="D68" i="10"/>
  <c r="C55" i="10"/>
  <c r="C27" i="10"/>
  <c r="D26" i="10"/>
  <c r="D24" i="10"/>
  <c r="D15" i="10"/>
  <c r="E13" i="22"/>
  <c r="E59" i="10"/>
  <c r="N59" i="10"/>
  <c r="K59" i="10"/>
  <c r="H59" i="10"/>
  <c r="O42" i="23" l="1"/>
  <c r="E17" i="25"/>
  <c r="B19" i="25"/>
  <c r="C18" i="25" a="1"/>
  <c r="C18" i="25" s="1"/>
  <c r="F51" i="10"/>
  <c r="I55" i="10"/>
  <c r="J56" i="10" s="1"/>
  <c r="I51" i="10"/>
  <c r="C56" i="10"/>
  <c r="L50" i="10"/>
  <c r="C51" i="10"/>
  <c r="L55" i="10"/>
  <c r="M56" i="10" s="1"/>
  <c r="F55" i="10"/>
  <c r="G56" i="10" s="1"/>
  <c r="C50" i="10"/>
  <c r="L51" i="10"/>
  <c r="I50" i="10"/>
  <c r="F50" i="10"/>
  <c r="B145" i="22"/>
  <c r="D125" i="22"/>
  <c r="C149" i="22"/>
  <c r="C150" i="22"/>
  <c r="C151" i="22"/>
  <c r="C152" i="22"/>
  <c r="C153" i="22"/>
  <c r="C154" i="22"/>
  <c r="C155" i="22"/>
  <c r="C156" i="22"/>
  <c r="C157" i="22"/>
  <c r="C158" i="22"/>
  <c r="C159" i="22"/>
  <c r="C160" i="22"/>
  <c r="C161" i="22"/>
  <c r="C162" i="22"/>
  <c r="C148" i="22"/>
  <c r="C30" i="10" l="1"/>
  <c r="B30" i="10"/>
  <c r="B33" i="10"/>
  <c r="I56" i="10"/>
  <c r="D30" i="10"/>
  <c r="O45" i="23"/>
  <c r="R45" i="23" s="1"/>
  <c r="B34" i="10" s="1"/>
  <c r="I79" i="22"/>
  <c r="L56" i="10"/>
  <c r="E18" i="25"/>
  <c r="C19" i="25" a="1"/>
  <c r="C19" i="25" s="1"/>
  <c r="B20" i="25"/>
  <c r="D56" i="10"/>
  <c r="F56" i="10"/>
  <c r="U68" i="2" a="1"/>
  <c r="U68" i="2" s="1"/>
  <c r="U56" i="2" a="1"/>
  <c r="U56" i="2" s="1"/>
  <c r="U57" i="2" a="1"/>
  <c r="U57" i="2" s="1"/>
  <c r="U58" i="2" a="1"/>
  <c r="U58" i="2" s="1"/>
  <c r="U59" i="2" a="1"/>
  <c r="U59" i="2" s="1"/>
  <c r="U60" i="2" a="1"/>
  <c r="U60" i="2" s="1"/>
  <c r="U61" i="2" a="1"/>
  <c r="U61" i="2" s="1"/>
  <c r="U62" i="2" a="1"/>
  <c r="U62" i="2" s="1"/>
  <c r="U63" i="2" a="1"/>
  <c r="U63" i="2" s="1"/>
  <c r="U47" i="2" a="1"/>
  <c r="U47" i="2" s="1"/>
  <c r="U48" i="2" a="1"/>
  <c r="U48" i="2" s="1"/>
  <c r="U49" i="2" a="1"/>
  <c r="U49" i="2" s="1"/>
  <c r="U50" i="2" a="1"/>
  <c r="U50" i="2" s="1"/>
  <c r="U51" i="2" a="1"/>
  <c r="U51" i="2" s="1"/>
  <c r="U46" i="2" a="1"/>
  <c r="U46" i="2" s="1"/>
  <c r="U35" i="2" a="1"/>
  <c r="U35" i="2" s="1"/>
  <c r="U36" i="2" a="1"/>
  <c r="U36" i="2" s="1"/>
  <c r="U37" i="2" a="1"/>
  <c r="U37" i="2" s="1"/>
  <c r="U38" i="2" a="1"/>
  <c r="U38" i="2" s="1"/>
  <c r="U39" i="2" a="1"/>
  <c r="U39" i="2" s="1"/>
  <c r="U40" i="2" a="1"/>
  <c r="U40" i="2" s="1"/>
  <c r="U41" i="2" a="1"/>
  <c r="U41" i="2" s="1"/>
  <c r="U42" i="2" a="1"/>
  <c r="U42" i="2" s="1"/>
  <c r="U34" i="2" a="1"/>
  <c r="U34" i="2" s="1"/>
  <c r="U27" i="2" a="1"/>
  <c r="U27" i="2" s="1"/>
  <c r="U28" i="2" a="1"/>
  <c r="U28" i="2" s="1"/>
  <c r="U29" i="2" a="1"/>
  <c r="U29" i="2" s="1"/>
  <c r="U30" i="2" a="1"/>
  <c r="U30" i="2" s="1"/>
  <c r="U26" i="2" a="1"/>
  <c r="U26" i="2" s="1"/>
  <c r="U17" i="2" a="1"/>
  <c r="U17" i="2" s="1"/>
  <c r="U18" i="2" a="1"/>
  <c r="U18" i="2" s="1"/>
  <c r="U19" i="2" a="1"/>
  <c r="U19" i="2" s="1"/>
  <c r="U20" i="2" a="1"/>
  <c r="U20" i="2" s="1"/>
  <c r="U21" i="2" a="1"/>
  <c r="U21" i="2" s="1"/>
  <c r="U22" i="2" a="1"/>
  <c r="U22" i="2" s="1"/>
  <c r="T57" i="2"/>
  <c r="T58" i="2"/>
  <c r="T59" i="2"/>
  <c r="T60" i="2"/>
  <c r="T61" i="2"/>
  <c r="T62" i="2"/>
  <c r="T63" i="2"/>
  <c r="T47" i="2"/>
  <c r="T48" i="2"/>
  <c r="T49" i="2"/>
  <c r="T50" i="2"/>
  <c r="T51" i="2"/>
  <c r="T35" i="2"/>
  <c r="T36" i="2"/>
  <c r="T37" i="2"/>
  <c r="T38" i="2"/>
  <c r="T39" i="2"/>
  <c r="T40" i="2"/>
  <c r="T41" i="2"/>
  <c r="T42" i="2"/>
  <c r="T27" i="2"/>
  <c r="T28" i="2"/>
  <c r="T29" i="2"/>
  <c r="T30" i="2"/>
  <c r="T68" i="2"/>
  <c r="T56" i="2"/>
  <c r="T46" i="2"/>
  <c r="T34" i="2"/>
  <c r="T26" i="2"/>
  <c r="T16" i="2"/>
  <c r="T17" i="2"/>
  <c r="T18" i="2"/>
  <c r="T19" i="2"/>
  <c r="T20" i="2"/>
  <c r="T21" i="2"/>
  <c r="T22" i="2"/>
  <c r="T15" i="2"/>
  <c r="P57" i="2"/>
  <c r="P58" i="2"/>
  <c r="P59" i="2"/>
  <c r="P60" i="2"/>
  <c r="P61" i="2"/>
  <c r="P62" i="2"/>
  <c r="P63" i="2"/>
  <c r="P47" i="2"/>
  <c r="P48" i="2"/>
  <c r="P49" i="2"/>
  <c r="P50" i="2"/>
  <c r="P51" i="2"/>
  <c r="P35" i="2"/>
  <c r="P36" i="2"/>
  <c r="P37" i="2"/>
  <c r="P38" i="2"/>
  <c r="P39" i="2"/>
  <c r="P40" i="2"/>
  <c r="P41" i="2"/>
  <c r="P42" i="2"/>
  <c r="P27" i="2"/>
  <c r="P28" i="2"/>
  <c r="P29" i="2"/>
  <c r="P30" i="2"/>
  <c r="P68" i="2"/>
  <c r="P56" i="2"/>
  <c r="P46" i="2"/>
  <c r="P34" i="2"/>
  <c r="P26" i="2"/>
  <c r="P16" i="2"/>
  <c r="P17" i="2"/>
  <c r="P18" i="2"/>
  <c r="P19" i="2"/>
  <c r="P20" i="2"/>
  <c r="P21" i="2"/>
  <c r="P22" i="2"/>
  <c r="P15" i="2"/>
  <c r="L68" i="2"/>
  <c r="L57" i="2"/>
  <c r="L58" i="2"/>
  <c r="L59" i="2"/>
  <c r="L60" i="2"/>
  <c r="L61" i="2"/>
  <c r="L62" i="2"/>
  <c r="L63" i="2"/>
  <c r="L56" i="2"/>
  <c r="L47" i="2"/>
  <c r="L48" i="2"/>
  <c r="L49" i="2"/>
  <c r="L50" i="2"/>
  <c r="L51" i="2"/>
  <c r="L46" i="2"/>
  <c r="L35" i="2"/>
  <c r="L36" i="2"/>
  <c r="L37" i="2"/>
  <c r="L38" i="2"/>
  <c r="L39" i="2"/>
  <c r="L40" i="2"/>
  <c r="L41" i="2"/>
  <c r="L42" i="2"/>
  <c r="L34" i="2"/>
  <c r="L27" i="2"/>
  <c r="L28" i="2"/>
  <c r="L29" i="2"/>
  <c r="L30" i="2"/>
  <c r="L26" i="2"/>
  <c r="L16" i="2"/>
  <c r="L17" i="2"/>
  <c r="L18" i="2"/>
  <c r="L19" i="2"/>
  <c r="L20" i="2"/>
  <c r="L21" i="2"/>
  <c r="L22" i="2"/>
  <c r="L15" i="2"/>
  <c r="H68" i="2"/>
  <c r="H57" i="2"/>
  <c r="H58" i="2"/>
  <c r="H59" i="2"/>
  <c r="H60" i="2"/>
  <c r="H61" i="2"/>
  <c r="H62" i="2"/>
  <c r="H63" i="2"/>
  <c r="H56" i="2"/>
  <c r="H47" i="2"/>
  <c r="H48" i="2"/>
  <c r="H49" i="2"/>
  <c r="H50" i="2"/>
  <c r="H51" i="2"/>
  <c r="H46" i="2"/>
  <c r="H35" i="2"/>
  <c r="H36" i="2"/>
  <c r="H37" i="2"/>
  <c r="H38" i="2"/>
  <c r="H39" i="2"/>
  <c r="H40" i="2"/>
  <c r="H41" i="2"/>
  <c r="H42" i="2"/>
  <c r="H34" i="2"/>
  <c r="H27" i="2"/>
  <c r="H28" i="2"/>
  <c r="H29" i="2"/>
  <c r="H30" i="2"/>
  <c r="H26" i="2"/>
  <c r="H16" i="2"/>
  <c r="H17" i="2"/>
  <c r="H18" i="2"/>
  <c r="H19" i="2"/>
  <c r="H20" i="2"/>
  <c r="H21" i="2"/>
  <c r="H22" i="2"/>
  <c r="H15" i="2"/>
  <c r="D57" i="2"/>
  <c r="D58" i="2"/>
  <c r="D59" i="2"/>
  <c r="D60" i="2"/>
  <c r="D61" i="2"/>
  <c r="D62" i="2"/>
  <c r="D63" i="2"/>
  <c r="D47" i="2"/>
  <c r="D48" i="2"/>
  <c r="D49" i="2"/>
  <c r="D50" i="2"/>
  <c r="D51" i="2"/>
  <c r="D35" i="2"/>
  <c r="D36" i="2"/>
  <c r="D37" i="2"/>
  <c r="D38" i="2"/>
  <c r="D39" i="2"/>
  <c r="D40" i="2"/>
  <c r="D41" i="2"/>
  <c r="D42" i="2"/>
  <c r="D27" i="2"/>
  <c r="D28" i="2"/>
  <c r="D29" i="2"/>
  <c r="D30" i="2"/>
  <c r="D16" i="2"/>
  <c r="D17" i="2"/>
  <c r="D18" i="2"/>
  <c r="D19" i="2"/>
  <c r="D20" i="2"/>
  <c r="D21" i="2"/>
  <c r="D22" i="2"/>
  <c r="D68" i="2"/>
  <c r="D56" i="2"/>
  <c r="D46" i="2"/>
  <c r="D34" i="2"/>
  <c r="D26" i="2"/>
  <c r="D15" i="2"/>
  <c r="K3" i="2" l="1" a="1"/>
  <c r="K3" i="2" s="1"/>
  <c r="J43" i="10"/>
  <c r="J41" i="10"/>
  <c r="E19" i="25"/>
  <c r="C20" i="25" a="1"/>
  <c r="C20" i="25" s="1"/>
  <c r="F20" i="25" s="1"/>
  <c r="B21" i="25"/>
  <c r="J42" i="10"/>
  <c r="D11" i="5"/>
  <c r="D10" i="5"/>
  <c r="D9" i="5"/>
  <c r="D8" i="5"/>
  <c r="AE10" i="5"/>
  <c r="Z10" i="5"/>
  <c r="Q13" i="5"/>
  <c r="L12" i="5"/>
  <c r="I81" i="22"/>
  <c r="I80" i="22"/>
  <c r="I39" i="22"/>
  <c r="I38" i="22"/>
  <c r="I37" i="22"/>
  <c r="C25" i="22"/>
  <c r="U14" i="23"/>
  <c r="R14" i="23"/>
  <c r="U23" i="23"/>
  <c r="U24" i="23"/>
  <c r="U25" i="23"/>
  <c r="U26" i="23"/>
  <c r="U22" i="23"/>
  <c r="Q22" i="23"/>
  <c r="S23" i="23"/>
  <c r="S24" i="23"/>
  <c r="S25" i="23"/>
  <c r="S26" i="23"/>
  <c r="S22" i="23"/>
  <c r="Q23" i="23"/>
  <c r="Q24" i="23"/>
  <c r="Q25" i="23"/>
  <c r="Q26" i="23"/>
  <c r="V96" i="2"/>
  <c r="V98" i="2"/>
  <c r="V97" i="2"/>
  <c r="U98" i="2"/>
  <c r="U97" i="2"/>
  <c r="E20" i="25" l="1"/>
  <c r="G20" i="25" s="1"/>
  <c r="B22" i="25"/>
  <c r="C21" i="25" a="1"/>
  <c r="C21" i="25" s="1"/>
  <c r="L9" i="7"/>
  <c r="L10" i="7"/>
  <c r="L11" i="7"/>
  <c r="L12" i="7"/>
  <c r="L13" i="7"/>
  <c r="L14" i="7"/>
  <c r="L15" i="7"/>
  <c r="L16" i="7"/>
  <c r="L17" i="7"/>
  <c r="L18" i="7"/>
  <c r="L19" i="7"/>
  <c r="L20" i="7"/>
  <c r="L21" i="7"/>
  <c r="L22" i="7"/>
  <c r="L23" i="7"/>
  <c r="L24" i="7"/>
  <c r="L25" i="7"/>
  <c r="L26" i="7"/>
  <c r="L27" i="7"/>
  <c r="L28" i="7"/>
  <c r="L29" i="7"/>
  <c r="L30" i="7"/>
  <c r="L33" i="7"/>
  <c r="L34" i="7"/>
  <c r="L35"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 i="7"/>
  <c r="X4" i="23"/>
  <c r="X92" i="23"/>
  <c r="X91" i="23"/>
  <c r="X90" i="23"/>
  <c r="X89" i="23"/>
  <c r="X88" i="23"/>
  <c r="X87" i="23"/>
  <c r="X86" i="23"/>
  <c r="X85" i="23"/>
  <c r="X84" i="23"/>
  <c r="X83" i="23"/>
  <c r="X82" i="23"/>
  <c r="X81" i="23"/>
  <c r="X80" i="23"/>
  <c r="X79" i="23"/>
  <c r="X78" i="23"/>
  <c r="X77" i="23"/>
  <c r="X76" i="23"/>
  <c r="X75" i="23"/>
  <c r="X74" i="23"/>
  <c r="X73" i="23"/>
  <c r="X72" i="23"/>
  <c r="X71" i="23"/>
  <c r="X70" i="23"/>
  <c r="X69" i="23"/>
  <c r="X68" i="23"/>
  <c r="X67" i="23"/>
  <c r="X66" i="23"/>
  <c r="X65" i="23"/>
  <c r="X64" i="23"/>
  <c r="X63" i="23"/>
  <c r="X62" i="23"/>
  <c r="X61" i="23"/>
  <c r="X60" i="23"/>
  <c r="X59" i="23"/>
  <c r="X58" i="23"/>
  <c r="X57" i="23"/>
  <c r="X56" i="23"/>
  <c r="X55" i="23"/>
  <c r="X54" i="23"/>
  <c r="X53" i="23"/>
  <c r="X52" i="23"/>
  <c r="X51" i="23"/>
  <c r="X50" i="23"/>
  <c r="X49" i="23"/>
  <c r="X48" i="23"/>
  <c r="X47" i="23"/>
  <c r="X46" i="23"/>
  <c r="X45" i="23"/>
  <c r="X44" i="23"/>
  <c r="X43" i="23"/>
  <c r="X42" i="23"/>
  <c r="X41" i="23"/>
  <c r="X40" i="23"/>
  <c r="X39" i="23"/>
  <c r="X38" i="23"/>
  <c r="X37" i="23"/>
  <c r="X36" i="23"/>
  <c r="X27" i="23"/>
  <c r="X26" i="23"/>
  <c r="X35" i="23"/>
  <c r="X34" i="23"/>
  <c r="X33" i="23"/>
  <c r="X32" i="23"/>
  <c r="X31" i="23"/>
  <c r="X30" i="23"/>
  <c r="X29" i="23"/>
  <c r="X28" i="23"/>
  <c r="X25" i="23"/>
  <c r="X24" i="23"/>
  <c r="X23" i="23"/>
  <c r="X22" i="23"/>
  <c r="X21" i="23"/>
  <c r="X20" i="23"/>
  <c r="X19" i="23"/>
  <c r="X18" i="23"/>
  <c r="X17" i="23"/>
  <c r="X16" i="23"/>
  <c r="X15" i="23"/>
  <c r="X14" i="23"/>
  <c r="X13" i="23"/>
  <c r="X12" i="23"/>
  <c r="X11" i="23"/>
  <c r="X10" i="23"/>
  <c r="X9" i="23"/>
  <c r="X8" i="23"/>
  <c r="X7" i="23"/>
  <c r="X6" i="23"/>
  <c r="X5" i="23"/>
  <c r="AN5" i="23" s="1"/>
  <c r="L81" i="7"/>
  <c r="L82" i="7"/>
  <c r="D41" i="22"/>
  <c r="D39" i="22"/>
  <c r="D37" i="22"/>
  <c r="M5" i="23" a="1"/>
  <c r="M5" i="23" s="1"/>
  <c r="M83" i="7"/>
  <c r="E21" i="25" l="1"/>
  <c r="B23" i="25"/>
  <c r="C22" i="25" a="1"/>
  <c r="C22" i="25" s="1"/>
  <c r="F22" i="25" s="1"/>
  <c r="BA15" i="23"/>
  <c r="BH15" i="23" s="1"/>
  <c r="AN15" i="23"/>
  <c r="AP15" i="23" s="1"/>
  <c r="BA23" i="23"/>
  <c r="BH23" i="23" s="1"/>
  <c r="AN23" i="23"/>
  <c r="AP23" i="23" s="1"/>
  <c r="BA27" i="23"/>
  <c r="BC27" i="23" s="1"/>
  <c r="AN27" i="23"/>
  <c r="AQ27" i="23" s="1"/>
  <c r="BA43" i="23"/>
  <c r="AN43" i="23"/>
  <c r="BA47" i="23"/>
  <c r="BC47" i="23" s="1"/>
  <c r="AN47" i="23"/>
  <c r="AP47" i="23" s="1"/>
  <c r="BA55" i="23"/>
  <c r="AN55" i="23"/>
  <c r="BA8" i="23"/>
  <c r="BH8" i="23" s="1"/>
  <c r="AN8" i="23"/>
  <c r="AQ8" i="23" s="1"/>
  <c r="BA12" i="23"/>
  <c r="BC12" i="23" s="1"/>
  <c r="AN12" i="23"/>
  <c r="AP12" i="23" s="1"/>
  <c r="BA16" i="23"/>
  <c r="BH16" i="23" s="1"/>
  <c r="AN16" i="23"/>
  <c r="AQ16" i="23" s="1"/>
  <c r="BA20" i="23"/>
  <c r="BC20" i="23" s="1"/>
  <c r="AN20" i="23"/>
  <c r="AP20" i="23" s="1"/>
  <c r="BA24" i="23"/>
  <c r="BH24" i="23" s="1"/>
  <c r="AN24" i="23"/>
  <c r="AQ24" i="23" s="1"/>
  <c r="BA30" i="23"/>
  <c r="BD30" i="23" s="1"/>
  <c r="AN30" i="23"/>
  <c r="AQ30" i="23" s="1"/>
  <c r="BA34" i="23"/>
  <c r="BD34" i="23" s="1"/>
  <c r="AN34" i="23"/>
  <c r="BA36" i="23"/>
  <c r="BC36" i="23" s="1"/>
  <c r="AN36" i="23"/>
  <c r="AQ36" i="23" s="1"/>
  <c r="BA40" i="23"/>
  <c r="BH40" i="23" s="1"/>
  <c r="AN40" i="23"/>
  <c r="AV40" i="23" s="1"/>
  <c r="BA44" i="23"/>
  <c r="AN44" i="23"/>
  <c r="BA48" i="23"/>
  <c r="BH48" i="23" s="1"/>
  <c r="AN48" i="23"/>
  <c r="AV48" i="23" s="1"/>
  <c r="BA52" i="23"/>
  <c r="BC52" i="23" s="1"/>
  <c r="AN52" i="23"/>
  <c r="AQ52" i="23" s="1"/>
  <c r="BA56" i="23"/>
  <c r="AN56" i="23"/>
  <c r="BA60" i="23"/>
  <c r="AN60" i="23"/>
  <c r="AV60" i="23" s="1"/>
  <c r="BA76" i="23"/>
  <c r="AN76" i="23"/>
  <c r="BA80" i="23"/>
  <c r="AN80" i="23"/>
  <c r="BA84" i="23"/>
  <c r="AN84" i="23"/>
  <c r="BA88" i="23"/>
  <c r="AN88" i="23"/>
  <c r="BA92" i="23"/>
  <c r="AN92" i="23"/>
  <c r="BA9" i="23"/>
  <c r="BC9" i="23" s="1"/>
  <c r="AN9" i="23"/>
  <c r="AP9" i="23" s="1"/>
  <c r="BA13" i="23"/>
  <c r="BC13" i="23" s="1"/>
  <c r="AN13" i="23"/>
  <c r="AU13" i="23" s="1"/>
  <c r="BA17" i="23"/>
  <c r="BD17" i="23" s="1"/>
  <c r="AN17" i="23"/>
  <c r="AQ17" i="23" s="1"/>
  <c r="BA21" i="23"/>
  <c r="BC21" i="23" s="1"/>
  <c r="AN21" i="23"/>
  <c r="BA25" i="23"/>
  <c r="BC25" i="23" s="1"/>
  <c r="AN25" i="23"/>
  <c r="AQ25" i="23" s="1"/>
  <c r="BA31" i="23"/>
  <c r="BC31" i="23" s="1"/>
  <c r="AN31" i="23"/>
  <c r="AQ31" i="23" s="1"/>
  <c r="BA35" i="23"/>
  <c r="BC35" i="23" s="1"/>
  <c r="AN35" i="23"/>
  <c r="AQ35" i="23" s="1"/>
  <c r="BA37" i="23"/>
  <c r="BC37" i="23" s="1"/>
  <c r="AN37" i="23"/>
  <c r="AP37" i="23" s="1"/>
  <c r="BA41" i="23"/>
  <c r="BC41" i="23" s="1"/>
  <c r="AN41" i="23"/>
  <c r="AV41" i="23" s="1"/>
  <c r="BA45" i="23"/>
  <c r="BD45" i="23" s="1"/>
  <c r="AN45" i="23"/>
  <c r="AV45" i="23" s="1"/>
  <c r="BA49" i="23"/>
  <c r="BD49" i="23" s="1"/>
  <c r="AN49" i="23"/>
  <c r="AV49" i="23" s="1"/>
  <c r="BA53" i="23"/>
  <c r="BI53" i="23" s="1"/>
  <c r="AN53" i="23"/>
  <c r="AU53" i="23" s="1"/>
  <c r="BA57" i="23"/>
  <c r="BD57" i="23" s="1"/>
  <c r="AN57" i="23"/>
  <c r="AU57" i="23" s="1"/>
  <c r="BA61" i="23"/>
  <c r="AN61" i="23"/>
  <c r="BA73" i="23"/>
  <c r="AN73" i="23"/>
  <c r="BA77" i="23"/>
  <c r="AN77" i="23"/>
  <c r="BA81" i="23"/>
  <c r="AN81" i="23"/>
  <c r="BA85" i="23"/>
  <c r="AN85" i="23"/>
  <c r="BA89" i="23"/>
  <c r="AN89" i="23"/>
  <c r="BA4" i="23"/>
  <c r="BC4" i="23" s="1"/>
  <c r="AN4" i="23"/>
  <c r="AQ4" i="23" s="1"/>
  <c r="BA7" i="23"/>
  <c r="BI7" i="23" s="1"/>
  <c r="AN7" i="23"/>
  <c r="AP7" i="23" s="1"/>
  <c r="BA19" i="23"/>
  <c r="BD19" i="23" s="1"/>
  <c r="AN19" i="23"/>
  <c r="AQ19" i="23" s="1"/>
  <c r="BA33" i="23"/>
  <c r="BD33" i="23" s="1"/>
  <c r="AN33" i="23"/>
  <c r="AU33" i="23" s="1"/>
  <c r="BA6" i="23"/>
  <c r="BI6" i="23" s="1"/>
  <c r="AN6" i="23"/>
  <c r="AV6" i="23" s="1"/>
  <c r="BA10" i="23"/>
  <c r="BD10" i="23" s="1"/>
  <c r="AN10" i="23"/>
  <c r="AQ10" i="23" s="1"/>
  <c r="BA14" i="23"/>
  <c r="BI14" i="23" s="1"/>
  <c r="AN14" i="23"/>
  <c r="BA18" i="23"/>
  <c r="BI18" i="23" s="1"/>
  <c r="AN18" i="23"/>
  <c r="AQ18" i="23" s="1"/>
  <c r="BA22" i="23"/>
  <c r="AN22" i="23"/>
  <c r="BA28" i="23"/>
  <c r="BC28" i="23" s="1"/>
  <c r="AN28" i="23"/>
  <c r="AP28" i="23" s="1"/>
  <c r="BA32" i="23"/>
  <c r="BC32" i="23" s="1"/>
  <c r="AN32" i="23"/>
  <c r="AQ32" i="23" s="1"/>
  <c r="BA26" i="23"/>
  <c r="BC26" i="23" s="1"/>
  <c r="AN26" i="23"/>
  <c r="AQ26" i="23" s="1"/>
  <c r="BA38" i="23"/>
  <c r="BI38" i="23" s="1"/>
  <c r="AN38" i="23"/>
  <c r="AQ38" i="23" s="1"/>
  <c r="BA42" i="23"/>
  <c r="BH42" i="23" s="1"/>
  <c r="AN42" i="23"/>
  <c r="AP42" i="23" s="1"/>
  <c r="BA46" i="23"/>
  <c r="BD46" i="23" s="1"/>
  <c r="AN46" i="23"/>
  <c r="AQ46" i="23" s="1"/>
  <c r="BA50" i="23"/>
  <c r="BI50" i="23" s="1"/>
  <c r="AN50" i="23"/>
  <c r="AQ50" i="23" s="1"/>
  <c r="BA54" i="23"/>
  <c r="BD54" i="23" s="1"/>
  <c r="AN54" i="23"/>
  <c r="BA58" i="23"/>
  <c r="BI58" i="23" s="1"/>
  <c r="AN58" i="23"/>
  <c r="AV58" i="23" s="1"/>
  <c r="BA74" i="23"/>
  <c r="AN74" i="23"/>
  <c r="BA78" i="23"/>
  <c r="AN78" i="23"/>
  <c r="BA82" i="23"/>
  <c r="AN82" i="23"/>
  <c r="BA86" i="23"/>
  <c r="AN86" i="23"/>
  <c r="BA90" i="23"/>
  <c r="AN90" i="23"/>
  <c r="BA11" i="23"/>
  <c r="BI11" i="23" s="1"/>
  <c r="AN11" i="23"/>
  <c r="AQ11" i="23" s="1"/>
  <c r="BA29" i="23"/>
  <c r="BC29" i="23" s="1"/>
  <c r="AN29" i="23"/>
  <c r="AP29" i="23" s="1"/>
  <c r="BA39" i="23"/>
  <c r="BI39" i="23" s="1"/>
  <c r="AN39" i="23"/>
  <c r="AP39" i="23" s="1"/>
  <c r="BA51" i="23"/>
  <c r="BD51" i="23" s="1"/>
  <c r="AN51" i="23"/>
  <c r="AQ51" i="23" s="1"/>
  <c r="BA59" i="23"/>
  <c r="BD59" i="23" s="1"/>
  <c r="AN59" i="23"/>
  <c r="AV59" i="23" s="1"/>
  <c r="BA75" i="23"/>
  <c r="AN75" i="23"/>
  <c r="BA79" i="23"/>
  <c r="AN79" i="23"/>
  <c r="BA83" i="23"/>
  <c r="AN83" i="23"/>
  <c r="BA87" i="23"/>
  <c r="AN87" i="23"/>
  <c r="BA91" i="23"/>
  <c r="AN91" i="23"/>
  <c r="BA5" i="23"/>
  <c r="BC5" i="23" s="1"/>
  <c r="AY4" i="23"/>
  <c r="AY92" i="23"/>
  <c r="AY91" i="23"/>
  <c r="AY90" i="23"/>
  <c r="AY89" i="23"/>
  <c r="AY88" i="23"/>
  <c r="AY87" i="23"/>
  <c r="AY86" i="23"/>
  <c r="AY85" i="23"/>
  <c r="AY84" i="23"/>
  <c r="AY83" i="23"/>
  <c r="AY82" i="23"/>
  <c r="AY81" i="23"/>
  <c r="AY80" i="23"/>
  <c r="AY79" i="23"/>
  <c r="AY78" i="23"/>
  <c r="AY77" i="23"/>
  <c r="AY76" i="23"/>
  <c r="AY75" i="23"/>
  <c r="AY74" i="23"/>
  <c r="AY73" i="23"/>
  <c r="AY61" i="23"/>
  <c r="AY60" i="23"/>
  <c r="BG60" i="23" s="1"/>
  <c r="AY59" i="23"/>
  <c r="BG59" i="23" s="1"/>
  <c r="AY58" i="23"/>
  <c r="BG58" i="23" s="1"/>
  <c r="AY57" i="23"/>
  <c r="BG57" i="23" s="1"/>
  <c r="AY56" i="23"/>
  <c r="AY55" i="23"/>
  <c r="AY54" i="23"/>
  <c r="AY53" i="23"/>
  <c r="BG53" i="23" s="1"/>
  <c r="AY52" i="23"/>
  <c r="BG52" i="23" s="1"/>
  <c r="AY51" i="23"/>
  <c r="BG51" i="23" s="1"/>
  <c r="AY50" i="23"/>
  <c r="BG50" i="23" s="1"/>
  <c r="AY49" i="23"/>
  <c r="BG49" i="23" s="1"/>
  <c r="AY48" i="23"/>
  <c r="BG48" i="23" s="1"/>
  <c r="AY47" i="23"/>
  <c r="BG47" i="23" s="1"/>
  <c r="AY46" i="23"/>
  <c r="BG46" i="23" s="1"/>
  <c r="AY45" i="23"/>
  <c r="BG45" i="23" s="1"/>
  <c r="AY44" i="23"/>
  <c r="AY43" i="23"/>
  <c r="AY42" i="23"/>
  <c r="AY41" i="23"/>
  <c r="BG41" i="23" s="1"/>
  <c r="AY40" i="23"/>
  <c r="BG40" i="23" s="1"/>
  <c r="AY39" i="23"/>
  <c r="BG39" i="23" s="1"/>
  <c r="AY38" i="23"/>
  <c r="BG38" i="23" s="1"/>
  <c r="AY37" i="23"/>
  <c r="BG37" i="23" s="1"/>
  <c r="AY36" i="23"/>
  <c r="BG36" i="23" s="1"/>
  <c r="AY35" i="23"/>
  <c r="BG35" i="23" s="1"/>
  <c r="AY34" i="23"/>
  <c r="AY33" i="23"/>
  <c r="BG33" i="23" s="1"/>
  <c r="AY32" i="23"/>
  <c r="BG32" i="23" s="1"/>
  <c r="AY31" i="23"/>
  <c r="BG31" i="23" s="1"/>
  <c r="AY30" i="23"/>
  <c r="BG30" i="23" s="1"/>
  <c r="AY29" i="23"/>
  <c r="BG29" i="23" s="1"/>
  <c r="AY28" i="23"/>
  <c r="BG28" i="23" s="1"/>
  <c r="AY27" i="23"/>
  <c r="BG27" i="23" s="1"/>
  <c r="AY26" i="23"/>
  <c r="BG26" i="23" s="1"/>
  <c r="AY25" i="23"/>
  <c r="BG25" i="23" s="1"/>
  <c r="AY24" i="23"/>
  <c r="BG24" i="23" s="1"/>
  <c r="AY23" i="23"/>
  <c r="BG23" i="23" s="1"/>
  <c r="AY22" i="23"/>
  <c r="AY21" i="23"/>
  <c r="BG21" i="23" s="1"/>
  <c r="AY20" i="23"/>
  <c r="BG20" i="23" s="1"/>
  <c r="AY19" i="23"/>
  <c r="BG19" i="23" s="1"/>
  <c r="AY18" i="23"/>
  <c r="BG18" i="23" s="1"/>
  <c r="AY17" i="23"/>
  <c r="BG17" i="23" s="1"/>
  <c r="AY16" i="23"/>
  <c r="BG16" i="23" s="1"/>
  <c r="AY15" i="23"/>
  <c r="BG15" i="23" s="1"/>
  <c r="AY14" i="23"/>
  <c r="BG14" i="23" s="1"/>
  <c r="AY13" i="23"/>
  <c r="BG13" i="23" s="1"/>
  <c r="AY12" i="23"/>
  <c r="BG12" i="23" s="1"/>
  <c r="AY11" i="23"/>
  <c r="BG11" i="23" s="1"/>
  <c r="AY10" i="23"/>
  <c r="BG10" i="23" s="1"/>
  <c r="AY9" i="23"/>
  <c r="BG9" i="23" s="1"/>
  <c r="AY8" i="23"/>
  <c r="BG8" i="23" s="1"/>
  <c r="AY7" i="23"/>
  <c r="BG7" i="23" s="1"/>
  <c r="AY6" i="23"/>
  <c r="BG6" i="23" s="1"/>
  <c r="AY5" i="23"/>
  <c r="BG5" i="23" s="1"/>
  <c r="AU54" i="23"/>
  <c r="AP5" i="23"/>
  <c r="Y74" i="23"/>
  <c r="AF74" i="23" s="1"/>
  <c r="Y82" i="23"/>
  <c r="BF82" i="23" s="1"/>
  <c r="Y86" i="23"/>
  <c r="AH86" i="23" s="1"/>
  <c r="Y90" i="23"/>
  <c r="BF90" i="23" s="1"/>
  <c r="Y75" i="23"/>
  <c r="AF75" i="23" s="1"/>
  <c r="Y79" i="23"/>
  <c r="AG79" i="23" s="1"/>
  <c r="Y83" i="23"/>
  <c r="BF83" i="23" s="1"/>
  <c r="Y87" i="23"/>
  <c r="AH87" i="23" s="1"/>
  <c r="Y91" i="23"/>
  <c r="BF91" i="23" s="1"/>
  <c r="Y20" i="23"/>
  <c r="BE20" i="23" s="1"/>
  <c r="Y76" i="23"/>
  <c r="AE76" i="23" s="1"/>
  <c r="Y80" i="23"/>
  <c r="AA80" i="23" s="1"/>
  <c r="Y84" i="23"/>
  <c r="BF84" i="23" s="1"/>
  <c r="Y88" i="23"/>
  <c r="AE88" i="23" s="1"/>
  <c r="Y92" i="23"/>
  <c r="AS92" i="23" s="1"/>
  <c r="Y22" i="23"/>
  <c r="Y78" i="23"/>
  <c r="AA78" i="23" s="1"/>
  <c r="Y21" i="23"/>
  <c r="BE21" i="23" s="1"/>
  <c r="Y73" i="23"/>
  <c r="AS73" i="23" s="1"/>
  <c r="Y77" i="23"/>
  <c r="AS77" i="23" s="1"/>
  <c r="Y81" i="23"/>
  <c r="AA81" i="23" s="1"/>
  <c r="Y85" i="23"/>
  <c r="AS85" i="23" s="1"/>
  <c r="Y89" i="23"/>
  <c r="AE89" i="23" s="1"/>
  <c r="Y13" i="23"/>
  <c r="AT13" i="23" s="1"/>
  <c r="Y25" i="23"/>
  <c r="Y37" i="23"/>
  <c r="Y49" i="23"/>
  <c r="AT49" i="23" s="1"/>
  <c r="Y61" i="23"/>
  <c r="Y6" i="23"/>
  <c r="Y9" i="23"/>
  <c r="BE9" i="23" s="1"/>
  <c r="Y31" i="23"/>
  <c r="BE31" i="23" s="1"/>
  <c r="Y45" i="23"/>
  <c r="Y53" i="23"/>
  <c r="AR53" i="23" s="1"/>
  <c r="Y14" i="23"/>
  <c r="AR14" i="23" s="1"/>
  <c r="Y32" i="23"/>
  <c r="AR32" i="23" s="1"/>
  <c r="Y38" i="23"/>
  <c r="Y46" i="23"/>
  <c r="BE46" i="23" s="1"/>
  <c r="Y54" i="23"/>
  <c r="AT54" i="23" s="1"/>
  <c r="Y7" i="23"/>
  <c r="BE7" i="23" s="1"/>
  <c r="Y11" i="23"/>
  <c r="Y15" i="23"/>
  <c r="Y19" i="23"/>
  <c r="AT19" i="23" s="1"/>
  <c r="Y23" i="23"/>
  <c r="BE23" i="23" s="1"/>
  <c r="Y29" i="23"/>
  <c r="Y33" i="23"/>
  <c r="AT33" i="23" s="1"/>
  <c r="Y27" i="23"/>
  <c r="Y39" i="23"/>
  <c r="BE39" i="23" s="1"/>
  <c r="Y43" i="23"/>
  <c r="Y47" i="23"/>
  <c r="Y51" i="23"/>
  <c r="AT51" i="23" s="1"/>
  <c r="Y55" i="23"/>
  <c r="Y59" i="23"/>
  <c r="BE59" i="23" s="1"/>
  <c r="Y5" i="23"/>
  <c r="Y17" i="23"/>
  <c r="AT17" i="23" s="1"/>
  <c r="Y35" i="23"/>
  <c r="AT35" i="23" s="1"/>
  <c r="Y41" i="23"/>
  <c r="AT41" i="23" s="1"/>
  <c r="Y57" i="23"/>
  <c r="Y10" i="23"/>
  <c r="BE10" i="23" s="1"/>
  <c r="Y18" i="23"/>
  <c r="Y28" i="23"/>
  <c r="Y26" i="23"/>
  <c r="Y42" i="23"/>
  <c r="BE42" i="23" s="1"/>
  <c r="Y50" i="23"/>
  <c r="Y58" i="23"/>
  <c r="BE58" i="23" s="1"/>
  <c r="Y8" i="23"/>
  <c r="BE8" i="23" s="1"/>
  <c r="Y12" i="23"/>
  <c r="BE12" i="23" s="1"/>
  <c r="Y16" i="23"/>
  <c r="AT16" i="23" s="1"/>
  <c r="Y24" i="23"/>
  <c r="BE24" i="23" s="1"/>
  <c r="Y30" i="23"/>
  <c r="BE30" i="23" s="1"/>
  <c r="Y34" i="23"/>
  <c r="AT34" i="23" s="1"/>
  <c r="Y36" i="23"/>
  <c r="BE36" i="23" s="1"/>
  <c r="Y40" i="23"/>
  <c r="AR40" i="23" s="1"/>
  <c r="Y44" i="23"/>
  <c r="Y48" i="23"/>
  <c r="AR48" i="23" s="1"/>
  <c r="Y52" i="23"/>
  <c r="Y56" i="23"/>
  <c r="Y60" i="23"/>
  <c r="Y4" i="23"/>
  <c r="AT4" i="23" s="1"/>
  <c r="BH21" i="23"/>
  <c r="BE61" i="23"/>
  <c r="BI61" i="23"/>
  <c r="BG61" i="23"/>
  <c r="BC61" i="23"/>
  <c r="BH61" i="23"/>
  <c r="BD61" i="23"/>
  <c r="BE69" i="23"/>
  <c r="BI69" i="23"/>
  <c r="BC69" i="23"/>
  <c r="BG69" i="23"/>
  <c r="BD69" i="23"/>
  <c r="BH69" i="23"/>
  <c r="BE77" i="23"/>
  <c r="BI77" i="23"/>
  <c r="BC77" i="23"/>
  <c r="BG77" i="23"/>
  <c r="BD77" i="23"/>
  <c r="BH77" i="23"/>
  <c r="BE85" i="23"/>
  <c r="BI85" i="23"/>
  <c r="BG85" i="23"/>
  <c r="BC85" i="23"/>
  <c r="BH85" i="23"/>
  <c r="BD85" i="23"/>
  <c r="BH14" i="23"/>
  <c r="BD22" i="23"/>
  <c r="BH22" i="23"/>
  <c r="BE22" i="23"/>
  <c r="BI22" i="23"/>
  <c r="BG22" i="23"/>
  <c r="BC22" i="23"/>
  <c r="BG54" i="23"/>
  <c r="BH62" i="23"/>
  <c r="BC62" i="23"/>
  <c r="BG62" i="23"/>
  <c r="BD62" i="23"/>
  <c r="BE62" i="23"/>
  <c r="BI62" i="23"/>
  <c r="BC70" i="23"/>
  <c r="BG70" i="23"/>
  <c r="BD70" i="23"/>
  <c r="BH70" i="23"/>
  <c r="BE70" i="23"/>
  <c r="BI70" i="23"/>
  <c r="BD78" i="23"/>
  <c r="BC78" i="23"/>
  <c r="BG78" i="23"/>
  <c r="BH78" i="23"/>
  <c r="BE78" i="23"/>
  <c r="BI78" i="23"/>
  <c r="BC86" i="23"/>
  <c r="BG86" i="23"/>
  <c r="BD86" i="23"/>
  <c r="BH86" i="23"/>
  <c r="BI86" i="23"/>
  <c r="BE86" i="23"/>
  <c r="BC90" i="23"/>
  <c r="BG90" i="23"/>
  <c r="BD90" i="23"/>
  <c r="BH90" i="23"/>
  <c r="BI90" i="23"/>
  <c r="BE90" i="23"/>
  <c r="BE43" i="23"/>
  <c r="BI43" i="23"/>
  <c r="BC43" i="23"/>
  <c r="BD43" i="23"/>
  <c r="BG43" i="23"/>
  <c r="BH43" i="23"/>
  <c r="BC55" i="23"/>
  <c r="BG55" i="23"/>
  <c r="BI55" i="23"/>
  <c r="BD55" i="23"/>
  <c r="BH55" i="23"/>
  <c r="BE55" i="23"/>
  <c r="BC63" i="23"/>
  <c r="BG63" i="23"/>
  <c r="BI63" i="23"/>
  <c r="BD63" i="23"/>
  <c r="BH63" i="23"/>
  <c r="BE63" i="23"/>
  <c r="BC67" i="23"/>
  <c r="BG67" i="23"/>
  <c r="BI67" i="23"/>
  <c r="BD67" i="23"/>
  <c r="BH67" i="23"/>
  <c r="BE67" i="23"/>
  <c r="BC71" i="23"/>
  <c r="BG71" i="23"/>
  <c r="BE71" i="23"/>
  <c r="BD71" i="23"/>
  <c r="BH71" i="23"/>
  <c r="BI71" i="23"/>
  <c r="BC75" i="23"/>
  <c r="BG75" i="23"/>
  <c r="BE75" i="23"/>
  <c r="BI75" i="23"/>
  <c r="BD75" i="23"/>
  <c r="BH75" i="23"/>
  <c r="BC79" i="23"/>
  <c r="BG79" i="23"/>
  <c r="BE79" i="23"/>
  <c r="BI79" i="23"/>
  <c r="BD79" i="23"/>
  <c r="BH79" i="23"/>
  <c r="BC83" i="23"/>
  <c r="BG83" i="23"/>
  <c r="BI83" i="23"/>
  <c r="BD83" i="23"/>
  <c r="BH83" i="23"/>
  <c r="BE83" i="23"/>
  <c r="BC87" i="23"/>
  <c r="BG87" i="23"/>
  <c r="BD87" i="23"/>
  <c r="BH87" i="23"/>
  <c r="BI87" i="23"/>
  <c r="BE87" i="23"/>
  <c r="BC91" i="23"/>
  <c r="BG91" i="23"/>
  <c r="BD91" i="23"/>
  <c r="BH91" i="23"/>
  <c r="BI91" i="23"/>
  <c r="BE91" i="23"/>
  <c r="BE65" i="23"/>
  <c r="BI65" i="23"/>
  <c r="BC65" i="23"/>
  <c r="BG65" i="23"/>
  <c r="BD65" i="23"/>
  <c r="BH65" i="23"/>
  <c r="BE73" i="23"/>
  <c r="BI73" i="23"/>
  <c r="BC73" i="23"/>
  <c r="BG73" i="23"/>
  <c r="BH73" i="23"/>
  <c r="BD73" i="23"/>
  <c r="BE81" i="23"/>
  <c r="BI81" i="23"/>
  <c r="BC81" i="23"/>
  <c r="BG81" i="23"/>
  <c r="BD81" i="23"/>
  <c r="BH81" i="23"/>
  <c r="BE89" i="23"/>
  <c r="BI89" i="23"/>
  <c r="BG89" i="23"/>
  <c r="BC89" i="23"/>
  <c r="BH89" i="23"/>
  <c r="BD89" i="23"/>
  <c r="BD42" i="23"/>
  <c r="BC42" i="23"/>
  <c r="BG42" i="23"/>
  <c r="BD66" i="23"/>
  <c r="BH66" i="23"/>
  <c r="BC66" i="23"/>
  <c r="BG66" i="23"/>
  <c r="BI66" i="23"/>
  <c r="BE66" i="23"/>
  <c r="BD74" i="23"/>
  <c r="BC74" i="23"/>
  <c r="BG74" i="23"/>
  <c r="BH74" i="23"/>
  <c r="BI74" i="23"/>
  <c r="BE74" i="23"/>
  <c r="BD82" i="23"/>
  <c r="BH82" i="23"/>
  <c r="BC82" i="23"/>
  <c r="BG82" i="23"/>
  <c r="BI82" i="23"/>
  <c r="BE82" i="23"/>
  <c r="BH20" i="23"/>
  <c r="BG34" i="23"/>
  <c r="BC44" i="23"/>
  <c r="BG44" i="23"/>
  <c r="BD44" i="23"/>
  <c r="BH44" i="23"/>
  <c r="BE44" i="23"/>
  <c r="BI44" i="23"/>
  <c r="BD56" i="23"/>
  <c r="BH56" i="23"/>
  <c r="BE56" i="23"/>
  <c r="BI56" i="23"/>
  <c r="BC56" i="23"/>
  <c r="BG56" i="23"/>
  <c r="BD60" i="23"/>
  <c r="BH60" i="23"/>
  <c r="BE60" i="23"/>
  <c r="BI60" i="23"/>
  <c r="BC60" i="23"/>
  <c r="BD64" i="23"/>
  <c r="BH64" i="23"/>
  <c r="BE64" i="23"/>
  <c r="BI64" i="23"/>
  <c r="BC64" i="23"/>
  <c r="BG64" i="23"/>
  <c r="BD68" i="23"/>
  <c r="BH68" i="23"/>
  <c r="BE68" i="23"/>
  <c r="BI68" i="23"/>
  <c r="BG68" i="23"/>
  <c r="BC68" i="23"/>
  <c r="BD72" i="23"/>
  <c r="BH72" i="23"/>
  <c r="BE72" i="23"/>
  <c r="BI72" i="23"/>
  <c r="BC72" i="23"/>
  <c r="BG72" i="23"/>
  <c r="BD76" i="23"/>
  <c r="BH76" i="23"/>
  <c r="BE76" i="23"/>
  <c r="BI76" i="23"/>
  <c r="BG76" i="23"/>
  <c r="BC76" i="23"/>
  <c r="BD80" i="23"/>
  <c r="BH80" i="23"/>
  <c r="BE80" i="23"/>
  <c r="BI80" i="23"/>
  <c r="BC80" i="23"/>
  <c r="BG80" i="23"/>
  <c r="BD84" i="23"/>
  <c r="BH84" i="23"/>
  <c r="BE84" i="23"/>
  <c r="BI84" i="23"/>
  <c r="BG84" i="23"/>
  <c r="BC84" i="23"/>
  <c r="BD88" i="23"/>
  <c r="BH88" i="23"/>
  <c r="BE88" i="23"/>
  <c r="BI88" i="23"/>
  <c r="BG88" i="23"/>
  <c r="BC88" i="23"/>
  <c r="BD92" i="23"/>
  <c r="BH92" i="23"/>
  <c r="BE92" i="23"/>
  <c r="BI92" i="23"/>
  <c r="BG92" i="23"/>
  <c r="BC92" i="23"/>
  <c r="AR61" i="23"/>
  <c r="AV61" i="23"/>
  <c r="AP61" i="23"/>
  <c r="AT61" i="23"/>
  <c r="AQ61" i="23"/>
  <c r="AU61" i="23"/>
  <c r="AR69" i="23"/>
  <c r="AV69" i="23"/>
  <c r="AP69" i="23"/>
  <c r="AT69" i="23"/>
  <c r="AQ69" i="23"/>
  <c r="AU69" i="23"/>
  <c r="AR81" i="23"/>
  <c r="AV81" i="23"/>
  <c r="AP81" i="23"/>
  <c r="AT81" i="23"/>
  <c r="AU81" i="23"/>
  <c r="AQ81" i="23"/>
  <c r="AQ14" i="23"/>
  <c r="AU14" i="23"/>
  <c r="AV14" i="23"/>
  <c r="AP14" i="23"/>
  <c r="AQ22" i="23"/>
  <c r="AU22" i="23"/>
  <c r="AR22" i="23"/>
  <c r="AV22" i="23"/>
  <c r="AP22" i="23"/>
  <c r="AT22" i="23"/>
  <c r="AU42" i="23"/>
  <c r="AV42" i="23"/>
  <c r="AQ54" i="23"/>
  <c r="AP62" i="23"/>
  <c r="AT62" i="23"/>
  <c r="AQ62" i="23"/>
  <c r="AU62" i="23"/>
  <c r="AR62" i="23"/>
  <c r="AV62" i="23"/>
  <c r="AP66" i="23"/>
  <c r="AT66" i="23"/>
  <c r="AQ66" i="23"/>
  <c r="AU66" i="23"/>
  <c r="AR66" i="23"/>
  <c r="AV66" i="23"/>
  <c r="AP70" i="23"/>
  <c r="AT70" i="23"/>
  <c r="AQ70" i="23"/>
  <c r="AU70" i="23"/>
  <c r="AV70" i="23"/>
  <c r="AR70" i="23"/>
  <c r="AP74" i="23"/>
  <c r="AT74" i="23"/>
  <c r="AQ74" i="23"/>
  <c r="AU74" i="23"/>
  <c r="AV74" i="23"/>
  <c r="AR74" i="23"/>
  <c r="AP78" i="23"/>
  <c r="AT78" i="23"/>
  <c r="AQ78" i="23"/>
  <c r="AU78" i="23"/>
  <c r="AV78" i="23"/>
  <c r="AR78" i="23"/>
  <c r="AP82" i="23"/>
  <c r="AT82" i="23"/>
  <c r="AQ82" i="23"/>
  <c r="AU82" i="23"/>
  <c r="AR82" i="23"/>
  <c r="AV82" i="23"/>
  <c r="AP86" i="23"/>
  <c r="AT86" i="23"/>
  <c r="AQ86" i="23"/>
  <c r="AU86" i="23"/>
  <c r="AV86" i="23"/>
  <c r="AR86" i="23"/>
  <c r="AQ90" i="23"/>
  <c r="AU90" i="23"/>
  <c r="AT90" i="23"/>
  <c r="AR90" i="23"/>
  <c r="AV90" i="23"/>
  <c r="AP90" i="23"/>
  <c r="AR65" i="23"/>
  <c r="AV65" i="23"/>
  <c r="AP65" i="23"/>
  <c r="AT65" i="23"/>
  <c r="AU65" i="23"/>
  <c r="AQ65" i="23"/>
  <c r="AR77" i="23"/>
  <c r="AV77" i="23"/>
  <c r="AP77" i="23"/>
  <c r="AT77" i="23"/>
  <c r="AQ77" i="23"/>
  <c r="AU77" i="23"/>
  <c r="AR85" i="23"/>
  <c r="AV85" i="23"/>
  <c r="AP85" i="23"/>
  <c r="AT85" i="23"/>
  <c r="AQ85" i="23"/>
  <c r="AU85" i="23"/>
  <c r="AR43" i="23"/>
  <c r="AV43" i="23"/>
  <c r="AP43" i="23"/>
  <c r="AT43" i="23"/>
  <c r="AQ43" i="23"/>
  <c r="AU43" i="23"/>
  <c r="AP55" i="23"/>
  <c r="AT55" i="23"/>
  <c r="AQ55" i="23"/>
  <c r="AU55" i="23"/>
  <c r="AR55" i="23"/>
  <c r="AV55" i="23"/>
  <c r="AP59" i="23"/>
  <c r="AR59" i="23"/>
  <c r="AP63" i="23"/>
  <c r="AT63" i="23"/>
  <c r="AQ63" i="23"/>
  <c r="AU63" i="23"/>
  <c r="AR63" i="23"/>
  <c r="AV63" i="23"/>
  <c r="AP67" i="23"/>
  <c r="AT67" i="23"/>
  <c r="AQ67" i="23"/>
  <c r="AU67" i="23"/>
  <c r="AR67" i="23"/>
  <c r="AV67" i="23"/>
  <c r="AP71" i="23"/>
  <c r="AT71" i="23"/>
  <c r="AQ71" i="23"/>
  <c r="AU71" i="23"/>
  <c r="AR71" i="23"/>
  <c r="AV71" i="23"/>
  <c r="AP75" i="23"/>
  <c r="AT75" i="23"/>
  <c r="AQ75" i="23"/>
  <c r="AU75" i="23"/>
  <c r="AR75" i="23"/>
  <c r="AV75" i="23"/>
  <c r="AP79" i="23"/>
  <c r="AT79" i="23"/>
  <c r="AQ79" i="23"/>
  <c r="AU79" i="23"/>
  <c r="AR79" i="23"/>
  <c r="AV79" i="23"/>
  <c r="AP83" i="23"/>
  <c r="AT83" i="23"/>
  <c r="AQ83" i="23"/>
  <c r="AU83" i="23"/>
  <c r="AR83" i="23"/>
  <c r="AV83" i="23"/>
  <c r="AP87" i="23"/>
  <c r="AT87" i="23"/>
  <c r="AQ87" i="23"/>
  <c r="AU87" i="23"/>
  <c r="AR87" i="23"/>
  <c r="AV87" i="23"/>
  <c r="AR91" i="23"/>
  <c r="AV91" i="23"/>
  <c r="AU91" i="23"/>
  <c r="AP91" i="23"/>
  <c r="AT91" i="23"/>
  <c r="AQ91" i="23"/>
  <c r="AP21" i="23"/>
  <c r="AQ21" i="23"/>
  <c r="AU21" i="23"/>
  <c r="AV21" i="23"/>
  <c r="AR73" i="23"/>
  <c r="AV73" i="23"/>
  <c r="AP73" i="23"/>
  <c r="AT73" i="23"/>
  <c r="AU73" i="23"/>
  <c r="AQ73" i="23"/>
  <c r="AP89" i="23"/>
  <c r="AT89" i="23"/>
  <c r="AQ89" i="23"/>
  <c r="AU89" i="23"/>
  <c r="AR89" i="23"/>
  <c r="AV89" i="23"/>
  <c r="AQ34" i="23"/>
  <c r="AU34" i="23"/>
  <c r="AV34" i="23"/>
  <c r="AP34" i="23"/>
  <c r="AQ44" i="23"/>
  <c r="AU44" i="23"/>
  <c r="AP44" i="23"/>
  <c r="AR44" i="23"/>
  <c r="AT44" i="23"/>
  <c r="AV44" i="23"/>
  <c r="AQ56" i="23"/>
  <c r="AU56" i="23"/>
  <c r="AR56" i="23"/>
  <c r="AV56" i="23"/>
  <c r="AP56" i="23"/>
  <c r="AT56" i="23"/>
  <c r="AU60" i="23"/>
  <c r="AR60" i="23"/>
  <c r="AT60" i="23"/>
  <c r="AQ64" i="23"/>
  <c r="AU64" i="23"/>
  <c r="AR64" i="23"/>
  <c r="AV64" i="23"/>
  <c r="AT64" i="23"/>
  <c r="AP64" i="23"/>
  <c r="AQ68" i="23"/>
  <c r="AU68" i="23"/>
  <c r="AR68" i="23"/>
  <c r="AV68" i="23"/>
  <c r="AT68" i="23"/>
  <c r="AP68" i="23"/>
  <c r="AQ72" i="23"/>
  <c r="AU72" i="23"/>
  <c r="AR72" i="23"/>
  <c r="AV72" i="23"/>
  <c r="AT72" i="23"/>
  <c r="AP72" i="23"/>
  <c r="AQ76" i="23"/>
  <c r="AU76" i="23"/>
  <c r="AR76" i="23"/>
  <c r="AV76" i="23"/>
  <c r="AP76" i="23"/>
  <c r="AT76" i="23"/>
  <c r="AQ80" i="23"/>
  <c r="AU80" i="23"/>
  <c r="AR80" i="23"/>
  <c r="AV80" i="23"/>
  <c r="AP80" i="23"/>
  <c r="AT80" i="23"/>
  <c r="AQ84" i="23"/>
  <c r="AU84" i="23"/>
  <c r="AR84" i="23"/>
  <c r="AV84" i="23"/>
  <c r="AT84" i="23"/>
  <c r="AP84" i="23"/>
  <c r="AQ88" i="23"/>
  <c r="AR88" i="23"/>
  <c r="AV88" i="23"/>
  <c r="AT88" i="23"/>
  <c r="AU88" i="23"/>
  <c r="AP88" i="23"/>
  <c r="AV92" i="23"/>
  <c r="AP92" i="23"/>
  <c r="AT92" i="23"/>
  <c r="AQ92" i="23"/>
  <c r="AU92" i="23"/>
  <c r="AR92" i="23"/>
  <c r="H39" i="22"/>
  <c r="B65" i="22"/>
  <c r="H38" i="22"/>
  <c r="B60" i="22"/>
  <c r="U86" i="2"/>
  <c r="E41" i="22"/>
  <c r="BI34" i="23" l="1"/>
  <c r="BD14" i="23"/>
  <c r="BD21" i="23"/>
  <c r="AP60" i="23"/>
  <c r="AQ60" i="23"/>
  <c r="AT21" i="23"/>
  <c r="AR33" i="23"/>
  <c r="AT42" i="23"/>
  <c r="AQ42" i="23"/>
  <c r="BI54" i="23"/>
  <c r="BH54" i="23"/>
  <c r="BD53" i="23"/>
  <c r="BC54" i="23"/>
  <c r="BC14" i="23"/>
  <c r="BI21" i="23"/>
  <c r="AR34" i="23"/>
  <c r="AR42" i="23"/>
  <c r="AT14" i="23"/>
  <c r="BE34" i="23"/>
  <c r="BI42" i="23"/>
  <c r="AR21" i="23"/>
  <c r="BH34" i="23"/>
  <c r="BE14" i="23"/>
  <c r="BC34" i="23"/>
  <c r="BE54" i="23"/>
  <c r="AR13" i="23"/>
  <c r="AT59" i="23"/>
  <c r="BD20" i="23"/>
  <c r="BI13" i="23"/>
  <c r="BI41" i="23"/>
  <c r="BI59" i="23"/>
  <c r="BC59" i="23"/>
  <c r="BC33" i="23"/>
  <c r="BD41" i="23"/>
  <c r="BH41" i="23"/>
  <c r="BH59" i="23"/>
  <c r="BI33" i="23"/>
  <c r="BH33" i="23"/>
  <c r="BC53" i="23"/>
  <c r="BH13" i="23"/>
  <c r="AP13" i="23"/>
  <c r="BH53" i="23"/>
  <c r="BD13" i="23"/>
  <c r="AR20" i="23"/>
  <c r="BI20" i="23"/>
  <c r="BH58" i="23"/>
  <c r="BC58" i="23"/>
  <c r="BD58" i="23"/>
  <c r="AR58" i="23"/>
  <c r="E22" i="25"/>
  <c r="G22" i="25" s="1"/>
  <c r="B24" i="25"/>
  <c r="C23" i="25" a="1"/>
  <c r="C23" i="25" s="1"/>
  <c r="AT53" i="23"/>
  <c r="AU20" i="23"/>
  <c r="BE41" i="23"/>
  <c r="AQ20" i="23"/>
  <c r="AV20" i="23"/>
  <c r="BE33" i="23"/>
  <c r="BE53" i="23"/>
  <c r="BE13" i="23"/>
  <c r="AR41" i="23"/>
  <c r="AQ13" i="23"/>
  <c r="AT20" i="23"/>
  <c r="AV13" i="23"/>
  <c r="AT58" i="23"/>
  <c r="AR54" i="23"/>
  <c r="AV54" i="23"/>
  <c r="AP54" i="23"/>
  <c r="AU59" i="23"/>
  <c r="AQ59" i="23"/>
  <c r="AP53" i="23"/>
  <c r="AP41" i="23"/>
  <c r="AP58" i="23"/>
  <c r="AQ41" i="23"/>
  <c r="AQ33" i="23"/>
  <c r="AU41" i="23"/>
  <c r="AV33" i="23"/>
  <c r="AP33" i="23"/>
  <c r="AU58" i="23"/>
  <c r="AV53" i="23"/>
  <c r="AQ53" i="23"/>
  <c r="AQ58" i="23"/>
  <c r="AK82" i="23"/>
  <c r="AF79" i="23"/>
  <c r="AF82" i="23"/>
  <c r="AI87" i="23"/>
  <c r="AE77" i="23"/>
  <c r="BF76" i="23"/>
  <c r="BF79" i="23"/>
  <c r="AH79" i="23"/>
  <c r="AI76" i="23"/>
  <c r="AC87" i="23"/>
  <c r="AI82" i="23"/>
  <c r="BF87" i="23"/>
  <c r="AH89" i="23"/>
  <c r="BF89" i="23"/>
  <c r="AD78" i="23"/>
  <c r="AJ78" i="23"/>
  <c r="AD89" i="23"/>
  <c r="BF78" i="23"/>
  <c r="AJ84" i="23"/>
  <c r="AD92" i="23"/>
  <c r="AI92" i="23"/>
  <c r="AA84" i="23"/>
  <c r="AA92" i="23"/>
  <c r="AH84" i="23"/>
  <c r="BF74" i="23"/>
  <c r="AB85" i="23"/>
  <c r="AI85" i="23"/>
  <c r="AH85" i="23"/>
  <c r="AE87" i="23"/>
  <c r="AD79" i="23"/>
  <c r="AA82" i="23"/>
  <c r="AI78" i="23"/>
  <c r="AC85" i="23"/>
  <c r="AJ79" i="23"/>
  <c r="AC82" i="23"/>
  <c r="AH78" i="23"/>
  <c r="AI89" i="23"/>
  <c r="AD87" i="23"/>
  <c r="AA87" i="23"/>
  <c r="AK87" i="23"/>
  <c r="AB79" i="23"/>
  <c r="AI79" i="23"/>
  <c r="AG82" i="23"/>
  <c r="AH82" i="23"/>
  <c r="AG78" i="23"/>
  <c r="AC78" i="23"/>
  <c r="AB78" i="23"/>
  <c r="AB89" i="23"/>
  <c r="AK89" i="23"/>
  <c r="AD85" i="23"/>
  <c r="AK85" i="23"/>
  <c r="AA85" i="23"/>
  <c r="AS89" i="23"/>
  <c r="AS87" i="23"/>
  <c r="AS82" i="23"/>
  <c r="AB87" i="23"/>
  <c r="AG87" i="23"/>
  <c r="AK79" i="23"/>
  <c r="AJ82" i="23"/>
  <c r="AJ89" i="23"/>
  <c r="AF89" i="23"/>
  <c r="AG85" i="23"/>
  <c r="AJ87" i="23"/>
  <c r="AF87" i="23"/>
  <c r="AE79" i="23"/>
  <c r="AA79" i="23"/>
  <c r="AC79" i="23"/>
  <c r="AE82" i="23"/>
  <c r="AD82" i="23"/>
  <c r="AB82" i="23"/>
  <c r="AK78" i="23"/>
  <c r="AE78" i="23"/>
  <c r="AF78" i="23"/>
  <c r="AC89" i="23"/>
  <c r="AG89" i="23"/>
  <c r="AA89" i="23"/>
  <c r="AJ85" i="23"/>
  <c r="AF85" i="23"/>
  <c r="AE85" i="23"/>
  <c r="BF85" i="23"/>
  <c r="AF92" i="23"/>
  <c r="AG92" i="23"/>
  <c r="AH92" i="23"/>
  <c r="AF84" i="23"/>
  <c r="AB84" i="23"/>
  <c r="AK76" i="23"/>
  <c r="AC76" i="23"/>
  <c r="AJ76" i="23"/>
  <c r="AB92" i="23"/>
  <c r="AE92" i="23"/>
  <c r="AI84" i="23"/>
  <c r="AE84" i="23"/>
  <c r="AG84" i="23"/>
  <c r="AA76" i="23"/>
  <c r="AG76" i="23"/>
  <c r="AD76" i="23"/>
  <c r="BF92" i="23"/>
  <c r="AC92" i="23"/>
  <c r="AK92" i="23"/>
  <c r="AJ92" i="23"/>
  <c r="AK84" i="23"/>
  <c r="AC84" i="23"/>
  <c r="AD84" i="23"/>
  <c r="AB76" i="23"/>
  <c r="AF76" i="23"/>
  <c r="AH76" i="23"/>
  <c r="BF77" i="23"/>
  <c r="AS84" i="23"/>
  <c r="AS79" i="23"/>
  <c r="AS76" i="23"/>
  <c r="AS78" i="23"/>
  <c r="AH90" i="23"/>
  <c r="AG80" i="23"/>
  <c r="AD88" i="23"/>
  <c r="AB91" i="23"/>
  <c r="AE83" i="23"/>
  <c r="AG81" i="23"/>
  <c r="AF83" i="23"/>
  <c r="AB75" i="23"/>
  <c r="AI90" i="23"/>
  <c r="AA73" i="23"/>
  <c r="AE75" i="23"/>
  <c r="AI86" i="23"/>
  <c r="AH74" i="23"/>
  <c r="AK77" i="23"/>
  <c r="AF91" i="23"/>
  <c r="AJ86" i="23"/>
  <c r="AI74" i="23"/>
  <c r="AI77" i="23"/>
  <c r="AK88" i="23"/>
  <c r="AG83" i="23"/>
  <c r="AK75" i="23"/>
  <c r="AF73" i="23"/>
  <c r="AC88" i="23"/>
  <c r="AC80" i="23"/>
  <c r="BF75" i="23"/>
  <c r="AC91" i="23"/>
  <c r="AB90" i="23"/>
  <c r="AG77" i="23"/>
  <c r="AK91" i="23"/>
  <c r="AA83" i="23"/>
  <c r="AK83" i="23"/>
  <c r="AJ81" i="23"/>
  <c r="AH80" i="23"/>
  <c r="BF81" i="23"/>
  <c r="BF88" i="23"/>
  <c r="AF88" i="23"/>
  <c r="AG88" i="23"/>
  <c r="AA88" i="23"/>
  <c r="AH88" i="23"/>
  <c r="AJ88" i="23"/>
  <c r="AB86" i="23"/>
  <c r="AC86" i="23"/>
  <c r="AD86" i="23"/>
  <c r="AG86" i="23"/>
  <c r="AK86" i="23"/>
  <c r="BF86" i="23"/>
  <c r="AS83" i="23"/>
  <c r="AH83" i="23"/>
  <c r="AD83" i="23"/>
  <c r="AS74" i="23"/>
  <c r="AK74" i="23"/>
  <c r="AA74" i="23"/>
  <c r="AJ74" i="23"/>
  <c r="AE74" i="23"/>
  <c r="AC74" i="23"/>
  <c r="AA77" i="23"/>
  <c r="AB77" i="23"/>
  <c r="AC77" i="23"/>
  <c r="AF77" i="23"/>
  <c r="AJ77" i="23"/>
  <c r="AA91" i="23"/>
  <c r="AE91" i="23"/>
  <c r="AG90" i="23"/>
  <c r="AF90" i="23"/>
  <c r="AA86" i="23"/>
  <c r="AG74" i="23"/>
  <c r="AF81" i="23"/>
  <c r="AH77" i="23"/>
  <c r="AG73" i="23"/>
  <c r="AI73" i="23"/>
  <c r="AB88" i="23"/>
  <c r="AS86" i="23"/>
  <c r="BF80" i="23"/>
  <c r="AD80" i="23"/>
  <c r="AE80" i="23"/>
  <c r="AF80" i="23"/>
  <c r="AI80" i="23"/>
  <c r="AJ80" i="23"/>
  <c r="AB80" i="23"/>
  <c r="AS81" i="23"/>
  <c r="AH81" i="23"/>
  <c r="AB81" i="23"/>
  <c r="AD81" i="23"/>
  <c r="AI81" i="23"/>
  <c r="AC81" i="23"/>
  <c r="AS91" i="23"/>
  <c r="AG91" i="23"/>
  <c r="AD91" i="23"/>
  <c r="AH91" i="23"/>
  <c r="AS75" i="23"/>
  <c r="AG75" i="23"/>
  <c r="AI75" i="23"/>
  <c r="AA75" i="23"/>
  <c r="AS90" i="23"/>
  <c r="AK90" i="23"/>
  <c r="AD90" i="23"/>
  <c r="AJ90" i="23"/>
  <c r="AE90" i="23"/>
  <c r="AC90" i="23"/>
  <c r="AE73" i="23"/>
  <c r="AJ73" i="23"/>
  <c r="AD73" i="23"/>
  <c r="BF73" i="23"/>
  <c r="AK73" i="23"/>
  <c r="AC73" i="23"/>
  <c r="AH73" i="23"/>
  <c r="AI83" i="23"/>
  <c r="AB83" i="23"/>
  <c r="AD75" i="23"/>
  <c r="AJ75" i="23"/>
  <c r="AI91" i="23"/>
  <c r="AJ91" i="23"/>
  <c r="AJ83" i="23"/>
  <c r="AC83" i="23"/>
  <c r="AH75" i="23"/>
  <c r="AC75" i="23"/>
  <c r="AA90" i="23"/>
  <c r="AE86" i="23"/>
  <c r="AF86" i="23"/>
  <c r="AD74" i="23"/>
  <c r="AB74" i="23"/>
  <c r="AK81" i="23"/>
  <c r="AE81" i="23"/>
  <c r="AD77" i="23"/>
  <c r="AB73" i="23"/>
  <c r="AI88" i="23"/>
  <c r="AK80" i="23"/>
  <c r="AS88" i="23"/>
  <c r="AS80" i="23"/>
  <c r="BE49" i="23"/>
  <c r="AV18" i="23"/>
  <c r="BI15" i="23"/>
  <c r="BE35" i="23"/>
  <c r="BH38" i="23"/>
  <c r="AV26" i="23"/>
  <c r="AP50" i="23"/>
  <c r="BE16" i="23"/>
  <c r="BD50" i="23"/>
  <c r="AV23" i="23"/>
  <c r="BC48" i="23"/>
  <c r="BD12" i="23"/>
  <c r="BH35" i="23"/>
  <c r="BH29" i="23"/>
  <c r="AV8" i="23"/>
  <c r="AQ39" i="23"/>
  <c r="BD16" i="23"/>
  <c r="BI10" i="23"/>
  <c r="BE17" i="23"/>
  <c r="BH47" i="23"/>
  <c r="BD29" i="23"/>
  <c r="BI46" i="23"/>
  <c r="BH6" i="23"/>
  <c r="BH37" i="23"/>
  <c r="BD18" i="23"/>
  <c r="BI45" i="23"/>
  <c r="AT8" i="23"/>
  <c r="BH28" i="23"/>
  <c r="BD5" i="23"/>
  <c r="BI47" i="23"/>
  <c r="BC15" i="23"/>
  <c r="BD37" i="23"/>
  <c r="BD27" i="23"/>
  <c r="AQ49" i="23"/>
  <c r="BE48" i="23"/>
  <c r="BC50" i="23"/>
  <c r="BC18" i="23"/>
  <c r="BD35" i="23"/>
  <c r="BD11" i="23"/>
  <c r="BD38" i="23"/>
  <c r="BD6" i="23"/>
  <c r="BH9" i="23"/>
  <c r="AR16" i="23"/>
  <c r="AV10" i="23"/>
  <c r="BD48" i="23"/>
  <c r="BI30" i="23"/>
  <c r="BC16" i="23"/>
  <c r="BH50" i="23"/>
  <c r="BH18" i="23"/>
  <c r="BI35" i="23"/>
  <c r="BH5" i="23"/>
  <c r="BD47" i="23"/>
  <c r="BD15" i="23"/>
  <c r="BC11" i="23"/>
  <c r="BC38" i="23"/>
  <c r="BC6" i="23"/>
  <c r="BC45" i="23"/>
  <c r="BD9" i="23"/>
  <c r="AS33" i="23"/>
  <c r="BF33" i="23"/>
  <c r="AS44" i="23"/>
  <c r="BF44" i="23"/>
  <c r="AS38" i="23"/>
  <c r="BF38" i="23"/>
  <c r="AS52" i="23"/>
  <c r="BF52" i="23"/>
  <c r="AS45" i="23"/>
  <c r="BF45" i="23"/>
  <c r="BE40" i="23"/>
  <c r="BH26" i="23"/>
  <c r="BD23" i="23"/>
  <c r="BI23" i="23"/>
  <c r="BD7" i="23"/>
  <c r="BI32" i="23"/>
  <c r="BD31" i="23"/>
  <c r="BI31" i="23"/>
  <c r="AS43" i="23"/>
  <c r="BF43" i="23"/>
  <c r="AS11" i="23"/>
  <c r="BF11" i="23"/>
  <c r="AS50" i="23"/>
  <c r="BF50" i="23"/>
  <c r="AS18" i="23"/>
  <c r="BF18" i="23"/>
  <c r="AS57" i="23"/>
  <c r="BF57" i="23"/>
  <c r="AS25" i="23"/>
  <c r="BF25" i="23"/>
  <c r="AS34" i="23"/>
  <c r="BF34" i="23"/>
  <c r="AR52" i="23"/>
  <c r="AU6" i="23"/>
  <c r="BD52" i="23"/>
  <c r="BI40" i="23"/>
  <c r="BD36" i="23"/>
  <c r="BC24" i="23"/>
  <c r="BD8" i="23"/>
  <c r="BD26" i="23"/>
  <c r="BD28" i="23"/>
  <c r="BC57" i="23"/>
  <c r="BC49" i="23"/>
  <c r="BD25" i="23"/>
  <c r="BC39" i="23"/>
  <c r="BC23" i="23"/>
  <c r="BH7" i="23"/>
  <c r="BH31" i="23"/>
  <c r="AS55" i="23"/>
  <c r="BF55" i="23"/>
  <c r="AS39" i="23"/>
  <c r="BF39" i="23"/>
  <c r="AS23" i="23"/>
  <c r="BF23" i="23"/>
  <c r="AS7" i="23"/>
  <c r="BF7" i="23"/>
  <c r="AS12" i="23"/>
  <c r="BF12" i="23"/>
  <c r="AS46" i="23"/>
  <c r="BF46" i="23"/>
  <c r="AS32" i="23"/>
  <c r="BF32" i="23"/>
  <c r="AS14" i="23"/>
  <c r="BF14" i="23"/>
  <c r="AS30" i="23"/>
  <c r="BF30" i="23"/>
  <c r="AS53" i="23"/>
  <c r="BF53" i="23"/>
  <c r="AS37" i="23"/>
  <c r="BF37" i="23"/>
  <c r="AS21" i="23"/>
  <c r="BF21" i="23"/>
  <c r="AS60" i="23"/>
  <c r="BF60" i="23"/>
  <c r="AS20" i="23"/>
  <c r="BF20" i="23"/>
  <c r="AV24" i="23"/>
  <c r="AU45" i="23"/>
  <c r="AV39" i="23"/>
  <c r="AU29" i="23"/>
  <c r="AQ7" i="23"/>
  <c r="AU5" i="23"/>
  <c r="AP46" i="23"/>
  <c r="AP38" i="23"/>
  <c r="AT32" i="23"/>
  <c r="AV37" i="23"/>
  <c r="BI52" i="23"/>
  <c r="BI48" i="23"/>
  <c r="BD40" i="23"/>
  <c r="BI36" i="23"/>
  <c r="BC30" i="23"/>
  <c r="BH30" i="23"/>
  <c r="BD24" i="23"/>
  <c r="BI16" i="23"/>
  <c r="BI12" i="23"/>
  <c r="BI8" i="23"/>
  <c r="BI26" i="23"/>
  <c r="BI28" i="23"/>
  <c r="BH10" i="23"/>
  <c r="BH57" i="23"/>
  <c r="BI57" i="23"/>
  <c r="BH49" i="23"/>
  <c r="BE25" i="23"/>
  <c r="BH17" i="23"/>
  <c r="BI5" i="23"/>
  <c r="BH51" i="23"/>
  <c r="BI51" i="23"/>
  <c r="BH39" i="23"/>
  <c r="BH27" i="23"/>
  <c r="BI27" i="23"/>
  <c r="BI29" i="23"/>
  <c r="BH19" i="23"/>
  <c r="BI19" i="23"/>
  <c r="BH11" i="23"/>
  <c r="BC7" i="23"/>
  <c r="BC46" i="23"/>
  <c r="BH46" i="23"/>
  <c r="BE32" i="23"/>
  <c r="BH45" i="23"/>
  <c r="BI37" i="23"/>
  <c r="AS47" i="23"/>
  <c r="BF47" i="23"/>
  <c r="AS15" i="23"/>
  <c r="BF15" i="23"/>
  <c r="AS54" i="23"/>
  <c r="BF54" i="23"/>
  <c r="AS22" i="23"/>
  <c r="BF22" i="23"/>
  <c r="AS61" i="23"/>
  <c r="BF61" i="23"/>
  <c r="AS31" i="23"/>
  <c r="BF31" i="23"/>
  <c r="AS13" i="23"/>
  <c r="BF13" i="23"/>
  <c r="AS40" i="23"/>
  <c r="BF40" i="23"/>
  <c r="AS5" i="23"/>
  <c r="BF5" i="23"/>
  <c r="AT31" i="23"/>
  <c r="BE52" i="23"/>
  <c r="BH25" i="23"/>
  <c r="BD39" i="23"/>
  <c r="AS59" i="23"/>
  <c r="BF59" i="23"/>
  <c r="AS29" i="23"/>
  <c r="BF29" i="23"/>
  <c r="AS24" i="23"/>
  <c r="BF24" i="23"/>
  <c r="AS26" i="23"/>
  <c r="BF26" i="23"/>
  <c r="AS36" i="23"/>
  <c r="BF36" i="23"/>
  <c r="AS41" i="23"/>
  <c r="BF41" i="23"/>
  <c r="AS9" i="23"/>
  <c r="BF9" i="23"/>
  <c r="AS6" i="23"/>
  <c r="BF6" i="23"/>
  <c r="BC40" i="23"/>
  <c r="BI24" i="23"/>
  <c r="BC8" i="23"/>
  <c r="BI49" i="23"/>
  <c r="BI17" i="23"/>
  <c r="BC17" i="23"/>
  <c r="BC51" i="23"/>
  <c r="BE47" i="23"/>
  <c r="BC19" i="23"/>
  <c r="BE15" i="23"/>
  <c r="BH32" i="23"/>
  <c r="BE45" i="23"/>
  <c r="AS51" i="23"/>
  <c r="BF51" i="23"/>
  <c r="AS27" i="23"/>
  <c r="BF27" i="23"/>
  <c r="AS19" i="23"/>
  <c r="BF19" i="23"/>
  <c r="AS56" i="23"/>
  <c r="BF56" i="23"/>
  <c r="AS58" i="23"/>
  <c r="BF58" i="23"/>
  <c r="AS42" i="23"/>
  <c r="BF42" i="23"/>
  <c r="AS28" i="23"/>
  <c r="BF28" i="23"/>
  <c r="AS10" i="23"/>
  <c r="BF10" i="23"/>
  <c r="AS16" i="23"/>
  <c r="BF16" i="23"/>
  <c r="AS49" i="23"/>
  <c r="BF49" i="23"/>
  <c r="AS35" i="23"/>
  <c r="BF35" i="23"/>
  <c r="AS17" i="23"/>
  <c r="BF17" i="23"/>
  <c r="AS48" i="23"/>
  <c r="BF48" i="23"/>
  <c r="AS8" i="23"/>
  <c r="BF8" i="23"/>
  <c r="AU48" i="23"/>
  <c r="AU40" i="23"/>
  <c r="AU12" i="23"/>
  <c r="AT45" i="23"/>
  <c r="AU9" i="23"/>
  <c r="AT27" i="23"/>
  <c r="AQ23" i="23"/>
  <c r="AV7" i="23"/>
  <c r="AU46" i="23"/>
  <c r="AU38" i="23"/>
  <c r="AV25" i="23"/>
  <c r="BH52" i="23"/>
  <c r="BH36" i="23"/>
  <c r="BH12" i="23"/>
  <c r="BE50" i="23"/>
  <c r="BE26" i="23"/>
  <c r="BE28" i="23"/>
  <c r="BE18" i="23"/>
  <c r="BC10" i="23"/>
  <c r="BE57" i="23"/>
  <c r="BI25" i="23"/>
  <c r="BE5" i="23"/>
  <c r="BE51" i="23"/>
  <c r="BE27" i="23"/>
  <c r="BE29" i="23"/>
  <c r="BE19" i="23"/>
  <c r="BE11" i="23"/>
  <c r="BE38" i="23"/>
  <c r="BD32" i="23"/>
  <c r="BE6" i="23"/>
  <c r="BE37" i="23"/>
  <c r="BI9" i="23"/>
  <c r="AR36" i="23"/>
  <c r="AV47" i="23"/>
  <c r="AU15" i="23"/>
  <c r="AV15" i="23"/>
  <c r="AV17" i="23"/>
  <c r="AU28" i="23"/>
  <c r="AT6" i="23"/>
  <c r="AT25" i="23"/>
  <c r="AP52" i="23"/>
  <c r="AP48" i="23"/>
  <c r="AQ48" i="23"/>
  <c r="AP40" i="23"/>
  <c r="AQ40" i="23"/>
  <c r="AP36" i="23"/>
  <c r="AR30" i="23"/>
  <c r="AR24" i="23"/>
  <c r="AP24" i="23"/>
  <c r="AV16" i="23"/>
  <c r="AP16" i="23"/>
  <c r="AQ12" i="23"/>
  <c r="AR8" i="23"/>
  <c r="AP8" i="23"/>
  <c r="AP57" i="23"/>
  <c r="AQ45" i="23"/>
  <c r="AP45" i="23"/>
  <c r="AP35" i="23"/>
  <c r="AQ9" i="23"/>
  <c r="AP51" i="23"/>
  <c r="AU47" i="23"/>
  <c r="AR47" i="23"/>
  <c r="AU39" i="23"/>
  <c r="AR39" i="23"/>
  <c r="AP27" i="23"/>
  <c r="AQ29" i="23"/>
  <c r="AU23" i="23"/>
  <c r="AR23" i="23"/>
  <c r="AP19" i="23"/>
  <c r="AQ15" i="23"/>
  <c r="AR15" i="23"/>
  <c r="AP11" i="23"/>
  <c r="AU7" i="23"/>
  <c r="AR7" i="23"/>
  <c r="AP31" i="23"/>
  <c r="AR17" i="23"/>
  <c r="AP17" i="23"/>
  <c r="AQ5" i="23"/>
  <c r="AV50" i="23"/>
  <c r="AV46" i="23"/>
  <c r="AV38" i="23"/>
  <c r="AR26" i="23"/>
  <c r="AV32" i="23"/>
  <c r="AP32" i="23"/>
  <c r="AQ28" i="23"/>
  <c r="AR18" i="23"/>
  <c r="AR10" i="23"/>
  <c r="AP6" i="23"/>
  <c r="AQ6" i="23"/>
  <c r="AU49" i="23"/>
  <c r="AP49" i="23"/>
  <c r="AR37" i="23"/>
  <c r="AR25" i="23"/>
  <c r="AP25" i="23"/>
  <c r="AV30" i="23"/>
  <c r="AT24" i="23"/>
  <c r="AT57" i="23"/>
  <c r="AT11" i="23"/>
  <c r="AV52" i="23"/>
  <c r="AU52" i="23"/>
  <c r="AV36" i="23"/>
  <c r="AU36" i="23"/>
  <c r="AP30" i="23"/>
  <c r="AU30" i="23"/>
  <c r="AU24" i="23"/>
  <c r="AU16" i="23"/>
  <c r="AV12" i="23"/>
  <c r="AT12" i="23"/>
  <c r="AU8" i="23"/>
  <c r="AQ57" i="23"/>
  <c r="AV57" i="23"/>
  <c r="AU35" i="23"/>
  <c r="AV35" i="23"/>
  <c r="AV9" i="23"/>
  <c r="AT9" i="23"/>
  <c r="AU51" i="23"/>
  <c r="AV51" i="23"/>
  <c r="AT47" i="23"/>
  <c r="AT39" i="23"/>
  <c r="AU27" i="23"/>
  <c r="AV27" i="23"/>
  <c r="AV29" i="23"/>
  <c r="AT29" i="23"/>
  <c r="AT23" i="23"/>
  <c r="AU19" i="23"/>
  <c r="AV19" i="23"/>
  <c r="AT15" i="23"/>
  <c r="AU11" i="23"/>
  <c r="AV11" i="23"/>
  <c r="AT7" i="23"/>
  <c r="AU31" i="23"/>
  <c r="AV31" i="23"/>
  <c r="AU17" i="23"/>
  <c r="AV5" i="23"/>
  <c r="AT5" i="23"/>
  <c r="AT50" i="23"/>
  <c r="AU50" i="23"/>
  <c r="AT46" i="23"/>
  <c r="AT38" i="23"/>
  <c r="AT26" i="23"/>
  <c r="AU26" i="23"/>
  <c r="AU32" i="23"/>
  <c r="AV28" i="23"/>
  <c r="AT28" i="23"/>
  <c r="AT18" i="23"/>
  <c r="AU18" i="23"/>
  <c r="AT10" i="23"/>
  <c r="AU10" i="23"/>
  <c r="AU37" i="23"/>
  <c r="AT37" i="23"/>
  <c r="AU25" i="23"/>
  <c r="AQ47" i="23"/>
  <c r="AT52" i="23"/>
  <c r="AT48" i="23"/>
  <c r="AT40" i="23"/>
  <c r="AT36" i="23"/>
  <c r="AT30" i="23"/>
  <c r="AR12" i="23"/>
  <c r="AR57" i="23"/>
  <c r="AR45" i="23"/>
  <c r="AR35" i="23"/>
  <c r="AR9" i="23"/>
  <c r="AR51" i="23"/>
  <c r="AR27" i="23"/>
  <c r="AR29" i="23"/>
  <c r="AR19" i="23"/>
  <c r="AR11" i="23"/>
  <c r="AR31" i="23"/>
  <c r="AR5" i="23"/>
  <c r="AR50" i="23"/>
  <c r="AR46" i="23"/>
  <c r="AR38" i="23"/>
  <c r="AP26" i="23"/>
  <c r="AR28" i="23"/>
  <c r="AP18" i="23"/>
  <c r="AP10" i="23"/>
  <c r="AR6" i="23"/>
  <c r="AR49" i="23"/>
  <c r="AQ37" i="23"/>
  <c r="BE4" i="23"/>
  <c r="BD4" i="23"/>
  <c r="AR4" i="23"/>
  <c r="AP4" i="23"/>
  <c r="BG4" i="23"/>
  <c r="BI4" i="23"/>
  <c r="BH4" i="23"/>
  <c r="AV4" i="23"/>
  <c r="AU4" i="23"/>
  <c r="BF4" i="23"/>
  <c r="AS4" i="23"/>
  <c r="AH46" i="23"/>
  <c r="AA6" i="23"/>
  <c r="AI7" i="23"/>
  <c r="AH53" i="23"/>
  <c r="AI51" i="23"/>
  <c r="AI27" i="23"/>
  <c r="AE19" i="23"/>
  <c r="AJ56" i="23"/>
  <c r="AK42" i="23"/>
  <c r="AK28" i="23"/>
  <c r="AG10" i="23"/>
  <c r="AA16" i="23"/>
  <c r="AG35" i="23"/>
  <c r="AE17" i="23"/>
  <c r="AI47" i="23"/>
  <c r="AD33" i="23"/>
  <c r="AA15" i="23"/>
  <c r="AK44" i="23"/>
  <c r="AJ54" i="23"/>
  <c r="AE38" i="23"/>
  <c r="AG22" i="23"/>
  <c r="AJ24" i="23"/>
  <c r="AD4" i="23"/>
  <c r="AJ6" i="23"/>
  <c r="AB4" i="23"/>
  <c r="AB6" i="23"/>
  <c r="AJ4" i="23"/>
  <c r="AI4" i="23"/>
  <c r="AG4" i="23"/>
  <c r="AH4" i="23"/>
  <c r="AA4" i="23"/>
  <c r="AC4" i="23"/>
  <c r="AF4" i="23"/>
  <c r="AB58" i="23"/>
  <c r="AG51" i="23"/>
  <c r="AH19" i="23"/>
  <c r="AJ28" i="23"/>
  <c r="AK16" i="23"/>
  <c r="AA51" i="23"/>
  <c r="AE42" i="23"/>
  <c r="AC10" i="23"/>
  <c r="AH27" i="23"/>
  <c r="AA28" i="23"/>
  <c r="AA10" i="23"/>
  <c r="AD8" i="23"/>
  <c r="AJ19" i="23"/>
  <c r="AE58" i="23"/>
  <c r="AG28" i="23"/>
  <c r="AE48" i="23"/>
  <c r="AC22" i="23"/>
  <c r="AE4" i="23"/>
  <c r="AK4" i="23"/>
  <c r="AH20" i="23"/>
  <c r="AA27" i="23"/>
  <c r="AF42" i="23"/>
  <c r="AH8" i="23"/>
  <c r="AC58" i="23"/>
  <c r="AF58" i="23"/>
  <c r="AG42" i="23"/>
  <c r="AD42" i="23"/>
  <c r="AH28" i="23"/>
  <c r="AE28" i="23"/>
  <c r="AE8" i="23"/>
  <c r="AG8" i="23"/>
  <c r="AB51" i="23"/>
  <c r="AE51" i="23"/>
  <c r="AC27" i="23"/>
  <c r="AE27" i="23"/>
  <c r="AD19" i="23"/>
  <c r="AA19" i="23"/>
  <c r="AF10" i="23"/>
  <c r="AE10" i="23"/>
  <c r="AD51" i="23"/>
  <c r="AJ51" i="23"/>
  <c r="AD27" i="23"/>
  <c r="AJ27" i="23"/>
  <c r="AK33" i="23"/>
  <c r="AK19" i="23"/>
  <c r="AI19" i="23"/>
  <c r="AH58" i="23"/>
  <c r="AI58" i="23"/>
  <c r="AG54" i="23"/>
  <c r="AI42" i="23"/>
  <c r="AH42" i="23"/>
  <c r="AC28" i="23"/>
  <c r="AB28" i="23"/>
  <c r="AH10" i="23"/>
  <c r="AK10" i="23"/>
  <c r="AI10" i="23"/>
  <c r="AF8" i="23"/>
  <c r="AK8" i="23"/>
  <c r="AI35" i="23"/>
  <c r="AI56" i="23"/>
  <c r="AB48" i="23"/>
  <c r="AA49" i="23"/>
  <c r="AG48" i="23"/>
  <c r="AK51" i="23"/>
  <c r="AH51" i="23"/>
  <c r="AG27" i="23"/>
  <c r="AK27" i="23"/>
  <c r="AG19" i="23"/>
  <c r="AC19" i="23"/>
  <c r="AE15" i="23"/>
  <c r="AK58" i="23"/>
  <c r="AG58" i="23"/>
  <c r="AC42" i="23"/>
  <c r="AA42" i="23"/>
  <c r="AI38" i="23"/>
  <c r="AD28" i="23"/>
  <c r="AF28" i="23"/>
  <c r="AJ10" i="23"/>
  <c r="AB10" i="23"/>
  <c r="AJ8" i="23"/>
  <c r="AB8" i="23"/>
  <c r="AA17" i="23"/>
  <c r="AA48" i="23"/>
  <c r="AB43" i="23"/>
  <c r="AE20" i="23"/>
  <c r="AH48" i="23"/>
  <c r="AF48" i="23"/>
  <c r="AD26" i="23"/>
  <c r="AB29" i="23"/>
  <c r="AB60" i="23"/>
  <c r="AK59" i="23"/>
  <c r="AC50" i="23"/>
  <c r="AH60" i="23"/>
  <c r="AE34" i="23"/>
  <c r="AB20" i="23"/>
  <c r="AE60" i="23"/>
  <c r="AA60" i="23"/>
  <c r="AD20" i="23"/>
  <c r="AA20" i="23"/>
  <c r="AJ20" i="23"/>
  <c r="AI49" i="23"/>
  <c r="AJ60" i="23"/>
  <c r="AF60" i="23"/>
  <c r="AD56" i="23"/>
  <c r="AC48" i="23"/>
  <c r="AD48" i="23"/>
  <c r="AJ48" i="23"/>
  <c r="AG20" i="23"/>
  <c r="AF51" i="23"/>
  <c r="AC51" i="23"/>
  <c r="AB27" i="23"/>
  <c r="AF27" i="23"/>
  <c r="AB19" i="23"/>
  <c r="AF19" i="23"/>
  <c r="AD58" i="23"/>
  <c r="AA58" i="23"/>
  <c r="AJ58" i="23"/>
  <c r="AJ42" i="23"/>
  <c r="AB42" i="23"/>
  <c r="AI28" i="23"/>
  <c r="AD10" i="23"/>
  <c r="AK20" i="23"/>
  <c r="AC20" i="23"/>
  <c r="AI8" i="23"/>
  <c r="AA8" i="23"/>
  <c r="AC8" i="23"/>
  <c r="AC60" i="23"/>
  <c r="AK60" i="23"/>
  <c r="AK48" i="23"/>
  <c r="AI48" i="23"/>
  <c r="AC29" i="23"/>
  <c r="AA59" i="23"/>
  <c r="AD29" i="23"/>
  <c r="AG11" i="23"/>
  <c r="AJ50" i="23"/>
  <c r="AG26" i="23"/>
  <c r="AA18" i="23"/>
  <c r="AA34" i="23"/>
  <c r="AI24" i="23"/>
  <c r="AD43" i="23"/>
  <c r="AF18" i="23"/>
  <c r="AB59" i="23"/>
  <c r="AE43" i="23"/>
  <c r="AD11" i="23"/>
  <c r="AI26" i="23"/>
  <c r="AC18" i="23"/>
  <c r="AA24" i="23"/>
  <c r="AB47" i="23"/>
  <c r="AJ15" i="23"/>
  <c r="AG38" i="23"/>
  <c r="AF22" i="23"/>
  <c r="AD47" i="23"/>
  <c r="AE33" i="23"/>
  <c r="AF54" i="23"/>
  <c r="AH43" i="23"/>
  <c r="AI43" i="23"/>
  <c r="AE11" i="23"/>
  <c r="AG50" i="23"/>
  <c r="AE50" i="23"/>
  <c r="AI50" i="23"/>
  <c r="AC26" i="23"/>
  <c r="AA26" i="23"/>
  <c r="AH26" i="23"/>
  <c r="AG18" i="23"/>
  <c r="AH18" i="23"/>
  <c r="AE18" i="23"/>
  <c r="AD24" i="23"/>
  <c r="AG24" i="23"/>
  <c r="AH59" i="23"/>
  <c r="AD59" i="23"/>
  <c r="AC59" i="23"/>
  <c r="AC43" i="23"/>
  <c r="AK43" i="23"/>
  <c r="AA29" i="23"/>
  <c r="AE29" i="23"/>
  <c r="AK29" i="23"/>
  <c r="AI11" i="23"/>
  <c r="AK11" i="23"/>
  <c r="AF11" i="23"/>
  <c r="AA50" i="23"/>
  <c r="AK50" i="23"/>
  <c r="AD50" i="23"/>
  <c r="AJ26" i="23"/>
  <c r="AF26" i="23"/>
  <c r="AK18" i="23"/>
  <c r="AD18" i="23"/>
  <c r="AI18" i="23"/>
  <c r="AI34" i="23"/>
  <c r="AK24" i="23"/>
  <c r="AB24" i="23"/>
  <c r="AJ59" i="23"/>
  <c r="AF59" i="23"/>
  <c r="AF43" i="23"/>
  <c r="AF29" i="23"/>
  <c r="AI29" i="23"/>
  <c r="AG29" i="23"/>
  <c r="AH11" i="23"/>
  <c r="AB11" i="23"/>
  <c r="AI59" i="23"/>
  <c r="AE59" i="23"/>
  <c r="AG59" i="23"/>
  <c r="AG43" i="23"/>
  <c r="AJ43" i="23"/>
  <c r="AA43" i="23"/>
  <c r="AH29" i="23"/>
  <c r="AJ29" i="23"/>
  <c r="AC11" i="23"/>
  <c r="AA11" i="23"/>
  <c r="AJ11" i="23"/>
  <c r="AB50" i="23"/>
  <c r="AF50" i="23"/>
  <c r="AH50" i="23"/>
  <c r="AB26" i="23"/>
  <c r="AE26" i="23"/>
  <c r="AK26" i="23"/>
  <c r="AB18" i="23"/>
  <c r="AJ18" i="23"/>
  <c r="AF34" i="23"/>
  <c r="AD34" i="23"/>
  <c r="AE24" i="23"/>
  <c r="AF40" i="23"/>
  <c r="AH39" i="23"/>
  <c r="AD32" i="23"/>
  <c r="AG9" i="23"/>
  <c r="AC25" i="23"/>
  <c r="AI14" i="23"/>
  <c r="AB56" i="23"/>
  <c r="AJ34" i="23"/>
  <c r="AJ55" i="23"/>
  <c r="AF23" i="23"/>
  <c r="AJ32" i="23"/>
  <c r="AE56" i="23"/>
  <c r="AA56" i="23"/>
  <c r="AC40" i="23"/>
  <c r="AG34" i="23"/>
  <c r="AK34" i="23"/>
  <c r="AH34" i="23"/>
  <c r="AC56" i="23"/>
  <c r="AG56" i="23"/>
  <c r="AG36" i="23"/>
  <c r="AB34" i="23"/>
  <c r="AC34" i="23"/>
  <c r="AB57" i="23"/>
  <c r="AI40" i="23"/>
  <c r="AF36" i="23"/>
  <c r="AF55" i="23"/>
  <c r="AD23" i="23"/>
  <c r="AA55" i="23"/>
  <c r="AA39" i="23"/>
  <c r="AA23" i="23"/>
  <c r="AB7" i="23"/>
  <c r="AC46" i="23"/>
  <c r="AH32" i="23"/>
  <c r="AB14" i="23"/>
  <c r="AH57" i="23"/>
  <c r="AD41" i="23"/>
  <c r="AE25" i="23"/>
  <c r="AE9" i="23"/>
  <c r="AD40" i="23"/>
  <c r="AB40" i="23"/>
  <c r="AK39" i="23"/>
  <c r="AA7" i="23"/>
  <c r="AG46" i="23"/>
  <c r="AF14" i="23"/>
  <c r="AC41" i="23"/>
  <c r="AJ25" i="23"/>
  <c r="AK40" i="23"/>
  <c r="AF12" i="23"/>
  <c r="AA61" i="23"/>
  <c r="AH13" i="23"/>
  <c r="AA37" i="23"/>
  <c r="AE45" i="23"/>
  <c r="AG52" i="23"/>
  <c r="AH30" i="23"/>
  <c r="AK45" i="23"/>
  <c r="AF37" i="23"/>
  <c r="AC31" i="23"/>
  <c r="AK52" i="23"/>
  <c r="AC61" i="23"/>
  <c r="AG37" i="23"/>
  <c r="AB31" i="23"/>
  <c r="AD21" i="23"/>
  <c r="AB13" i="23"/>
  <c r="AH56" i="23"/>
  <c r="AK56" i="23"/>
  <c r="AF56" i="23"/>
  <c r="AB52" i="23"/>
  <c r="AB30" i="23"/>
  <c r="AC24" i="23"/>
  <c r="AH24" i="23"/>
  <c r="AF24" i="23"/>
  <c r="AJ61" i="23"/>
  <c r="AF53" i="23"/>
  <c r="AH45" i="23"/>
  <c r="AA31" i="23"/>
  <c r="AH21" i="23"/>
  <c r="AA13" i="23"/>
  <c r="AF30" i="23"/>
  <c r="AG61" i="23"/>
  <c r="AD61" i="23"/>
  <c r="AE61" i="23"/>
  <c r="AD53" i="23"/>
  <c r="AA53" i="23"/>
  <c r="AC53" i="23"/>
  <c r="AB45" i="23"/>
  <c r="AJ45" i="23"/>
  <c r="AD37" i="23"/>
  <c r="AB37" i="23"/>
  <c r="AK37" i="23"/>
  <c r="AK31" i="23"/>
  <c r="AH31" i="23"/>
  <c r="AE31" i="23"/>
  <c r="AF21" i="23"/>
  <c r="AJ21" i="23"/>
  <c r="AC21" i="23"/>
  <c r="AC13" i="23"/>
  <c r="AF13" i="23"/>
  <c r="AA52" i="23"/>
  <c r="AE52" i="23"/>
  <c r="AF52" i="23"/>
  <c r="AI30" i="23"/>
  <c r="AE30" i="23"/>
  <c r="AH61" i="23"/>
  <c r="AF61" i="23"/>
  <c r="AI61" i="23"/>
  <c r="AJ53" i="23"/>
  <c r="AI53" i="23"/>
  <c r="AG53" i="23"/>
  <c r="AF45" i="23"/>
  <c r="AI45" i="23"/>
  <c r="AC45" i="23"/>
  <c r="AJ37" i="23"/>
  <c r="AH37" i="23"/>
  <c r="AF31" i="23"/>
  <c r="AD31" i="23"/>
  <c r="AI31" i="23"/>
  <c r="AA21" i="23"/>
  <c r="AE21" i="23"/>
  <c r="AG21" i="23"/>
  <c r="AG13" i="23"/>
  <c r="AE13" i="23"/>
  <c r="AK13" i="23"/>
  <c r="AI52" i="23"/>
  <c r="AC52" i="23"/>
  <c r="AJ52" i="23"/>
  <c r="AA30" i="23"/>
  <c r="AC30" i="23"/>
  <c r="AJ30" i="23"/>
  <c r="AB61" i="23"/>
  <c r="AK61" i="23"/>
  <c r="AE53" i="23"/>
  <c r="AB53" i="23"/>
  <c r="AK53" i="23"/>
  <c r="AA45" i="23"/>
  <c r="AD45" i="23"/>
  <c r="AG45" i="23"/>
  <c r="AI37" i="23"/>
  <c r="AE37" i="23"/>
  <c r="AC37" i="23"/>
  <c r="AG31" i="23"/>
  <c r="AJ31" i="23"/>
  <c r="AI21" i="23"/>
  <c r="AB21" i="23"/>
  <c r="AK21" i="23"/>
  <c r="AI13" i="23"/>
  <c r="AJ13" i="23"/>
  <c r="AD13" i="23"/>
  <c r="AD52" i="23"/>
  <c r="AH52" i="23"/>
  <c r="AG30" i="23"/>
  <c r="AK30" i="23"/>
  <c r="AD30" i="23"/>
  <c r="AI57" i="23"/>
  <c r="AA57" i="23"/>
  <c r="AD57" i="23"/>
  <c r="AA35" i="23"/>
  <c r="AF35" i="23"/>
  <c r="AB35" i="23"/>
  <c r="AH9" i="23"/>
  <c r="AK9" i="23"/>
  <c r="AC9" i="23"/>
  <c r="AH47" i="23"/>
  <c r="AC39" i="23"/>
  <c r="AF39" i="23"/>
  <c r="AE39" i="23"/>
  <c r="AF33" i="23"/>
  <c r="AH23" i="23"/>
  <c r="AK7" i="23"/>
  <c r="AF7" i="23"/>
  <c r="AA54" i="23"/>
  <c r="AE54" i="23"/>
  <c r="AD54" i="23"/>
  <c r="AK46" i="23"/>
  <c r="AE46" i="23"/>
  <c r="AK38" i="23"/>
  <c r="AC38" i="23"/>
  <c r="AD38" i="23"/>
  <c r="AC32" i="23"/>
  <c r="AI32" i="23"/>
  <c r="AJ22" i="23"/>
  <c r="AA22" i="23"/>
  <c r="AD22" i="23"/>
  <c r="AC14" i="23"/>
  <c r="AK14" i="23"/>
  <c r="AK6" i="23"/>
  <c r="AG6" i="23"/>
  <c r="AE6" i="23"/>
  <c r="AJ57" i="23"/>
  <c r="AF57" i="23"/>
  <c r="AH49" i="23"/>
  <c r="AG49" i="23"/>
  <c r="AJ41" i="23"/>
  <c r="AG41" i="23"/>
  <c r="AJ35" i="23"/>
  <c r="AC35" i="23"/>
  <c r="AH25" i="23"/>
  <c r="AF25" i="23"/>
  <c r="AK17" i="23"/>
  <c r="AD17" i="23"/>
  <c r="AA9" i="23"/>
  <c r="AD9" i="23"/>
  <c r="AC44" i="23"/>
  <c r="AB44" i="23"/>
  <c r="AA36" i="23"/>
  <c r="AJ36" i="23"/>
  <c r="AI16" i="23"/>
  <c r="AB12" i="23"/>
  <c r="AK12" i="23"/>
  <c r="AD60" i="23"/>
  <c r="AI60" i="23"/>
  <c r="AG60" i="23"/>
  <c r="AG40" i="23"/>
  <c r="AH40" i="23"/>
  <c r="AJ40" i="23"/>
  <c r="AA40" i="23"/>
  <c r="AE40" i="23"/>
  <c r="AJ44" i="23"/>
  <c r="AE44" i="23"/>
  <c r="AD44" i="23"/>
  <c r="AF44" i="23"/>
  <c r="AH44" i="23"/>
  <c r="AI44" i="23"/>
  <c r="AB36" i="23"/>
  <c r="AD36" i="23"/>
  <c r="AE36" i="23"/>
  <c r="AH36" i="23"/>
  <c r="AI36" i="23"/>
  <c r="AK41" i="23"/>
  <c r="AA41" i="23"/>
  <c r="AI41" i="23"/>
  <c r="AJ17" i="23"/>
  <c r="AB17" i="23"/>
  <c r="AF17" i="23"/>
  <c r="AC55" i="23"/>
  <c r="AH55" i="23"/>
  <c r="AE55" i="23"/>
  <c r="AI33" i="23"/>
  <c r="AE23" i="23"/>
  <c r="AC15" i="23"/>
  <c r="AK15" i="23"/>
  <c r="AG7" i="23"/>
  <c r="AD55" i="23"/>
  <c r="AB55" i="23"/>
  <c r="AI55" i="23"/>
  <c r="AF47" i="23"/>
  <c r="AC47" i="23"/>
  <c r="AA47" i="23"/>
  <c r="AJ39" i="23"/>
  <c r="AB39" i="23"/>
  <c r="AI39" i="23"/>
  <c r="AB33" i="23"/>
  <c r="AA33" i="23"/>
  <c r="AC33" i="23"/>
  <c r="AC23" i="23"/>
  <c r="AB23" i="23"/>
  <c r="AI23" i="23"/>
  <c r="AG15" i="23"/>
  <c r="AD15" i="23"/>
  <c r="AB15" i="23"/>
  <c r="AD7" i="23"/>
  <c r="AC7" i="23"/>
  <c r="AJ7" i="23"/>
  <c r="AI54" i="23"/>
  <c r="AK54" i="23"/>
  <c r="AH54" i="23"/>
  <c r="AB46" i="23"/>
  <c r="AF46" i="23"/>
  <c r="AJ46" i="23"/>
  <c r="AF38" i="23"/>
  <c r="AJ38" i="23"/>
  <c r="AH38" i="23"/>
  <c r="AG32" i="23"/>
  <c r="AK32" i="23"/>
  <c r="AB32" i="23"/>
  <c r="AE22" i="23"/>
  <c r="AI22" i="23"/>
  <c r="AH22" i="23"/>
  <c r="AG14" i="23"/>
  <c r="AD14" i="23"/>
  <c r="AA14" i="23"/>
  <c r="AD6" i="23"/>
  <c r="AC6" i="23"/>
  <c r="AI6" i="23"/>
  <c r="AK57" i="23"/>
  <c r="AC57" i="23"/>
  <c r="AJ49" i="23"/>
  <c r="AK49" i="23"/>
  <c r="AH41" i="23"/>
  <c r="AE41" i="23"/>
  <c r="AD35" i="23"/>
  <c r="AH35" i="23"/>
  <c r="AI25" i="23"/>
  <c r="AC17" i="23"/>
  <c r="AH17" i="23"/>
  <c r="AI9" i="23"/>
  <c r="AF9" i="23"/>
  <c r="AG44" i="23"/>
  <c r="AK36" i="23"/>
  <c r="AE16" i="23"/>
  <c r="AD12" i="23"/>
  <c r="AG12" i="23"/>
  <c r="AJ12" i="23"/>
  <c r="AI12" i="23"/>
  <c r="AC12" i="23"/>
  <c r="AE12" i="23"/>
  <c r="AH12" i="23"/>
  <c r="AC16" i="23"/>
  <c r="AD16" i="23"/>
  <c r="AF16" i="23"/>
  <c r="AJ16" i="23"/>
  <c r="AB16" i="23"/>
  <c r="AC49" i="23"/>
  <c r="AB49" i="23"/>
  <c r="AE49" i="23"/>
  <c r="AK25" i="23"/>
  <c r="AA25" i="23"/>
  <c r="AB25" i="23"/>
  <c r="AJ47" i="23"/>
  <c r="AK23" i="23"/>
  <c r="AK55" i="23"/>
  <c r="AG55" i="23"/>
  <c r="AG47" i="23"/>
  <c r="AK47" i="23"/>
  <c r="AE47" i="23"/>
  <c r="AD39" i="23"/>
  <c r="AG39" i="23"/>
  <c r="AJ33" i="23"/>
  <c r="AH33" i="23"/>
  <c r="AG33" i="23"/>
  <c r="AJ23" i="23"/>
  <c r="AG23" i="23"/>
  <c r="AH15" i="23"/>
  <c r="AI15" i="23"/>
  <c r="AF15" i="23"/>
  <c r="AE7" i="23"/>
  <c r="AH7" i="23"/>
  <c r="AC54" i="23"/>
  <c r="AB54" i="23"/>
  <c r="AI46" i="23"/>
  <c r="AA46" i="23"/>
  <c r="AD46" i="23"/>
  <c r="AA38" i="23"/>
  <c r="AB38" i="23"/>
  <c r="AA32" i="23"/>
  <c r="AE32" i="23"/>
  <c r="AF32" i="23"/>
  <c r="AK22" i="23"/>
  <c r="AB22" i="23"/>
  <c r="AH14" i="23"/>
  <c r="AJ14" i="23"/>
  <c r="AE14" i="23"/>
  <c r="AF6" i="23"/>
  <c r="AH6" i="23"/>
  <c r="AE57" i="23"/>
  <c r="AG57" i="23"/>
  <c r="AF49" i="23"/>
  <c r="AD49" i="23"/>
  <c r="AB41" i="23"/>
  <c r="AF41" i="23"/>
  <c r="AK35" i="23"/>
  <c r="AE35" i="23"/>
  <c r="AD25" i="23"/>
  <c r="AG25" i="23"/>
  <c r="AG17" i="23"/>
  <c r="AI17" i="23"/>
  <c r="AJ9" i="23"/>
  <c r="AB9" i="23"/>
  <c r="AA44" i="23"/>
  <c r="AC36" i="23"/>
  <c r="AH16" i="23"/>
  <c r="AG16" i="23"/>
  <c r="AA12" i="23"/>
  <c r="AI20" i="23"/>
  <c r="AF20" i="23"/>
  <c r="AH5" i="23"/>
  <c r="AD5" i="23"/>
  <c r="AI5" i="23"/>
  <c r="AC5" i="23"/>
  <c r="AG5" i="23"/>
  <c r="AB5" i="23"/>
  <c r="AF5" i="23"/>
  <c r="AE5" i="23"/>
  <c r="AK5" i="23"/>
  <c r="AA5" i="23"/>
  <c r="AJ5" i="23"/>
  <c r="H106" i="22"/>
  <c r="H100" i="22"/>
  <c r="H94" i="22"/>
  <c r="H103" i="22"/>
  <c r="G103" i="22"/>
  <c r="H91" i="22"/>
  <c r="G91" i="22"/>
  <c r="H97" i="22"/>
  <c r="G97" i="22"/>
  <c r="D104" i="22"/>
  <c r="D101" i="22"/>
  <c r="D98" i="22"/>
  <c r="D95" i="22"/>
  <c r="D89" i="22"/>
  <c r="D92" i="22"/>
  <c r="XFA105" i="22"/>
  <c r="XEW105" i="22"/>
  <c r="XES105" i="22"/>
  <c r="XEO105" i="22"/>
  <c r="XEK105" i="22"/>
  <c r="XEG105" i="22"/>
  <c r="XEC105" i="22"/>
  <c r="XDY105" i="22"/>
  <c r="XDU105" i="22"/>
  <c r="XDQ105" i="22"/>
  <c r="XDM105" i="22"/>
  <c r="XDI105" i="22"/>
  <c r="XDE105" i="22"/>
  <c r="XDA105" i="22"/>
  <c r="XCW105" i="22"/>
  <c r="XCS105" i="22"/>
  <c r="XCO105" i="22"/>
  <c r="XCK105" i="22"/>
  <c r="XCG105" i="22"/>
  <c r="XCC105" i="22"/>
  <c r="XBY105" i="22"/>
  <c r="XBU105" i="22"/>
  <c r="XBQ105" i="22"/>
  <c r="XBM105" i="22"/>
  <c r="XBI105" i="22"/>
  <c r="XBE105" i="22"/>
  <c r="XBA105" i="22"/>
  <c r="XAW105" i="22"/>
  <c r="XAS105" i="22"/>
  <c r="XAO105" i="22"/>
  <c r="XAK105" i="22"/>
  <c r="XAG105" i="22"/>
  <c r="XAC105" i="22"/>
  <c r="WZY105" i="22"/>
  <c r="WZU105" i="22"/>
  <c r="WZQ105" i="22"/>
  <c r="WZM105" i="22"/>
  <c r="WZI105" i="22"/>
  <c r="WZE105" i="22"/>
  <c r="WZA105" i="22"/>
  <c r="WYW105" i="22"/>
  <c r="WYS105" i="22"/>
  <c r="WYO105" i="22"/>
  <c r="WYK105" i="22"/>
  <c r="WYG105" i="22"/>
  <c r="WYC105" i="22"/>
  <c r="WXY105" i="22"/>
  <c r="WXU105" i="22"/>
  <c r="WXQ105" i="22"/>
  <c r="WXM105" i="22"/>
  <c r="WXI105" i="22"/>
  <c r="WXE105" i="22"/>
  <c r="WXA105" i="22"/>
  <c r="WWW105" i="22"/>
  <c r="WWS105" i="22"/>
  <c r="WWO105" i="22"/>
  <c r="WWK105" i="22"/>
  <c r="WWG105" i="22"/>
  <c r="WWC105" i="22"/>
  <c r="WVY105" i="22"/>
  <c r="WVU105" i="22"/>
  <c r="WVQ105" i="22"/>
  <c r="WVM105" i="22"/>
  <c r="WVI105" i="22"/>
  <c r="WVE105" i="22"/>
  <c r="WVA105" i="22"/>
  <c r="WUW105" i="22"/>
  <c r="WUS105" i="22"/>
  <c r="WUO105" i="22"/>
  <c r="WUK105" i="22"/>
  <c r="WUG105" i="22"/>
  <c r="WUC105" i="22"/>
  <c r="WTY105" i="22"/>
  <c r="WTU105" i="22"/>
  <c r="WTQ105" i="22"/>
  <c r="WTM105" i="22"/>
  <c r="WTI105" i="22"/>
  <c r="WTE105" i="22"/>
  <c r="WTA105" i="22"/>
  <c r="WSW105" i="22"/>
  <c r="WSS105" i="22"/>
  <c r="WSO105" i="22"/>
  <c r="WSK105" i="22"/>
  <c r="WSG105" i="22"/>
  <c r="WSC105" i="22"/>
  <c r="WRY105" i="22"/>
  <c r="WRU105" i="22"/>
  <c r="WRQ105" i="22"/>
  <c r="WRM105" i="22"/>
  <c r="WRI105" i="22"/>
  <c r="WRE105" i="22"/>
  <c r="WRA105" i="22"/>
  <c r="WQW105" i="22"/>
  <c r="WQS105" i="22"/>
  <c r="WQO105" i="22"/>
  <c r="WQK105" i="22"/>
  <c r="WQG105" i="22"/>
  <c r="WQC105" i="22"/>
  <c r="WPY105" i="22"/>
  <c r="WPU105" i="22"/>
  <c r="WPQ105" i="22"/>
  <c r="WPM105" i="22"/>
  <c r="WPI105" i="22"/>
  <c r="WPE105" i="22"/>
  <c r="WPA105" i="22"/>
  <c r="WOW105" i="22"/>
  <c r="WOS105" i="22"/>
  <c r="WOO105" i="22"/>
  <c r="WOK105" i="22"/>
  <c r="WOG105" i="22"/>
  <c r="WOC105" i="22"/>
  <c r="WNY105" i="22"/>
  <c r="WNU105" i="22"/>
  <c r="WNQ105" i="22"/>
  <c r="WNM105" i="22"/>
  <c r="WNI105" i="22"/>
  <c r="WNE105" i="22"/>
  <c r="WNA105" i="22"/>
  <c r="WMW105" i="22"/>
  <c r="WMS105" i="22"/>
  <c r="WMO105" i="22"/>
  <c r="WMK105" i="22"/>
  <c r="WMG105" i="22"/>
  <c r="WMC105" i="22"/>
  <c r="WLY105" i="22"/>
  <c r="WLU105" i="22"/>
  <c r="WLQ105" i="22"/>
  <c r="WLM105" i="22"/>
  <c r="WLI105" i="22"/>
  <c r="WLE105" i="22"/>
  <c r="WLA105" i="22"/>
  <c r="WKW105" i="22"/>
  <c r="WKS105" i="22"/>
  <c r="WKO105" i="22"/>
  <c r="WKK105" i="22"/>
  <c r="WKG105" i="22"/>
  <c r="WKC105" i="22"/>
  <c r="WJY105" i="22"/>
  <c r="WJU105" i="22"/>
  <c r="WJQ105" i="22"/>
  <c r="WJM105" i="22"/>
  <c r="WJI105" i="22"/>
  <c r="WJE105" i="22"/>
  <c r="WJA105" i="22"/>
  <c r="WIW105" i="22"/>
  <c r="WIS105" i="22"/>
  <c r="WIO105" i="22"/>
  <c r="WIK105" i="22"/>
  <c r="WIG105" i="22"/>
  <c r="WIC105" i="22"/>
  <c r="WHY105" i="22"/>
  <c r="WHU105" i="22"/>
  <c r="WHQ105" i="22"/>
  <c r="WHM105" i="22"/>
  <c r="WHI105" i="22"/>
  <c r="WHE105" i="22"/>
  <c r="WHA105" i="22"/>
  <c r="WGW105" i="22"/>
  <c r="WGS105" i="22"/>
  <c r="WGO105" i="22"/>
  <c r="WGK105" i="22"/>
  <c r="WGG105" i="22"/>
  <c r="WGC105" i="22"/>
  <c r="WFY105" i="22"/>
  <c r="WFU105" i="22"/>
  <c r="WFQ105" i="22"/>
  <c r="WFM105" i="22"/>
  <c r="WFI105" i="22"/>
  <c r="WFE105" i="22"/>
  <c r="WFA105" i="22"/>
  <c r="WEW105" i="22"/>
  <c r="WES105" i="22"/>
  <c r="WEO105" i="22"/>
  <c r="WEK105" i="22"/>
  <c r="WEG105" i="22"/>
  <c r="WEC105" i="22"/>
  <c r="WDY105" i="22"/>
  <c r="WDU105" i="22"/>
  <c r="WDQ105" i="22"/>
  <c r="WDM105" i="22"/>
  <c r="WDI105" i="22"/>
  <c r="WDE105" i="22"/>
  <c r="WDA105" i="22"/>
  <c r="WCW105" i="22"/>
  <c r="WCS105" i="22"/>
  <c r="WCO105" i="22"/>
  <c r="WCK105" i="22"/>
  <c r="WCG105" i="22"/>
  <c r="WCC105" i="22"/>
  <c r="WBY105" i="22"/>
  <c r="WBU105" i="22"/>
  <c r="WBQ105" i="22"/>
  <c r="WBM105" i="22"/>
  <c r="WBI105" i="22"/>
  <c r="WBE105" i="22"/>
  <c r="WBA105" i="22"/>
  <c r="WAW105" i="22"/>
  <c r="WAS105" i="22"/>
  <c r="WAO105" i="22"/>
  <c r="WAK105" i="22"/>
  <c r="WAG105" i="22"/>
  <c r="WAC105" i="22"/>
  <c r="VZY105" i="22"/>
  <c r="VZU105" i="22"/>
  <c r="VZQ105" i="22"/>
  <c r="VZM105" i="22"/>
  <c r="VZI105" i="22"/>
  <c r="VZE105" i="22"/>
  <c r="VZA105" i="22"/>
  <c r="VYW105" i="22"/>
  <c r="VYS105" i="22"/>
  <c r="VYO105" i="22"/>
  <c r="VYK105" i="22"/>
  <c r="VYG105" i="22"/>
  <c r="VYC105" i="22"/>
  <c r="VXY105" i="22"/>
  <c r="VXU105" i="22"/>
  <c r="VXQ105" i="22"/>
  <c r="VXM105" i="22"/>
  <c r="VXI105" i="22"/>
  <c r="VXE105" i="22"/>
  <c r="VXA105" i="22"/>
  <c r="VWW105" i="22"/>
  <c r="VWS105" i="22"/>
  <c r="VWO105" i="22"/>
  <c r="VWK105" i="22"/>
  <c r="VWG105" i="22"/>
  <c r="VWC105" i="22"/>
  <c r="VVY105" i="22"/>
  <c r="VVU105" i="22"/>
  <c r="VVQ105" i="22"/>
  <c r="VVM105" i="22"/>
  <c r="VVI105" i="22"/>
  <c r="VVE105" i="22"/>
  <c r="VVA105" i="22"/>
  <c r="VUW105" i="22"/>
  <c r="VUS105" i="22"/>
  <c r="VUO105" i="22"/>
  <c r="VUK105" i="22"/>
  <c r="VUG105" i="22"/>
  <c r="VUC105" i="22"/>
  <c r="VTY105" i="22"/>
  <c r="VTU105" i="22"/>
  <c r="VTQ105" i="22"/>
  <c r="VTM105" i="22"/>
  <c r="VTI105" i="22"/>
  <c r="VTE105" i="22"/>
  <c r="VTA105" i="22"/>
  <c r="VSW105" i="22"/>
  <c r="VSS105" i="22"/>
  <c r="VSO105" i="22"/>
  <c r="VSK105" i="22"/>
  <c r="VSG105" i="22"/>
  <c r="VSC105" i="22"/>
  <c r="VRY105" i="22"/>
  <c r="VRU105" i="22"/>
  <c r="VRQ105" i="22"/>
  <c r="VRM105" i="22"/>
  <c r="VRI105" i="22"/>
  <c r="VRE105" i="22"/>
  <c r="VRA105" i="22"/>
  <c r="VQW105" i="22"/>
  <c r="VQS105" i="22"/>
  <c r="VQO105" i="22"/>
  <c r="VQK105" i="22"/>
  <c r="VQG105" i="22"/>
  <c r="VQC105" i="22"/>
  <c r="VPY105" i="22"/>
  <c r="VPU105" i="22"/>
  <c r="VPQ105" i="22"/>
  <c r="VPM105" i="22"/>
  <c r="VPI105" i="22"/>
  <c r="VPE105" i="22"/>
  <c r="VPA105" i="22"/>
  <c r="VOW105" i="22"/>
  <c r="VOS105" i="22"/>
  <c r="VOO105" i="22"/>
  <c r="VOK105" i="22"/>
  <c r="VOG105" i="22"/>
  <c r="VOC105" i="22"/>
  <c r="VNY105" i="22"/>
  <c r="VNU105" i="22"/>
  <c r="VNQ105" i="22"/>
  <c r="VNM105" i="22"/>
  <c r="VNI105" i="22"/>
  <c r="VNE105" i="22"/>
  <c r="VNA105" i="22"/>
  <c r="VMW105" i="22"/>
  <c r="VMS105" i="22"/>
  <c r="VMO105" i="22"/>
  <c r="VMK105" i="22"/>
  <c r="VMG105" i="22"/>
  <c r="VMC105" i="22"/>
  <c r="VLY105" i="22"/>
  <c r="VLU105" i="22"/>
  <c r="VLQ105" i="22"/>
  <c r="VLM105" i="22"/>
  <c r="VLI105" i="22"/>
  <c r="VLE105" i="22"/>
  <c r="VLA105" i="22"/>
  <c r="VKW105" i="22"/>
  <c r="VKS105" i="22"/>
  <c r="VKO105" i="22"/>
  <c r="VKK105" i="22"/>
  <c r="VKG105" i="22"/>
  <c r="VKC105" i="22"/>
  <c r="VJY105" i="22"/>
  <c r="VJU105" i="22"/>
  <c r="VJQ105" i="22"/>
  <c r="VJM105" i="22"/>
  <c r="VJI105" i="22"/>
  <c r="VJE105" i="22"/>
  <c r="VJA105" i="22"/>
  <c r="VIW105" i="22"/>
  <c r="VIS105" i="22"/>
  <c r="VIO105" i="22"/>
  <c r="VIK105" i="22"/>
  <c r="VIG105" i="22"/>
  <c r="VIC105" i="22"/>
  <c r="VHY105" i="22"/>
  <c r="VHU105" i="22"/>
  <c r="VHQ105" i="22"/>
  <c r="VHM105" i="22"/>
  <c r="VHI105" i="22"/>
  <c r="VHE105" i="22"/>
  <c r="VHA105" i="22"/>
  <c r="VGW105" i="22"/>
  <c r="VGS105" i="22"/>
  <c r="VGO105" i="22"/>
  <c r="VGK105" i="22"/>
  <c r="VGG105" i="22"/>
  <c r="VGC105" i="22"/>
  <c r="VFY105" i="22"/>
  <c r="VFU105" i="22"/>
  <c r="VFQ105" i="22"/>
  <c r="VFM105" i="22"/>
  <c r="VFI105" i="22"/>
  <c r="VFE105" i="22"/>
  <c r="VFA105" i="22"/>
  <c r="VEW105" i="22"/>
  <c r="VES105" i="22"/>
  <c r="VEO105" i="22"/>
  <c r="VEK105" i="22"/>
  <c r="VEG105" i="22"/>
  <c r="VEC105" i="22"/>
  <c r="VDY105" i="22"/>
  <c r="VDU105" i="22"/>
  <c r="VDQ105" i="22"/>
  <c r="VDM105" i="22"/>
  <c r="VDI105" i="22"/>
  <c r="VDE105" i="22"/>
  <c r="VDA105" i="22"/>
  <c r="VCW105" i="22"/>
  <c r="VCS105" i="22"/>
  <c r="VCO105" i="22"/>
  <c r="VCK105" i="22"/>
  <c r="VCG105" i="22"/>
  <c r="VCC105" i="22"/>
  <c r="VBY105" i="22"/>
  <c r="VBU105" i="22"/>
  <c r="VBQ105" i="22"/>
  <c r="VBM105" i="22"/>
  <c r="VBI105" i="22"/>
  <c r="VBE105" i="22"/>
  <c r="VBA105" i="22"/>
  <c r="VAW105" i="22"/>
  <c r="VAS105" i="22"/>
  <c r="VAO105" i="22"/>
  <c r="VAK105" i="22"/>
  <c r="VAG105" i="22"/>
  <c r="VAC105" i="22"/>
  <c r="UZY105" i="22"/>
  <c r="UZU105" i="22"/>
  <c r="UZQ105" i="22"/>
  <c r="UZM105" i="22"/>
  <c r="UZI105" i="22"/>
  <c r="UZE105" i="22"/>
  <c r="UZA105" i="22"/>
  <c r="UYW105" i="22"/>
  <c r="UYS105" i="22"/>
  <c r="UYO105" i="22"/>
  <c r="UYK105" i="22"/>
  <c r="UYG105" i="22"/>
  <c r="UYC105" i="22"/>
  <c r="UXY105" i="22"/>
  <c r="UXU105" i="22"/>
  <c r="UXQ105" i="22"/>
  <c r="UXM105" i="22"/>
  <c r="UXI105" i="22"/>
  <c r="UXE105" i="22"/>
  <c r="UXA105" i="22"/>
  <c r="UWW105" i="22"/>
  <c r="UWS105" i="22"/>
  <c r="UWO105" i="22"/>
  <c r="UWK105" i="22"/>
  <c r="UWG105" i="22"/>
  <c r="UWC105" i="22"/>
  <c r="UVY105" i="22"/>
  <c r="UVU105" i="22"/>
  <c r="UVQ105" i="22"/>
  <c r="UVM105" i="22"/>
  <c r="UVI105" i="22"/>
  <c r="UVE105" i="22"/>
  <c r="UVA105" i="22"/>
  <c r="UUW105" i="22"/>
  <c r="UUS105" i="22"/>
  <c r="UUO105" i="22"/>
  <c r="UUK105" i="22"/>
  <c r="UUG105" i="22"/>
  <c r="UUC105" i="22"/>
  <c r="UTY105" i="22"/>
  <c r="UTU105" i="22"/>
  <c r="UTQ105" i="22"/>
  <c r="UTM105" i="22"/>
  <c r="UTI105" i="22"/>
  <c r="UTE105" i="22"/>
  <c r="UTA105" i="22"/>
  <c r="USW105" i="22"/>
  <c r="USS105" i="22"/>
  <c r="USO105" i="22"/>
  <c r="USK105" i="22"/>
  <c r="USG105" i="22"/>
  <c r="USC105" i="22"/>
  <c r="URY105" i="22"/>
  <c r="URU105" i="22"/>
  <c r="URQ105" i="22"/>
  <c r="URM105" i="22"/>
  <c r="URI105" i="22"/>
  <c r="URE105" i="22"/>
  <c r="URA105" i="22"/>
  <c r="UQW105" i="22"/>
  <c r="UQS105" i="22"/>
  <c r="UQO105" i="22"/>
  <c r="UQK105" i="22"/>
  <c r="UQG105" i="22"/>
  <c r="UQC105" i="22"/>
  <c r="UPY105" i="22"/>
  <c r="UPU105" i="22"/>
  <c r="UPQ105" i="22"/>
  <c r="UPM105" i="22"/>
  <c r="UPI105" i="22"/>
  <c r="UPE105" i="22"/>
  <c r="UPA105" i="22"/>
  <c r="UOW105" i="22"/>
  <c r="UOS105" i="22"/>
  <c r="UOO105" i="22"/>
  <c r="UOK105" i="22"/>
  <c r="UOG105" i="22"/>
  <c r="UOC105" i="22"/>
  <c r="UNY105" i="22"/>
  <c r="UNU105" i="22"/>
  <c r="UNQ105" i="22"/>
  <c r="UNM105" i="22"/>
  <c r="UNI105" i="22"/>
  <c r="UNE105" i="22"/>
  <c r="UNA105" i="22"/>
  <c r="UMW105" i="22"/>
  <c r="UMS105" i="22"/>
  <c r="UMO105" i="22"/>
  <c r="UMK105" i="22"/>
  <c r="UMG105" i="22"/>
  <c r="UMC105" i="22"/>
  <c r="ULY105" i="22"/>
  <c r="ULU105" i="22"/>
  <c r="ULQ105" i="22"/>
  <c r="ULM105" i="22"/>
  <c r="ULI105" i="22"/>
  <c r="ULE105" i="22"/>
  <c r="ULA105" i="22"/>
  <c r="UKW105" i="22"/>
  <c r="UKS105" i="22"/>
  <c r="UKO105" i="22"/>
  <c r="UKK105" i="22"/>
  <c r="UKG105" i="22"/>
  <c r="UKC105" i="22"/>
  <c r="UJY105" i="22"/>
  <c r="UJU105" i="22"/>
  <c r="UJQ105" i="22"/>
  <c r="UJM105" i="22"/>
  <c r="UJI105" i="22"/>
  <c r="UJE105" i="22"/>
  <c r="UJA105" i="22"/>
  <c r="UIW105" i="22"/>
  <c r="UIS105" i="22"/>
  <c r="UIO105" i="22"/>
  <c r="UIK105" i="22"/>
  <c r="UIG105" i="22"/>
  <c r="UIC105" i="22"/>
  <c r="UHY105" i="22"/>
  <c r="UHU105" i="22"/>
  <c r="UHQ105" i="22"/>
  <c r="UHM105" i="22"/>
  <c r="UHI105" i="22"/>
  <c r="UHE105" i="22"/>
  <c r="UHA105" i="22"/>
  <c r="UGW105" i="22"/>
  <c r="UGS105" i="22"/>
  <c r="UGO105" i="22"/>
  <c r="UGK105" i="22"/>
  <c r="UGG105" i="22"/>
  <c r="UGC105" i="22"/>
  <c r="UFY105" i="22"/>
  <c r="UFU105" i="22"/>
  <c r="UFQ105" i="22"/>
  <c r="UFM105" i="22"/>
  <c r="UFI105" i="22"/>
  <c r="UFE105" i="22"/>
  <c r="UFA105" i="22"/>
  <c r="UEW105" i="22"/>
  <c r="UES105" i="22"/>
  <c r="UEO105" i="22"/>
  <c r="UEK105" i="22"/>
  <c r="UEG105" i="22"/>
  <c r="UEC105" i="22"/>
  <c r="UDY105" i="22"/>
  <c r="UDU105" i="22"/>
  <c r="UDQ105" i="22"/>
  <c r="UDM105" i="22"/>
  <c r="UDI105" i="22"/>
  <c r="UDE105" i="22"/>
  <c r="UDA105" i="22"/>
  <c r="UCW105" i="22"/>
  <c r="UCS105" i="22"/>
  <c r="UCO105" i="22"/>
  <c r="UCK105" i="22"/>
  <c r="UCG105" i="22"/>
  <c r="UCC105" i="22"/>
  <c r="UBY105" i="22"/>
  <c r="UBU105" i="22"/>
  <c r="UBQ105" i="22"/>
  <c r="UBM105" i="22"/>
  <c r="UBI105" i="22"/>
  <c r="UBE105" i="22"/>
  <c r="UBA105" i="22"/>
  <c r="UAW105" i="22"/>
  <c r="UAS105" i="22"/>
  <c r="UAO105" i="22"/>
  <c r="UAK105" i="22"/>
  <c r="UAG105" i="22"/>
  <c r="UAC105" i="22"/>
  <c r="TZY105" i="22"/>
  <c r="TZU105" i="22"/>
  <c r="TZQ105" i="22"/>
  <c r="TZM105" i="22"/>
  <c r="TZI105" i="22"/>
  <c r="TZE105" i="22"/>
  <c r="TZA105" i="22"/>
  <c r="TYW105" i="22"/>
  <c r="TYS105" i="22"/>
  <c r="TYO105" i="22"/>
  <c r="TYK105" i="22"/>
  <c r="TYG105" i="22"/>
  <c r="TYC105" i="22"/>
  <c r="TXY105" i="22"/>
  <c r="TXU105" i="22"/>
  <c r="TXQ105" i="22"/>
  <c r="TXM105" i="22"/>
  <c r="TXI105" i="22"/>
  <c r="TXE105" i="22"/>
  <c r="TXA105" i="22"/>
  <c r="TWW105" i="22"/>
  <c r="TWS105" i="22"/>
  <c r="TWO105" i="22"/>
  <c r="TWK105" i="22"/>
  <c r="TWG105" i="22"/>
  <c r="TWC105" i="22"/>
  <c r="TVY105" i="22"/>
  <c r="TVU105" i="22"/>
  <c r="TVQ105" i="22"/>
  <c r="TVM105" i="22"/>
  <c r="TVI105" i="22"/>
  <c r="TVE105" i="22"/>
  <c r="TVA105" i="22"/>
  <c r="TUW105" i="22"/>
  <c r="TUS105" i="22"/>
  <c r="TUO105" i="22"/>
  <c r="TUK105" i="22"/>
  <c r="TUG105" i="22"/>
  <c r="TUC105" i="22"/>
  <c r="TTY105" i="22"/>
  <c r="TTU105" i="22"/>
  <c r="TTQ105" i="22"/>
  <c r="TTM105" i="22"/>
  <c r="TTI105" i="22"/>
  <c r="TTE105" i="22"/>
  <c r="TTA105" i="22"/>
  <c r="TSW105" i="22"/>
  <c r="TSS105" i="22"/>
  <c r="TSO105" i="22"/>
  <c r="TSK105" i="22"/>
  <c r="TSG105" i="22"/>
  <c r="TSC105" i="22"/>
  <c r="TRY105" i="22"/>
  <c r="TRU105" i="22"/>
  <c r="TRQ105" i="22"/>
  <c r="TRM105" i="22"/>
  <c r="TRI105" i="22"/>
  <c r="TRE105" i="22"/>
  <c r="TRA105" i="22"/>
  <c r="TQW105" i="22"/>
  <c r="TQS105" i="22"/>
  <c r="TQO105" i="22"/>
  <c r="TQK105" i="22"/>
  <c r="TQG105" i="22"/>
  <c r="TQC105" i="22"/>
  <c r="TPY105" i="22"/>
  <c r="TPU105" i="22"/>
  <c r="TPQ105" i="22"/>
  <c r="TPM105" i="22"/>
  <c r="TPI105" i="22"/>
  <c r="TPE105" i="22"/>
  <c r="TPA105" i="22"/>
  <c r="TOW105" i="22"/>
  <c r="TOS105" i="22"/>
  <c r="TOO105" i="22"/>
  <c r="TOK105" i="22"/>
  <c r="TOG105" i="22"/>
  <c r="TOC105" i="22"/>
  <c r="TNY105" i="22"/>
  <c r="TNU105" i="22"/>
  <c r="TNQ105" i="22"/>
  <c r="TNM105" i="22"/>
  <c r="TNI105" i="22"/>
  <c r="TNE105" i="22"/>
  <c r="TNA105" i="22"/>
  <c r="TMW105" i="22"/>
  <c r="TMS105" i="22"/>
  <c r="TMO105" i="22"/>
  <c r="TMK105" i="22"/>
  <c r="TMG105" i="22"/>
  <c r="TMC105" i="22"/>
  <c r="TLY105" i="22"/>
  <c r="TLU105" i="22"/>
  <c r="TLQ105" i="22"/>
  <c r="TLM105" i="22"/>
  <c r="TLI105" i="22"/>
  <c r="TLE105" i="22"/>
  <c r="TLA105" i="22"/>
  <c r="TKW105" i="22"/>
  <c r="TKS105" i="22"/>
  <c r="TKO105" i="22"/>
  <c r="TKK105" i="22"/>
  <c r="TKG105" i="22"/>
  <c r="TKC105" i="22"/>
  <c r="TJY105" i="22"/>
  <c r="TJU105" i="22"/>
  <c r="TJQ105" i="22"/>
  <c r="TJM105" i="22"/>
  <c r="TJI105" i="22"/>
  <c r="TJE105" i="22"/>
  <c r="TJA105" i="22"/>
  <c r="TIW105" i="22"/>
  <c r="TIS105" i="22"/>
  <c r="TIO105" i="22"/>
  <c r="TIK105" i="22"/>
  <c r="TIG105" i="22"/>
  <c r="TIC105" i="22"/>
  <c r="THY105" i="22"/>
  <c r="THU105" i="22"/>
  <c r="THQ105" i="22"/>
  <c r="THM105" i="22"/>
  <c r="THI105" i="22"/>
  <c r="THE105" i="22"/>
  <c r="THA105" i="22"/>
  <c r="TGW105" i="22"/>
  <c r="TGS105" i="22"/>
  <c r="TGO105" i="22"/>
  <c r="TGK105" i="22"/>
  <c r="TGG105" i="22"/>
  <c r="TGC105" i="22"/>
  <c r="TFY105" i="22"/>
  <c r="TFU105" i="22"/>
  <c r="TFQ105" i="22"/>
  <c r="TFM105" i="22"/>
  <c r="TFI105" i="22"/>
  <c r="TFE105" i="22"/>
  <c r="TFA105" i="22"/>
  <c r="TEW105" i="22"/>
  <c r="TES105" i="22"/>
  <c r="TEO105" i="22"/>
  <c r="TEK105" i="22"/>
  <c r="TEG105" i="22"/>
  <c r="TEC105" i="22"/>
  <c r="TDY105" i="22"/>
  <c r="TDU105" i="22"/>
  <c r="TDQ105" i="22"/>
  <c r="TDM105" i="22"/>
  <c r="TDI105" i="22"/>
  <c r="TDE105" i="22"/>
  <c r="TDA105" i="22"/>
  <c r="TCW105" i="22"/>
  <c r="TCS105" i="22"/>
  <c r="TCO105" i="22"/>
  <c r="TCK105" i="22"/>
  <c r="TCG105" i="22"/>
  <c r="TCC105" i="22"/>
  <c r="TBY105" i="22"/>
  <c r="TBU105" i="22"/>
  <c r="TBQ105" i="22"/>
  <c r="TBM105" i="22"/>
  <c r="TBI105" i="22"/>
  <c r="TBE105" i="22"/>
  <c r="TBA105" i="22"/>
  <c r="TAW105" i="22"/>
  <c r="TAS105" i="22"/>
  <c r="TAO105" i="22"/>
  <c r="TAK105" i="22"/>
  <c r="TAG105" i="22"/>
  <c r="TAC105" i="22"/>
  <c r="SZY105" i="22"/>
  <c r="SZU105" i="22"/>
  <c r="SZQ105" i="22"/>
  <c r="SZM105" i="22"/>
  <c r="SZI105" i="22"/>
  <c r="SZE105" i="22"/>
  <c r="SZA105" i="22"/>
  <c r="SYW105" i="22"/>
  <c r="SYS105" i="22"/>
  <c r="SYO105" i="22"/>
  <c r="SYK105" i="22"/>
  <c r="SYG105" i="22"/>
  <c r="SYC105" i="22"/>
  <c r="SXY105" i="22"/>
  <c r="SXU105" i="22"/>
  <c r="SXQ105" i="22"/>
  <c r="SXM105" i="22"/>
  <c r="SXI105" i="22"/>
  <c r="SXE105" i="22"/>
  <c r="SXA105" i="22"/>
  <c r="SWW105" i="22"/>
  <c r="SWS105" i="22"/>
  <c r="SWO105" i="22"/>
  <c r="SWK105" i="22"/>
  <c r="SWG105" i="22"/>
  <c r="SWC105" i="22"/>
  <c r="SVY105" i="22"/>
  <c r="SVU105" i="22"/>
  <c r="SVQ105" i="22"/>
  <c r="SVM105" i="22"/>
  <c r="SVI105" i="22"/>
  <c r="SVE105" i="22"/>
  <c r="SVA105" i="22"/>
  <c r="SUW105" i="22"/>
  <c r="SUS105" i="22"/>
  <c r="SUO105" i="22"/>
  <c r="SUK105" i="22"/>
  <c r="SUG105" i="22"/>
  <c r="SUC105" i="22"/>
  <c r="STY105" i="22"/>
  <c r="STU105" i="22"/>
  <c r="STQ105" i="22"/>
  <c r="STM105" i="22"/>
  <c r="STI105" i="22"/>
  <c r="STE105" i="22"/>
  <c r="STA105" i="22"/>
  <c r="SSW105" i="22"/>
  <c r="SSS105" i="22"/>
  <c r="SSO105" i="22"/>
  <c r="SSK105" i="22"/>
  <c r="SSG105" i="22"/>
  <c r="SSC105" i="22"/>
  <c r="SRY105" i="22"/>
  <c r="SRU105" i="22"/>
  <c r="SRQ105" i="22"/>
  <c r="SRM105" i="22"/>
  <c r="SRI105" i="22"/>
  <c r="SRE105" i="22"/>
  <c r="SRA105" i="22"/>
  <c r="SQW105" i="22"/>
  <c r="SQS105" i="22"/>
  <c r="SQO105" i="22"/>
  <c r="SQK105" i="22"/>
  <c r="SQG105" i="22"/>
  <c r="SQC105" i="22"/>
  <c r="SPY105" i="22"/>
  <c r="SPU105" i="22"/>
  <c r="SPQ105" i="22"/>
  <c r="SPM105" i="22"/>
  <c r="SPI105" i="22"/>
  <c r="SPE105" i="22"/>
  <c r="SPA105" i="22"/>
  <c r="SOW105" i="22"/>
  <c r="SOS105" i="22"/>
  <c r="SOO105" i="22"/>
  <c r="SOK105" i="22"/>
  <c r="SOG105" i="22"/>
  <c r="SOC105" i="22"/>
  <c r="SNY105" i="22"/>
  <c r="SNU105" i="22"/>
  <c r="SNQ105" i="22"/>
  <c r="SNM105" i="22"/>
  <c r="SNI105" i="22"/>
  <c r="SNE105" i="22"/>
  <c r="SNA105" i="22"/>
  <c r="SMW105" i="22"/>
  <c r="SMS105" i="22"/>
  <c r="SMO105" i="22"/>
  <c r="SMK105" i="22"/>
  <c r="SMG105" i="22"/>
  <c r="SMC105" i="22"/>
  <c r="SLY105" i="22"/>
  <c r="SLU105" i="22"/>
  <c r="SLQ105" i="22"/>
  <c r="SLM105" i="22"/>
  <c r="SLI105" i="22"/>
  <c r="SLE105" i="22"/>
  <c r="SLA105" i="22"/>
  <c r="SKW105" i="22"/>
  <c r="SKS105" i="22"/>
  <c r="SKO105" i="22"/>
  <c r="SKK105" i="22"/>
  <c r="SKG105" i="22"/>
  <c r="SKC105" i="22"/>
  <c r="SJY105" i="22"/>
  <c r="SJU105" i="22"/>
  <c r="SJQ105" i="22"/>
  <c r="SJM105" i="22"/>
  <c r="SJI105" i="22"/>
  <c r="SJE105" i="22"/>
  <c r="SJA105" i="22"/>
  <c r="SIW105" i="22"/>
  <c r="SIS105" i="22"/>
  <c r="SIO105" i="22"/>
  <c r="SIK105" i="22"/>
  <c r="SIG105" i="22"/>
  <c r="SIC105" i="22"/>
  <c r="SHY105" i="22"/>
  <c r="SHU105" i="22"/>
  <c r="SHQ105" i="22"/>
  <c r="SHM105" i="22"/>
  <c r="SHI105" i="22"/>
  <c r="SHE105" i="22"/>
  <c r="SHA105" i="22"/>
  <c r="SGW105" i="22"/>
  <c r="SGS105" i="22"/>
  <c r="SGO105" i="22"/>
  <c r="SGK105" i="22"/>
  <c r="SGG105" i="22"/>
  <c r="SGC105" i="22"/>
  <c r="SFY105" i="22"/>
  <c r="SFU105" i="22"/>
  <c r="SFQ105" i="22"/>
  <c r="SFM105" i="22"/>
  <c r="SFI105" i="22"/>
  <c r="SFE105" i="22"/>
  <c r="SFA105" i="22"/>
  <c r="SEW105" i="22"/>
  <c r="SES105" i="22"/>
  <c r="SEO105" i="22"/>
  <c r="SEK105" i="22"/>
  <c r="SEG105" i="22"/>
  <c r="SEC105" i="22"/>
  <c r="SDY105" i="22"/>
  <c r="SDU105" i="22"/>
  <c r="SDQ105" i="22"/>
  <c r="SDM105" i="22"/>
  <c r="SDI105" i="22"/>
  <c r="SDE105" i="22"/>
  <c r="SDA105" i="22"/>
  <c r="SCW105" i="22"/>
  <c r="SCS105" i="22"/>
  <c r="SCO105" i="22"/>
  <c r="SCK105" i="22"/>
  <c r="SCG105" i="22"/>
  <c r="SCC105" i="22"/>
  <c r="SBY105" i="22"/>
  <c r="SBU105" i="22"/>
  <c r="SBQ105" i="22"/>
  <c r="SBM105" i="22"/>
  <c r="SBI105" i="22"/>
  <c r="SBE105" i="22"/>
  <c r="SBA105" i="22"/>
  <c r="SAW105" i="22"/>
  <c r="SAS105" i="22"/>
  <c r="SAO105" i="22"/>
  <c r="SAK105" i="22"/>
  <c r="SAG105" i="22"/>
  <c r="SAC105" i="22"/>
  <c r="RZY105" i="22"/>
  <c r="RZU105" i="22"/>
  <c r="RZQ105" i="22"/>
  <c r="RZM105" i="22"/>
  <c r="RZI105" i="22"/>
  <c r="RZE105" i="22"/>
  <c r="RZA105" i="22"/>
  <c r="RYW105" i="22"/>
  <c r="RYS105" i="22"/>
  <c r="RYO105" i="22"/>
  <c r="RYK105" i="22"/>
  <c r="RYG105" i="22"/>
  <c r="RYC105" i="22"/>
  <c r="RXY105" i="22"/>
  <c r="RXU105" i="22"/>
  <c r="RXQ105" i="22"/>
  <c r="RXM105" i="22"/>
  <c r="RXI105" i="22"/>
  <c r="RXE105" i="22"/>
  <c r="RXA105" i="22"/>
  <c r="RWW105" i="22"/>
  <c r="RWS105" i="22"/>
  <c r="RWO105" i="22"/>
  <c r="RWK105" i="22"/>
  <c r="RWG105" i="22"/>
  <c r="RWC105" i="22"/>
  <c r="RVY105" i="22"/>
  <c r="RVU105" i="22"/>
  <c r="RVQ105" i="22"/>
  <c r="RVM105" i="22"/>
  <c r="RVI105" i="22"/>
  <c r="RVE105" i="22"/>
  <c r="RVA105" i="22"/>
  <c r="RUW105" i="22"/>
  <c r="RUS105" i="22"/>
  <c r="RUO105" i="22"/>
  <c r="RUK105" i="22"/>
  <c r="RUG105" i="22"/>
  <c r="RUC105" i="22"/>
  <c r="RTY105" i="22"/>
  <c r="RTU105" i="22"/>
  <c r="RTQ105" i="22"/>
  <c r="RTM105" i="22"/>
  <c r="RTI105" i="22"/>
  <c r="RTE105" i="22"/>
  <c r="RTA105" i="22"/>
  <c r="RSW105" i="22"/>
  <c r="RSS105" i="22"/>
  <c r="RSO105" i="22"/>
  <c r="RSK105" i="22"/>
  <c r="RSG105" i="22"/>
  <c r="RSC105" i="22"/>
  <c r="RRY105" i="22"/>
  <c r="RRU105" i="22"/>
  <c r="RRQ105" i="22"/>
  <c r="RRM105" i="22"/>
  <c r="RRI105" i="22"/>
  <c r="RRE105" i="22"/>
  <c r="RRA105" i="22"/>
  <c r="RQW105" i="22"/>
  <c r="RQS105" i="22"/>
  <c r="RQO105" i="22"/>
  <c r="RQK105" i="22"/>
  <c r="RQG105" i="22"/>
  <c r="RQC105" i="22"/>
  <c r="RPY105" i="22"/>
  <c r="RPU105" i="22"/>
  <c r="RPQ105" i="22"/>
  <c r="RPM105" i="22"/>
  <c r="RPI105" i="22"/>
  <c r="RPE105" i="22"/>
  <c r="RPA105" i="22"/>
  <c r="ROW105" i="22"/>
  <c r="ROS105" i="22"/>
  <c r="ROO105" i="22"/>
  <c r="ROK105" i="22"/>
  <c r="ROG105" i="22"/>
  <c r="ROC105" i="22"/>
  <c r="RNY105" i="22"/>
  <c r="RNU105" i="22"/>
  <c r="RNQ105" i="22"/>
  <c r="RNM105" i="22"/>
  <c r="RNI105" i="22"/>
  <c r="RNE105" i="22"/>
  <c r="RNA105" i="22"/>
  <c r="RMW105" i="22"/>
  <c r="RMS105" i="22"/>
  <c r="RMO105" i="22"/>
  <c r="RMK105" i="22"/>
  <c r="RMG105" i="22"/>
  <c r="RMC105" i="22"/>
  <c r="RLY105" i="22"/>
  <c r="RLU105" i="22"/>
  <c r="RLQ105" i="22"/>
  <c r="RLM105" i="22"/>
  <c r="RLI105" i="22"/>
  <c r="RLE105" i="22"/>
  <c r="RLA105" i="22"/>
  <c r="RKW105" i="22"/>
  <c r="RKS105" i="22"/>
  <c r="RKO105" i="22"/>
  <c r="RKK105" i="22"/>
  <c r="RKG105" i="22"/>
  <c r="RKC105" i="22"/>
  <c r="RJY105" i="22"/>
  <c r="RJU105" i="22"/>
  <c r="RJQ105" i="22"/>
  <c r="RJM105" i="22"/>
  <c r="RJI105" i="22"/>
  <c r="RJE105" i="22"/>
  <c r="RJA105" i="22"/>
  <c r="RIW105" i="22"/>
  <c r="RIS105" i="22"/>
  <c r="RIO105" i="22"/>
  <c r="RIK105" i="22"/>
  <c r="RIG105" i="22"/>
  <c r="RIC105" i="22"/>
  <c r="RHY105" i="22"/>
  <c r="RHU105" i="22"/>
  <c r="RHQ105" i="22"/>
  <c r="RHM105" i="22"/>
  <c r="RHI105" i="22"/>
  <c r="RHE105" i="22"/>
  <c r="RHA105" i="22"/>
  <c r="RGW105" i="22"/>
  <c r="RGS105" i="22"/>
  <c r="RGO105" i="22"/>
  <c r="RGK105" i="22"/>
  <c r="RGG105" i="22"/>
  <c r="RGC105" i="22"/>
  <c r="RFY105" i="22"/>
  <c r="RFU105" i="22"/>
  <c r="RFQ105" i="22"/>
  <c r="RFM105" i="22"/>
  <c r="RFI105" i="22"/>
  <c r="RFE105" i="22"/>
  <c r="RFA105" i="22"/>
  <c r="REW105" i="22"/>
  <c r="RES105" i="22"/>
  <c r="REO105" i="22"/>
  <c r="REK105" i="22"/>
  <c r="REG105" i="22"/>
  <c r="REC105" i="22"/>
  <c r="RDY105" i="22"/>
  <c r="RDU105" i="22"/>
  <c r="RDQ105" i="22"/>
  <c r="RDM105" i="22"/>
  <c r="RDI105" i="22"/>
  <c r="RDE105" i="22"/>
  <c r="RDA105" i="22"/>
  <c r="RCW105" i="22"/>
  <c r="RCS105" i="22"/>
  <c r="RCO105" i="22"/>
  <c r="RCK105" i="22"/>
  <c r="RCG105" i="22"/>
  <c r="RCC105" i="22"/>
  <c r="RBY105" i="22"/>
  <c r="RBU105" i="22"/>
  <c r="RBQ105" i="22"/>
  <c r="RBM105" i="22"/>
  <c r="RBI105" i="22"/>
  <c r="RBE105" i="22"/>
  <c r="RBA105" i="22"/>
  <c r="RAW105" i="22"/>
  <c r="RAS105" i="22"/>
  <c r="RAO105" i="22"/>
  <c r="RAK105" i="22"/>
  <c r="RAG105" i="22"/>
  <c r="RAC105" i="22"/>
  <c r="QZY105" i="22"/>
  <c r="QZU105" i="22"/>
  <c r="QZQ105" i="22"/>
  <c r="QZM105" i="22"/>
  <c r="QZI105" i="22"/>
  <c r="QZE105" i="22"/>
  <c r="QZA105" i="22"/>
  <c r="QYW105" i="22"/>
  <c r="QYS105" i="22"/>
  <c r="QYO105" i="22"/>
  <c r="QYK105" i="22"/>
  <c r="QYG105" i="22"/>
  <c r="QYC105" i="22"/>
  <c r="QXY105" i="22"/>
  <c r="QXU105" i="22"/>
  <c r="QXQ105" i="22"/>
  <c r="QXM105" i="22"/>
  <c r="QXI105" i="22"/>
  <c r="QXE105" i="22"/>
  <c r="QXA105" i="22"/>
  <c r="QWW105" i="22"/>
  <c r="QWS105" i="22"/>
  <c r="QWO105" i="22"/>
  <c r="QWK105" i="22"/>
  <c r="QWG105" i="22"/>
  <c r="QWC105" i="22"/>
  <c r="QVY105" i="22"/>
  <c r="QVU105" i="22"/>
  <c r="QVQ105" i="22"/>
  <c r="QVM105" i="22"/>
  <c r="QVI105" i="22"/>
  <c r="QVE105" i="22"/>
  <c r="QVA105" i="22"/>
  <c r="QUW105" i="22"/>
  <c r="QUS105" i="22"/>
  <c r="QUO105" i="22"/>
  <c r="QUK105" i="22"/>
  <c r="QUG105" i="22"/>
  <c r="QUC105" i="22"/>
  <c r="QTY105" i="22"/>
  <c r="QTU105" i="22"/>
  <c r="QTQ105" i="22"/>
  <c r="QTM105" i="22"/>
  <c r="QTI105" i="22"/>
  <c r="QTE105" i="22"/>
  <c r="QTA105" i="22"/>
  <c r="QSW105" i="22"/>
  <c r="QSS105" i="22"/>
  <c r="QSO105" i="22"/>
  <c r="QSK105" i="22"/>
  <c r="QSG105" i="22"/>
  <c r="QSC105" i="22"/>
  <c r="QRY105" i="22"/>
  <c r="QRU105" i="22"/>
  <c r="QRQ105" i="22"/>
  <c r="QRM105" i="22"/>
  <c r="QRI105" i="22"/>
  <c r="QRE105" i="22"/>
  <c r="QRA105" i="22"/>
  <c r="QQW105" i="22"/>
  <c r="QQS105" i="22"/>
  <c r="QQO105" i="22"/>
  <c r="QQK105" i="22"/>
  <c r="QQG105" i="22"/>
  <c r="QQC105" i="22"/>
  <c r="QPY105" i="22"/>
  <c r="QPU105" i="22"/>
  <c r="QPQ105" i="22"/>
  <c r="QPM105" i="22"/>
  <c r="QPI105" i="22"/>
  <c r="QPE105" i="22"/>
  <c r="QPA105" i="22"/>
  <c r="QOW105" i="22"/>
  <c r="QOS105" i="22"/>
  <c r="QOO105" i="22"/>
  <c r="QOK105" i="22"/>
  <c r="QOG105" i="22"/>
  <c r="QOC105" i="22"/>
  <c r="QNY105" i="22"/>
  <c r="QNU105" i="22"/>
  <c r="QNQ105" i="22"/>
  <c r="QNM105" i="22"/>
  <c r="QNI105" i="22"/>
  <c r="QNE105" i="22"/>
  <c r="QNA105" i="22"/>
  <c r="QMW105" i="22"/>
  <c r="QMS105" i="22"/>
  <c r="QMO105" i="22"/>
  <c r="QMK105" i="22"/>
  <c r="QMG105" i="22"/>
  <c r="QMC105" i="22"/>
  <c r="QLY105" i="22"/>
  <c r="QLU105" i="22"/>
  <c r="QLQ105" i="22"/>
  <c r="QLM105" i="22"/>
  <c r="QLI105" i="22"/>
  <c r="QLE105" i="22"/>
  <c r="QLA105" i="22"/>
  <c r="QKW105" i="22"/>
  <c r="QKS105" i="22"/>
  <c r="QKO105" i="22"/>
  <c r="QKK105" i="22"/>
  <c r="QKG105" i="22"/>
  <c r="QKC105" i="22"/>
  <c r="QJY105" i="22"/>
  <c r="QJU105" i="22"/>
  <c r="QJQ105" i="22"/>
  <c r="QJM105" i="22"/>
  <c r="QJI105" i="22"/>
  <c r="QJE105" i="22"/>
  <c r="QJA105" i="22"/>
  <c r="QIW105" i="22"/>
  <c r="QIS105" i="22"/>
  <c r="QIO105" i="22"/>
  <c r="QIK105" i="22"/>
  <c r="QIG105" i="22"/>
  <c r="QIC105" i="22"/>
  <c r="QHY105" i="22"/>
  <c r="QHU105" i="22"/>
  <c r="QHQ105" i="22"/>
  <c r="QHM105" i="22"/>
  <c r="QHI105" i="22"/>
  <c r="QHE105" i="22"/>
  <c r="QHA105" i="22"/>
  <c r="QGW105" i="22"/>
  <c r="QGS105" i="22"/>
  <c r="QGO105" i="22"/>
  <c r="QGK105" i="22"/>
  <c r="QGG105" i="22"/>
  <c r="QGC105" i="22"/>
  <c r="QFY105" i="22"/>
  <c r="QFU105" i="22"/>
  <c r="QFQ105" i="22"/>
  <c r="QFM105" i="22"/>
  <c r="QFI105" i="22"/>
  <c r="QFE105" i="22"/>
  <c r="QFA105" i="22"/>
  <c r="QEW105" i="22"/>
  <c r="QES105" i="22"/>
  <c r="QEO105" i="22"/>
  <c r="QEK105" i="22"/>
  <c r="QEG105" i="22"/>
  <c r="QEC105" i="22"/>
  <c r="QDY105" i="22"/>
  <c r="QDU105" i="22"/>
  <c r="QDQ105" i="22"/>
  <c r="QDM105" i="22"/>
  <c r="QDI105" i="22"/>
  <c r="QDE105" i="22"/>
  <c r="QDA105" i="22"/>
  <c r="QCW105" i="22"/>
  <c r="QCS105" i="22"/>
  <c r="QCO105" i="22"/>
  <c r="QCK105" i="22"/>
  <c r="QCG105" i="22"/>
  <c r="QCC105" i="22"/>
  <c r="QBY105" i="22"/>
  <c r="QBU105" i="22"/>
  <c r="QBQ105" i="22"/>
  <c r="QBM105" i="22"/>
  <c r="QBI105" i="22"/>
  <c r="QBE105" i="22"/>
  <c r="QBA105" i="22"/>
  <c r="QAW105" i="22"/>
  <c r="QAS105" i="22"/>
  <c r="QAO105" i="22"/>
  <c r="QAK105" i="22"/>
  <c r="QAG105" i="22"/>
  <c r="QAC105" i="22"/>
  <c r="PZY105" i="22"/>
  <c r="PZU105" i="22"/>
  <c r="PZQ105" i="22"/>
  <c r="PZM105" i="22"/>
  <c r="PZI105" i="22"/>
  <c r="PZE105" i="22"/>
  <c r="PZA105" i="22"/>
  <c r="PYW105" i="22"/>
  <c r="PYS105" i="22"/>
  <c r="PYO105" i="22"/>
  <c r="PYK105" i="22"/>
  <c r="PYG105" i="22"/>
  <c r="PYC105" i="22"/>
  <c r="PXY105" i="22"/>
  <c r="PXU105" i="22"/>
  <c r="PXQ105" i="22"/>
  <c r="PXM105" i="22"/>
  <c r="PXI105" i="22"/>
  <c r="PXE105" i="22"/>
  <c r="PXA105" i="22"/>
  <c r="PWW105" i="22"/>
  <c r="PWS105" i="22"/>
  <c r="PWO105" i="22"/>
  <c r="PWK105" i="22"/>
  <c r="PWG105" i="22"/>
  <c r="PWC105" i="22"/>
  <c r="PVY105" i="22"/>
  <c r="PVU105" i="22"/>
  <c r="PVQ105" i="22"/>
  <c r="PVM105" i="22"/>
  <c r="PVI105" i="22"/>
  <c r="PVE105" i="22"/>
  <c r="PVA105" i="22"/>
  <c r="PUW105" i="22"/>
  <c r="PUS105" i="22"/>
  <c r="PUO105" i="22"/>
  <c r="PUK105" i="22"/>
  <c r="PUG105" i="22"/>
  <c r="PUC105" i="22"/>
  <c r="PTY105" i="22"/>
  <c r="PTU105" i="22"/>
  <c r="PTQ105" i="22"/>
  <c r="PTM105" i="22"/>
  <c r="PTI105" i="22"/>
  <c r="PTE105" i="22"/>
  <c r="PTA105" i="22"/>
  <c r="PSW105" i="22"/>
  <c r="PSS105" i="22"/>
  <c r="PSO105" i="22"/>
  <c r="PSK105" i="22"/>
  <c r="PSG105" i="22"/>
  <c r="PSC105" i="22"/>
  <c r="PRY105" i="22"/>
  <c r="PRU105" i="22"/>
  <c r="PRQ105" i="22"/>
  <c r="PRM105" i="22"/>
  <c r="PRI105" i="22"/>
  <c r="PRE105" i="22"/>
  <c r="PRA105" i="22"/>
  <c r="PQW105" i="22"/>
  <c r="PQS105" i="22"/>
  <c r="PQO105" i="22"/>
  <c r="PQK105" i="22"/>
  <c r="PQG105" i="22"/>
  <c r="PQC105" i="22"/>
  <c r="PPY105" i="22"/>
  <c r="PPU105" i="22"/>
  <c r="PPQ105" i="22"/>
  <c r="PPM105" i="22"/>
  <c r="PPI105" i="22"/>
  <c r="PPE105" i="22"/>
  <c r="PPA105" i="22"/>
  <c r="POW105" i="22"/>
  <c r="POS105" i="22"/>
  <c r="POO105" i="22"/>
  <c r="POK105" i="22"/>
  <c r="POG105" i="22"/>
  <c r="POC105" i="22"/>
  <c r="PNY105" i="22"/>
  <c r="PNU105" i="22"/>
  <c r="PNQ105" i="22"/>
  <c r="PNM105" i="22"/>
  <c r="PNI105" i="22"/>
  <c r="PNE105" i="22"/>
  <c r="PNA105" i="22"/>
  <c r="PMW105" i="22"/>
  <c r="PMS105" i="22"/>
  <c r="PMO105" i="22"/>
  <c r="PMK105" i="22"/>
  <c r="PMG105" i="22"/>
  <c r="PMC105" i="22"/>
  <c r="PLY105" i="22"/>
  <c r="PLU105" i="22"/>
  <c r="PLQ105" i="22"/>
  <c r="PLM105" i="22"/>
  <c r="PLI105" i="22"/>
  <c r="PLE105" i="22"/>
  <c r="PLA105" i="22"/>
  <c r="PKW105" i="22"/>
  <c r="PKS105" i="22"/>
  <c r="PKO105" i="22"/>
  <c r="PKK105" i="22"/>
  <c r="PKG105" i="22"/>
  <c r="PKC105" i="22"/>
  <c r="PJY105" i="22"/>
  <c r="PJU105" i="22"/>
  <c r="PJQ105" i="22"/>
  <c r="PJM105" i="22"/>
  <c r="PJI105" i="22"/>
  <c r="PJE105" i="22"/>
  <c r="PJA105" i="22"/>
  <c r="PIW105" i="22"/>
  <c r="PIS105" i="22"/>
  <c r="PIO105" i="22"/>
  <c r="PIK105" i="22"/>
  <c r="PIG105" i="22"/>
  <c r="PIC105" i="22"/>
  <c r="PHY105" i="22"/>
  <c r="PHU105" i="22"/>
  <c r="PHQ105" i="22"/>
  <c r="PHM105" i="22"/>
  <c r="PHI105" i="22"/>
  <c r="PHE105" i="22"/>
  <c r="PHA105" i="22"/>
  <c r="PGW105" i="22"/>
  <c r="PGS105" i="22"/>
  <c r="PGO105" i="22"/>
  <c r="PGK105" i="22"/>
  <c r="PGG105" i="22"/>
  <c r="PGC105" i="22"/>
  <c r="PFY105" i="22"/>
  <c r="PFU105" i="22"/>
  <c r="PFQ105" i="22"/>
  <c r="PFM105" i="22"/>
  <c r="PFI105" i="22"/>
  <c r="PFE105" i="22"/>
  <c r="PFA105" i="22"/>
  <c r="PEW105" i="22"/>
  <c r="PES105" i="22"/>
  <c r="PEO105" i="22"/>
  <c r="PEK105" i="22"/>
  <c r="PEG105" i="22"/>
  <c r="PEC105" i="22"/>
  <c r="PDY105" i="22"/>
  <c r="PDU105" i="22"/>
  <c r="PDQ105" i="22"/>
  <c r="PDM105" i="22"/>
  <c r="PDI105" i="22"/>
  <c r="PDE105" i="22"/>
  <c r="PDA105" i="22"/>
  <c r="PCW105" i="22"/>
  <c r="PCS105" i="22"/>
  <c r="PCO105" i="22"/>
  <c r="PCK105" i="22"/>
  <c r="PCG105" i="22"/>
  <c r="PCC105" i="22"/>
  <c r="PBY105" i="22"/>
  <c r="PBU105" i="22"/>
  <c r="PBQ105" i="22"/>
  <c r="PBM105" i="22"/>
  <c r="PBI105" i="22"/>
  <c r="PBE105" i="22"/>
  <c r="PBA105" i="22"/>
  <c r="PAW105" i="22"/>
  <c r="PAS105" i="22"/>
  <c r="PAO105" i="22"/>
  <c r="PAK105" i="22"/>
  <c r="PAG105" i="22"/>
  <c r="PAC105" i="22"/>
  <c r="OZY105" i="22"/>
  <c r="OZU105" i="22"/>
  <c r="OZQ105" i="22"/>
  <c r="OZM105" i="22"/>
  <c r="OZI105" i="22"/>
  <c r="OZE105" i="22"/>
  <c r="OZA105" i="22"/>
  <c r="OYW105" i="22"/>
  <c r="OYS105" i="22"/>
  <c r="OYO105" i="22"/>
  <c r="OYK105" i="22"/>
  <c r="OYG105" i="22"/>
  <c r="OYC105" i="22"/>
  <c r="OXY105" i="22"/>
  <c r="OXU105" i="22"/>
  <c r="OXQ105" i="22"/>
  <c r="OXM105" i="22"/>
  <c r="OXI105" i="22"/>
  <c r="OXE105" i="22"/>
  <c r="OXA105" i="22"/>
  <c r="OWW105" i="22"/>
  <c r="OWS105" i="22"/>
  <c r="OWO105" i="22"/>
  <c r="OWK105" i="22"/>
  <c r="OWG105" i="22"/>
  <c r="OWC105" i="22"/>
  <c r="OVY105" i="22"/>
  <c r="OVU105" i="22"/>
  <c r="OVQ105" i="22"/>
  <c r="OVM105" i="22"/>
  <c r="OVI105" i="22"/>
  <c r="OVE105" i="22"/>
  <c r="OVA105" i="22"/>
  <c r="OUW105" i="22"/>
  <c r="OUS105" i="22"/>
  <c r="OUO105" i="22"/>
  <c r="OUK105" i="22"/>
  <c r="OUG105" i="22"/>
  <c r="OUC105" i="22"/>
  <c r="OTY105" i="22"/>
  <c r="OTU105" i="22"/>
  <c r="OTQ105" i="22"/>
  <c r="OTM105" i="22"/>
  <c r="OTI105" i="22"/>
  <c r="OTE105" i="22"/>
  <c r="OTA105" i="22"/>
  <c r="OSW105" i="22"/>
  <c r="OSS105" i="22"/>
  <c r="OSO105" i="22"/>
  <c r="OSK105" i="22"/>
  <c r="OSG105" i="22"/>
  <c r="OSC105" i="22"/>
  <c r="ORY105" i="22"/>
  <c r="ORU105" i="22"/>
  <c r="ORQ105" i="22"/>
  <c r="ORM105" i="22"/>
  <c r="ORI105" i="22"/>
  <c r="ORE105" i="22"/>
  <c r="ORA105" i="22"/>
  <c r="OQW105" i="22"/>
  <c r="OQS105" i="22"/>
  <c r="OQO105" i="22"/>
  <c r="OQK105" i="22"/>
  <c r="OQG105" i="22"/>
  <c r="OQC105" i="22"/>
  <c r="OPY105" i="22"/>
  <c r="OPU105" i="22"/>
  <c r="OPQ105" i="22"/>
  <c r="OPM105" i="22"/>
  <c r="OPI105" i="22"/>
  <c r="OPE105" i="22"/>
  <c r="OPA105" i="22"/>
  <c r="OOW105" i="22"/>
  <c r="OOS105" i="22"/>
  <c r="OOO105" i="22"/>
  <c r="OOK105" i="22"/>
  <c r="OOG105" i="22"/>
  <c r="OOC105" i="22"/>
  <c r="ONY105" i="22"/>
  <c r="ONU105" i="22"/>
  <c r="ONQ105" i="22"/>
  <c r="ONM105" i="22"/>
  <c r="ONI105" i="22"/>
  <c r="ONE105" i="22"/>
  <c r="ONA105" i="22"/>
  <c r="OMW105" i="22"/>
  <c r="OMS105" i="22"/>
  <c r="OMO105" i="22"/>
  <c r="OMK105" i="22"/>
  <c r="OMG105" i="22"/>
  <c r="OMC105" i="22"/>
  <c r="OLY105" i="22"/>
  <c r="OLU105" i="22"/>
  <c r="OLQ105" i="22"/>
  <c r="OLM105" i="22"/>
  <c r="OLI105" i="22"/>
  <c r="OLE105" i="22"/>
  <c r="OLA105" i="22"/>
  <c r="OKW105" i="22"/>
  <c r="OKS105" i="22"/>
  <c r="OKO105" i="22"/>
  <c r="OKK105" i="22"/>
  <c r="OKG105" i="22"/>
  <c r="OKC105" i="22"/>
  <c r="OJY105" i="22"/>
  <c r="OJU105" i="22"/>
  <c r="OJQ105" i="22"/>
  <c r="OJM105" i="22"/>
  <c r="OJI105" i="22"/>
  <c r="OJE105" i="22"/>
  <c r="OJA105" i="22"/>
  <c r="OIW105" i="22"/>
  <c r="OIS105" i="22"/>
  <c r="OIO105" i="22"/>
  <c r="OIK105" i="22"/>
  <c r="OIG105" i="22"/>
  <c r="OIC105" i="22"/>
  <c r="OHY105" i="22"/>
  <c r="OHU105" i="22"/>
  <c r="OHQ105" i="22"/>
  <c r="OHM105" i="22"/>
  <c r="OHI105" i="22"/>
  <c r="OHE105" i="22"/>
  <c r="OHA105" i="22"/>
  <c r="OGW105" i="22"/>
  <c r="OGS105" i="22"/>
  <c r="OGO105" i="22"/>
  <c r="OGK105" i="22"/>
  <c r="OGG105" i="22"/>
  <c r="OGC105" i="22"/>
  <c r="OFY105" i="22"/>
  <c r="OFU105" i="22"/>
  <c r="OFQ105" i="22"/>
  <c r="OFM105" i="22"/>
  <c r="OFI105" i="22"/>
  <c r="OFE105" i="22"/>
  <c r="OFA105" i="22"/>
  <c r="OEW105" i="22"/>
  <c r="OES105" i="22"/>
  <c r="OEO105" i="22"/>
  <c r="OEK105" i="22"/>
  <c r="OEG105" i="22"/>
  <c r="OEC105" i="22"/>
  <c r="ODY105" i="22"/>
  <c r="ODU105" i="22"/>
  <c r="ODQ105" i="22"/>
  <c r="ODM105" i="22"/>
  <c r="ODI105" i="22"/>
  <c r="ODE105" i="22"/>
  <c r="ODA105" i="22"/>
  <c r="OCW105" i="22"/>
  <c r="OCS105" i="22"/>
  <c r="OCO105" i="22"/>
  <c r="OCK105" i="22"/>
  <c r="OCG105" i="22"/>
  <c r="OCC105" i="22"/>
  <c r="OBY105" i="22"/>
  <c r="OBU105" i="22"/>
  <c r="OBQ105" i="22"/>
  <c r="OBM105" i="22"/>
  <c r="OBI105" i="22"/>
  <c r="OBE105" i="22"/>
  <c r="OBA105" i="22"/>
  <c r="OAW105" i="22"/>
  <c r="OAS105" i="22"/>
  <c r="OAO105" i="22"/>
  <c r="OAK105" i="22"/>
  <c r="OAG105" i="22"/>
  <c r="OAC105" i="22"/>
  <c r="NZY105" i="22"/>
  <c r="NZU105" i="22"/>
  <c r="NZQ105" i="22"/>
  <c r="NZM105" i="22"/>
  <c r="NZI105" i="22"/>
  <c r="NZE105" i="22"/>
  <c r="NZA105" i="22"/>
  <c r="NYW105" i="22"/>
  <c r="NYS105" i="22"/>
  <c r="NYO105" i="22"/>
  <c r="NYK105" i="22"/>
  <c r="NYG105" i="22"/>
  <c r="NYC105" i="22"/>
  <c r="NXY105" i="22"/>
  <c r="NXU105" i="22"/>
  <c r="NXQ105" i="22"/>
  <c r="NXM105" i="22"/>
  <c r="NXI105" i="22"/>
  <c r="NXE105" i="22"/>
  <c r="NXA105" i="22"/>
  <c r="NWW105" i="22"/>
  <c r="NWS105" i="22"/>
  <c r="NWO105" i="22"/>
  <c r="NWK105" i="22"/>
  <c r="NWG105" i="22"/>
  <c r="NWC105" i="22"/>
  <c r="NVY105" i="22"/>
  <c r="NVU105" i="22"/>
  <c r="NVQ105" i="22"/>
  <c r="NVM105" i="22"/>
  <c r="NVI105" i="22"/>
  <c r="NVE105" i="22"/>
  <c r="NVA105" i="22"/>
  <c r="NUW105" i="22"/>
  <c r="NUS105" i="22"/>
  <c r="NUO105" i="22"/>
  <c r="NUK105" i="22"/>
  <c r="NUG105" i="22"/>
  <c r="NUC105" i="22"/>
  <c r="NTY105" i="22"/>
  <c r="NTU105" i="22"/>
  <c r="NTQ105" i="22"/>
  <c r="NTM105" i="22"/>
  <c r="NTI105" i="22"/>
  <c r="NTE105" i="22"/>
  <c r="NTA105" i="22"/>
  <c r="NSW105" i="22"/>
  <c r="NSS105" i="22"/>
  <c r="NSO105" i="22"/>
  <c r="NSK105" i="22"/>
  <c r="NSG105" i="22"/>
  <c r="NSC105" i="22"/>
  <c r="NRY105" i="22"/>
  <c r="NRU105" i="22"/>
  <c r="NRQ105" i="22"/>
  <c r="NRM105" i="22"/>
  <c r="NRI105" i="22"/>
  <c r="NRE105" i="22"/>
  <c r="NRA105" i="22"/>
  <c r="NQW105" i="22"/>
  <c r="NQS105" i="22"/>
  <c r="NQO105" i="22"/>
  <c r="NQK105" i="22"/>
  <c r="NQG105" i="22"/>
  <c r="NQC105" i="22"/>
  <c r="NPY105" i="22"/>
  <c r="NPU105" i="22"/>
  <c r="NPQ105" i="22"/>
  <c r="NPM105" i="22"/>
  <c r="NPI105" i="22"/>
  <c r="NPE105" i="22"/>
  <c r="NPA105" i="22"/>
  <c r="NOW105" i="22"/>
  <c r="NOS105" i="22"/>
  <c r="NOO105" i="22"/>
  <c r="NOK105" i="22"/>
  <c r="NOG105" i="22"/>
  <c r="NOC105" i="22"/>
  <c r="NNY105" i="22"/>
  <c r="NNU105" i="22"/>
  <c r="NNQ105" i="22"/>
  <c r="NNM105" i="22"/>
  <c r="NNI105" i="22"/>
  <c r="NNE105" i="22"/>
  <c r="NNA105" i="22"/>
  <c r="NMW105" i="22"/>
  <c r="NMS105" i="22"/>
  <c r="NMO105" i="22"/>
  <c r="NMK105" i="22"/>
  <c r="NMG105" i="22"/>
  <c r="NMC105" i="22"/>
  <c r="NLY105" i="22"/>
  <c r="NLU105" i="22"/>
  <c r="NLQ105" i="22"/>
  <c r="NLM105" i="22"/>
  <c r="NLI105" i="22"/>
  <c r="NLE105" i="22"/>
  <c r="NLA105" i="22"/>
  <c r="NKW105" i="22"/>
  <c r="NKS105" i="22"/>
  <c r="NKO105" i="22"/>
  <c r="NKK105" i="22"/>
  <c r="NKG105" i="22"/>
  <c r="NKC105" i="22"/>
  <c r="NJY105" i="22"/>
  <c r="NJU105" i="22"/>
  <c r="NJQ105" i="22"/>
  <c r="NJM105" i="22"/>
  <c r="NJI105" i="22"/>
  <c r="NJE105" i="22"/>
  <c r="NJA105" i="22"/>
  <c r="NIW105" i="22"/>
  <c r="NIS105" i="22"/>
  <c r="NIO105" i="22"/>
  <c r="NIK105" i="22"/>
  <c r="NIG105" i="22"/>
  <c r="NIC105" i="22"/>
  <c r="NHY105" i="22"/>
  <c r="NHU105" i="22"/>
  <c r="NHQ105" i="22"/>
  <c r="NHM105" i="22"/>
  <c r="NHI105" i="22"/>
  <c r="NHE105" i="22"/>
  <c r="NHA105" i="22"/>
  <c r="NGW105" i="22"/>
  <c r="NGS105" i="22"/>
  <c r="NGO105" i="22"/>
  <c r="NGK105" i="22"/>
  <c r="NGG105" i="22"/>
  <c r="NGC105" i="22"/>
  <c r="NFY105" i="22"/>
  <c r="NFU105" i="22"/>
  <c r="NFQ105" i="22"/>
  <c r="NFM105" i="22"/>
  <c r="NFI105" i="22"/>
  <c r="NFE105" i="22"/>
  <c r="NFA105" i="22"/>
  <c r="NEW105" i="22"/>
  <c r="NES105" i="22"/>
  <c r="NEO105" i="22"/>
  <c r="NEK105" i="22"/>
  <c r="NEG105" i="22"/>
  <c r="NEC105" i="22"/>
  <c r="NDY105" i="22"/>
  <c r="NDU105" i="22"/>
  <c r="NDQ105" i="22"/>
  <c r="NDM105" i="22"/>
  <c r="NDI105" i="22"/>
  <c r="NDE105" i="22"/>
  <c r="NDA105" i="22"/>
  <c r="NCW105" i="22"/>
  <c r="NCS105" i="22"/>
  <c r="NCO105" i="22"/>
  <c r="NCK105" i="22"/>
  <c r="NCG105" i="22"/>
  <c r="NCC105" i="22"/>
  <c r="NBY105" i="22"/>
  <c r="NBU105" i="22"/>
  <c r="NBQ105" i="22"/>
  <c r="NBM105" i="22"/>
  <c r="NBI105" i="22"/>
  <c r="NBE105" i="22"/>
  <c r="NBA105" i="22"/>
  <c r="NAW105" i="22"/>
  <c r="NAS105" i="22"/>
  <c r="NAO105" i="22"/>
  <c r="NAK105" i="22"/>
  <c r="NAG105" i="22"/>
  <c r="NAC105" i="22"/>
  <c r="MZY105" i="22"/>
  <c r="MZU105" i="22"/>
  <c r="MZQ105" i="22"/>
  <c r="MZM105" i="22"/>
  <c r="MZI105" i="22"/>
  <c r="MZE105" i="22"/>
  <c r="MZA105" i="22"/>
  <c r="MYW105" i="22"/>
  <c r="MYS105" i="22"/>
  <c r="MYO105" i="22"/>
  <c r="MYK105" i="22"/>
  <c r="MYG105" i="22"/>
  <c r="MYC105" i="22"/>
  <c r="MXY105" i="22"/>
  <c r="MXU105" i="22"/>
  <c r="MXQ105" i="22"/>
  <c r="MXM105" i="22"/>
  <c r="MXI105" i="22"/>
  <c r="MXE105" i="22"/>
  <c r="MXA105" i="22"/>
  <c r="MWW105" i="22"/>
  <c r="MWS105" i="22"/>
  <c r="MWO105" i="22"/>
  <c r="MWK105" i="22"/>
  <c r="MWG105" i="22"/>
  <c r="MWC105" i="22"/>
  <c r="MVY105" i="22"/>
  <c r="MVU105" i="22"/>
  <c r="MVQ105" i="22"/>
  <c r="MVM105" i="22"/>
  <c r="MVI105" i="22"/>
  <c r="MVE105" i="22"/>
  <c r="MVA105" i="22"/>
  <c r="MUW105" i="22"/>
  <c r="MUS105" i="22"/>
  <c r="MUO105" i="22"/>
  <c r="MUK105" i="22"/>
  <c r="MUG105" i="22"/>
  <c r="MUC105" i="22"/>
  <c r="MTY105" i="22"/>
  <c r="MTU105" i="22"/>
  <c r="MTQ105" i="22"/>
  <c r="MTM105" i="22"/>
  <c r="MTI105" i="22"/>
  <c r="MTE105" i="22"/>
  <c r="MTA105" i="22"/>
  <c r="MSW105" i="22"/>
  <c r="MSS105" i="22"/>
  <c r="MSO105" i="22"/>
  <c r="MSK105" i="22"/>
  <c r="MSG105" i="22"/>
  <c r="MSC105" i="22"/>
  <c r="MRY105" i="22"/>
  <c r="MRU105" i="22"/>
  <c r="MRQ105" i="22"/>
  <c r="MRM105" i="22"/>
  <c r="MRI105" i="22"/>
  <c r="MRE105" i="22"/>
  <c r="MRA105" i="22"/>
  <c r="MQW105" i="22"/>
  <c r="MQS105" i="22"/>
  <c r="MQO105" i="22"/>
  <c r="MQK105" i="22"/>
  <c r="MQG105" i="22"/>
  <c r="MQC105" i="22"/>
  <c r="MPY105" i="22"/>
  <c r="MPU105" i="22"/>
  <c r="MPQ105" i="22"/>
  <c r="MPM105" i="22"/>
  <c r="MPI105" i="22"/>
  <c r="MPE105" i="22"/>
  <c r="MPA105" i="22"/>
  <c r="MOW105" i="22"/>
  <c r="MOS105" i="22"/>
  <c r="MOO105" i="22"/>
  <c r="MOK105" i="22"/>
  <c r="MOG105" i="22"/>
  <c r="MOC105" i="22"/>
  <c r="MNY105" i="22"/>
  <c r="MNU105" i="22"/>
  <c r="MNQ105" i="22"/>
  <c r="MNM105" i="22"/>
  <c r="MNI105" i="22"/>
  <c r="MNE105" i="22"/>
  <c r="MNA105" i="22"/>
  <c r="MMW105" i="22"/>
  <c r="MMS105" i="22"/>
  <c r="MMO105" i="22"/>
  <c r="MMK105" i="22"/>
  <c r="MMG105" i="22"/>
  <c r="MMC105" i="22"/>
  <c r="MLY105" i="22"/>
  <c r="MLU105" i="22"/>
  <c r="MLQ105" i="22"/>
  <c r="MLM105" i="22"/>
  <c r="MLI105" i="22"/>
  <c r="MLE105" i="22"/>
  <c r="MLA105" i="22"/>
  <c r="MKW105" i="22"/>
  <c r="MKS105" i="22"/>
  <c r="MKO105" i="22"/>
  <c r="MKK105" i="22"/>
  <c r="MKG105" i="22"/>
  <c r="MKC105" i="22"/>
  <c r="MJY105" i="22"/>
  <c r="MJU105" i="22"/>
  <c r="MJQ105" i="22"/>
  <c r="MJM105" i="22"/>
  <c r="MJI105" i="22"/>
  <c r="MJE105" i="22"/>
  <c r="MJA105" i="22"/>
  <c r="MIW105" i="22"/>
  <c r="MIS105" i="22"/>
  <c r="MIO105" i="22"/>
  <c r="MIK105" i="22"/>
  <c r="MIG105" i="22"/>
  <c r="MIC105" i="22"/>
  <c r="MHY105" i="22"/>
  <c r="MHU105" i="22"/>
  <c r="MHQ105" i="22"/>
  <c r="MHM105" i="22"/>
  <c r="MHI105" i="22"/>
  <c r="MHE105" i="22"/>
  <c r="MHA105" i="22"/>
  <c r="MGW105" i="22"/>
  <c r="MGS105" i="22"/>
  <c r="MGO105" i="22"/>
  <c r="MGK105" i="22"/>
  <c r="MGG105" i="22"/>
  <c r="MGC105" i="22"/>
  <c r="MFY105" i="22"/>
  <c r="MFU105" i="22"/>
  <c r="MFQ105" i="22"/>
  <c r="MFM105" i="22"/>
  <c r="MFI105" i="22"/>
  <c r="MFE105" i="22"/>
  <c r="MFA105" i="22"/>
  <c r="MEW105" i="22"/>
  <c r="MES105" i="22"/>
  <c r="MEO105" i="22"/>
  <c r="MEK105" i="22"/>
  <c r="MEG105" i="22"/>
  <c r="MEC105" i="22"/>
  <c r="MDY105" i="22"/>
  <c r="MDU105" i="22"/>
  <c r="MDQ105" i="22"/>
  <c r="MDM105" i="22"/>
  <c r="MDI105" i="22"/>
  <c r="MDE105" i="22"/>
  <c r="MDA105" i="22"/>
  <c r="MCW105" i="22"/>
  <c r="MCS105" i="22"/>
  <c r="MCO105" i="22"/>
  <c r="MCK105" i="22"/>
  <c r="MCG105" i="22"/>
  <c r="MCC105" i="22"/>
  <c r="MBY105" i="22"/>
  <c r="MBU105" i="22"/>
  <c r="MBQ105" i="22"/>
  <c r="MBM105" i="22"/>
  <c r="MBI105" i="22"/>
  <c r="MBE105" i="22"/>
  <c r="MBA105" i="22"/>
  <c r="MAW105" i="22"/>
  <c r="MAS105" i="22"/>
  <c r="MAO105" i="22"/>
  <c r="MAK105" i="22"/>
  <c r="MAG105" i="22"/>
  <c r="MAC105" i="22"/>
  <c r="LZY105" i="22"/>
  <c r="LZU105" i="22"/>
  <c r="LZQ105" i="22"/>
  <c r="LZM105" i="22"/>
  <c r="LZI105" i="22"/>
  <c r="LZE105" i="22"/>
  <c r="LZA105" i="22"/>
  <c r="LYW105" i="22"/>
  <c r="LYS105" i="22"/>
  <c r="LYO105" i="22"/>
  <c r="LYK105" i="22"/>
  <c r="LYG105" i="22"/>
  <c r="LYC105" i="22"/>
  <c r="LXY105" i="22"/>
  <c r="LXU105" i="22"/>
  <c r="LXQ105" i="22"/>
  <c r="LXM105" i="22"/>
  <c r="LXI105" i="22"/>
  <c r="LXE105" i="22"/>
  <c r="LXA105" i="22"/>
  <c r="LWW105" i="22"/>
  <c r="LWS105" i="22"/>
  <c r="LWO105" i="22"/>
  <c r="LWK105" i="22"/>
  <c r="LWG105" i="22"/>
  <c r="LWC105" i="22"/>
  <c r="LVY105" i="22"/>
  <c r="LVU105" i="22"/>
  <c r="LVQ105" i="22"/>
  <c r="LVM105" i="22"/>
  <c r="LVI105" i="22"/>
  <c r="LVE105" i="22"/>
  <c r="LVA105" i="22"/>
  <c r="LUW105" i="22"/>
  <c r="LUS105" i="22"/>
  <c r="LUO105" i="22"/>
  <c r="LUK105" i="22"/>
  <c r="LUG105" i="22"/>
  <c r="LUC105" i="22"/>
  <c r="LTY105" i="22"/>
  <c r="LTU105" i="22"/>
  <c r="LTQ105" i="22"/>
  <c r="LTM105" i="22"/>
  <c r="LTI105" i="22"/>
  <c r="LTE105" i="22"/>
  <c r="LTA105" i="22"/>
  <c r="LSW105" i="22"/>
  <c r="LSS105" i="22"/>
  <c r="LSO105" i="22"/>
  <c r="LSK105" i="22"/>
  <c r="LSG105" i="22"/>
  <c r="LSC105" i="22"/>
  <c r="LRY105" i="22"/>
  <c r="LRU105" i="22"/>
  <c r="LRQ105" i="22"/>
  <c r="LRM105" i="22"/>
  <c r="LRI105" i="22"/>
  <c r="LRE105" i="22"/>
  <c r="LRA105" i="22"/>
  <c r="LQW105" i="22"/>
  <c r="LQS105" i="22"/>
  <c r="LQO105" i="22"/>
  <c r="LQK105" i="22"/>
  <c r="LQG105" i="22"/>
  <c r="LQC105" i="22"/>
  <c r="LPY105" i="22"/>
  <c r="LPU105" i="22"/>
  <c r="LPQ105" i="22"/>
  <c r="LPM105" i="22"/>
  <c r="LPI105" i="22"/>
  <c r="LPE105" i="22"/>
  <c r="LPA105" i="22"/>
  <c r="LOW105" i="22"/>
  <c r="LOS105" i="22"/>
  <c r="LOO105" i="22"/>
  <c r="LOK105" i="22"/>
  <c r="LOG105" i="22"/>
  <c r="LOC105" i="22"/>
  <c r="LNY105" i="22"/>
  <c r="LNU105" i="22"/>
  <c r="LNQ105" i="22"/>
  <c r="LNM105" i="22"/>
  <c r="LNI105" i="22"/>
  <c r="LNE105" i="22"/>
  <c r="LNA105" i="22"/>
  <c r="LMW105" i="22"/>
  <c r="LMS105" i="22"/>
  <c r="LMO105" i="22"/>
  <c r="LMK105" i="22"/>
  <c r="LMG105" i="22"/>
  <c r="LMC105" i="22"/>
  <c r="LLY105" i="22"/>
  <c r="LLU105" i="22"/>
  <c r="LLQ105" i="22"/>
  <c r="LLM105" i="22"/>
  <c r="LLI105" i="22"/>
  <c r="LLE105" i="22"/>
  <c r="LLA105" i="22"/>
  <c r="LKW105" i="22"/>
  <c r="LKS105" i="22"/>
  <c r="LKO105" i="22"/>
  <c r="LKK105" i="22"/>
  <c r="LKG105" i="22"/>
  <c r="LKC105" i="22"/>
  <c r="LJY105" i="22"/>
  <c r="LJU105" i="22"/>
  <c r="LJQ105" i="22"/>
  <c r="LJM105" i="22"/>
  <c r="LJI105" i="22"/>
  <c r="LJE105" i="22"/>
  <c r="LJA105" i="22"/>
  <c r="LIW105" i="22"/>
  <c r="LIS105" i="22"/>
  <c r="LIO105" i="22"/>
  <c r="LIK105" i="22"/>
  <c r="LIG105" i="22"/>
  <c r="LIC105" i="22"/>
  <c r="LHY105" i="22"/>
  <c r="LHU105" i="22"/>
  <c r="LHQ105" i="22"/>
  <c r="LHM105" i="22"/>
  <c r="LHI105" i="22"/>
  <c r="LHE105" i="22"/>
  <c r="LHA105" i="22"/>
  <c r="LGW105" i="22"/>
  <c r="LGS105" i="22"/>
  <c r="LGO105" i="22"/>
  <c r="LGK105" i="22"/>
  <c r="LGG105" i="22"/>
  <c r="LGC105" i="22"/>
  <c r="LFY105" i="22"/>
  <c r="LFU105" i="22"/>
  <c r="LFQ105" i="22"/>
  <c r="LFM105" i="22"/>
  <c r="LFI105" i="22"/>
  <c r="LFE105" i="22"/>
  <c r="LFA105" i="22"/>
  <c r="LEW105" i="22"/>
  <c r="LES105" i="22"/>
  <c r="LEO105" i="22"/>
  <c r="LEK105" i="22"/>
  <c r="LEG105" i="22"/>
  <c r="LEC105" i="22"/>
  <c r="LDY105" i="22"/>
  <c r="LDU105" i="22"/>
  <c r="LDQ105" i="22"/>
  <c r="LDM105" i="22"/>
  <c r="LDI105" i="22"/>
  <c r="LDE105" i="22"/>
  <c r="LDA105" i="22"/>
  <c r="LCW105" i="22"/>
  <c r="LCS105" i="22"/>
  <c r="LCO105" i="22"/>
  <c r="LCK105" i="22"/>
  <c r="LCG105" i="22"/>
  <c r="LCC105" i="22"/>
  <c r="LBY105" i="22"/>
  <c r="LBU105" i="22"/>
  <c r="LBQ105" i="22"/>
  <c r="LBM105" i="22"/>
  <c r="LBI105" i="22"/>
  <c r="LBE105" i="22"/>
  <c r="LBA105" i="22"/>
  <c r="LAW105" i="22"/>
  <c r="LAS105" i="22"/>
  <c r="LAO105" i="22"/>
  <c r="LAK105" i="22"/>
  <c r="LAG105" i="22"/>
  <c r="LAC105" i="22"/>
  <c r="KZY105" i="22"/>
  <c r="KZU105" i="22"/>
  <c r="KZQ105" i="22"/>
  <c r="KZM105" i="22"/>
  <c r="KZI105" i="22"/>
  <c r="KZE105" i="22"/>
  <c r="KZA105" i="22"/>
  <c r="KYW105" i="22"/>
  <c r="KYS105" i="22"/>
  <c r="KYO105" i="22"/>
  <c r="KYK105" i="22"/>
  <c r="KYG105" i="22"/>
  <c r="KYC105" i="22"/>
  <c r="KXY105" i="22"/>
  <c r="KXU105" i="22"/>
  <c r="KXQ105" i="22"/>
  <c r="KXM105" i="22"/>
  <c r="KXI105" i="22"/>
  <c r="KXE105" i="22"/>
  <c r="KXA105" i="22"/>
  <c r="KWW105" i="22"/>
  <c r="KWS105" i="22"/>
  <c r="KWO105" i="22"/>
  <c r="KWK105" i="22"/>
  <c r="KWG105" i="22"/>
  <c r="KWC105" i="22"/>
  <c r="KVY105" i="22"/>
  <c r="KVU105" i="22"/>
  <c r="KVQ105" i="22"/>
  <c r="KVM105" i="22"/>
  <c r="KVI105" i="22"/>
  <c r="KVE105" i="22"/>
  <c r="KVA105" i="22"/>
  <c r="KUW105" i="22"/>
  <c r="KUS105" i="22"/>
  <c r="KUO105" i="22"/>
  <c r="KUK105" i="22"/>
  <c r="KUG105" i="22"/>
  <c r="KUC105" i="22"/>
  <c r="KTY105" i="22"/>
  <c r="KTU105" i="22"/>
  <c r="KTQ105" i="22"/>
  <c r="KTM105" i="22"/>
  <c r="KTI105" i="22"/>
  <c r="KTE105" i="22"/>
  <c r="KTA105" i="22"/>
  <c r="KSW105" i="22"/>
  <c r="KSS105" i="22"/>
  <c r="KSO105" i="22"/>
  <c r="KSK105" i="22"/>
  <c r="KSG105" i="22"/>
  <c r="KSC105" i="22"/>
  <c r="KRY105" i="22"/>
  <c r="KRU105" i="22"/>
  <c r="KRQ105" i="22"/>
  <c r="KRM105" i="22"/>
  <c r="KRI105" i="22"/>
  <c r="KRE105" i="22"/>
  <c r="KRA105" i="22"/>
  <c r="KQW105" i="22"/>
  <c r="KQS105" i="22"/>
  <c r="KQO105" i="22"/>
  <c r="KQK105" i="22"/>
  <c r="KQG105" i="22"/>
  <c r="KQC105" i="22"/>
  <c r="KPY105" i="22"/>
  <c r="KPU105" i="22"/>
  <c r="KPQ105" i="22"/>
  <c r="KPM105" i="22"/>
  <c r="KPI105" i="22"/>
  <c r="KPE105" i="22"/>
  <c r="KPA105" i="22"/>
  <c r="KOW105" i="22"/>
  <c r="KOS105" i="22"/>
  <c r="KOO105" i="22"/>
  <c r="KOK105" i="22"/>
  <c r="KOG105" i="22"/>
  <c r="KOC105" i="22"/>
  <c r="KNY105" i="22"/>
  <c r="KNU105" i="22"/>
  <c r="KNQ105" i="22"/>
  <c r="KNM105" i="22"/>
  <c r="KNI105" i="22"/>
  <c r="KNE105" i="22"/>
  <c r="KNA105" i="22"/>
  <c r="KMW105" i="22"/>
  <c r="KMS105" i="22"/>
  <c r="KMO105" i="22"/>
  <c r="KMK105" i="22"/>
  <c r="KMG105" i="22"/>
  <c r="KMC105" i="22"/>
  <c r="KLY105" i="22"/>
  <c r="KLU105" i="22"/>
  <c r="KLQ105" i="22"/>
  <c r="KLM105" i="22"/>
  <c r="KLI105" i="22"/>
  <c r="KLE105" i="22"/>
  <c r="KLA105" i="22"/>
  <c r="KKW105" i="22"/>
  <c r="KKS105" i="22"/>
  <c r="KKO105" i="22"/>
  <c r="KKK105" i="22"/>
  <c r="KKG105" i="22"/>
  <c r="KKC105" i="22"/>
  <c r="KJY105" i="22"/>
  <c r="KJU105" i="22"/>
  <c r="KJQ105" i="22"/>
  <c r="KJM105" i="22"/>
  <c r="KJI105" i="22"/>
  <c r="KJE105" i="22"/>
  <c r="KJA105" i="22"/>
  <c r="KIW105" i="22"/>
  <c r="KIS105" i="22"/>
  <c r="KIO105" i="22"/>
  <c r="KIK105" i="22"/>
  <c r="KIG105" i="22"/>
  <c r="KIC105" i="22"/>
  <c r="KHY105" i="22"/>
  <c r="KHU105" i="22"/>
  <c r="KHQ105" i="22"/>
  <c r="KHM105" i="22"/>
  <c r="KHI105" i="22"/>
  <c r="KHE105" i="22"/>
  <c r="KHA105" i="22"/>
  <c r="KGW105" i="22"/>
  <c r="KGS105" i="22"/>
  <c r="KGO105" i="22"/>
  <c r="KGK105" i="22"/>
  <c r="KGG105" i="22"/>
  <c r="KGC105" i="22"/>
  <c r="KFY105" i="22"/>
  <c r="KFU105" i="22"/>
  <c r="KFQ105" i="22"/>
  <c r="KFM105" i="22"/>
  <c r="KFI105" i="22"/>
  <c r="KFE105" i="22"/>
  <c r="KFA105" i="22"/>
  <c r="KEW105" i="22"/>
  <c r="KES105" i="22"/>
  <c r="KEO105" i="22"/>
  <c r="KEK105" i="22"/>
  <c r="KEG105" i="22"/>
  <c r="KEC105" i="22"/>
  <c r="KDY105" i="22"/>
  <c r="KDU105" i="22"/>
  <c r="KDQ105" i="22"/>
  <c r="KDM105" i="22"/>
  <c r="KDI105" i="22"/>
  <c r="KDE105" i="22"/>
  <c r="KDA105" i="22"/>
  <c r="KCW105" i="22"/>
  <c r="KCS105" i="22"/>
  <c r="KCO105" i="22"/>
  <c r="KCK105" i="22"/>
  <c r="KCG105" i="22"/>
  <c r="KCC105" i="22"/>
  <c r="KBY105" i="22"/>
  <c r="KBU105" i="22"/>
  <c r="KBQ105" i="22"/>
  <c r="KBM105" i="22"/>
  <c r="KBI105" i="22"/>
  <c r="KBE105" i="22"/>
  <c r="KBA105" i="22"/>
  <c r="KAW105" i="22"/>
  <c r="KAS105" i="22"/>
  <c r="KAO105" i="22"/>
  <c r="KAK105" i="22"/>
  <c r="KAG105" i="22"/>
  <c r="KAC105" i="22"/>
  <c r="JZY105" i="22"/>
  <c r="JZU105" i="22"/>
  <c r="JZQ105" i="22"/>
  <c r="JZM105" i="22"/>
  <c r="JZI105" i="22"/>
  <c r="JZE105" i="22"/>
  <c r="JZA105" i="22"/>
  <c r="JYW105" i="22"/>
  <c r="JYS105" i="22"/>
  <c r="JYO105" i="22"/>
  <c r="JYK105" i="22"/>
  <c r="JYG105" i="22"/>
  <c r="JYC105" i="22"/>
  <c r="JXY105" i="22"/>
  <c r="JXU105" i="22"/>
  <c r="JXQ105" i="22"/>
  <c r="JXM105" i="22"/>
  <c r="JXI105" i="22"/>
  <c r="JXE105" i="22"/>
  <c r="JXA105" i="22"/>
  <c r="JWW105" i="22"/>
  <c r="JWS105" i="22"/>
  <c r="JWO105" i="22"/>
  <c r="JWK105" i="22"/>
  <c r="JWG105" i="22"/>
  <c r="JWC105" i="22"/>
  <c r="JVY105" i="22"/>
  <c r="JVU105" i="22"/>
  <c r="JVQ105" i="22"/>
  <c r="JVM105" i="22"/>
  <c r="JVI105" i="22"/>
  <c r="JVE105" i="22"/>
  <c r="JVA105" i="22"/>
  <c r="JUW105" i="22"/>
  <c r="JUS105" i="22"/>
  <c r="JUO105" i="22"/>
  <c r="JUK105" i="22"/>
  <c r="JUG105" i="22"/>
  <c r="JUC105" i="22"/>
  <c r="JTY105" i="22"/>
  <c r="JTU105" i="22"/>
  <c r="JTQ105" i="22"/>
  <c r="JTM105" i="22"/>
  <c r="JTI105" i="22"/>
  <c r="JTE105" i="22"/>
  <c r="JTA105" i="22"/>
  <c r="JSW105" i="22"/>
  <c r="JSS105" i="22"/>
  <c r="JSO105" i="22"/>
  <c r="JSK105" i="22"/>
  <c r="JSG105" i="22"/>
  <c r="JSC105" i="22"/>
  <c r="JRY105" i="22"/>
  <c r="JRU105" i="22"/>
  <c r="JRQ105" i="22"/>
  <c r="JRM105" i="22"/>
  <c r="JRI105" i="22"/>
  <c r="JRE105" i="22"/>
  <c r="JRA105" i="22"/>
  <c r="JQW105" i="22"/>
  <c r="JQS105" i="22"/>
  <c r="JQO105" i="22"/>
  <c r="JQK105" i="22"/>
  <c r="JQG105" i="22"/>
  <c r="JQC105" i="22"/>
  <c r="JPY105" i="22"/>
  <c r="JPU105" i="22"/>
  <c r="JPQ105" i="22"/>
  <c r="JPM105" i="22"/>
  <c r="JPI105" i="22"/>
  <c r="JPE105" i="22"/>
  <c r="JPA105" i="22"/>
  <c r="JOW105" i="22"/>
  <c r="JOS105" i="22"/>
  <c r="JOO105" i="22"/>
  <c r="JOK105" i="22"/>
  <c r="JOG105" i="22"/>
  <c r="JOC105" i="22"/>
  <c r="JNY105" i="22"/>
  <c r="JNU105" i="22"/>
  <c r="JNQ105" i="22"/>
  <c r="JNM105" i="22"/>
  <c r="JNI105" i="22"/>
  <c r="JNE105" i="22"/>
  <c r="JNA105" i="22"/>
  <c r="JMW105" i="22"/>
  <c r="JMS105" i="22"/>
  <c r="JMO105" i="22"/>
  <c r="JMK105" i="22"/>
  <c r="JMG105" i="22"/>
  <c r="JMC105" i="22"/>
  <c r="JLY105" i="22"/>
  <c r="JLU105" i="22"/>
  <c r="JLQ105" i="22"/>
  <c r="JLM105" i="22"/>
  <c r="JLI105" i="22"/>
  <c r="JLE105" i="22"/>
  <c r="JLA105" i="22"/>
  <c r="JKW105" i="22"/>
  <c r="JKS105" i="22"/>
  <c r="JKO105" i="22"/>
  <c r="JKK105" i="22"/>
  <c r="JKG105" i="22"/>
  <c r="JKC105" i="22"/>
  <c r="JJY105" i="22"/>
  <c r="JJU105" i="22"/>
  <c r="JJQ105" i="22"/>
  <c r="JJM105" i="22"/>
  <c r="JJI105" i="22"/>
  <c r="JJE105" i="22"/>
  <c r="JJA105" i="22"/>
  <c r="JIW105" i="22"/>
  <c r="JIS105" i="22"/>
  <c r="JIO105" i="22"/>
  <c r="JIK105" i="22"/>
  <c r="JIG105" i="22"/>
  <c r="JIC105" i="22"/>
  <c r="JHY105" i="22"/>
  <c r="JHU105" i="22"/>
  <c r="JHQ105" i="22"/>
  <c r="JHM105" i="22"/>
  <c r="JHI105" i="22"/>
  <c r="JHE105" i="22"/>
  <c r="JHA105" i="22"/>
  <c r="JGW105" i="22"/>
  <c r="JGS105" i="22"/>
  <c r="JGO105" i="22"/>
  <c r="JGK105" i="22"/>
  <c r="JGG105" i="22"/>
  <c r="JGC105" i="22"/>
  <c r="JFY105" i="22"/>
  <c r="JFU105" i="22"/>
  <c r="JFQ105" i="22"/>
  <c r="JFM105" i="22"/>
  <c r="JFI105" i="22"/>
  <c r="JFE105" i="22"/>
  <c r="JFA105" i="22"/>
  <c r="JEW105" i="22"/>
  <c r="JES105" i="22"/>
  <c r="JEO105" i="22"/>
  <c r="JEK105" i="22"/>
  <c r="JEG105" i="22"/>
  <c r="JEC105" i="22"/>
  <c r="JDY105" i="22"/>
  <c r="JDU105" i="22"/>
  <c r="JDQ105" i="22"/>
  <c r="JDM105" i="22"/>
  <c r="JDI105" i="22"/>
  <c r="JDE105" i="22"/>
  <c r="JDA105" i="22"/>
  <c r="JCW105" i="22"/>
  <c r="JCS105" i="22"/>
  <c r="JCO105" i="22"/>
  <c r="JCK105" i="22"/>
  <c r="JCG105" i="22"/>
  <c r="JCC105" i="22"/>
  <c r="JBY105" i="22"/>
  <c r="JBU105" i="22"/>
  <c r="JBQ105" i="22"/>
  <c r="JBM105" i="22"/>
  <c r="JBI105" i="22"/>
  <c r="JBE105" i="22"/>
  <c r="JBA105" i="22"/>
  <c r="JAW105" i="22"/>
  <c r="JAS105" i="22"/>
  <c r="JAO105" i="22"/>
  <c r="JAK105" i="22"/>
  <c r="JAG105" i="22"/>
  <c r="JAC105" i="22"/>
  <c r="IZY105" i="22"/>
  <c r="IZU105" i="22"/>
  <c r="IZQ105" i="22"/>
  <c r="IZM105" i="22"/>
  <c r="IZI105" i="22"/>
  <c r="IZE105" i="22"/>
  <c r="IZA105" i="22"/>
  <c r="IYW105" i="22"/>
  <c r="IYS105" i="22"/>
  <c r="IYO105" i="22"/>
  <c r="IYK105" i="22"/>
  <c r="IYG105" i="22"/>
  <c r="IYC105" i="22"/>
  <c r="IXY105" i="22"/>
  <c r="IXU105" i="22"/>
  <c r="IXQ105" i="22"/>
  <c r="IXM105" i="22"/>
  <c r="IXI105" i="22"/>
  <c r="IXE105" i="22"/>
  <c r="IXA105" i="22"/>
  <c r="IWW105" i="22"/>
  <c r="IWS105" i="22"/>
  <c r="IWO105" i="22"/>
  <c r="IWK105" i="22"/>
  <c r="IWG105" i="22"/>
  <c r="IWC105" i="22"/>
  <c r="IVY105" i="22"/>
  <c r="IVU105" i="22"/>
  <c r="IVQ105" i="22"/>
  <c r="IVM105" i="22"/>
  <c r="IVI105" i="22"/>
  <c r="IVE105" i="22"/>
  <c r="IVA105" i="22"/>
  <c r="IUW105" i="22"/>
  <c r="IUS105" i="22"/>
  <c r="IUO105" i="22"/>
  <c r="IUK105" i="22"/>
  <c r="IUG105" i="22"/>
  <c r="IUC105" i="22"/>
  <c r="ITY105" i="22"/>
  <c r="ITU105" i="22"/>
  <c r="ITQ105" i="22"/>
  <c r="ITM105" i="22"/>
  <c r="ITI105" i="22"/>
  <c r="ITE105" i="22"/>
  <c r="ITA105" i="22"/>
  <c r="ISW105" i="22"/>
  <c r="ISS105" i="22"/>
  <c r="ISO105" i="22"/>
  <c r="ISK105" i="22"/>
  <c r="ISG105" i="22"/>
  <c r="ISC105" i="22"/>
  <c r="IRY105" i="22"/>
  <c r="IRU105" i="22"/>
  <c r="IRQ105" i="22"/>
  <c r="IRM105" i="22"/>
  <c r="IRI105" i="22"/>
  <c r="IRE105" i="22"/>
  <c r="IRA105" i="22"/>
  <c r="IQW105" i="22"/>
  <c r="IQS105" i="22"/>
  <c r="IQO105" i="22"/>
  <c r="IQK105" i="22"/>
  <c r="IQG105" i="22"/>
  <c r="IQC105" i="22"/>
  <c r="IPY105" i="22"/>
  <c r="IPU105" i="22"/>
  <c r="IPQ105" i="22"/>
  <c r="IPM105" i="22"/>
  <c r="IPI105" i="22"/>
  <c r="IPE105" i="22"/>
  <c r="IPA105" i="22"/>
  <c r="IOW105" i="22"/>
  <c r="IOS105" i="22"/>
  <c r="IOO105" i="22"/>
  <c r="IOK105" i="22"/>
  <c r="IOG105" i="22"/>
  <c r="IOC105" i="22"/>
  <c r="INY105" i="22"/>
  <c r="INU105" i="22"/>
  <c r="INQ105" i="22"/>
  <c r="INM105" i="22"/>
  <c r="INI105" i="22"/>
  <c r="INE105" i="22"/>
  <c r="INA105" i="22"/>
  <c r="IMW105" i="22"/>
  <c r="IMS105" i="22"/>
  <c r="IMO105" i="22"/>
  <c r="IMK105" i="22"/>
  <c r="IMG105" i="22"/>
  <c r="IMC105" i="22"/>
  <c r="ILY105" i="22"/>
  <c r="ILU105" i="22"/>
  <c r="ILQ105" i="22"/>
  <c r="ILM105" i="22"/>
  <c r="ILI105" i="22"/>
  <c r="ILE105" i="22"/>
  <c r="ILA105" i="22"/>
  <c r="IKW105" i="22"/>
  <c r="IKS105" i="22"/>
  <c r="IKO105" i="22"/>
  <c r="IKK105" i="22"/>
  <c r="IKG105" i="22"/>
  <c r="IKC105" i="22"/>
  <c r="IJY105" i="22"/>
  <c r="IJU105" i="22"/>
  <c r="IJQ105" i="22"/>
  <c r="IJM105" i="22"/>
  <c r="IJI105" i="22"/>
  <c r="IJE105" i="22"/>
  <c r="IJA105" i="22"/>
  <c r="IIW105" i="22"/>
  <c r="IIS105" i="22"/>
  <c r="IIO105" i="22"/>
  <c r="IIK105" i="22"/>
  <c r="IIG105" i="22"/>
  <c r="IIC105" i="22"/>
  <c r="IHY105" i="22"/>
  <c r="IHU105" i="22"/>
  <c r="IHQ105" i="22"/>
  <c r="IHM105" i="22"/>
  <c r="IHI105" i="22"/>
  <c r="IHE105" i="22"/>
  <c r="IHA105" i="22"/>
  <c r="IGW105" i="22"/>
  <c r="IGS105" i="22"/>
  <c r="IGO105" i="22"/>
  <c r="IGK105" i="22"/>
  <c r="IGG105" i="22"/>
  <c r="IGC105" i="22"/>
  <c r="IFY105" i="22"/>
  <c r="IFU105" i="22"/>
  <c r="IFQ105" i="22"/>
  <c r="IFM105" i="22"/>
  <c r="IFI105" i="22"/>
  <c r="IFE105" i="22"/>
  <c r="IFA105" i="22"/>
  <c r="IEW105" i="22"/>
  <c r="IES105" i="22"/>
  <c r="IEO105" i="22"/>
  <c r="IEK105" i="22"/>
  <c r="IEG105" i="22"/>
  <c r="IEC105" i="22"/>
  <c r="IDY105" i="22"/>
  <c r="IDU105" i="22"/>
  <c r="IDQ105" i="22"/>
  <c r="IDM105" i="22"/>
  <c r="IDI105" i="22"/>
  <c r="IDE105" i="22"/>
  <c r="IDA105" i="22"/>
  <c r="ICW105" i="22"/>
  <c r="ICS105" i="22"/>
  <c r="ICO105" i="22"/>
  <c r="ICK105" i="22"/>
  <c r="ICG105" i="22"/>
  <c r="ICC105" i="22"/>
  <c r="IBY105" i="22"/>
  <c r="IBU105" i="22"/>
  <c r="IBQ105" i="22"/>
  <c r="IBM105" i="22"/>
  <c r="IBI105" i="22"/>
  <c r="IBE105" i="22"/>
  <c r="IBA105" i="22"/>
  <c r="IAW105" i="22"/>
  <c r="IAS105" i="22"/>
  <c r="IAO105" i="22"/>
  <c r="IAK105" i="22"/>
  <c r="IAG105" i="22"/>
  <c r="IAC105" i="22"/>
  <c r="HZY105" i="22"/>
  <c r="HZU105" i="22"/>
  <c r="HZQ105" i="22"/>
  <c r="HZM105" i="22"/>
  <c r="HZI105" i="22"/>
  <c r="HZE105" i="22"/>
  <c r="HZA105" i="22"/>
  <c r="HYW105" i="22"/>
  <c r="HYS105" i="22"/>
  <c r="HYO105" i="22"/>
  <c r="HYK105" i="22"/>
  <c r="HYG105" i="22"/>
  <c r="HYC105" i="22"/>
  <c r="HXY105" i="22"/>
  <c r="HXU105" i="22"/>
  <c r="HXQ105" i="22"/>
  <c r="HXM105" i="22"/>
  <c r="HXI105" i="22"/>
  <c r="HXE105" i="22"/>
  <c r="HXA105" i="22"/>
  <c r="HWW105" i="22"/>
  <c r="HWS105" i="22"/>
  <c r="HWO105" i="22"/>
  <c r="HWK105" i="22"/>
  <c r="HWG105" i="22"/>
  <c r="HWC105" i="22"/>
  <c r="HVY105" i="22"/>
  <c r="HVU105" i="22"/>
  <c r="HVQ105" i="22"/>
  <c r="HVM105" i="22"/>
  <c r="HVI105" i="22"/>
  <c r="HVE105" i="22"/>
  <c r="HVA105" i="22"/>
  <c r="HUW105" i="22"/>
  <c r="HUS105" i="22"/>
  <c r="HUO105" i="22"/>
  <c r="HUK105" i="22"/>
  <c r="HUG105" i="22"/>
  <c r="HUC105" i="22"/>
  <c r="HTY105" i="22"/>
  <c r="HTU105" i="22"/>
  <c r="HTQ105" i="22"/>
  <c r="HTM105" i="22"/>
  <c r="HTI105" i="22"/>
  <c r="HTE105" i="22"/>
  <c r="HTA105" i="22"/>
  <c r="HSW105" i="22"/>
  <c r="HSS105" i="22"/>
  <c r="HSO105" i="22"/>
  <c r="HSK105" i="22"/>
  <c r="HSG105" i="22"/>
  <c r="HSC105" i="22"/>
  <c r="HRY105" i="22"/>
  <c r="HRU105" i="22"/>
  <c r="HRQ105" i="22"/>
  <c r="HRM105" i="22"/>
  <c r="HRI105" i="22"/>
  <c r="HRE105" i="22"/>
  <c r="HRA105" i="22"/>
  <c r="HQW105" i="22"/>
  <c r="HQS105" i="22"/>
  <c r="HQO105" i="22"/>
  <c r="HQK105" i="22"/>
  <c r="HQG105" i="22"/>
  <c r="HQC105" i="22"/>
  <c r="HPY105" i="22"/>
  <c r="HPU105" i="22"/>
  <c r="HPQ105" i="22"/>
  <c r="HPM105" i="22"/>
  <c r="HPI105" i="22"/>
  <c r="HPE105" i="22"/>
  <c r="HPA105" i="22"/>
  <c r="HOW105" i="22"/>
  <c r="HOS105" i="22"/>
  <c r="HOO105" i="22"/>
  <c r="HOK105" i="22"/>
  <c r="HOG105" i="22"/>
  <c r="HOC105" i="22"/>
  <c r="HNY105" i="22"/>
  <c r="HNU105" i="22"/>
  <c r="HNQ105" i="22"/>
  <c r="HNM105" i="22"/>
  <c r="HNI105" i="22"/>
  <c r="HNE105" i="22"/>
  <c r="HNA105" i="22"/>
  <c r="HMW105" i="22"/>
  <c r="HMS105" i="22"/>
  <c r="HMO105" i="22"/>
  <c r="HMK105" i="22"/>
  <c r="HMG105" i="22"/>
  <c r="HMC105" i="22"/>
  <c r="HLY105" i="22"/>
  <c r="HLU105" i="22"/>
  <c r="HLQ105" i="22"/>
  <c r="HLM105" i="22"/>
  <c r="HLI105" i="22"/>
  <c r="HLE105" i="22"/>
  <c r="HLA105" i="22"/>
  <c r="HKW105" i="22"/>
  <c r="HKS105" i="22"/>
  <c r="HKO105" i="22"/>
  <c r="HKK105" i="22"/>
  <c r="HKG105" i="22"/>
  <c r="HKC105" i="22"/>
  <c r="HJY105" i="22"/>
  <c r="HJU105" i="22"/>
  <c r="HJQ105" i="22"/>
  <c r="HJM105" i="22"/>
  <c r="HJI105" i="22"/>
  <c r="HJE105" i="22"/>
  <c r="HJA105" i="22"/>
  <c r="HIW105" i="22"/>
  <c r="HIS105" i="22"/>
  <c r="HIO105" i="22"/>
  <c r="HIK105" i="22"/>
  <c r="HIG105" i="22"/>
  <c r="HIC105" i="22"/>
  <c r="HHY105" i="22"/>
  <c r="HHU105" i="22"/>
  <c r="HHQ105" i="22"/>
  <c r="HHM105" i="22"/>
  <c r="HHI105" i="22"/>
  <c r="HHE105" i="22"/>
  <c r="HHA105" i="22"/>
  <c r="HGW105" i="22"/>
  <c r="HGS105" i="22"/>
  <c r="HGO105" i="22"/>
  <c r="HGK105" i="22"/>
  <c r="HGG105" i="22"/>
  <c r="HGC105" i="22"/>
  <c r="HFY105" i="22"/>
  <c r="HFU105" i="22"/>
  <c r="HFQ105" i="22"/>
  <c r="HFM105" i="22"/>
  <c r="HFI105" i="22"/>
  <c r="HFE105" i="22"/>
  <c r="HFA105" i="22"/>
  <c r="HEW105" i="22"/>
  <c r="HES105" i="22"/>
  <c r="HEO105" i="22"/>
  <c r="HEK105" i="22"/>
  <c r="HEG105" i="22"/>
  <c r="HEC105" i="22"/>
  <c r="HDY105" i="22"/>
  <c r="HDU105" i="22"/>
  <c r="HDQ105" i="22"/>
  <c r="HDM105" i="22"/>
  <c r="HDI105" i="22"/>
  <c r="HDE105" i="22"/>
  <c r="HDA105" i="22"/>
  <c r="HCW105" i="22"/>
  <c r="HCS105" i="22"/>
  <c r="HCO105" i="22"/>
  <c r="HCK105" i="22"/>
  <c r="HCG105" i="22"/>
  <c r="HCC105" i="22"/>
  <c r="HBY105" i="22"/>
  <c r="HBU105" i="22"/>
  <c r="HBQ105" i="22"/>
  <c r="HBM105" i="22"/>
  <c r="HBI105" i="22"/>
  <c r="HBE105" i="22"/>
  <c r="HBA105" i="22"/>
  <c r="HAW105" i="22"/>
  <c r="HAS105" i="22"/>
  <c r="HAO105" i="22"/>
  <c r="HAK105" i="22"/>
  <c r="HAG105" i="22"/>
  <c r="HAC105" i="22"/>
  <c r="GZY105" i="22"/>
  <c r="GZU105" i="22"/>
  <c r="GZQ105" i="22"/>
  <c r="GZM105" i="22"/>
  <c r="GZI105" i="22"/>
  <c r="GZE105" i="22"/>
  <c r="GZA105" i="22"/>
  <c r="GYW105" i="22"/>
  <c r="GYS105" i="22"/>
  <c r="GYO105" i="22"/>
  <c r="GYK105" i="22"/>
  <c r="GYG105" i="22"/>
  <c r="GYC105" i="22"/>
  <c r="GXY105" i="22"/>
  <c r="GXU105" i="22"/>
  <c r="GXQ105" i="22"/>
  <c r="GXM105" i="22"/>
  <c r="GXI105" i="22"/>
  <c r="GXE105" i="22"/>
  <c r="GXA105" i="22"/>
  <c r="GWW105" i="22"/>
  <c r="GWS105" i="22"/>
  <c r="GWO105" i="22"/>
  <c r="GWK105" i="22"/>
  <c r="GWG105" i="22"/>
  <c r="GWC105" i="22"/>
  <c r="GVY105" i="22"/>
  <c r="GVU105" i="22"/>
  <c r="GVQ105" i="22"/>
  <c r="GVM105" i="22"/>
  <c r="GVI105" i="22"/>
  <c r="GVE105" i="22"/>
  <c r="GVA105" i="22"/>
  <c r="GUW105" i="22"/>
  <c r="GUS105" i="22"/>
  <c r="GUO105" i="22"/>
  <c r="GUK105" i="22"/>
  <c r="GUG105" i="22"/>
  <c r="GUC105" i="22"/>
  <c r="GTY105" i="22"/>
  <c r="GTU105" i="22"/>
  <c r="GTQ105" i="22"/>
  <c r="GTM105" i="22"/>
  <c r="GTI105" i="22"/>
  <c r="GTE105" i="22"/>
  <c r="GTA105" i="22"/>
  <c r="GSW105" i="22"/>
  <c r="GSS105" i="22"/>
  <c r="GSO105" i="22"/>
  <c r="GSK105" i="22"/>
  <c r="GSG105" i="22"/>
  <c r="GSC105" i="22"/>
  <c r="GRY105" i="22"/>
  <c r="GRU105" i="22"/>
  <c r="GRQ105" i="22"/>
  <c r="GRM105" i="22"/>
  <c r="GRI105" i="22"/>
  <c r="GRE105" i="22"/>
  <c r="GRA105" i="22"/>
  <c r="GQW105" i="22"/>
  <c r="GQS105" i="22"/>
  <c r="GQO105" i="22"/>
  <c r="GQK105" i="22"/>
  <c r="GQG105" i="22"/>
  <c r="GQC105" i="22"/>
  <c r="GPY105" i="22"/>
  <c r="GPU105" i="22"/>
  <c r="GPQ105" i="22"/>
  <c r="GPM105" i="22"/>
  <c r="GPI105" i="22"/>
  <c r="GPE105" i="22"/>
  <c r="GPA105" i="22"/>
  <c r="GOW105" i="22"/>
  <c r="GOS105" i="22"/>
  <c r="GOO105" i="22"/>
  <c r="GOK105" i="22"/>
  <c r="GOG105" i="22"/>
  <c r="GOC105" i="22"/>
  <c r="GNY105" i="22"/>
  <c r="GNU105" i="22"/>
  <c r="GNQ105" i="22"/>
  <c r="GNM105" i="22"/>
  <c r="GNI105" i="22"/>
  <c r="GNE105" i="22"/>
  <c r="GNA105" i="22"/>
  <c r="GMW105" i="22"/>
  <c r="GMS105" i="22"/>
  <c r="GMO105" i="22"/>
  <c r="GMK105" i="22"/>
  <c r="GMG105" i="22"/>
  <c r="GMC105" i="22"/>
  <c r="GLY105" i="22"/>
  <c r="GLU105" i="22"/>
  <c r="GLQ105" i="22"/>
  <c r="GLM105" i="22"/>
  <c r="GLI105" i="22"/>
  <c r="GLE105" i="22"/>
  <c r="GLA105" i="22"/>
  <c r="GKW105" i="22"/>
  <c r="GKS105" i="22"/>
  <c r="GKO105" i="22"/>
  <c r="GKK105" i="22"/>
  <c r="GKG105" i="22"/>
  <c r="GKC105" i="22"/>
  <c r="GJY105" i="22"/>
  <c r="GJU105" i="22"/>
  <c r="GJQ105" i="22"/>
  <c r="GJM105" i="22"/>
  <c r="GJI105" i="22"/>
  <c r="GJE105" i="22"/>
  <c r="GJA105" i="22"/>
  <c r="GIW105" i="22"/>
  <c r="GIS105" i="22"/>
  <c r="GIO105" i="22"/>
  <c r="GIK105" i="22"/>
  <c r="GIG105" i="22"/>
  <c r="GIC105" i="22"/>
  <c r="GHY105" i="22"/>
  <c r="GHU105" i="22"/>
  <c r="GHQ105" i="22"/>
  <c r="GHM105" i="22"/>
  <c r="GHI105" i="22"/>
  <c r="GHE105" i="22"/>
  <c r="GHA105" i="22"/>
  <c r="GGW105" i="22"/>
  <c r="GGS105" i="22"/>
  <c r="GGO105" i="22"/>
  <c r="GGK105" i="22"/>
  <c r="GGG105" i="22"/>
  <c r="GGC105" i="22"/>
  <c r="GFY105" i="22"/>
  <c r="GFU105" i="22"/>
  <c r="GFQ105" i="22"/>
  <c r="GFM105" i="22"/>
  <c r="GFI105" i="22"/>
  <c r="GFE105" i="22"/>
  <c r="GFA105" i="22"/>
  <c r="GEW105" i="22"/>
  <c r="GES105" i="22"/>
  <c r="GEO105" i="22"/>
  <c r="GEK105" i="22"/>
  <c r="GEG105" i="22"/>
  <c r="GEC105" i="22"/>
  <c r="GDY105" i="22"/>
  <c r="GDU105" i="22"/>
  <c r="GDQ105" i="22"/>
  <c r="GDM105" i="22"/>
  <c r="GDI105" i="22"/>
  <c r="GDE105" i="22"/>
  <c r="GDA105" i="22"/>
  <c r="GCW105" i="22"/>
  <c r="GCS105" i="22"/>
  <c r="GCO105" i="22"/>
  <c r="GCK105" i="22"/>
  <c r="GCG105" i="22"/>
  <c r="GCC105" i="22"/>
  <c r="GBY105" i="22"/>
  <c r="GBU105" i="22"/>
  <c r="GBQ105" i="22"/>
  <c r="GBM105" i="22"/>
  <c r="GBI105" i="22"/>
  <c r="GBE105" i="22"/>
  <c r="GBA105" i="22"/>
  <c r="GAW105" i="22"/>
  <c r="GAS105" i="22"/>
  <c r="GAO105" i="22"/>
  <c r="GAK105" i="22"/>
  <c r="GAG105" i="22"/>
  <c r="GAC105" i="22"/>
  <c r="FZY105" i="22"/>
  <c r="FZU105" i="22"/>
  <c r="FZQ105" i="22"/>
  <c r="FZM105" i="22"/>
  <c r="FZI105" i="22"/>
  <c r="FZE105" i="22"/>
  <c r="FZA105" i="22"/>
  <c r="FYW105" i="22"/>
  <c r="FYS105" i="22"/>
  <c r="FYO105" i="22"/>
  <c r="FYK105" i="22"/>
  <c r="FYG105" i="22"/>
  <c r="FYC105" i="22"/>
  <c r="FXY105" i="22"/>
  <c r="FXU105" i="22"/>
  <c r="FXQ105" i="22"/>
  <c r="FXM105" i="22"/>
  <c r="FXI105" i="22"/>
  <c r="FXE105" i="22"/>
  <c r="FXA105" i="22"/>
  <c r="FWW105" i="22"/>
  <c r="FWS105" i="22"/>
  <c r="FWO105" i="22"/>
  <c r="FWK105" i="22"/>
  <c r="FWG105" i="22"/>
  <c r="FWC105" i="22"/>
  <c r="FVY105" i="22"/>
  <c r="FVU105" i="22"/>
  <c r="FVQ105" i="22"/>
  <c r="FVM105" i="22"/>
  <c r="FVI105" i="22"/>
  <c r="FVE105" i="22"/>
  <c r="FVA105" i="22"/>
  <c r="FUW105" i="22"/>
  <c r="FUS105" i="22"/>
  <c r="FUO105" i="22"/>
  <c r="FUK105" i="22"/>
  <c r="FUG105" i="22"/>
  <c r="FUC105" i="22"/>
  <c r="FTY105" i="22"/>
  <c r="FTU105" i="22"/>
  <c r="FTQ105" i="22"/>
  <c r="FTM105" i="22"/>
  <c r="FTI105" i="22"/>
  <c r="FTE105" i="22"/>
  <c r="FTA105" i="22"/>
  <c r="FSW105" i="22"/>
  <c r="FSS105" i="22"/>
  <c r="FSO105" i="22"/>
  <c r="FSK105" i="22"/>
  <c r="FSG105" i="22"/>
  <c r="FSC105" i="22"/>
  <c r="FRY105" i="22"/>
  <c r="FRU105" i="22"/>
  <c r="FRQ105" i="22"/>
  <c r="FRM105" i="22"/>
  <c r="FRI105" i="22"/>
  <c r="FRE105" i="22"/>
  <c r="FRA105" i="22"/>
  <c r="FQW105" i="22"/>
  <c r="FQS105" i="22"/>
  <c r="FQO105" i="22"/>
  <c r="FQK105" i="22"/>
  <c r="FQG105" i="22"/>
  <c r="FQC105" i="22"/>
  <c r="FPY105" i="22"/>
  <c r="FPU105" i="22"/>
  <c r="FPQ105" i="22"/>
  <c r="FPM105" i="22"/>
  <c r="FPI105" i="22"/>
  <c r="FPE105" i="22"/>
  <c r="FPA105" i="22"/>
  <c r="FOW105" i="22"/>
  <c r="FOS105" i="22"/>
  <c r="FOO105" i="22"/>
  <c r="FOK105" i="22"/>
  <c r="FOG105" i="22"/>
  <c r="FOC105" i="22"/>
  <c r="FNY105" i="22"/>
  <c r="FNU105" i="22"/>
  <c r="FNQ105" i="22"/>
  <c r="FNM105" i="22"/>
  <c r="FNI105" i="22"/>
  <c r="FNE105" i="22"/>
  <c r="FNA105" i="22"/>
  <c r="FMW105" i="22"/>
  <c r="FMS105" i="22"/>
  <c r="FMO105" i="22"/>
  <c r="FMK105" i="22"/>
  <c r="FMG105" i="22"/>
  <c r="FMC105" i="22"/>
  <c r="FLY105" i="22"/>
  <c r="FLU105" i="22"/>
  <c r="FLQ105" i="22"/>
  <c r="FLM105" i="22"/>
  <c r="FLI105" i="22"/>
  <c r="FLE105" i="22"/>
  <c r="FLA105" i="22"/>
  <c r="FKW105" i="22"/>
  <c r="FKS105" i="22"/>
  <c r="FKO105" i="22"/>
  <c r="FKK105" i="22"/>
  <c r="FKG105" i="22"/>
  <c r="FKC105" i="22"/>
  <c r="FJY105" i="22"/>
  <c r="FJU105" i="22"/>
  <c r="FJQ105" i="22"/>
  <c r="FJM105" i="22"/>
  <c r="FJI105" i="22"/>
  <c r="FJE105" i="22"/>
  <c r="FJA105" i="22"/>
  <c r="FIW105" i="22"/>
  <c r="FIS105" i="22"/>
  <c r="FIO105" i="22"/>
  <c r="FIK105" i="22"/>
  <c r="FIG105" i="22"/>
  <c r="FIC105" i="22"/>
  <c r="FHY105" i="22"/>
  <c r="FHU105" i="22"/>
  <c r="FHQ105" i="22"/>
  <c r="FHM105" i="22"/>
  <c r="FHI105" i="22"/>
  <c r="FHE105" i="22"/>
  <c r="FHA105" i="22"/>
  <c r="FGW105" i="22"/>
  <c r="FGS105" i="22"/>
  <c r="FGO105" i="22"/>
  <c r="FGK105" i="22"/>
  <c r="FGG105" i="22"/>
  <c r="FGC105" i="22"/>
  <c r="FFY105" i="22"/>
  <c r="FFU105" i="22"/>
  <c r="FFQ105" i="22"/>
  <c r="FFM105" i="22"/>
  <c r="FFI105" i="22"/>
  <c r="FFE105" i="22"/>
  <c r="FFA105" i="22"/>
  <c r="FEW105" i="22"/>
  <c r="FES105" i="22"/>
  <c r="FEO105" i="22"/>
  <c r="FEK105" i="22"/>
  <c r="FEG105" i="22"/>
  <c r="FEC105" i="22"/>
  <c r="FDY105" i="22"/>
  <c r="FDU105" i="22"/>
  <c r="FDQ105" i="22"/>
  <c r="FDM105" i="22"/>
  <c r="FDI105" i="22"/>
  <c r="FDE105" i="22"/>
  <c r="FDA105" i="22"/>
  <c r="FCW105" i="22"/>
  <c r="FCS105" i="22"/>
  <c r="FCO105" i="22"/>
  <c r="FCK105" i="22"/>
  <c r="FCG105" i="22"/>
  <c r="FCC105" i="22"/>
  <c r="FBY105" i="22"/>
  <c r="FBU105" i="22"/>
  <c r="FBQ105" i="22"/>
  <c r="FBM105" i="22"/>
  <c r="FBI105" i="22"/>
  <c r="FBE105" i="22"/>
  <c r="FBA105" i="22"/>
  <c r="FAW105" i="22"/>
  <c r="FAS105" i="22"/>
  <c r="FAO105" i="22"/>
  <c r="FAK105" i="22"/>
  <c r="FAG105" i="22"/>
  <c r="FAC105" i="22"/>
  <c r="EZY105" i="22"/>
  <c r="EZU105" i="22"/>
  <c r="EZQ105" i="22"/>
  <c r="EZM105" i="22"/>
  <c r="EZI105" i="22"/>
  <c r="EZE105" i="22"/>
  <c r="EZA105" i="22"/>
  <c r="EYW105" i="22"/>
  <c r="EYS105" i="22"/>
  <c r="EYO105" i="22"/>
  <c r="EYK105" i="22"/>
  <c r="EYG105" i="22"/>
  <c r="EYC105" i="22"/>
  <c r="EXY105" i="22"/>
  <c r="EXU105" i="22"/>
  <c r="EXQ105" i="22"/>
  <c r="EXM105" i="22"/>
  <c r="EXI105" i="22"/>
  <c r="EXE105" i="22"/>
  <c r="EXA105" i="22"/>
  <c r="EWW105" i="22"/>
  <c r="EWS105" i="22"/>
  <c r="EWO105" i="22"/>
  <c r="EWK105" i="22"/>
  <c r="EWG105" i="22"/>
  <c r="EWC105" i="22"/>
  <c r="EVY105" i="22"/>
  <c r="EVU105" i="22"/>
  <c r="EVQ105" i="22"/>
  <c r="EVM105" i="22"/>
  <c r="EVI105" i="22"/>
  <c r="EVE105" i="22"/>
  <c r="EVA105" i="22"/>
  <c r="EUW105" i="22"/>
  <c r="EUS105" i="22"/>
  <c r="EUO105" i="22"/>
  <c r="EUK105" i="22"/>
  <c r="EUG105" i="22"/>
  <c r="EUC105" i="22"/>
  <c r="ETY105" i="22"/>
  <c r="ETU105" i="22"/>
  <c r="ETQ105" i="22"/>
  <c r="ETM105" i="22"/>
  <c r="ETI105" i="22"/>
  <c r="ETE105" i="22"/>
  <c r="ETA105" i="22"/>
  <c r="ESW105" i="22"/>
  <c r="ESS105" i="22"/>
  <c r="ESO105" i="22"/>
  <c r="ESK105" i="22"/>
  <c r="ESG105" i="22"/>
  <c r="ESC105" i="22"/>
  <c r="ERY105" i="22"/>
  <c r="ERU105" i="22"/>
  <c r="ERQ105" i="22"/>
  <c r="ERM105" i="22"/>
  <c r="ERI105" i="22"/>
  <c r="ERE105" i="22"/>
  <c r="ERA105" i="22"/>
  <c r="EQW105" i="22"/>
  <c r="EQS105" i="22"/>
  <c r="EQO105" i="22"/>
  <c r="EQK105" i="22"/>
  <c r="EQG105" i="22"/>
  <c r="EQC105" i="22"/>
  <c r="EPY105" i="22"/>
  <c r="EPU105" i="22"/>
  <c r="EPQ105" i="22"/>
  <c r="EPM105" i="22"/>
  <c r="EPI105" i="22"/>
  <c r="EPE105" i="22"/>
  <c r="EPA105" i="22"/>
  <c r="EOW105" i="22"/>
  <c r="EOS105" i="22"/>
  <c r="EOO105" i="22"/>
  <c r="EOK105" i="22"/>
  <c r="EOG105" i="22"/>
  <c r="EOC105" i="22"/>
  <c r="ENY105" i="22"/>
  <c r="ENU105" i="22"/>
  <c r="ENQ105" i="22"/>
  <c r="ENM105" i="22"/>
  <c r="ENI105" i="22"/>
  <c r="ENE105" i="22"/>
  <c r="ENA105" i="22"/>
  <c r="EMW105" i="22"/>
  <c r="EMS105" i="22"/>
  <c r="EMO105" i="22"/>
  <c r="EMK105" i="22"/>
  <c r="EMG105" i="22"/>
  <c r="EMC105" i="22"/>
  <c r="ELY105" i="22"/>
  <c r="ELU105" i="22"/>
  <c r="ELQ105" i="22"/>
  <c r="ELM105" i="22"/>
  <c r="ELI105" i="22"/>
  <c r="ELE105" i="22"/>
  <c r="ELA105" i="22"/>
  <c r="EKW105" i="22"/>
  <c r="EKS105" i="22"/>
  <c r="EKO105" i="22"/>
  <c r="EKK105" i="22"/>
  <c r="EKG105" i="22"/>
  <c r="EKC105" i="22"/>
  <c r="EJY105" i="22"/>
  <c r="EJU105" i="22"/>
  <c r="EJQ105" i="22"/>
  <c r="EJM105" i="22"/>
  <c r="EJI105" i="22"/>
  <c r="EJE105" i="22"/>
  <c r="EJA105" i="22"/>
  <c r="EIW105" i="22"/>
  <c r="EIS105" i="22"/>
  <c r="EIO105" i="22"/>
  <c r="EIK105" i="22"/>
  <c r="EIG105" i="22"/>
  <c r="EIC105" i="22"/>
  <c r="EHY105" i="22"/>
  <c r="EHU105" i="22"/>
  <c r="EHQ105" i="22"/>
  <c r="EHM105" i="22"/>
  <c r="EHI105" i="22"/>
  <c r="EHE105" i="22"/>
  <c r="EHA105" i="22"/>
  <c r="EGW105" i="22"/>
  <c r="EGS105" i="22"/>
  <c r="EGO105" i="22"/>
  <c r="EGK105" i="22"/>
  <c r="EGG105" i="22"/>
  <c r="EGC105" i="22"/>
  <c r="EFY105" i="22"/>
  <c r="EFU105" i="22"/>
  <c r="EFQ105" i="22"/>
  <c r="EFM105" i="22"/>
  <c r="EFI105" i="22"/>
  <c r="EFE105" i="22"/>
  <c r="EFA105" i="22"/>
  <c r="EEW105" i="22"/>
  <c r="EES105" i="22"/>
  <c r="EEO105" i="22"/>
  <c r="EEK105" i="22"/>
  <c r="EEG105" i="22"/>
  <c r="EEC105" i="22"/>
  <c r="EDY105" i="22"/>
  <c r="EDU105" i="22"/>
  <c r="EDQ105" i="22"/>
  <c r="EDM105" i="22"/>
  <c r="EDI105" i="22"/>
  <c r="EDE105" i="22"/>
  <c r="EDA105" i="22"/>
  <c r="ECW105" i="22"/>
  <c r="ECS105" i="22"/>
  <c r="ECO105" i="22"/>
  <c r="ECK105" i="22"/>
  <c r="ECG105" i="22"/>
  <c r="ECC105" i="22"/>
  <c r="EBY105" i="22"/>
  <c r="EBU105" i="22"/>
  <c r="EBQ105" i="22"/>
  <c r="EBM105" i="22"/>
  <c r="EBI105" i="22"/>
  <c r="EBE105" i="22"/>
  <c r="EBA105" i="22"/>
  <c r="EAW105" i="22"/>
  <c r="EAS105" i="22"/>
  <c r="EAO105" i="22"/>
  <c r="EAK105" i="22"/>
  <c r="EAG105" i="22"/>
  <c r="EAC105" i="22"/>
  <c r="DZY105" i="22"/>
  <c r="DZU105" i="22"/>
  <c r="DZQ105" i="22"/>
  <c r="DZM105" i="22"/>
  <c r="DZI105" i="22"/>
  <c r="DZE105" i="22"/>
  <c r="DZA105" i="22"/>
  <c r="DYW105" i="22"/>
  <c r="DYS105" i="22"/>
  <c r="DYO105" i="22"/>
  <c r="DYK105" i="22"/>
  <c r="DYG105" i="22"/>
  <c r="DYC105" i="22"/>
  <c r="DXY105" i="22"/>
  <c r="DXU105" i="22"/>
  <c r="DXQ105" i="22"/>
  <c r="DXM105" i="22"/>
  <c r="DXI105" i="22"/>
  <c r="DXE105" i="22"/>
  <c r="DXA105" i="22"/>
  <c r="DWW105" i="22"/>
  <c r="DWS105" i="22"/>
  <c r="DWO105" i="22"/>
  <c r="DWK105" i="22"/>
  <c r="DWG105" i="22"/>
  <c r="DWC105" i="22"/>
  <c r="DVY105" i="22"/>
  <c r="DVU105" i="22"/>
  <c r="DVQ105" i="22"/>
  <c r="DVM105" i="22"/>
  <c r="DVI105" i="22"/>
  <c r="DVE105" i="22"/>
  <c r="DVA105" i="22"/>
  <c r="DUW105" i="22"/>
  <c r="DUS105" i="22"/>
  <c r="DUO105" i="22"/>
  <c r="DUK105" i="22"/>
  <c r="DUG105" i="22"/>
  <c r="DUC105" i="22"/>
  <c r="DTY105" i="22"/>
  <c r="DTU105" i="22"/>
  <c r="DTQ105" i="22"/>
  <c r="DTM105" i="22"/>
  <c r="DTI105" i="22"/>
  <c r="DTE105" i="22"/>
  <c r="DTA105" i="22"/>
  <c r="DSW105" i="22"/>
  <c r="DSS105" i="22"/>
  <c r="DSO105" i="22"/>
  <c r="DSK105" i="22"/>
  <c r="DSG105" i="22"/>
  <c r="DSC105" i="22"/>
  <c r="DRY105" i="22"/>
  <c r="DRU105" i="22"/>
  <c r="DRQ105" i="22"/>
  <c r="DRM105" i="22"/>
  <c r="DRI105" i="22"/>
  <c r="DRE105" i="22"/>
  <c r="DRA105" i="22"/>
  <c r="DQW105" i="22"/>
  <c r="DQS105" i="22"/>
  <c r="DQO105" i="22"/>
  <c r="DQK105" i="22"/>
  <c r="DQG105" i="22"/>
  <c r="DQC105" i="22"/>
  <c r="DPY105" i="22"/>
  <c r="DPU105" i="22"/>
  <c r="DPQ105" i="22"/>
  <c r="DPM105" i="22"/>
  <c r="DPI105" i="22"/>
  <c r="DPE105" i="22"/>
  <c r="DPA105" i="22"/>
  <c r="DOW105" i="22"/>
  <c r="DOS105" i="22"/>
  <c r="DOO105" i="22"/>
  <c r="DOK105" i="22"/>
  <c r="DOG105" i="22"/>
  <c r="DOC105" i="22"/>
  <c r="DNY105" i="22"/>
  <c r="DNU105" i="22"/>
  <c r="DNQ105" i="22"/>
  <c r="DNM105" i="22"/>
  <c r="DNI105" i="22"/>
  <c r="DNE105" i="22"/>
  <c r="DNA105" i="22"/>
  <c r="DMW105" i="22"/>
  <c r="DMS105" i="22"/>
  <c r="DMO105" i="22"/>
  <c r="DMK105" i="22"/>
  <c r="DMG105" i="22"/>
  <c r="DMC105" i="22"/>
  <c r="DLY105" i="22"/>
  <c r="DLU105" i="22"/>
  <c r="DLQ105" i="22"/>
  <c r="DLM105" i="22"/>
  <c r="DLI105" i="22"/>
  <c r="DLE105" i="22"/>
  <c r="DLA105" i="22"/>
  <c r="DKW105" i="22"/>
  <c r="DKS105" i="22"/>
  <c r="DKO105" i="22"/>
  <c r="DKK105" i="22"/>
  <c r="DKG105" i="22"/>
  <c r="DKC105" i="22"/>
  <c r="DJY105" i="22"/>
  <c r="DJU105" i="22"/>
  <c r="DJQ105" i="22"/>
  <c r="DJM105" i="22"/>
  <c r="DJI105" i="22"/>
  <c r="DJE105" i="22"/>
  <c r="DJA105" i="22"/>
  <c r="DIW105" i="22"/>
  <c r="DIS105" i="22"/>
  <c r="DIO105" i="22"/>
  <c r="DIK105" i="22"/>
  <c r="DIG105" i="22"/>
  <c r="DIC105" i="22"/>
  <c r="DHY105" i="22"/>
  <c r="DHU105" i="22"/>
  <c r="DHQ105" i="22"/>
  <c r="DHM105" i="22"/>
  <c r="DHI105" i="22"/>
  <c r="DHE105" i="22"/>
  <c r="DHA105" i="22"/>
  <c r="DGW105" i="22"/>
  <c r="DGS105" i="22"/>
  <c r="DGO105" i="22"/>
  <c r="DGK105" i="22"/>
  <c r="DGG105" i="22"/>
  <c r="DGC105" i="22"/>
  <c r="DFY105" i="22"/>
  <c r="DFU105" i="22"/>
  <c r="DFQ105" i="22"/>
  <c r="DFM105" i="22"/>
  <c r="DFI105" i="22"/>
  <c r="DFE105" i="22"/>
  <c r="DFA105" i="22"/>
  <c r="DEW105" i="22"/>
  <c r="DES105" i="22"/>
  <c r="DEO105" i="22"/>
  <c r="DEK105" i="22"/>
  <c r="DEG105" i="22"/>
  <c r="DEC105" i="22"/>
  <c r="DDY105" i="22"/>
  <c r="DDU105" i="22"/>
  <c r="DDQ105" i="22"/>
  <c r="DDM105" i="22"/>
  <c r="DDI105" i="22"/>
  <c r="DDE105" i="22"/>
  <c r="DDA105" i="22"/>
  <c r="DCW105" i="22"/>
  <c r="DCS105" i="22"/>
  <c r="DCO105" i="22"/>
  <c r="DCK105" i="22"/>
  <c r="DCG105" i="22"/>
  <c r="DCC105" i="22"/>
  <c r="DBY105" i="22"/>
  <c r="DBU105" i="22"/>
  <c r="DBQ105" i="22"/>
  <c r="DBM105" i="22"/>
  <c r="DBI105" i="22"/>
  <c r="DBE105" i="22"/>
  <c r="DBA105" i="22"/>
  <c r="DAW105" i="22"/>
  <c r="DAS105" i="22"/>
  <c r="DAO105" i="22"/>
  <c r="DAK105" i="22"/>
  <c r="DAG105" i="22"/>
  <c r="DAC105" i="22"/>
  <c r="CZY105" i="22"/>
  <c r="CZU105" i="22"/>
  <c r="CZQ105" i="22"/>
  <c r="CZM105" i="22"/>
  <c r="CZI105" i="22"/>
  <c r="CZE105" i="22"/>
  <c r="CZA105" i="22"/>
  <c r="CYW105" i="22"/>
  <c r="CYS105" i="22"/>
  <c r="CYO105" i="22"/>
  <c r="CYK105" i="22"/>
  <c r="CYG105" i="22"/>
  <c r="CYC105" i="22"/>
  <c r="CXY105" i="22"/>
  <c r="CXU105" i="22"/>
  <c r="CXQ105" i="22"/>
  <c r="CXM105" i="22"/>
  <c r="CXI105" i="22"/>
  <c r="CXE105" i="22"/>
  <c r="CXA105" i="22"/>
  <c r="CWW105" i="22"/>
  <c r="CWS105" i="22"/>
  <c r="CWO105" i="22"/>
  <c r="CWK105" i="22"/>
  <c r="CWG105" i="22"/>
  <c r="CWC105" i="22"/>
  <c r="CVY105" i="22"/>
  <c r="CVU105" i="22"/>
  <c r="CVQ105" i="22"/>
  <c r="CVM105" i="22"/>
  <c r="CVI105" i="22"/>
  <c r="CVE105" i="22"/>
  <c r="CVA105" i="22"/>
  <c r="CUW105" i="22"/>
  <c r="CUS105" i="22"/>
  <c r="CUO105" i="22"/>
  <c r="CUK105" i="22"/>
  <c r="CUG105" i="22"/>
  <c r="CUC105" i="22"/>
  <c r="CTY105" i="22"/>
  <c r="CTU105" i="22"/>
  <c r="CTQ105" i="22"/>
  <c r="CTM105" i="22"/>
  <c r="CTI105" i="22"/>
  <c r="CTE105" i="22"/>
  <c r="CTA105" i="22"/>
  <c r="CSW105" i="22"/>
  <c r="CSS105" i="22"/>
  <c r="CSO105" i="22"/>
  <c r="CSK105" i="22"/>
  <c r="CSG105" i="22"/>
  <c r="CSC105" i="22"/>
  <c r="CRY105" i="22"/>
  <c r="CRU105" i="22"/>
  <c r="CRQ105" i="22"/>
  <c r="CRM105" i="22"/>
  <c r="CRI105" i="22"/>
  <c r="CRE105" i="22"/>
  <c r="CRA105" i="22"/>
  <c r="CQW105" i="22"/>
  <c r="CQS105" i="22"/>
  <c r="CQO105" i="22"/>
  <c r="CQK105" i="22"/>
  <c r="CQG105" i="22"/>
  <c r="CQC105" i="22"/>
  <c r="CPY105" i="22"/>
  <c r="CPU105" i="22"/>
  <c r="CPQ105" i="22"/>
  <c r="CPM105" i="22"/>
  <c r="CPI105" i="22"/>
  <c r="CPE105" i="22"/>
  <c r="CPA105" i="22"/>
  <c r="COW105" i="22"/>
  <c r="COS105" i="22"/>
  <c r="COO105" i="22"/>
  <c r="COK105" i="22"/>
  <c r="COG105" i="22"/>
  <c r="COC105" i="22"/>
  <c r="CNY105" i="22"/>
  <c r="CNU105" i="22"/>
  <c r="CNQ105" i="22"/>
  <c r="CNM105" i="22"/>
  <c r="CNI105" i="22"/>
  <c r="CNE105" i="22"/>
  <c r="CNA105" i="22"/>
  <c r="CMW105" i="22"/>
  <c r="CMS105" i="22"/>
  <c r="CMO105" i="22"/>
  <c r="CMK105" i="22"/>
  <c r="CMG105" i="22"/>
  <c r="CMC105" i="22"/>
  <c r="CLY105" i="22"/>
  <c r="CLU105" i="22"/>
  <c r="CLQ105" i="22"/>
  <c r="CLM105" i="22"/>
  <c r="CLI105" i="22"/>
  <c r="CLE105" i="22"/>
  <c r="CLA105" i="22"/>
  <c r="CKW105" i="22"/>
  <c r="CKS105" i="22"/>
  <c r="CKO105" i="22"/>
  <c r="CKK105" i="22"/>
  <c r="CKG105" i="22"/>
  <c r="CKC105" i="22"/>
  <c r="CJY105" i="22"/>
  <c r="CJU105" i="22"/>
  <c r="CJQ105" i="22"/>
  <c r="CJM105" i="22"/>
  <c r="CJI105" i="22"/>
  <c r="CJE105" i="22"/>
  <c r="CJA105" i="22"/>
  <c r="CIW105" i="22"/>
  <c r="CIS105" i="22"/>
  <c r="CIO105" i="22"/>
  <c r="CIK105" i="22"/>
  <c r="CIG105" i="22"/>
  <c r="CIC105" i="22"/>
  <c r="CHY105" i="22"/>
  <c r="CHU105" i="22"/>
  <c r="CHQ105" i="22"/>
  <c r="CHM105" i="22"/>
  <c r="CHI105" i="22"/>
  <c r="CHE105" i="22"/>
  <c r="CHA105" i="22"/>
  <c r="CGW105" i="22"/>
  <c r="CGS105" i="22"/>
  <c r="CGO105" i="22"/>
  <c r="CGK105" i="22"/>
  <c r="CGG105" i="22"/>
  <c r="CGC105" i="22"/>
  <c r="CFY105" i="22"/>
  <c r="CFU105" i="22"/>
  <c r="CFQ105" i="22"/>
  <c r="CFM105" i="22"/>
  <c r="CFI105" i="22"/>
  <c r="CFE105" i="22"/>
  <c r="CFA105" i="22"/>
  <c r="CEW105" i="22"/>
  <c r="CES105" i="22"/>
  <c r="CEO105" i="22"/>
  <c r="CEK105" i="22"/>
  <c r="CEG105" i="22"/>
  <c r="CEC105" i="22"/>
  <c r="CDY105" i="22"/>
  <c r="CDU105" i="22"/>
  <c r="CDQ105" i="22"/>
  <c r="CDM105" i="22"/>
  <c r="CDI105" i="22"/>
  <c r="CDE105" i="22"/>
  <c r="CDA105" i="22"/>
  <c r="CCW105" i="22"/>
  <c r="CCS105" i="22"/>
  <c r="CCO105" i="22"/>
  <c r="CCK105" i="22"/>
  <c r="CCG105" i="22"/>
  <c r="CCC105" i="22"/>
  <c r="CBY105" i="22"/>
  <c r="CBU105" i="22"/>
  <c r="CBQ105" i="22"/>
  <c r="CBM105" i="22"/>
  <c r="CBI105" i="22"/>
  <c r="CBE105" i="22"/>
  <c r="CBA105" i="22"/>
  <c r="CAW105" i="22"/>
  <c r="CAS105" i="22"/>
  <c r="CAO105" i="22"/>
  <c r="CAK105" i="22"/>
  <c r="CAG105" i="22"/>
  <c r="CAC105" i="22"/>
  <c r="BZY105" i="22"/>
  <c r="BZU105" i="22"/>
  <c r="BZQ105" i="22"/>
  <c r="BZM105" i="22"/>
  <c r="BZI105" i="22"/>
  <c r="BZE105" i="22"/>
  <c r="BZA105" i="22"/>
  <c r="BYW105" i="22"/>
  <c r="BYS105" i="22"/>
  <c r="BYO105" i="22"/>
  <c r="BYK105" i="22"/>
  <c r="BYG105" i="22"/>
  <c r="BYC105" i="22"/>
  <c r="BXY105" i="22"/>
  <c r="BXU105" i="22"/>
  <c r="BXQ105" i="22"/>
  <c r="BXM105" i="22"/>
  <c r="BXI105" i="22"/>
  <c r="BXE105" i="22"/>
  <c r="BXA105" i="22"/>
  <c r="BWW105" i="22"/>
  <c r="BWS105" i="22"/>
  <c r="BWO105" i="22"/>
  <c r="BWK105" i="22"/>
  <c r="BWG105" i="22"/>
  <c r="BWC105" i="22"/>
  <c r="BVY105" i="22"/>
  <c r="BVU105" i="22"/>
  <c r="BVQ105" i="22"/>
  <c r="BVM105" i="22"/>
  <c r="BVI105" i="22"/>
  <c r="BVE105" i="22"/>
  <c r="BVA105" i="22"/>
  <c r="BUW105" i="22"/>
  <c r="BUS105" i="22"/>
  <c r="BUO105" i="22"/>
  <c r="BUK105" i="22"/>
  <c r="BUG105" i="22"/>
  <c r="BUC105" i="22"/>
  <c r="BTY105" i="22"/>
  <c r="BTU105" i="22"/>
  <c r="BTQ105" i="22"/>
  <c r="BTM105" i="22"/>
  <c r="BTI105" i="22"/>
  <c r="BTE105" i="22"/>
  <c r="BTA105" i="22"/>
  <c r="BSW105" i="22"/>
  <c r="BSS105" i="22"/>
  <c r="BSO105" i="22"/>
  <c r="BSK105" i="22"/>
  <c r="BSG105" i="22"/>
  <c r="BSC105" i="22"/>
  <c r="BRY105" i="22"/>
  <c r="BRU105" i="22"/>
  <c r="BRQ105" i="22"/>
  <c r="BRM105" i="22"/>
  <c r="BRI105" i="22"/>
  <c r="BRE105" i="22"/>
  <c r="BRA105" i="22"/>
  <c r="BQW105" i="22"/>
  <c r="BQS105" i="22"/>
  <c r="BQO105" i="22"/>
  <c r="BQK105" i="22"/>
  <c r="BQG105" i="22"/>
  <c r="BQC105" i="22"/>
  <c r="BPY105" i="22"/>
  <c r="BPU105" i="22"/>
  <c r="BPQ105" i="22"/>
  <c r="BPM105" i="22"/>
  <c r="BPI105" i="22"/>
  <c r="BPE105" i="22"/>
  <c r="BPA105" i="22"/>
  <c r="BOW105" i="22"/>
  <c r="BOS105" i="22"/>
  <c r="BOO105" i="22"/>
  <c r="BOK105" i="22"/>
  <c r="BOG105" i="22"/>
  <c r="BOC105" i="22"/>
  <c r="BNY105" i="22"/>
  <c r="BNU105" i="22"/>
  <c r="BNQ105" i="22"/>
  <c r="BNM105" i="22"/>
  <c r="BNI105" i="22"/>
  <c r="BNE105" i="22"/>
  <c r="BNA105" i="22"/>
  <c r="BMW105" i="22"/>
  <c r="BMS105" i="22"/>
  <c r="BMO105" i="22"/>
  <c r="BMK105" i="22"/>
  <c r="BMG105" i="22"/>
  <c r="BMC105" i="22"/>
  <c r="BLY105" i="22"/>
  <c r="BLU105" i="22"/>
  <c r="BLQ105" i="22"/>
  <c r="BLM105" i="22"/>
  <c r="BLI105" i="22"/>
  <c r="BLE105" i="22"/>
  <c r="BLA105" i="22"/>
  <c r="BKW105" i="22"/>
  <c r="BKS105" i="22"/>
  <c r="BKO105" i="22"/>
  <c r="BKK105" i="22"/>
  <c r="BKG105" i="22"/>
  <c r="BKC105" i="22"/>
  <c r="BJY105" i="22"/>
  <c r="BJU105" i="22"/>
  <c r="BJQ105" i="22"/>
  <c r="BJM105" i="22"/>
  <c r="BJI105" i="22"/>
  <c r="BJE105" i="22"/>
  <c r="BJA105" i="22"/>
  <c r="BIW105" i="22"/>
  <c r="BIS105" i="22"/>
  <c r="BIO105" i="22"/>
  <c r="BIK105" i="22"/>
  <c r="BIG105" i="22"/>
  <c r="BIC105" i="22"/>
  <c r="BHY105" i="22"/>
  <c r="BHU105" i="22"/>
  <c r="BHQ105" i="22"/>
  <c r="BHM105" i="22"/>
  <c r="BHI105" i="22"/>
  <c r="BHE105" i="22"/>
  <c r="BHA105" i="22"/>
  <c r="BGW105" i="22"/>
  <c r="BGS105" i="22"/>
  <c r="BGO105" i="22"/>
  <c r="BGK105" i="22"/>
  <c r="BGG105" i="22"/>
  <c r="BGC105" i="22"/>
  <c r="BFY105" i="22"/>
  <c r="BFU105" i="22"/>
  <c r="BFQ105" i="22"/>
  <c r="BFM105" i="22"/>
  <c r="BFI105" i="22"/>
  <c r="BFE105" i="22"/>
  <c r="BFA105" i="22"/>
  <c r="BEW105" i="22"/>
  <c r="BES105" i="22"/>
  <c r="BEO105" i="22"/>
  <c r="BEK105" i="22"/>
  <c r="BEG105" i="22"/>
  <c r="BEC105" i="22"/>
  <c r="BDY105" i="22"/>
  <c r="BDU105" i="22"/>
  <c r="BDQ105" i="22"/>
  <c r="BDM105" i="22"/>
  <c r="BDI105" i="22"/>
  <c r="BDE105" i="22"/>
  <c r="BDA105" i="22"/>
  <c r="BCW105" i="22"/>
  <c r="BCS105" i="22"/>
  <c r="BCO105" i="22"/>
  <c r="BCK105" i="22"/>
  <c r="BCG105" i="22"/>
  <c r="BCC105" i="22"/>
  <c r="BBY105" i="22"/>
  <c r="BBU105" i="22"/>
  <c r="BBQ105" i="22"/>
  <c r="BBM105" i="22"/>
  <c r="BBI105" i="22"/>
  <c r="BBE105" i="22"/>
  <c r="BBA105" i="22"/>
  <c r="BAW105" i="22"/>
  <c r="BAS105" i="22"/>
  <c r="BAO105" i="22"/>
  <c r="BAK105" i="22"/>
  <c r="BAG105" i="22"/>
  <c r="BAC105" i="22"/>
  <c r="AZY105" i="22"/>
  <c r="AZU105" i="22"/>
  <c r="AZQ105" i="22"/>
  <c r="AZM105" i="22"/>
  <c r="AZI105" i="22"/>
  <c r="AZE105" i="22"/>
  <c r="AZA105" i="22"/>
  <c r="AYW105" i="22"/>
  <c r="AYS105" i="22"/>
  <c r="AYO105" i="22"/>
  <c r="AYK105" i="22"/>
  <c r="AYG105" i="22"/>
  <c r="AYC105" i="22"/>
  <c r="AXY105" i="22"/>
  <c r="AXU105" i="22"/>
  <c r="AXQ105" i="22"/>
  <c r="AXM105" i="22"/>
  <c r="AXI105" i="22"/>
  <c r="AXE105" i="22"/>
  <c r="AXA105" i="22"/>
  <c r="AWW105" i="22"/>
  <c r="AWS105" i="22"/>
  <c r="AWO105" i="22"/>
  <c r="AWK105" i="22"/>
  <c r="AWG105" i="22"/>
  <c r="AWC105" i="22"/>
  <c r="AVY105" i="22"/>
  <c r="AVU105" i="22"/>
  <c r="AVQ105" i="22"/>
  <c r="AVM105" i="22"/>
  <c r="AVI105" i="22"/>
  <c r="AVE105" i="22"/>
  <c r="AVA105" i="22"/>
  <c r="AUW105" i="22"/>
  <c r="AUS105" i="22"/>
  <c r="AUO105" i="22"/>
  <c r="AUK105" i="22"/>
  <c r="AUG105" i="22"/>
  <c r="AUC105" i="22"/>
  <c r="ATY105" i="22"/>
  <c r="ATU105" i="22"/>
  <c r="ATQ105" i="22"/>
  <c r="ATM105" i="22"/>
  <c r="ATI105" i="22"/>
  <c r="ATE105" i="22"/>
  <c r="ATA105" i="22"/>
  <c r="ASW105" i="22"/>
  <c r="ASS105" i="22"/>
  <c r="ASO105" i="22"/>
  <c r="ASK105" i="22"/>
  <c r="ASG105" i="22"/>
  <c r="ASC105" i="22"/>
  <c r="ARY105" i="22"/>
  <c r="ARU105" i="22"/>
  <c r="ARQ105" i="22"/>
  <c r="ARM105" i="22"/>
  <c r="ARI105" i="22"/>
  <c r="ARE105" i="22"/>
  <c r="ARA105" i="22"/>
  <c r="AQW105" i="22"/>
  <c r="AQS105" i="22"/>
  <c r="AQO105" i="22"/>
  <c r="AQK105" i="22"/>
  <c r="AQG105" i="22"/>
  <c r="AQC105" i="22"/>
  <c r="APY105" i="22"/>
  <c r="APU105" i="22"/>
  <c r="APQ105" i="22"/>
  <c r="APM105" i="22"/>
  <c r="API105" i="22"/>
  <c r="APE105" i="22"/>
  <c r="APA105" i="22"/>
  <c r="AOW105" i="22"/>
  <c r="AOS105" i="22"/>
  <c r="AOO105" i="22"/>
  <c r="AOK105" i="22"/>
  <c r="AOG105" i="22"/>
  <c r="AOC105" i="22"/>
  <c r="ANY105" i="22"/>
  <c r="ANU105" i="22"/>
  <c r="ANQ105" i="22"/>
  <c r="ANM105" i="22"/>
  <c r="ANI105" i="22"/>
  <c r="ANE105" i="22"/>
  <c r="ANA105" i="22"/>
  <c r="AMW105" i="22"/>
  <c r="AMS105" i="22"/>
  <c r="AMO105" i="22"/>
  <c r="AMK105" i="22"/>
  <c r="AMG105" i="22"/>
  <c r="AMC105" i="22"/>
  <c r="ALY105" i="22"/>
  <c r="ALU105" i="22"/>
  <c r="ALQ105" i="22"/>
  <c r="ALM105" i="22"/>
  <c r="ALI105" i="22"/>
  <c r="ALE105" i="22"/>
  <c r="ALA105" i="22"/>
  <c r="AKW105" i="22"/>
  <c r="AKS105" i="22"/>
  <c r="AKO105" i="22"/>
  <c r="AKK105" i="22"/>
  <c r="AKG105" i="22"/>
  <c r="AKC105" i="22"/>
  <c r="AJY105" i="22"/>
  <c r="AJU105" i="22"/>
  <c r="AJQ105" i="22"/>
  <c r="AJM105" i="22"/>
  <c r="AJI105" i="22"/>
  <c r="AJE105" i="22"/>
  <c r="AJA105" i="22"/>
  <c r="AIW105" i="22"/>
  <c r="AIS105" i="22"/>
  <c r="AIO105" i="22"/>
  <c r="AIK105" i="22"/>
  <c r="AIG105" i="22"/>
  <c r="AIC105" i="22"/>
  <c r="AHY105" i="22"/>
  <c r="AHU105" i="22"/>
  <c r="AHQ105" i="22"/>
  <c r="AHM105" i="22"/>
  <c r="AHI105" i="22"/>
  <c r="AHE105" i="22"/>
  <c r="AHA105" i="22"/>
  <c r="AGW105" i="22"/>
  <c r="AGS105" i="22"/>
  <c r="AGO105" i="22"/>
  <c r="AGK105" i="22"/>
  <c r="AGG105" i="22"/>
  <c r="AGC105" i="22"/>
  <c r="AFY105" i="22"/>
  <c r="AFU105" i="22"/>
  <c r="AFQ105" i="22"/>
  <c r="AFM105" i="22"/>
  <c r="AFI105" i="22"/>
  <c r="AFE105" i="22"/>
  <c r="AFA105" i="22"/>
  <c r="AEW105" i="22"/>
  <c r="AES105" i="22"/>
  <c r="AEO105" i="22"/>
  <c r="AEK105" i="22"/>
  <c r="AEG105" i="22"/>
  <c r="AEC105" i="22"/>
  <c r="ADY105" i="22"/>
  <c r="ADU105" i="22"/>
  <c r="ADQ105" i="22"/>
  <c r="ADM105" i="22"/>
  <c r="ADI105" i="22"/>
  <c r="ADE105" i="22"/>
  <c r="ADA105" i="22"/>
  <c r="ACW105" i="22"/>
  <c r="ACS105" i="22"/>
  <c r="ACO105" i="22"/>
  <c r="ACK105" i="22"/>
  <c r="ACG105" i="22"/>
  <c r="ACC105" i="22"/>
  <c r="ABY105" i="22"/>
  <c r="ABU105" i="22"/>
  <c r="ABQ105" i="22"/>
  <c r="ABM105" i="22"/>
  <c r="ABI105" i="22"/>
  <c r="ABE105" i="22"/>
  <c r="ABA105" i="22"/>
  <c r="AAW105" i="22"/>
  <c r="AAS105" i="22"/>
  <c r="AAO105" i="22"/>
  <c r="AAK105" i="22"/>
  <c r="AAG105" i="22"/>
  <c r="AAC105" i="22"/>
  <c r="ZY105" i="22"/>
  <c r="ZU105" i="22"/>
  <c r="ZQ105" i="22"/>
  <c r="ZM105" i="22"/>
  <c r="ZI105" i="22"/>
  <c r="ZE105" i="22"/>
  <c r="ZA105" i="22"/>
  <c r="YW105" i="22"/>
  <c r="YS105" i="22"/>
  <c r="YO105" i="22"/>
  <c r="YK105" i="22"/>
  <c r="YG105" i="22"/>
  <c r="YC105" i="22"/>
  <c r="XY105" i="22"/>
  <c r="XU105" i="22"/>
  <c r="XQ105" i="22"/>
  <c r="XM105" i="22"/>
  <c r="XI105" i="22"/>
  <c r="XE105" i="22"/>
  <c r="XA105" i="22"/>
  <c r="WW105" i="22"/>
  <c r="WS105" i="22"/>
  <c r="WO105" i="22"/>
  <c r="WK105" i="22"/>
  <c r="WG105" i="22"/>
  <c r="WC105" i="22"/>
  <c r="VY105" i="22"/>
  <c r="VU105" i="22"/>
  <c r="VQ105" i="22"/>
  <c r="VM105" i="22"/>
  <c r="VI105" i="22"/>
  <c r="VE105" i="22"/>
  <c r="VA105" i="22"/>
  <c r="UW105" i="22"/>
  <c r="US105" i="22"/>
  <c r="UO105" i="22"/>
  <c r="UK105" i="22"/>
  <c r="UG105" i="22"/>
  <c r="UC105" i="22"/>
  <c r="TY105" i="22"/>
  <c r="TU105" i="22"/>
  <c r="TQ105" i="22"/>
  <c r="TM105" i="22"/>
  <c r="TI105" i="22"/>
  <c r="TE105" i="22"/>
  <c r="TA105" i="22"/>
  <c r="SW105" i="22"/>
  <c r="SS105" i="22"/>
  <c r="SO105" i="22"/>
  <c r="SK105" i="22"/>
  <c r="SG105" i="22"/>
  <c r="SC105" i="22"/>
  <c r="RY105" i="22"/>
  <c r="RU105" i="22"/>
  <c r="RQ105" i="22"/>
  <c r="RM105" i="22"/>
  <c r="RI105" i="22"/>
  <c r="RE105" i="22"/>
  <c r="RA105" i="22"/>
  <c r="QW105" i="22"/>
  <c r="QS105" i="22"/>
  <c r="QO105" i="22"/>
  <c r="QK105" i="22"/>
  <c r="QG105" i="22"/>
  <c r="QC105" i="22"/>
  <c r="PY105" i="22"/>
  <c r="PU105" i="22"/>
  <c r="PQ105" i="22"/>
  <c r="PM105" i="22"/>
  <c r="PI105" i="22"/>
  <c r="PE105" i="22"/>
  <c r="PA105" i="22"/>
  <c r="OW105" i="22"/>
  <c r="OS105" i="22"/>
  <c r="OO105" i="22"/>
  <c r="OK105" i="22"/>
  <c r="OG105" i="22"/>
  <c r="OC105" i="22"/>
  <c r="NY105" i="22"/>
  <c r="NU105" i="22"/>
  <c r="NQ105" i="22"/>
  <c r="NM105" i="22"/>
  <c r="NI105" i="22"/>
  <c r="NE105" i="22"/>
  <c r="NA105" i="22"/>
  <c r="MW105" i="22"/>
  <c r="MS105" i="22"/>
  <c r="MO105" i="22"/>
  <c r="MK105" i="22"/>
  <c r="MG105" i="22"/>
  <c r="MC105" i="22"/>
  <c r="LY105" i="22"/>
  <c r="LU105" i="22"/>
  <c r="LQ105" i="22"/>
  <c r="LM105" i="22"/>
  <c r="LI105" i="22"/>
  <c r="LE105" i="22"/>
  <c r="LA105" i="22"/>
  <c r="KW105" i="22"/>
  <c r="KS105" i="22"/>
  <c r="KO105" i="22"/>
  <c r="KK105" i="22"/>
  <c r="KG105" i="22"/>
  <c r="KC105" i="22"/>
  <c r="JY105" i="22"/>
  <c r="JU105" i="22"/>
  <c r="JQ105" i="22"/>
  <c r="JM105" i="22"/>
  <c r="JI105" i="22"/>
  <c r="JE105" i="22"/>
  <c r="JA105" i="22"/>
  <c r="IW105" i="22"/>
  <c r="IS105" i="22"/>
  <c r="IO105" i="22"/>
  <c r="IK105" i="22"/>
  <c r="IG105" i="22"/>
  <c r="IC105" i="22"/>
  <c r="HY105" i="22"/>
  <c r="HU105" i="22"/>
  <c r="HQ105" i="22"/>
  <c r="HM105" i="22"/>
  <c r="HI105" i="22"/>
  <c r="HE105" i="22"/>
  <c r="HA105" i="22"/>
  <c r="GW105" i="22"/>
  <c r="GS105" i="22"/>
  <c r="GO105" i="22"/>
  <c r="GK105" i="22"/>
  <c r="GG105" i="22"/>
  <c r="GC105" i="22"/>
  <c r="FY105" i="22"/>
  <c r="FU105" i="22"/>
  <c r="FQ105" i="22"/>
  <c r="FM105" i="22"/>
  <c r="FI105" i="22"/>
  <c r="FE105" i="22"/>
  <c r="FA105" i="22"/>
  <c r="EW105" i="22"/>
  <c r="ES105" i="22"/>
  <c r="EO105" i="22"/>
  <c r="EK105" i="22"/>
  <c r="EG105" i="22"/>
  <c r="EC105" i="22"/>
  <c r="DY105" i="22"/>
  <c r="DU105" i="22"/>
  <c r="DQ105" i="22"/>
  <c r="DM105" i="22"/>
  <c r="DI105" i="22"/>
  <c r="DE105" i="22"/>
  <c r="DA105" i="22"/>
  <c r="CW105" i="22"/>
  <c r="CS105" i="22"/>
  <c r="CO105" i="22"/>
  <c r="CK105" i="22"/>
  <c r="CG105" i="22"/>
  <c r="CC105" i="22"/>
  <c r="BY105" i="22"/>
  <c r="BU105" i="22"/>
  <c r="BQ105" i="22"/>
  <c r="BM105" i="22"/>
  <c r="BI105" i="22"/>
  <c r="BE105" i="22"/>
  <c r="BA105" i="22"/>
  <c r="AW105" i="22"/>
  <c r="AS105" i="22"/>
  <c r="AO105" i="22"/>
  <c r="AK105" i="22"/>
  <c r="AG105" i="22"/>
  <c r="AC105" i="22"/>
  <c r="Q105" i="22"/>
  <c r="M105" i="22"/>
  <c r="E105" i="22"/>
  <c r="E99" i="22"/>
  <c r="E93" i="22"/>
  <c r="B102" i="22"/>
  <c r="B96" i="22"/>
  <c r="D23" i="22"/>
  <c r="L14" i="22"/>
  <c r="N14" i="22"/>
  <c r="O14" i="22"/>
  <c r="P14" i="22"/>
  <c r="Q14" i="22"/>
  <c r="E23" i="25" l="1"/>
  <c r="C24" i="25" a="1"/>
  <c r="C24" i="25" s="1"/>
  <c r="B25" i="25"/>
  <c r="G38" i="22"/>
  <c r="F37" i="22"/>
  <c r="F38" i="22"/>
  <c r="H81" i="22"/>
  <c r="H80" i="22"/>
  <c r="E24" i="25" l="1"/>
  <c r="C25" i="25" a="1"/>
  <c r="C25" i="25" s="1"/>
  <c r="B26" i="25"/>
  <c r="G66" i="22"/>
  <c r="F129" i="22" s="1"/>
  <c r="G80" i="2"/>
  <c r="G79" i="2"/>
  <c r="O10" i="2"/>
  <c r="E25" i="25" l="1"/>
  <c r="B27" i="25"/>
  <c r="C26" i="25" a="1"/>
  <c r="C26" i="25" s="1"/>
  <c r="F126" i="22"/>
  <c r="F125" i="22"/>
  <c r="D126" i="22"/>
  <c r="U87" i="2"/>
  <c r="S95" i="2" s="1"/>
  <c r="H5" i="23" a="1"/>
  <c r="H5" i="23" s="1"/>
  <c r="L49" i="10"/>
  <c r="I49" i="10"/>
  <c r="F49" i="10"/>
  <c r="G74" i="2"/>
  <c r="R95" i="2"/>
  <c r="G75" i="2"/>
  <c r="G76" i="2"/>
  <c r="U84" i="2"/>
  <c r="T95" i="2" s="1"/>
  <c r="G77" i="2"/>
  <c r="S10" i="2"/>
  <c r="K10" i="2"/>
  <c r="G10" i="2"/>
  <c r="K11" i="2"/>
  <c r="G11" i="2"/>
  <c r="E10" i="1"/>
  <c r="F23" i="25" s="1"/>
  <c r="G23" i="25" s="1"/>
  <c r="E11" i="1"/>
  <c r="F21" i="25" s="1"/>
  <c r="G21" i="25" s="1"/>
  <c r="E12" i="1"/>
  <c r="F17" i="25" s="1"/>
  <c r="G17" i="25" s="1"/>
  <c r="E13" i="1"/>
  <c r="F25" i="25" s="1"/>
  <c r="E14" i="1"/>
  <c r="F24" i="25" s="1"/>
  <c r="G24" i="25" s="1"/>
  <c r="E15" i="1"/>
  <c r="H25" i="10" s="1"/>
  <c r="E16" i="1"/>
  <c r="F15" i="25" s="1"/>
  <c r="G15" i="25" s="1"/>
  <c r="E17" i="1"/>
  <c r="E18" i="1"/>
  <c r="F16" i="25" s="1"/>
  <c r="G16" i="25" s="1"/>
  <c r="E19" i="1"/>
  <c r="F18" i="25" s="1"/>
  <c r="G18" i="25" s="1"/>
  <c r="E20" i="1"/>
  <c r="E21" i="1"/>
  <c r="E22" i="1"/>
  <c r="E23" i="1"/>
  <c r="Q8" i="22"/>
  <c r="P8" i="22"/>
  <c r="Q22" i="22"/>
  <c r="Q21" i="22"/>
  <c r="Q20" i="22"/>
  <c r="Q19" i="22"/>
  <c r="Q18" i="22"/>
  <c r="Q17" i="22"/>
  <c r="Q16" i="22"/>
  <c r="Q15" i="22"/>
  <c r="Q13" i="22"/>
  <c r="Q12" i="22"/>
  <c r="Q11" i="22"/>
  <c r="Q10" i="22"/>
  <c r="Q9" i="22"/>
  <c r="Q7" i="22"/>
  <c r="D25" i="22"/>
  <c r="F4" i="3"/>
  <c r="J5" i="3" s="1"/>
  <c r="F16" i="3"/>
  <c r="G61" i="22"/>
  <c r="D129" i="22" s="1"/>
  <c r="L32" i="7" s="1"/>
  <c r="G56" i="22"/>
  <c r="B129" i="22" s="1"/>
  <c r="G51" i="22"/>
  <c r="C24" i="22"/>
  <c r="K22" i="23" s="1"/>
  <c r="P7" i="22"/>
  <c r="N7" i="22"/>
  <c r="P9" i="22"/>
  <c r="P10" i="22"/>
  <c r="P11" i="22"/>
  <c r="P12" i="22"/>
  <c r="P13" i="22"/>
  <c r="P15" i="22"/>
  <c r="P16" i="22"/>
  <c r="P17" i="22"/>
  <c r="P18" i="22"/>
  <c r="P19" i="22"/>
  <c r="P20" i="22"/>
  <c r="P21" i="22"/>
  <c r="P22" i="22"/>
  <c r="O8" i="22"/>
  <c r="I11" i="6"/>
  <c r="I12" i="6"/>
  <c r="I13" i="6"/>
  <c r="I14" i="6"/>
  <c r="I15" i="6"/>
  <c r="I10" i="6"/>
  <c r="F11" i="6"/>
  <c r="F12" i="6"/>
  <c r="F13" i="6"/>
  <c r="F14" i="6"/>
  <c r="F15" i="6"/>
  <c r="F10" i="6"/>
  <c r="K8" i="1"/>
  <c r="H7" i="1"/>
  <c r="B68" i="2"/>
  <c r="M14" i="22" l="1"/>
  <c r="F19" i="25"/>
  <c r="G19" i="25" s="1"/>
  <c r="G25" i="25"/>
  <c r="F26" i="25"/>
  <c r="E26" i="25"/>
  <c r="B28" i="25"/>
  <c r="C27" i="25" a="1"/>
  <c r="C27" i="25" s="1"/>
  <c r="F27" i="25" s="1"/>
  <c r="L127" i="22"/>
  <c r="D57" i="22"/>
  <c r="D56" i="22" s="1"/>
  <c r="B127" i="22" s="1"/>
  <c r="O14" i="23"/>
  <c r="D52" i="22"/>
  <c r="D51" i="22" s="1"/>
  <c r="L36" i="7"/>
  <c r="L31" i="7"/>
  <c r="M120" i="22"/>
  <c r="N120" i="22" s="1"/>
  <c r="M119" i="22"/>
  <c r="N119" i="22" s="1"/>
  <c r="M121" i="22"/>
  <c r="N121" i="22" s="1"/>
  <c r="M117" i="22"/>
  <c r="N117" i="22" s="1"/>
  <c r="M118" i="22"/>
  <c r="N118" i="22" s="1"/>
  <c r="I59" i="23"/>
  <c r="J59" i="23" s="1"/>
  <c r="I63" i="23"/>
  <c r="J63" i="23" s="1"/>
  <c r="I67" i="23"/>
  <c r="J67" i="23" s="1"/>
  <c r="I71" i="23"/>
  <c r="J71" i="23" s="1"/>
  <c r="I75" i="23"/>
  <c r="J75" i="23" s="1"/>
  <c r="I79" i="23"/>
  <c r="J79" i="23" s="1"/>
  <c r="I83" i="23"/>
  <c r="J83" i="23" s="1"/>
  <c r="I87" i="23"/>
  <c r="J87" i="23" s="1"/>
  <c r="I91" i="23"/>
  <c r="J91" i="23" s="1"/>
  <c r="I95" i="23"/>
  <c r="J95" i="23" s="1"/>
  <c r="I99" i="23"/>
  <c r="J99" i="23" s="1"/>
  <c r="I103" i="23"/>
  <c r="J103" i="23" s="1"/>
  <c r="I107" i="23"/>
  <c r="J107" i="23" s="1"/>
  <c r="I111" i="23"/>
  <c r="J111" i="23" s="1"/>
  <c r="I115" i="23"/>
  <c r="J115" i="23" s="1"/>
  <c r="I119" i="23"/>
  <c r="J119" i="23" s="1"/>
  <c r="I104" i="23"/>
  <c r="J104" i="23" s="1"/>
  <c r="I112" i="23"/>
  <c r="J112" i="23" s="1"/>
  <c r="I120" i="23"/>
  <c r="J120" i="23" s="1"/>
  <c r="I65" i="23"/>
  <c r="J65" i="23" s="1"/>
  <c r="I73" i="23"/>
  <c r="J73" i="23" s="1"/>
  <c r="I81" i="23"/>
  <c r="J81" i="23" s="1"/>
  <c r="I89" i="23"/>
  <c r="J89" i="23" s="1"/>
  <c r="I97" i="23"/>
  <c r="J97" i="23" s="1"/>
  <c r="I105" i="23"/>
  <c r="J105" i="23" s="1"/>
  <c r="I113" i="23"/>
  <c r="J113" i="23" s="1"/>
  <c r="I58" i="23"/>
  <c r="J58" i="23" s="1"/>
  <c r="I66" i="23"/>
  <c r="J66" i="23" s="1"/>
  <c r="I74" i="23"/>
  <c r="J74" i="23" s="1"/>
  <c r="I94" i="23"/>
  <c r="J94" i="23" s="1"/>
  <c r="I106" i="23"/>
  <c r="J106" i="23" s="1"/>
  <c r="I114" i="23"/>
  <c r="J114" i="23" s="1"/>
  <c r="I60" i="23"/>
  <c r="J60" i="23" s="1"/>
  <c r="I64" i="23"/>
  <c r="J64" i="23" s="1"/>
  <c r="I68" i="23"/>
  <c r="J68" i="23" s="1"/>
  <c r="I72" i="23"/>
  <c r="J72" i="23" s="1"/>
  <c r="I76" i="23"/>
  <c r="J76" i="23" s="1"/>
  <c r="I80" i="23"/>
  <c r="J80" i="23" s="1"/>
  <c r="I84" i="23"/>
  <c r="J84" i="23" s="1"/>
  <c r="I88" i="23"/>
  <c r="J88" i="23" s="1"/>
  <c r="I92" i="23"/>
  <c r="J92" i="23" s="1"/>
  <c r="I96" i="23"/>
  <c r="J96" i="23" s="1"/>
  <c r="I100" i="23"/>
  <c r="J100" i="23" s="1"/>
  <c r="I108" i="23"/>
  <c r="J108" i="23" s="1"/>
  <c r="I116" i="23"/>
  <c r="J116" i="23" s="1"/>
  <c r="I61" i="23"/>
  <c r="J61" i="23" s="1"/>
  <c r="I69" i="23"/>
  <c r="J69" i="23" s="1"/>
  <c r="I77" i="23"/>
  <c r="J77" i="23" s="1"/>
  <c r="I85" i="23"/>
  <c r="J85" i="23" s="1"/>
  <c r="I93" i="23"/>
  <c r="J93" i="23" s="1"/>
  <c r="I101" i="23"/>
  <c r="J101" i="23" s="1"/>
  <c r="I109" i="23"/>
  <c r="J109" i="23" s="1"/>
  <c r="I117" i="23"/>
  <c r="J117" i="23" s="1"/>
  <c r="I62" i="23"/>
  <c r="J62" i="23" s="1"/>
  <c r="I70" i="23"/>
  <c r="J70" i="23" s="1"/>
  <c r="I78" i="23"/>
  <c r="J78" i="23" s="1"/>
  <c r="I82" i="23"/>
  <c r="J82" i="23" s="1"/>
  <c r="I86" i="23"/>
  <c r="J86" i="23" s="1"/>
  <c r="I90" i="23"/>
  <c r="J90" i="23" s="1"/>
  <c r="I98" i="23"/>
  <c r="J98" i="23" s="1"/>
  <c r="I102" i="23"/>
  <c r="J102" i="23" s="1"/>
  <c r="I110" i="23"/>
  <c r="J110" i="23" s="1"/>
  <c r="I118" i="23"/>
  <c r="J118" i="23" s="1"/>
  <c r="E104" i="22"/>
  <c r="E103" i="22" s="1"/>
  <c r="E98" i="22"/>
  <c r="E97" i="22" s="1"/>
  <c r="E92" i="22"/>
  <c r="F91" i="22" s="1"/>
  <c r="N71" i="22"/>
  <c r="D67" i="22"/>
  <c r="D66" i="22" s="1"/>
  <c r="D62" i="22"/>
  <c r="S5" i="3"/>
  <c r="T5" i="3" s="1"/>
  <c r="S9" i="3"/>
  <c r="T9" i="3" s="1"/>
  <c r="S6" i="3"/>
  <c r="T6" i="3" s="1"/>
  <c r="S10" i="3"/>
  <c r="T10" i="3" s="1"/>
  <c r="AG8" i="3"/>
  <c r="S8" i="3"/>
  <c r="T8" i="3" s="1"/>
  <c r="AG4" i="3"/>
  <c r="S7" i="3"/>
  <c r="T7" i="3" s="1"/>
  <c r="X4" i="3"/>
  <c r="J9" i="3"/>
  <c r="J8" i="3"/>
  <c r="J7" i="3"/>
  <c r="J4" i="3"/>
  <c r="J6" i="3"/>
  <c r="I57" i="23"/>
  <c r="J57" i="23" s="1"/>
  <c r="I24" i="23"/>
  <c r="J24" i="23" s="1"/>
  <c r="I29" i="23"/>
  <c r="J29" i="23" s="1"/>
  <c r="I34" i="23"/>
  <c r="J34" i="23" s="1"/>
  <c r="I40" i="23"/>
  <c r="J40" i="23" s="1"/>
  <c r="I45" i="23"/>
  <c r="J45" i="23" s="1"/>
  <c r="I50" i="23"/>
  <c r="J50" i="23" s="1"/>
  <c r="I55" i="23"/>
  <c r="J55" i="23" s="1"/>
  <c r="I25" i="23"/>
  <c r="J25" i="23" s="1"/>
  <c r="I30" i="23"/>
  <c r="J30" i="23" s="1"/>
  <c r="I36" i="23"/>
  <c r="J36" i="23" s="1"/>
  <c r="I41" i="23"/>
  <c r="J41" i="23" s="1"/>
  <c r="I46" i="23"/>
  <c r="J46" i="23" s="1"/>
  <c r="I23" i="23"/>
  <c r="J23" i="23" s="1"/>
  <c r="I54" i="23"/>
  <c r="J54" i="23" s="1"/>
  <c r="I26" i="23"/>
  <c r="J26" i="23" s="1"/>
  <c r="I32" i="23"/>
  <c r="J32" i="23" s="1"/>
  <c r="I37" i="23"/>
  <c r="J37" i="23" s="1"/>
  <c r="I42" i="23"/>
  <c r="J42" i="23" s="1"/>
  <c r="I48" i="23"/>
  <c r="J48" i="23" s="1"/>
  <c r="I22" i="23"/>
  <c r="J22" i="23" s="1"/>
  <c r="I28" i="23"/>
  <c r="J28" i="23" s="1"/>
  <c r="I33" i="23"/>
  <c r="J33" i="23" s="1"/>
  <c r="I38" i="23"/>
  <c r="J38" i="23" s="1"/>
  <c r="I44" i="23"/>
  <c r="J44" i="23" s="1"/>
  <c r="I49" i="23"/>
  <c r="J49" i="23" s="1"/>
  <c r="C22" i="23"/>
  <c r="E36" i="23" s="1"/>
  <c r="F36" i="23" s="1"/>
  <c r="I51" i="23"/>
  <c r="J51" i="23" s="1"/>
  <c r="I47" i="23"/>
  <c r="J47" i="23" s="1"/>
  <c r="I43" i="23"/>
  <c r="J43" i="23" s="1"/>
  <c r="I39" i="23"/>
  <c r="J39" i="23" s="1"/>
  <c r="I35" i="23"/>
  <c r="J35" i="23" s="1"/>
  <c r="I31" i="23"/>
  <c r="J31" i="23" s="1"/>
  <c r="I27" i="23"/>
  <c r="J27" i="23" s="1"/>
  <c r="I52" i="23"/>
  <c r="J52" i="23" s="1"/>
  <c r="I56" i="23"/>
  <c r="J56" i="23" s="1"/>
  <c r="I53" i="23"/>
  <c r="J53" i="23" s="1"/>
  <c r="N78" i="22"/>
  <c r="M78" i="22" s="1"/>
  <c r="N74" i="22"/>
  <c r="O74" i="22" s="1"/>
  <c r="N77" i="22"/>
  <c r="M77" i="22" s="1"/>
  <c r="N73" i="22"/>
  <c r="M73" i="22" s="1"/>
  <c r="N70" i="22"/>
  <c r="M70" i="22" s="1"/>
  <c r="N76" i="22"/>
  <c r="O76" i="22" s="1"/>
  <c r="N72" i="22"/>
  <c r="O72" i="22" s="1"/>
  <c r="N79" i="22"/>
  <c r="M79" i="22" s="1"/>
  <c r="N75" i="22"/>
  <c r="M75" i="22" s="1"/>
  <c r="N61" i="22"/>
  <c r="N57" i="22"/>
  <c r="N54" i="22"/>
  <c r="O54" i="22" s="1"/>
  <c r="N60" i="22"/>
  <c r="O60" i="22" s="1"/>
  <c r="N56" i="22"/>
  <c r="O56" i="22" s="1"/>
  <c r="N63" i="22"/>
  <c r="O63" i="22" s="1"/>
  <c r="N59" i="22"/>
  <c r="O59" i="22" s="1"/>
  <c r="N55" i="22"/>
  <c r="O55" i="22" s="1"/>
  <c r="N62" i="22"/>
  <c r="O62" i="22" s="1"/>
  <c r="N58" i="22"/>
  <c r="O58" i="22" s="1"/>
  <c r="M110" i="22"/>
  <c r="N110" i="22" s="1"/>
  <c r="M114" i="22"/>
  <c r="N114" i="22" s="1"/>
  <c r="N127" i="22"/>
  <c r="L131" i="22"/>
  <c r="N131" i="22" s="1"/>
  <c r="L135" i="22"/>
  <c r="N135" i="22" s="1"/>
  <c r="M113" i="22"/>
  <c r="N113" i="22" s="1"/>
  <c r="L128" i="22"/>
  <c r="O128" i="22" s="1"/>
  <c r="L132" i="22"/>
  <c r="O132" i="22" s="1"/>
  <c r="L136" i="22"/>
  <c r="O136" i="22" s="1"/>
  <c r="M116" i="22"/>
  <c r="N116" i="22" s="1"/>
  <c r="M112" i="22"/>
  <c r="N112" i="22" s="1"/>
  <c r="L129" i="22"/>
  <c r="O129" i="22" s="1"/>
  <c r="L133" i="22"/>
  <c r="O133" i="22" s="1"/>
  <c r="L137" i="22"/>
  <c r="O137" i="22" s="1"/>
  <c r="M115" i="22"/>
  <c r="N115" i="22" s="1"/>
  <c r="M111" i="22"/>
  <c r="N111" i="22" s="1"/>
  <c r="L130" i="22"/>
  <c r="O130" i="22" s="1"/>
  <c r="L134" i="22"/>
  <c r="O134" i="22" s="1"/>
  <c r="B57" i="2"/>
  <c r="B58" i="2"/>
  <c r="B59" i="2"/>
  <c r="B60" i="2"/>
  <c r="B61" i="2"/>
  <c r="B62" i="2"/>
  <c r="B63" i="2"/>
  <c r="B47" i="2"/>
  <c r="B48" i="2"/>
  <c r="B49" i="2"/>
  <c r="B50" i="2"/>
  <c r="B51" i="2"/>
  <c r="B35" i="2"/>
  <c r="B36" i="2"/>
  <c r="B37" i="2"/>
  <c r="B38" i="2"/>
  <c r="B39" i="2"/>
  <c r="B40" i="2"/>
  <c r="B41" i="2"/>
  <c r="B42" i="2"/>
  <c r="B27" i="2"/>
  <c r="B28" i="2"/>
  <c r="B29" i="2"/>
  <c r="B30" i="2"/>
  <c r="B16" i="2"/>
  <c r="B17" i="2"/>
  <c r="B18" i="2"/>
  <c r="B19" i="2"/>
  <c r="B20" i="2"/>
  <c r="B21" i="2"/>
  <c r="B22" i="2"/>
  <c r="B56" i="2"/>
  <c r="B46" i="2"/>
  <c r="B34" i="2"/>
  <c r="B26" i="2"/>
  <c r="B15" i="2"/>
  <c r="F67" i="2" l="1"/>
  <c r="F65" i="2"/>
  <c r="F66" i="2"/>
  <c r="F64" i="2"/>
  <c r="G26" i="25"/>
  <c r="B30" i="22"/>
  <c r="E27" i="25"/>
  <c r="G27" i="25" s="1"/>
  <c r="C28" i="25" a="1"/>
  <c r="C28" i="25" s="1"/>
  <c r="F28" i="25" s="1"/>
  <c r="B29" i="25"/>
  <c r="C29" i="25" s="1" a="1"/>
  <c r="C29" i="25" s="1"/>
  <c r="F29" i="25" s="1"/>
  <c r="D61" i="22"/>
  <c r="D127" i="22" s="1"/>
  <c r="E91" i="22"/>
  <c r="E61" i="22"/>
  <c r="F17" i="2"/>
  <c r="F60" i="2"/>
  <c r="F40" i="2"/>
  <c r="F36" i="2"/>
  <c r="F59" i="2"/>
  <c r="F43" i="2"/>
  <c r="F27" i="2"/>
  <c r="F62" i="2"/>
  <c r="F46" i="2"/>
  <c r="F30" i="2"/>
  <c r="F49" i="2"/>
  <c r="F33" i="2"/>
  <c r="F48" i="2"/>
  <c r="F44" i="2"/>
  <c r="F24" i="2"/>
  <c r="F20" i="2"/>
  <c r="F55" i="2"/>
  <c r="F39" i="2"/>
  <c r="F23" i="2"/>
  <c r="F58" i="2"/>
  <c r="F42" i="2"/>
  <c r="F26" i="2"/>
  <c r="F61" i="2"/>
  <c r="F45" i="2"/>
  <c r="F29" i="2"/>
  <c r="F32" i="2"/>
  <c r="F28" i="2"/>
  <c r="F15" i="2"/>
  <c r="F68" i="2"/>
  <c r="F51" i="2"/>
  <c r="F35" i="2"/>
  <c r="F19" i="2"/>
  <c r="F54" i="2"/>
  <c r="F38" i="2"/>
  <c r="F22" i="2"/>
  <c r="F57" i="2"/>
  <c r="F41" i="2"/>
  <c r="F25" i="2"/>
  <c r="F16" i="2"/>
  <c r="F56" i="2"/>
  <c r="F52" i="2"/>
  <c r="F63" i="2"/>
  <c r="F47" i="2"/>
  <c r="F31" i="2"/>
  <c r="F50" i="2"/>
  <c r="F18" i="2"/>
  <c r="F53" i="2"/>
  <c r="F37" i="2"/>
  <c r="F21" i="2"/>
  <c r="G37" i="22"/>
  <c r="O17" i="23"/>
  <c r="R17" i="23" s="1"/>
  <c r="B31" i="22" s="1"/>
  <c r="F103" i="22"/>
  <c r="F97" i="22"/>
  <c r="F127" i="22"/>
  <c r="E22" i="23"/>
  <c r="F22" i="23" s="1"/>
  <c r="E56" i="22"/>
  <c r="E51" i="22"/>
  <c r="E47" i="23"/>
  <c r="F47" i="23" s="1"/>
  <c r="E27" i="23"/>
  <c r="F27" i="23" s="1"/>
  <c r="E48" i="23"/>
  <c r="F48" i="23" s="1"/>
  <c r="E31" i="23"/>
  <c r="F31" i="23" s="1"/>
  <c r="E43" i="23"/>
  <c r="F43" i="23" s="1"/>
  <c r="E54" i="23"/>
  <c r="F54" i="23" s="1"/>
  <c r="E35" i="23"/>
  <c r="F35" i="23" s="1"/>
  <c r="E51" i="23"/>
  <c r="F51" i="23" s="1"/>
  <c r="E32" i="23"/>
  <c r="F32" i="23" s="1"/>
  <c r="E23" i="23"/>
  <c r="F23" i="23" s="1"/>
  <c r="E39" i="23"/>
  <c r="F39" i="23" s="1"/>
  <c r="E55" i="23"/>
  <c r="F55" i="23" s="1"/>
  <c r="E56" i="23"/>
  <c r="F56" i="23" s="1"/>
  <c r="E29" i="23"/>
  <c r="F29" i="23" s="1"/>
  <c r="E37" i="23"/>
  <c r="F37" i="23" s="1"/>
  <c r="E45" i="23"/>
  <c r="F45" i="23" s="1"/>
  <c r="E53" i="23"/>
  <c r="F53" i="23" s="1"/>
  <c r="E30" i="23"/>
  <c r="F30" i="23" s="1"/>
  <c r="E38" i="23"/>
  <c r="F38" i="23" s="1"/>
  <c r="E46" i="23"/>
  <c r="F46" i="23" s="1"/>
  <c r="E52" i="23"/>
  <c r="F52" i="23" s="1"/>
  <c r="E25" i="23"/>
  <c r="F25" i="23" s="1"/>
  <c r="E33" i="23"/>
  <c r="F33" i="23" s="1"/>
  <c r="E41" i="23"/>
  <c r="F41" i="23" s="1"/>
  <c r="E49" i="23"/>
  <c r="F49" i="23" s="1"/>
  <c r="E57" i="23"/>
  <c r="F57" i="23" s="1"/>
  <c r="E26" i="23"/>
  <c r="F26" i="23" s="1"/>
  <c r="E34" i="23"/>
  <c r="F34" i="23" s="1"/>
  <c r="E42" i="23"/>
  <c r="F42" i="23" s="1"/>
  <c r="E50" i="23"/>
  <c r="F50" i="23" s="1"/>
  <c r="E24" i="23"/>
  <c r="F24" i="23" s="1"/>
  <c r="E40" i="23"/>
  <c r="F40" i="23" s="1"/>
  <c r="E28" i="23"/>
  <c r="F28" i="23" s="1"/>
  <c r="E44" i="23"/>
  <c r="F44" i="23" s="1"/>
  <c r="N128" i="22"/>
  <c r="N132" i="22"/>
  <c r="N129" i="22"/>
  <c r="N136" i="22"/>
  <c r="N133" i="22"/>
  <c r="N130" i="22"/>
  <c r="N137" i="22"/>
  <c r="N134" i="22"/>
  <c r="M131" i="22"/>
  <c r="O131" i="22"/>
  <c r="M135" i="22"/>
  <c r="O135" i="22"/>
  <c r="O127" i="22"/>
  <c r="M127" i="22"/>
  <c r="O75" i="22"/>
  <c r="M74" i="22"/>
  <c r="O70" i="22"/>
  <c r="O79" i="22"/>
  <c r="M76" i="22"/>
  <c r="O77" i="22"/>
  <c r="M72" i="22"/>
  <c r="O73" i="22"/>
  <c r="M61" i="22"/>
  <c r="O61" i="22"/>
  <c r="O78" i="22"/>
  <c r="O71" i="22"/>
  <c r="M71" i="22"/>
  <c r="M57" i="22"/>
  <c r="O57" i="22"/>
  <c r="M134" i="22"/>
  <c r="M62" i="22"/>
  <c r="M129" i="22"/>
  <c r="M59" i="22"/>
  <c r="M137" i="22"/>
  <c r="M132" i="22"/>
  <c r="M56" i="22"/>
  <c r="M54" i="22"/>
  <c r="M58" i="22"/>
  <c r="M133" i="22"/>
  <c r="M55" i="22"/>
  <c r="M128" i="22"/>
  <c r="M60" i="22"/>
  <c r="M130" i="22"/>
  <c r="M63" i="22"/>
  <c r="M136" i="22"/>
  <c r="C82" i="6"/>
  <c r="E82" i="6"/>
  <c r="G82" i="6"/>
  <c r="D9" i="23"/>
  <c r="D8" i="23"/>
  <c r="D7" i="23"/>
  <c r="D6" i="23"/>
  <c r="D5" i="23"/>
  <c r="M10" i="22"/>
  <c r="M11" i="22"/>
  <c r="M15" i="22"/>
  <c r="M18" i="22"/>
  <c r="M19" i="22"/>
  <c r="M8" i="22"/>
  <c r="N8" i="22"/>
  <c r="M9" i="22"/>
  <c r="N9" i="22"/>
  <c r="O9" i="22"/>
  <c r="N10" i="22"/>
  <c r="O10" i="22"/>
  <c r="N11" i="22"/>
  <c r="O11" i="22"/>
  <c r="M12" i="22"/>
  <c r="N12" i="22"/>
  <c r="O12" i="22"/>
  <c r="M13" i="22"/>
  <c r="N13" i="22"/>
  <c r="O13" i="22"/>
  <c r="N15" i="22"/>
  <c r="O15" i="22"/>
  <c r="N16" i="22"/>
  <c r="O16" i="22"/>
  <c r="N17" i="22"/>
  <c r="O17" i="22"/>
  <c r="N18" i="22"/>
  <c r="O18" i="22"/>
  <c r="N19" i="22"/>
  <c r="O19" i="22"/>
  <c r="N20" i="22"/>
  <c r="O20" i="22"/>
  <c r="M21" i="22"/>
  <c r="N21" i="22"/>
  <c r="O21" i="22"/>
  <c r="N22" i="22"/>
  <c r="O22" i="22"/>
  <c r="L9" i="22"/>
  <c r="L10" i="22"/>
  <c r="L11" i="22"/>
  <c r="L12" i="22"/>
  <c r="L13" i="22"/>
  <c r="L15" i="22"/>
  <c r="L16" i="22"/>
  <c r="L17" i="22"/>
  <c r="L18" i="22"/>
  <c r="L19" i="22"/>
  <c r="L20" i="22"/>
  <c r="L21" i="22"/>
  <c r="L22" i="22"/>
  <c r="L8" i="22"/>
  <c r="M20" i="22"/>
  <c r="M22" i="22"/>
  <c r="H70" i="22"/>
  <c r="F66" i="22"/>
  <c r="F61" i="22"/>
  <c r="F56" i="22"/>
  <c r="H6" i="23" a="1"/>
  <c r="H6" i="23" s="1"/>
  <c r="D70" i="22"/>
  <c r="H61" i="22"/>
  <c r="D130" i="22" s="1"/>
  <c r="H56" i="22"/>
  <c r="B130" i="22" s="1"/>
  <c r="F34" i="2" s="1"/>
  <c r="H51" i="22"/>
  <c r="H9" i="23" a="1"/>
  <c r="H9" i="23" s="1"/>
  <c r="H8" i="23" a="1"/>
  <c r="H8" i="23" s="1"/>
  <c r="H7" i="23" a="1"/>
  <c r="H7" i="23" s="1"/>
  <c r="R66" i="2" l="1"/>
  <c r="R64" i="2"/>
  <c r="R67" i="2"/>
  <c r="R65" i="2"/>
  <c r="J64" i="2"/>
  <c r="J67" i="2"/>
  <c r="N64" i="2"/>
  <c r="J65" i="2"/>
  <c r="N67" i="2"/>
  <c r="N65" i="2"/>
  <c r="J66" i="2"/>
  <c r="N66" i="2"/>
  <c r="E28" i="25"/>
  <c r="G28" i="25" s="1"/>
  <c r="E29" i="25"/>
  <c r="G29" i="25" s="1"/>
  <c r="N19" i="2"/>
  <c r="J45" i="2"/>
  <c r="J21" i="2"/>
  <c r="J37" i="2"/>
  <c r="N17" i="2"/>
  <c r="J48" i="2"/>
  <c r="J51" i="2"/>
  <c r="N40" i="2"/>
  <c r="J18" i="2"/>
  <c r="J52" i="2"/>
  <c r="N62" i="2"/>
  <c r="N29" i="2"/>
  <c r="N15" i="2"/>
  <c r="J62" i="2"/>
  <c r="N51" i="2"/>
  <c r="N33" i="2"/>
  <c r="N22" i="2"/>
  <c r="N21" i="2"/>
  <c r="J58" i="2"/>
  <c r="N47" i="2"/>
  <c r="N57" i="2"/>
  <c r="N46" i="2"/>
  <c r="J55" i="2"/>
  <c r="N44" i="2"/>
  <c r="J22" i="2"/>
  <c r="J29" i="2"/>
  <c r="J61" i="2"/>
  <c r="J60" i="2"/>
  <c r="J49" i="2"/>
  <c r="J16" i="2"/>
  <c r="J35" i="2"/>
  <c r="N24" i="2"/>
  <c r="N55" i="2"/>
  <c r="J20" i="2"/>
  <c r="N30" i="2"/>
  <c r="J63" i="2"/>
  <c r="N52" i="2"/>
  <c r="J46" i="2"/>
  <c r="N35" i="2"/>
  <c r="J59" i="2"/>
  <c r="N48" i="2"/>
  <c r="J42" i="2"/>
  <c r="N31" i="2"/>
  <c r="N25" i="2"/>
  <c r="J56" i="2"/>
  <c r="J39" i="2"/>
  <c r="N28" i="2"/>
  <c r="N59" i="2"/>
  <c r="J36" i="2"/>
  <c r="N60" i="2"/>
  <c r="N27" i="2"/>
  <c r="N26" i="2"/>
  <c r="J53" i="2"/>
  <c r="N18" i="2"/>
  <c r="J28" i="2"/>
  <c r="J17" i="2"/>
  <c r="N37" i="2"/>
  <c r="J19" i="2"/>
  <c r="N39" i="2"/>
  <c r="N41" i="2"/>
  <c r="J40" i="2"/>
  <c r="J47" i="2"/>
  <c r="N36" i="2"/>
  <c r="J30" i="2"/>
  <c r="J44" i="2"/>
  <c r="J33" i="2"/>
  <c r="J32" i="2"/>
  <c r="J43" i="2"/>
  <c r="N32" i="2"/>
  <c r="J26" i="2"/>
  <c r="J15" i="2"/>
  <c r="J57" i="2"/>
  <c r="J24" i="2"/>
  <c r="J23" i="2"/>
  <c r="J54" i="2"/>
  <c r="N43" i="2"/>
  <c r="N58" i="2"/>
  <c r="N42" i="2"/>
  <c r="N50" i="2"/>
  <c r="N49" i="2"/>
  <c r="N38" i="2"/>
  <c r="J68" i="2"/>
  <c r="N56" i="2"/>
  <c r="J50" i="2"/>
  <c r="N23" i="2"/>
  <c r="J41" i="2"/>
  <c r="N61" i="2"/>
  <c r="J31" i="2"/>
  <c r="N20" i="2"/>
  <c r="N68" i="2"/>
  <c r="N54" i="2"/>
  <c r="N53" i="2"/>
  <c r="J27" i="2"/>
  <c r="N16" i="2"/>
  <c r="N63" i="2"/>
  <c r="J25" i="2"/>
  <c r="N45" i="2"/>
  <c r="J38" i="2"/>
  <c r="N34" i="2"/>
  <c r="D77" i="10"/>
  <c r="C77" i="10" s="1"/>
  <c r="D75" i="10"/>
  <c r="C75" i="10" s="1"/>
  <c r="D76" i="10"/>
  <c r="C76" i="10" s="1"/>
  <c r="J34" i="2"/>
  <c r="R16" i="2"/>
  <c r="R47" i="2"/>
  <c r="R23" i="2"/>
  <c r="R55" i="2"/>
  <c r="R31" i="2"/>
  <c r="R63" i="2"/>
  <c r="R39" i="2"/>
  <c r="R38" i="2"/>
  <c r="R59" i="2"/>
  <c r="R27" i="2"/>
  <c r="R58" i="2"/>
  <c r="R26" i="2"/>
  <c r="R61" i="2"/>
  <c r="R45" i="2"/>
  <c r="R29" i="2"/>
  <c r="R56" i="2"/>
  <c r="R40" i="2"/>
  <c r="R24" i="2"/>
  <c r="R62" i="2"/>
  <c r="R30" i="2"/>
  <c r="R51" i="2"/>
  <c r="R19" i="2"/>
  <c r="R50" i="2"/>
  <c r="R18" i="2"/>
  <c r="R57" i="2"/>
  <c r="R41" i="2"/>
  <c r="R25" i="2"/>
  <c r="R15" i="2"/>
  <c r="R52" i="2"/>
  <c r="R36" i="2"/>
  <c r="R20" i="2"/>
  <c r="R54" i="2"/>
  <c r="R22" i="2"/>
  <c r="R43" i="2"/>
  <c r="R42" i="2"/>
  <c r="R53" i="2"/>
  <c r="R37" i="2"/>
  <c r="R21" i="2"/>
  <c r="R48" i="2"/>
  <c r="R32" i="2"/>
  <c r="R46" i="2"/>
  <c r="R68" i="2"/>
  <c r="R35" i="2"/>
  <c r="R49" i="2"/>
  <c r="R33" i="2"/>
  <c r="R17" i="2"/>
  <c r="R60" i="2"/>
  <c r="R44" i="2"/>
  <c r="R28" i="2"/>
  <c r="E66" i="22"/>
  <c r="H66" i="22"/>
  <c r="F130" i="22" s="1"/>
  <c r="R34" i="2" s="1"/>
  <c r="E75" i="10"/>
  <c r="E76" i="10"/>
  <c r="E74" i="10"/>
  <c r="E77" i="10"/>
  <c r="AE9" i="5"/>
  <c r="AE8" i="5"/>
  <c r="AE7" i="5"/>
  <c r="Z9" i="5"/>
  <c r="Z8" i="5"/>
  <c r="Z7" i="5"/>
  <c r="Q12" i="5"/>
  <c r="Q11" i="5"/>
  <c r="Q10" i="5"/>
  <c r="Q9" i="5"/>
  <c r="Q8" i="5"/>
  <c r="Q7" i="5"/>
  <c r="L7" i="5"/>
  <c r="L11" i="5"/>
  <c r="L10" i="5"/>
  <c r="L9" i="5"/>
  <c r="L8" i="5"/>
  <c r="L7" i="22"/>
  <c r="D21" i="22"/>
  <c r="E55" i="10"/>
  <c r="N55" i="10"/>
  <c r="K55" i="10"/>
  <c r="H55" i="10"/>
  <c r="AH8" i="4"/>
  <c r="AI8" i="4" s="1"/>
  <c r="AA8" i="4"/>
  <c r="AB8" i="4" s="1"/>
  <c r="T8" i="4"/>
  <c r="U8" i="4" s="1"/>
  <c r="M8" i="4"/>
  <c r="N8" i="4" s="1"/>
  <c r="F8" i="4"/>
  <c r="G8" i="4" s="1"/>
  <c r="AH7" i="4"/>
  <c r="AI7" i="4" s="1"/>
  <c r="AA7" i="4"/>
  <c r="AB7" i="4" s="1"/>
  <c r="T7" i="4"/>
  <c r="U7" i="4" s="1"/>
  <c r="M7" i="4"/>
  <c r="N7" i="4" s="1"/>
  <c r="F7" i="4"/>
  <c r="G7" i="4" s="1"/>
  <c r="AH6" i="4"/>
  <c r="AI6" i="4" s="1"/>
  <c r="AA6" i="4"/>
  <c r="AB6" i="4" s="1"/>
  <c r="T6" i="4"/>
  <c r="U6" i="4" s="1"/>
  <c r="M6" i="4"/>
  <c r="N6" i="4" s="1"/>
  <c r="F6" i="4"/>
  <c r="G6" i="4" s="1"/>
  <c r="F5" i="4"/>
  <c r="G5" i="4" s="1"/>
  <c r="D20" i="3"/>
  <c r="F20" i="3" s="1"/>
  <c r="Z8" i="3"/>
  <c r="Z7" i="3"/>
  <c r="Z6" i="3"/>
  <c r="Z5" i="3"/>
  <c r="Z4" i="3"/>
  <c r="S4" i="3"/>
  <c r="T4" i="3" s="1"/>
  <c r="M17" i="22"/>
  <c r="M16" i="22"/>
  <c r="G10" i="4" l="1"/>
  <c r="AE8" i="3"/>
  <c r="Y4" i="3"/>
  <c r="D9" i="3"/>
  <c r="F9" i="3" s="1"/>
  <c r="M7" i="23" a="1"/>
  <c r="M7" i="23" s="1"/>
  <c r="C59" i="10"/>
  <c r="AE4" i="3"/>
  <c r="M8" i="3"/>
  <c r="M4" i="3"/>
  <c r="O4" i="3" s="1"/>
  <c r="AE5" i="3"/>
  <c r="X5" i="3" s="1"/>
  <c r="K8" i="3"/>
  <c r="AY62" i="23" l="1"/>
  <c r="AN62" i="23"/>
  <c r="Y62" i="23"/>
  <c r="AJ62" i="23" s="1"/>
  <c r="P4" i="3"/>
  <c r="O5" i="3"/>
  <c r="X8" i="3"/>
  <c r="X7" i="3"/>
  <c r="X6" i="3"/>
  <c r="O8" i="3"/>
  <c r="O10" i="3"/>
  <c r="I4" i="3"/>
  <c r="K4" i="3"/>
  <c r="L8" i="23"/>
  <c r="M8" i="23" s="1" a="1"/>
  <c r="M8" i="23" s="1"/>
  <c r="I59" i="10"/>
  <c r="L59" i="10"/>
  <c r="F59" i="10"/>
  <c r="K5" i="3"/>
  <c r="I5" i="3"/>
  <c r="I8" i="3"/>
  <c r="K7" i="3"/>
  <c r="I7" i="3"/>
  <c r="P8" i="3"/>
  <c r="K9" i="3"/>
  <c r="I9" i="3"/>
  <c r="I6" i="3"/>
  <c r="K6" i="3"/>
  <c r="AB4" i="3"/>
  <c r="AH62" i="23" l="1"/>
  <c r="BF62" i="23"/>
  <c r="AB62" i="23"/>
  <c r="AC62" i="23"/>
  <c r="AI62" i="23"/>
  <c r="AD62" i="23"/>
  <c r="AK62" i="23"/>
  <c r="AS62" i="23"/>
  <c r="AA62" i="23"/>
  <c r="AF62" i="23"/>
  <c r="AG62" i="23"/>
  <c r="AE62" i="23"/>
  <c r="L9" i="23"/>
  <c r="M9" i="23" s="1" a="1"/>
  <c r="M9" i="23" s="1"/>
  <c r="Y8" i="3"/>
  <c r="AB8" i="3"/>
  <c r="Y5" i="3"/>
  <c r="AB5" i="3"/>
  <c r="Y7" i="3"/>
  <c r="AB7" i="3"/>
  <c r="AB6" i="3"/>
  <c r="Y6" i="3"/>
  <c r="L10" i="23" l="1"/>
  <c r="M10" i="23" s="1" a="1"/>
  <c r="M10" i="23" s="1"/>
  <c r="L11" i="23" l="1"/>
  <c r="M11" i="23" s="1" a="1"/>
  <c r="M11" i="23" s="1"/>
  <c r="L12" i="23" l="1"/>
  <c r="M12" i="23" s="1" a="1"/>
  <c r="M12" i="23" s="1"/>
  <c r="L13" i="23" l="1"/>
  <c r="M13" i="23" s="1" a="1"/>
  <c r="M13" i="23" s="1"/>
  <c r="L14" i="23" l="1"/>
  <c r="M14" i="23" s="1" a="1"/>
  <c r="M14" i="23" s="1"/>
  <c r="L15" i="23" l="1"/>
  <c r="M15" i="23" s="1" a="1"/>
  <c r="M15" i="23" s="1"/>
  <c r="L16" i="23" l="1"/>
  <c r="M16" i="23" s="1" a="1"/>
  <c r="M16" i="23" s="1"/>
  <c r="L17" i="23" l="1"/>
  <c r="M17" i="23" s="1" a="1"/>
  <c r="M17" i="23" s="1"/>
  <c r="L18" i="23" l="1"/>
  <c r="L19" i="23" s="1"/>
  <c r="M18" i="23" l="1" a="1"/>
  <c r="M18" i="23" s="1"/>
  <c r="M19" i="23" a="1"/>
  <c r="M19" i="23" s="1"/>
  <c r="AB26" i="2" l="1"/>
  <c r="AB25" i="2" l="1"/>
  <c r="B66" i="2" s="1" a="1"/>
  <c r="B66" i="2" s="1"/>
  <c r="AB24" i="2" a="1"/>
  <c r="AB24" i="2" s="1"/>
  <c r="O3" i="2" s="1"/>
  <c r="B44" i="2" l="1" a="1"/>
  <c r="B44" i="2" s="1"/>
  <c r="B54" i="2" a="1"/>
  <c r="B54" i="2" s="1"/>
  <c r="B24" i="2" a="1"/>
  <c r="B24" i="2" s="1"/>
  <c r="B32" i="2" a="1"/>
  <c r="B32" i="2" s="1"/>
  <c r="B13" i="2" a="1"/>
  <c r="B13" i="2" s="1"/>
  <c r="B8" i="2"/>
  <c r="H74" i="2" l="1"/>
  <c r="Q76" i="2"/>
  <c r="I77" i="2"/>
  <c r="M77" i="2"/>
  <c r="Q77" i="2"/>
  <c r="R73" i="2"/>
  <c r="J75" i="2"/>
  <c r="N76" i="2"/>
  <c r="R77" i="2"/>
  <c r="O73" i="2"/>
  <c r="O75" i="2"/>
  <c r="O77" i="2"/>
  <c r="L74" i="2"/>
  <c r="L79" i="2" s="1"/>
  <c r="P75" i="2"/>
  <c r="P77" i="2"/>
  <c r="I73" i="2"/>
  <c r="Y63" i="23" s="1"/>
  <c r="M73" i="2"/>
  <c r="Q73" i="2"/>
  <c r="J74" i="2"/>
  <c r="N75" i="2"/>
  <c r="R76" i="2"/>
  <c r="K74" i="2"/>
  <c r="K76" i="2"/>
  <c r="H73" i="2"/>
  <c r="P74" i="2"/>
  <c r="H76" i="2"/>
  <c r="L77" i="2"/>
  <c r="P76" i="2"/>
  <c r="I74" i="2"/>
  <c r="M74" i="2"/>
  <c r="Q74" i="2"/>
  <c r="I75" i="2"/>
  <c r="J73" i="2"/>
  <c r="N74" i="2"/>
  <c r="R75" i="2"/>
  <c r="J77" i="2"/>
  <c r="O74" i="2"/>
  <c r="O76" i="2"/>
  <c r="L73" i="2"/>
  <c r="H75" i="2"/>
  <c r="L76" i="2"/>
  <c r="H77" i="2"/>
  <c r="M75" i="2"/>
  <c r="Q75" i="2"/>
  <c r="I76" i="2"/>
  <c r="M76" i="2"/>
  <c r="N73" i="2"/>
  <c r="R74" i="2"/>
  <c r="J76" i="2"/>
  <c r="N77" i="2"/>
  <c r="K73" i="2"/>
  <c r="K75" i="2"/>
  <c r="K77" i="2"/>
  <c r="P73" i="2"/>
  <c r="L75" i="2"/>
  <c r="L80" i="2" s="1"/>
  <c r="BA67" i="23" l="1"/>
  <c r="AY68" i="23"/>
  <c r="AN68" i="23"/>
  <c r="Y67" i="23"/>
  <c r="AH67" i="23" s="1"/>
  <c r="Y68" i="23"/>
  <c r="BA66" i="23"/>
  <c r="Y66" i="23"/>
  <c r="AE66" i="23" s="1"/>
  <c r="R79" i="2"/>
  <c r="N79" i="2"/>
  <c r="K80" i="2"/>
  <c r="Q80" i="2"/>
  <c r="BA72" i="23" s="1"/>
  <c r="BA65" i="23"/>
  <c r="S75" i="2"/>
  <c r="H80" i="2"/>
  <c r="Y65" i="23"/>
  <c r="I80" i="2"/>
  <c r="Y72" i="23" s="1"/>
  <c r="S73" i="2"/>
  <c r="N80" i="2"/>
  <c r="AK63" i="23"/>
  <c r="AG63" i="23"/>
  <c r="AD63" i="23"/>
  <c r="AC63" i="23"/>
  <c r="AE63" i="23"/>
  <c r="AJ63" i="23"/>
  <c r="AH63" i="23"/>
  <c r="AF63" i="23"/>
  <c r="BF63" i="23"/>
  <c r="AB63" i="23"/>
  <c r="AS63" i="23"/>
  <c r="AA63" i="23"/>
  <c r="AI63" i="23"/>
  <c r="AN67" i="23"/>
  <c r="AY67" i="23"/>
  <c r="M80" i="2"/>
  <c r="AY65" i="23"/>
  <c r="AN65" i="23"/>
  <c r="R80" i="2"/>
  <c r="Q79" i="2"/>
  <c r="BA64" i="23"/>
  <c r="J79" i="2"/>
  <c r="O80" i="2"/>
  <c r="J80" i="2"/>
  <c r="AN66" i="23"/>
  <c r="AY66" i="23"/>
  <c r="S77" i="2"/>
  <c r="AN64" i="23"/>
  <c r="AY64" i="23"/>
  <c r="M79" i="2"/>
  <c r="S76" i="2"/>
  <c r="K79" i="2"/>
  <c r="BA62" i="23"/>
  <c r="BA63" i="23"/>
  <c r="P80" i="2"/>
  <c r="O79" i="2"/>
  <c r="Y64" i="23"/>
  <c r="I79" i="2"/>
  <c r="Y69" i="23" s="1"/>
  <c r="P79" i="2"/>
  <c r="AN63" i="23"/>
  <c r="AY63" i="23"/>
  <c r="S74" i="2"/>
  <c r="H79" i="2"/>
  <c r="AF66" i="23" l="1"/>
  <c r="BF66" i="23"/>
  <c r="AI66" i="23"/>
  <c r="AJ66" i="23"/>
  <c r="AS66" i="23"/>
  <c r="AK66" i="23"/>
  <c r="AG66" i="23"/>
  <c r="AA66" i="23"/>
  <c r="AB66" i="23"/>
  <c r="AC66" i="23"/>
  <c r="AD66" i="23"/>
  <c r="AH66" i="23"/>
  <c r="BF67" i="23"/>
  <c r="AN72" i="23"/>
  <c r="AY72" i="23"/>
  <c r="AD72" i="23"/>
  <c r="AJ72" i="23"/>
  <c r="AH72" i="23"/>
  <c r="AB72" i="23"/>
  <c r="AK72" i="23"/>
  <c r="AG72" i="23"/>
  <c r="BF72" i="23"/>
  <c r="AF72" i="23"/>
  <c r="AI72" i="23"/>
  <c r="AC72" i="23"/>
  <c r="AA72" i="23"/>
  <c r="AS72" i="23"/>
  <c r="AE72" i="23"/>
  <c r="AI67" i="23"/>
  <c r="AC67" i="23"/>
  <c r="AE67" i="23"/>
  <c r="AA67" i="23"/>
  <c r="AG67" i="23"/>
  <c r="AS67" i="23"/>
  <c r="AD67" i="23"/>
  <c r="AB67" i="23"/>
  <c r="AF67" i="23"/>
  <c r="AK67" i="23"/>
  <c r="AJ67" i="23"/>
  <c r="Y70" i="23"/>
  <c r="AG70" i="23" s="1"/>
  <c r="Y71" i="23"/>
  <c r="AJ68" i="23"/>
  <c r="AC68" i="23"/>
  <c r="AH68" i="23"/>
  <c r="AB68" i="23"/>
  <c r="AG68" i="23"/>
  <c r="AE68" i="23"/>
  <c r="AI68" i="23"/>
  <c r="BF68" i="23"/>
  <c r="AD68" i="23"/>
  <c r="AK68" i="23"/>
  <c r="AF68" i="23"/>
  <c r="AS68" i="23"/>
  <c r="AA68" i="23"/>
  <c r="AN71" i="23"/>
  <c r="AY71" i="23"/>
  <c r="AH64" i="23"/>
  <c r="AG64" i="23"/>
  <c r="AA64" i="23"/>
  <c r="AS64" i="23"/>
  <c r="BF64" i="23"/>
  <c r="AD64" i="23"/>
  <c r="AC64" i="23"/>
  <c r="AE64" i="23"/>
  <c r="AK64" i="23"/>
  <c r="AI64" i="23"/>
  <c r="AJ64" i="23"/>
  <c r="AF64" i="23"/>
  <c r="AB64" i="23"/>
  <c r="AH65" i="23"/>
  <c r="AD65" i="23"/>
  <c r="AC65" i="23"/>
  <c r="AK65" i="23"/>
  <c r="AB65" i="23"/>
  <c r="AI65" i="23"/>
  <c r="AJ65" i="23"/>
  <c r="AE65" i="23"/>
  <c r="AG65" i="23"/>
  <c r="AS65" i="23"/>
  <c r="BF65" i="23"/>
  <c r="AF65" i="23"/>
  <c r="AA65" i="23"/>
  <c r="BA71" i="23"/>
  <c r="BA70" i="23"/>
  <c r="AN69" i="23"/>
  <c r="AY69" i="23"/>
  <c r="S79" i="2"/>
  <c r="AB69" i="23"/>
  <c r="AH69" i="23"/>
  <c r="AI69" i="23"/>
  <c r="BF69" i="23"/>
  <c r="AD69" i="23"/>
  <c r="AJ69" i="23"/>
  <c r="AC69" i="23"/>
  <c r="AS69" i="23"/>
  <c r="AK69" i="23"/>
  <c r="AE69" i="23"/>
  <c r="AA69" i="23"/>
  <c r="AG69" i="23"/>
  <c r="AF69" i="23"/>
  <c r="BA68" i="23"/>
  <c r="BA69" i="23"/>
  <c r="AN70" i="23"/>
  <c r="AY70" i="23"/>
  <c r="S80" i="2"/>
  <c r="AC70" i="23" l="1"/>
  <c r="AH70" i="23"/>
  <c r="AJ70" i="23"/>
  <c r="AK70" i="23"/>
  <c r="AI70" i="23"/>
  <c r="AS70" i="23"/>
  <c r="AF70" i="23"/>
  <c r="BF70" i="23"/>
  <c r="AE70" i="23"/>
  <c r="AD70" i="23"/>
  <c r="AA70" i="23"/>
  <c r="AB70" i="23"/>
  <c r="AK71" i="23"/>
  <c r="AA71" i="23"/>
  <c r="AJ71" i="23"/>
  <c r="AB71" i="23"/>
  <c r="AI71" i="23"/>
  <c r="AS71" i="23"/>
  <c r="AG71" i="23"/>
  <c r="AD71" i="23"/>
  <c r="AC71" i="23"/>
  <c r="AH71" i="23"/>
  <c r="BF71" i="23"/>
  <c r="AF71" i="23"/>
  <c r="AE71" i="2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B35" authorId="0" shapeId="0" xr:uid="{F7974B11-5394-4F7E-B45E-6C87EF475420}">
      <text>
        <r>
          <rPr>
            <sz val="18"/>
            <color indexed="81"/>
            <rFont val="Segoe UI"/>
            <family val="2"/>
          </rPr>
          <t>!</t>
        </r>
        <r>
          <rPr>
            <sz val="9"/>
            <color indexed="81"/>
            <rFont val="Segoe UI"/>
            <family val="2"/>
          </rPr>
          <t xml:space="preserve"> </t>
        </r>
        <r>
          <rPr>
            <sz val="10"/>
            <color indexed="81"/>
            <rFont val="Segoe UI"/>
            <family val="2"/>
          </rPr>
          <t xml:space="preserve">Möchtest du während deines Zykluses die Zyklus Dauer verändern, bitte beachte dass du die aktuelle Trainingswoche in der du dich befindest angibst. 
Wenn du den Zyklus neu beginnen möchtest stell Datum zum Start auf das heutige Datum und wähle Automatisch Berechnen in der Liste aus.
</t>
        </r>
      </text>
    </comment>
    <comment ref="B37" authorId="0" shapeId="0" xr:uid="{4C35AD00-2DEB-4A35-B3B2-2EA58B9E71F3}">
      <text>
        <r>
          <rPr>
            <sz val="10"/>
            <color indexed="81"/>
            <rFont val="Segoe UI"/>
            <family val="2"/>
          </rPr>
          <t xml:space="preserve">Das Gewicht wird mit den für die Übung jeweiligen Gewichtsschritt abgerundet.
Es wird erst aufgerundet wenn der Wert (z.b. 84%) überschritten hat. Sprich bei einem Gewichtschritt von 1 wird bei einem Wert von 10,84 auf 11 aufgerundet. Soll immer abgerundet werden gib einen Wert von 100% ein!!
</t>
        </r>
        <r>
          <rPr>
            <sz val="16"/>
            <color indexed="81"/>
            <rFont val="Segoe UI"/>
            <family val="2"/>
          </rPr>
          <t>!</t>
        </r>
        <r>
          <rPr>
            <sz val="10"/>
            <color indexed="81"/>
            <rFont val="Segoe UI"/>
            <family val="2"/>
          </rPr>
          <t xml:space="preserve"> Der Wert muss zwischen 50-100%  liegen!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E7" authorId="0" shapeId="0" xr:uid="{F886AA30-7140-4C40-BBBE-B3992190D693}">
      <text>
        <r>
          <rPr>
            <sz val="9"/>
            <color indexed="81"/>
            <rFont val="Segoe UI"/>
            <family val="2"/>
          </rPr>
          <t xml:space="preserve">
</t>
        </r>
        <r>
          <rPr>
            <sz val="10"/>
            <color indexed="81"/>
            <rFont val="Segoe UI"/>
            <family val="2"/>
          </rPr>
          <t>Beliebigen Übungsnamen Eintragen !</t>
        </r>
      </text>
    </comment>
    <comment ref="F7" authorId="0" shapeId="0" xr:uid="{F213D67E-B784-438D-AEE4-5BB1887196B3}">
      <text>
        <r>
          <rPr>
            <sz val="10"/>
            <color indexed="81"/>
            <rFont val="Segoe UI"/>
            <family val="2"/>
          </rPr>
          <t xml:space="preserve">Dazugehörige Muskelgruppe Eintragen!
</t>
        </r>
      </text>
    </comment>
    <comment ref="H7" authorId="0" shapeId="0" xr:uid="{740C0A91-A406-4D56-B572-9B253FCB0D65}">
      <text>
        <r>
          <rPr>
            <sz val="14"/>
            <color indexed="81"/>
            <rFont val="Segoe UI"/>
            <family val="2"/>
          </rPr>
          <t>Hinweis:</t>
        </r>
        <r>
          <rPr>
            <sz val="9"/>
            <color indexed="81"/>
            <rFont val="Segoe UI"/>
            <family val="2"/>
          </rPr>
          <t xml:space="preserve">                                             
</t>
        </r>
        <r>
          <rPr>
            <sz val="10"/>
            <color indexed="81"/>
            <rFont val="Segoe UI"/>
            <family val="2"/>
          </rPr>
          <t xml:space="preserve">Wenn du eine Übung doppelt mit  unterschiedlichen Werten (wie z.b.Wiederholungsanzahl) verwenden möchtest, beachte bitte, dass du diese Übung auch mehrmals einträgst. (z.b  Kniebeuge UK1 /UK2 !)
</t>
        </r>
      </text>
    </comment>
    <comment ref="I7" authorId="0" shapeId="0" xr:uid="{FE6CA698-FB12-42B6-8F0B-63AEBA67B7DD}">
      <text>
        <r>
          <rPr>
            <sz val="10"/>
            <color indexed="81"/>
            <rFont val="Segoe UI"/>
            <family val="2"/>
          </rPr>
          <t xml:space="preserve">Bestimme die Wiederholungsanzahl in der Overload Woche!
Sollen diese im ganzen Zyklus gleich bleiben.
Trage die gleiche Wiederholungsanzahl nochmal ein!
</t>
        </r>
      </text>
    </comment>
    <comment ref="J7" authorId="0" shapeId="0" xr:uid="{4DE7DF66-074D-4B23-AEC7-94975D8AB35D}">
      <text>
        <r>
          <rPr>
            <sz val="10"/>
            <color indexed="81"/>
            <rFont val="Segoe UI"/>
            <family val="2"/>
          </rPr>
          <t xml:space="preserve">Evaluiere ob es sich bei dieser Übung um eine Grundübung oder Isolationsübung handelt! GB/ IB
</t>
        </r>
        <r>
          <rPr>
            <sz val="16"/>
            <color indexed="81"/>
            <rFont val="Segoe UI"/>
            <family val="2"/>
          </rPr>
          <t xml:space="preserve"> !</t>
        </r>
        <r>
          <rPr>
            <sz val="10"/>
            <color indexed="81"/>
            <rFont val="Segoe UI"/>
            <family val="2"/>
          </rPr>
          <t xml:space="preserve"> Trage GB+ ein wenn du diese Übung für Maximalkraftwerte oder 
den  Gewichts-Calculator verwenden möchtest!</t>
        </r>
      </text>
    </comment>
    <comment ref="K7" authorId="0" shapeId="0" xr:uid="{2219C3B3-0351-4ED8-B2F1-4843967BD3E4}">
      <text>
        <r>
          <rPr>
            <sz val="10"/>
            <color indexed="81"/>
            <rFont val="Segoe UI"/>
            <family val="2"/>
          </rPr>
          <t xml:space="preserve">Bestimme ob es sich um eine Oberkörper oder Unterkörper-Übung handelt!
</t>
        </r>
        <r>
          <rPr>
            <sz val="16"/>
            <color indexed="81"/>
            <rFont val="Segoe UI"/>
            <family val="2"/>
          </rPr>
          <t>!</t>
        </r>
        <r>
          <rPr>
            <sz val="10"/>
            <color indexed="81"/>
            <rFont val="Segoe UI"/>
            <family val="2"/>
          </rPr>
          <t xml:space="preserve"> Im Bereich Zyklus - Intensitätsguide können die Intensitäten für OK,UK in % in der Deload Woche verändert werden!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D8" authorId="0" shapeId="0" xr:uid="{B23F5DB1-8BD1-4F5C-9021-6219EBAFC230}">
      <text>
        <r>
          <rPr>
            <sz val="11"/>
            <color indexed="81"/>
            <rFont val="Segoe UI"/>
            <family val="2"/>
          </rPr>
          <t xml:space="preserve">Wähle in der Liste deine präferierte Übung aus.
</t>
        </r>
        <r>
          <rPr>
            <sz val="16"/>
            <color indexed="81"/>
            <rFont val="Segoe UI"/>
            <family val="2"/>
          </rPr>
          <t>!</t>
        </r>
        <r>
          <rPr>
            <sz val="11"/>
            <color indexed="81"/>
            <rFont val="Segoe UI"/>
            <family val="2"/>
          </rPr>
          <t xml:space="preserve"> Übungen sind in der Übungsübersicht als GB+ eingetragen!
</t>
        </r>
      </text>
    </comment>
    <comment ref="F8" authorId="0" shapeId="0" xr:uid="{8B41B9B6-106A-4413-9F52-D0470D6B5C14}">
      <text>
        <r>
          <rPr>
            <sz val="10"/>
            <color indexed="81"/>
            <rFont val="Segoe UI"/>
            <family val="2"/>
          </rPr>
          <t xml:space="preserve">Verwende ein Gewicht bei dem du um die. 3-10 Wiederholungen schaffst
</t>
        </r>
      </text>
    </comment>
    <comment ref="G8" authorId="0" shapeId="0" xr:uid="{ECBC4432-D44C-4ABD-B7F0-7BDDE7ECB715}">
      <text>
        <r>
          <rPr>
            <sz val="10"/>
            <color indexed="81"/>
            <rFont val="Segoe UI"/>
            <family val="2"/>
          </rPr>
          <t xml:space="preserve">Die Wiederholungen sollten bei der Berechnung nicht höher als 12 sein !
</t>
        </r>
      </text>
    </comment>
    <comment ref="H8" authorId="0" shapeId="0" xr:uid="{83B222BE-0E73-43A8-9E01-E5D35AD6622E}">
      <text>
        <r>
          <rPr>
            <sz val="10"/>
            <color indexed="81"/>
            <rFont val="Segoe UI"/>
            <family val="2"/>
          </rPr>
          <t xml:space="preserve">Gebe die RPE (Rate of Perceived Exertion) Intensitäts-Skala von 1-10 an.
</t>
        </r>
        <r>
          <rPr>
            <sz val="16"/>
            <color indexed="81"/>
            <rFont val="Segoe UI"/>
            <family val="2"/>
          </rPr>
          <t xml:space="preserve">! </t>
        </r>
        <r>
          <rPr>
            <sz val="10"/>
            <color indexed="81"/>
            <rFont val="Segoe UI"/>
            <family val="2"/>
          </rPr>
          <t>Wurde das Gewicht maximal (Bis zum Muskelversagen) bewältigt, trage eine  RPE von 10 ein!</t>
        </r>
      </text>
    </comment>
    <comment ref="I8" authorId="0" shapeId="0" xr:uid="{AE210FD1-4F38-47B1-B308-2EE91C3D05E4}">
      <text>
        <r>
          <rPr>
            <sz val="10"/>
            <color indexed="81"/>
            <rFont val="Segoe UI"/>
            <family val="2"/>
          </rPr>
          <t xml:space="preserve">Wähle in der Liste die 1RM Formel die du verwenden möchtest.
Hinweis </t>
        </r>
        <r>
          <rPr>
            <sz val="16"/>
            <color indexed="81"/>
            <rFont val="Segoe UI"/>
            <family val="2"/>
          </rPr>
          <t>!</t>
        </r>
        <r>
          <rPr>
            <sz val="10"/>
            <color indexed="81"/>
            <rFont val="Segoe UI"/>
            <family val="2"/>
          </rPr>
          <t xml:space="preserve">
 Die </t>
        </r>
        <r>
          <rPr>
            <b/>
            <sz val="10"/>
            <color indexed="81"/>
            <rFont val="Segoe UI"/>
            <family val="2"/>
          </rPr>
          <t>Br</t>
        </r>
        <r>
          <rPr>
            <sz val="10"/>
            <color indexed="81"/>
            <rFont val="Segoe UI"/>
            <family val="2"/>
          </rPr>
          <t xml:space="preserve">zcky Formel eignet sichs sehr gut  für Werte bis 8 Wdh.
Die </t>
        </r>
        <r>
          <rPr>
            <b/>
            <sz val="10"/>
            <color indexed="81"/>
            <rFont val="Segoe UI"/>
            <family val="2"/>
          </rPr>
          <t>Ep</t>
        </r>
        <r>
          <rPr>
            <sz val="10"/>
            <color indexed="81"/>
            <rFont val="Segoe UI"/>
            <family val="2"/>
          </rPr>
          <t xml:space="preserve">ley Formel hingegen ist präziser ab10 Wdh.
Bei 10 Wdh. sind beide Formeln identisch!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E14" authorId="0" shapeId="0" xr:uid="{C6B03EC7-D05B-4003-AC4E-463613FBE029}">
      <text>
        <r>
          <rPr>
            <sz val="10"/>
            <color indexed="81"/>
            <rFont val="Segoe UI"/>
            <family val="2"/>
          </rPr>
          <t xml:space="preserve">Bestimme die Intensität % in der Intro Woche!
 Ändere die Werte im Intesitäts-Guide!!
</t>
        </r>
      </text>
    </comment>
    <comment ref="U14" authorId="0" shapeId="0" xr:uid="{A9A13C10-FB51-4996-9234-D88A3A3EA858}">
      <text>
        <r>
          <rPr>
            <sz val="9"/>
            <color indexed="81"/>
            <rFont val="Segoe UI"/>
            <family val="2"/>
          </rPr>
          <t xml:space="preserve">Bestimme die Intensität % in der Deload Woche!
 Ändere die Werte im Intesitäts-Guide!!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A11" authorId="0" shapeId="0" xr:uid="{D9AFD10B-E75C-4681-8825-0809DDEE5FD1}">
      <text>
        <r>
          <rPr>
            <sz val="12"/>
            <color indexed="81"/>
            <rFont val="Segoe UI"/>
            <family val="2"/>
          </rPr>
          <t>Hinweis !</t>
        </r>
        <r>
          <rPr>
            <b/>
            <sz val="12"/>
            <color indexed="81"/>
            <rFont val="Segoe UI"/>
            <family val="2"/>
          </rPr>
          <t xml:space="preserve">
</t>
        </r>
        <r>
          <rPr>
            <sz val="12"/>
            <color indexed="81"/>
            <rFont val="Segoe UI"/>
            <family val="2"/>
          </rPr>
          <t xml:space="preserve"> Die </t>
        </r>
        <r>
          <rPr>
            <b/>
            <sz val="12"/>
            <color indexed="81"/>
            <rFont val="Segoe UI"/>
            <family val="2"/>
          </rPr>
          <t>Brzcky</t>
        </r>
        <r>
          <rPr>
            <sz val="12"/>
            <color indexed="81"/>
            <rFont val="Segoe UI"/>
            <family val="2"/>
          </rPr>
          <t xml:space="preserve"> Formel eignet sich sehr gut  für Werte  bis 8 Wdh.
Die </t>
        </r>
        <r>
          <rPr>
            <b/>
            <sz val="12"/>
            <color indexed="81"/>
            <rFont val="Segoe UI"/>
            <family val="2"/>
          </rPr>
          <t>Epley</t>
        </r>
        <r>
          <rPr>
            <sz val="12"/>
            <color indexed="81"/>
            <rFont val="Segoe UI"/>
            <family val="2"/>
          </rPr>
          <t xml:space="preserve"> Formel hingegen ist präziser ab 10 Wdh.
Bei 10 Wdh. sind beide Formeln identisch!</t>
        </r>
      </text>
    </comment>
    <comment ref="B147" authorId="0" shapeId="0" xr:uid="{4EBB84C5-AF0E-4CE6-B639-E8C1A4D18B30}">
      <text>
        <r>
          <rPr>
            <sz val="10"/>
            <color indexed="81"/>
            <rFont val="Segoe UI"/>
            <family val="2"/>
          </rPr>
          <t xml:space="preserve">Wähle in der Liste deine präferierte Übung aus.
! Übungen sind in der Übungsübersicht als GB+ eingetragen!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<sst xmlns="http://schemas.openxmlformats.org/spreadsheetml/2006/main" count="1182" uniqueCount="438">
  <si>
    <t>Übung</t>
  </si>
  <si>
    <t>Muskelgruppe</t>
  </si>
  <si>
    <t>LH Bankdrücken</t>
  </si>
  <si>
    <t>Brust</t>
  </si>
  <si>
    <t>Brustpresse</t>
  </si>
  <si>
    <t>KH Bankdrücken</t>
  </si>
  <si>
    <t>LH Schrägbankdrücken</t>
  </si>
  <si>
    <t>KH Schrägbankdrücken</t>
  </si>
  <si>
    <t>Incline Press</t>
  </si>
  <si>
    <t xml:space="preserve">Butterfly </t>
  </si>
  <si>
    <t>Cable Cross</t>
  </si>
  <si>
    <t>Rudern zur Brust</t>
  </si>
  <si>
    <t>Rücken</t>
  </si>
  <si>
    <t>Rudern zum Bauch</t>
  </si>
  <si>
    <t>Latzug</t>
  </si>
  <si>
    <t>Latzugmaschine</t>
  </si>
  <si>
    <t>Klimmzüge</t>
  </si>
  <si>
    <t>Shruggs</t>
  </si>
  <si>
    <t>Trapez</t>
  </si>
  <si>
    <t>Kniebeuge</t>
  </si>
  <si>
    <t>Quads</t>
  </si>
  <si>
    <t>Kniebeuge (Maschine)</t>
  </si>
  <si>
    <t>Frontbeuge</t>
  </si>
  <si>
    <t xml:space="preserve">Hackenschmidt
</t>
  </si>
  <si>
    <t>Beinpresse</t>
  </si>
  <si>
    <t>Ausfallschritte</t>
  </si>
  <si>
    <t>Bulgarian Split Squats</t>
  </si>
  <si>
    <t>Rumänisches Kreuzheben</t>
  </si>
  <si>
    <t>Hamstrings</t>
  </si>
  <si>
    <t>Beinbeuger</t>
  </si>
  <si>
    <t>Seitheben</t>
  </si>
  <si>
    <t>Mittlere Schulter</t>
  </si>
  <si>
    <t>Facepulls</t>
  </si>
  <si>
    <t>Hintere Schulter</t>
  </si>
  <si>
    <t>Butterfly reverse</t>
  </si>
  <si>
    <t>Military Press</t>
  </si>
  <si>
    <t>Schulterdrücken Maschine</t>
  </si>
  <si>
    <t>KH Schulterdrücken</t>
  </si>
  <si>
    <t>Trizepsstrecken</t>
  </si>
  <si>
    <t>Trizeps</t>
  </si>
  <si>
    <t>Trizepsstrecken Überkopf</t>
  </si>
  <si>
    <t>Bizeps Curls</t>
  </si>
  <si>
    <t>Bizeps</t>
  </si>
  <si>
    <t>Wadenheben</t>
  </si>
  <si>
    <t>Waden</t>
  </si>
  <si>
    <t>Crunches</t>
  </si>
  <si>
    <t>Bauch</t>
  </si>
  <si>
    <t>Maximalkraftwert [kg]</t>
  </si>
  <si>
    <t>Wiederholungen</t>
  </si>
  <si>
    <t>OK 1</t>
  </si>
  <si>
    <t>A1</t>
  </si>
  <si>
    <t>B1</t>
  </si>
  <si>
    <t>C1</t>
  </si>
  <si>
    <t>D1</t>
  </si>
  <si>
    <t>E1</t>
  </si>
  <si>
    <t>Sätze</t>
  </si>
  <si>
    <t>Wdh.</t>
  </si>
  <si>
    <t>Gewicht</t>
  </si>
  <si>
    <t>UK 1</t>
  </si>
  <si>
    <t>OK 2</t>
  </si>
  <si>
    <t>A2</t>
  </si>
  <si>
    <t>B2</t>
  </si>
  <si>
    <t>C2</t>
  </si>
  <si>
    <t>D2</t>
  </si>
  <si>
    <t>E2</t>
  </si>
  <si>
    <t>UK 2</t>
  </si>
  <si>
    <t>VOLUMEN TRACKER</t>
  </si>
  <si>
    <t>Gesamtvolumen</t>
  </si>
  <si>
    <t>Woche 1</t>
  </si>
  <si>
    <t>Woche 2</t>
  </si>
  <si>
    <t>Woche 3</t>
  </si>
  <si>
    <t>Woche 4</t>
  </si>
  <si>
    <t>Brust Presse</t>
  </si>
  <si>
    <t>Rudern Maschine</t>
  </si>
  <si>
    <t>Reverse Cable Cross</t>
  </si>
  <si>
    <t>OK 3+</t>
  </si>
  <si>
    <t>Trizeps Drücken</t>
  </si>
  <si>
    <t>Schulter Maschine</t>
  </si>
  <si>
    <t>INTRO WEEK</t>
  </si>
  <si>
    <t xml:space="preserve">DELOAD </t>
  </si>
  <si>
    <t>WOCHE 1: MEV</t>
  </si>
  <si>
    <t>Scullcrushers Trizeps</t>
  </si>
  <si>
    <t>Cable Push Down</t>
  </si>
  <si>
    <t>Cable Biceps Curls</t>
  </si>
  <si>
    <t>5+/1+</t>
  </si>
  <si>
    <t>4+/1+</t>
  </si>
  <si>
    <t>5+/2+</t>
  </si>
  <si>
    <t>2+/-2</t>
  </si>
  <si>
    <t>2+/-1</t>
  </si>
  <si>
    <t>14-22</t>
  </si>
  <si>
    <t>16-22</t>
  </si>
  <si>
    <t>MV</t>
  </si>
  <si>
    <t>MAV</t>
  </si>
  <si>
    <t>MRV</t>
  </si>
  <si>
    <t>MEV</t>
  </si>
  <si>
    <t>Top Sets</t>
  </si>
  <si>
    <t>Satz 1</t>
  </si>
  <si>
    <t>Satz 2</t>
  </si>
  <si>
    <t>Satz 3</t>
  </si>
  <si>
    <t>Satz 4</t>
  </si>
  <si>
    <t>50% vom Arb. Gewicht</t>
  </si>
  <si>
    <t>70% vom Arb. Gewicht</t>
  </si>
  <si>
    <t>80% vom Arb. Gewicht</t>
  </si>
  <si>
    <t>90% vom Arb. Gewicht</t>
  </si>
  <si>
    <t>100 % des 1RM</t>
  </si>
  <si>
    <t>Akt. 1 RM</t>
  </si>
  <si>
    <t xml:space="preserve">Satz 2 </t>
  </si>
  <si>
    <t xml:space="preserve">Satz 3 </t>
  </si>
  <si>
    <t>Satz 5</t>
  </si>
  <si>
    <t>40% des Arb. Gewicht</t>
  </si>
  <si>
    <t>60% des Arb Gewicht</t>
  </si>
  <si>
    <t>80% des Arb. Gewicht</t>
  </si>
  <si>
    <t>90% des Arb. Gewicht</t>
  </si>
  <si>
    <t>20% des Arb. Gewicht</t>
  </si>
  <si>
    <t>10x</t>
  </si>
  <si>
    <t>8x</t>
  </si>
  <si>
    <t>6x</t>
  </si>
  <si>
    <t>4x</t>
  </si>
  <si>
    <t>1x</t>
  </si>
  <si>
    <t>30% des Arb. Gewicht</t>
  </si>
  <si>
    <t>60% des Arb. Gewicht</t>
  </si>
  <si>
    <t>7x</t>
  </si>
  <si>
    <t>3x</t>
  </si>
  <si>
    <t>Top Set</t>
  </si>
  <si>
    <t>Work Set</t>
  </si>
  <si>
    <t>Back Set</t>
  </si>
  <si>
    <t>A3</t>
  </si>
  <si>
    <t>B3</t>
  </si>
  <si>
    <t>C3</t>
  </si>
  <si>
    <t>D3</t>
  </si>
  <si>
    <t>E3</t>
  </si>
  <si>
    <t xml:space="preserve"> Woche 4</t>
  </si>
  <si>
    <t>4+/0+</t>
  </si>
  <si>
    <t>Übung 1</t>
  </si>
  <si>
    <t>Übung 2</t>
  </si>
  <si>
    <t>LH Rudern</t>
  </si>
  <si>
    <t>VOLUMEN GUIDE Tabelle</t>
  </si>
  <si>
    <t>Bizeps Maschine</t>
  </si>
  <si>
    <t>% des 1RM</t>
  </si>
  <si>
    <t xml:space="preserve">Gewicht </t>
  </si>
  <si>
    <t>Satz 6</t>
  </si>
  <si>
    <t>95% des Arb. Gewicht</t>
  </si>
  <si>
    <t>4+</t>
  </si>
  <si>
    <t>75-80%</t>
  </si>
  <si>
    <t>RIR Auslastung</t>
  </si>
  <si>
    <t>3-2</t>
  </si>
  <si>
    <t>Butterfly Reverse</t>
  </si>
  <si>
    <t>Butterfly Kabelzug</t>
  </si>
  <si>
    <t>Beinbeuger Liegend</t>
  </si>
  <si>
    <t>Bizeps Curls Seilzug</t>
  </si>
  <si>
    <t>Latzug Eng</t>
  </si>
  <si>
    <t>Butterfly Maschine</t>
  </si>
  <si>
    <t>Rudern Kabelzug</t>
  </si>
  <si>
    <t>LH Schulterdrücken</t>
  </si>
  <si>
    <t>1RM [kg]</t>
  </si>
  <si>
    <t>1 RM Rechner</t>
  </si>
  <si>
    <t>16-20</t>
  </si>
  <si>
    <t>12-16</t>
  </si>
  <si>
    <t>12-20</t>
  </si>
  <si>
    <t>Wdh Tabelle</t>
  </si>
  <si>
    <t>1RM % Tabelle</t>
  </si>
  <si>
    <t>Intensität vom 1RM</t>
  </si>
  <si>
    <t>RIR</t>
  </si>
  <si>
    <t>Arb Gewicht</t>
  </si>
  <si>
    <t>Maximum</t>
  </si>
  <si>
    <t>Intensität %</t>
  </si>
  <si>
    <t>A-D Woche</t>
  </si>
  <si>
    <t>1 RM</t>
  </si>
  <si>
    <t>Geplante Wdh</t>
  </si>
  <si>
    <t>Wdh. genau</t>
  </si>
  <si>
    <t>65-83%</t>
  </si>
  <si>
    <t>45-60%</t>
  </si>
  <si>
    <t>Kraftstandards</t>
  </si>
  <si>
    <t>Arb. Gewicht</t>
  </si>
  <si>
    <t>1 RM Werte</t>
  </si>
  <si>
    <t>Arb. Gewicht genau</t>
  </si>
  <si>
    <t>Gewichtsschritte</t>
  </si>
  <si>
    <t>Kniebeuge UK1</t>
  </si>
  <si>
    <t>A4</t>
  </si>
  <si>
    <t>B4</t>
  </si>
  <si>
    <t>C4</t>
  </si>
  <si>
    <t>D4</t>
  </si>
  <si>
    <t>E4</t>
  </si>
  <si>
    <t>A5</t>
  </si>
  <si>
    <t>B5</t>
  </si>
  <si>
    <t>C5</t>
  </si>
  <si>
    <t>D5</t>
  </si>
  <si>
    <t>E5</t>
  </si>
  <si>
    <t>Gewicht ~</t>
  </si>
  <si>
    <t>Arb Gewicht ~</t>
  </si>
  <si>
    <t>OK1-OK3+</t>
  </si>
  <si>
    <t>Farbe</t>
  </si>
  <si>
    <t>Farbe2</t>
  </si>
  <si>
    <t>Hammer Curls</t>
  </si>
  <si>
    <t>Satzanzahl</t>
  </si>
  <si>
    <t>Restliche Zeilen ausfüllen; Satzanzahl und Gewicht!!</t>
  </si>
  <si>
    <t>Neue Übung Eintragen !!</t>
  </si>
  <si>
    <t>Zielgewicht [KG]</t>
  </si>
  <si>
    <t>Übung von "Übungsübersicht" wählen und Eintragen!</t>
  </si>
  <si>
    <t>A1-5 Woche 1 Intro</t>
  </si>
  <si>
    <t>B1-5 Woche 2 Akku</t>
  </si>
  <si>
    <t>C1-5 Woche 3 Akku</t>
  </si>
  <si>
    <t xml:space="preserve"> D1-5 Woche 4 Overload</t>
  </si>
  <si>
    <t>+</t>
  </si>
  <si>
    <t>Z.B</t>
  </si>
  <si>
    <t>Prozent. Arbeits Gewicht</t>
  </si>
  <si>
    <t>Aktuelles Arbeits Gewicht</t>
  </si>
  <si>
    <t>Übung Auswählen!</t>
  </si>
  <si>
    <t xml:space="preserve">    C2</t>
  </si>
  <si>
    <t xml:space="preserve">    C1</t>
  </si>
  <si>
    <t xml:space="preserve">    C3</t>
  </si>
  <si>
    <t>Gewichts-
Schritte Gerundet</t>
  </si>
  <si>
    <t>RPE</t>
  </si>
  <si>
    <t>Wert (1&lt; Wdh. &gt;15)</t>
  </si>
  <si>
    <t>Trainingsgewichte des Mesozyklus</t>
  </si>
  <si>
    <t>% 1 RM</t>
  </si>
  <si>
    <t xml:space="preserve"> Back Off Sets</t>
  </si>
  <si>
    <t>Top Set Gewicht</t>
  </si>
  <si>
    <t>Back Off Gewicht:</t>
  </si>
  <si>
    <t>Epley Formel</t>
  </si>
  <si>
    <t>Übung auswählen !</t>
  </si>
  <si>
    <t>Exaktes Gewicht Einblenden?</t>
  </si>
  <si>
    <t>2 Sätze</t>
  </si>
  <si>
    <t>3 Sätze</t>
  </si>
  <si>
    <t>4 Sätze</t>
  </si>
  <si>
    <t>Kreuzheben</t>
  </si>
  <si>
    <t>Back Off Sätze</t>
  </si>
  <si>
    <t>Back Off Wdh.</t>
  </si>
  <si>
    <t>Bein Presse</t>
  </si>
  <si>
    <t>Maximalkraftwerte</t>
  </si>
  <si>
    <t>Wdh. Max</t>
  </si>
  <si>
    <t>Geplante Wdh.</t>
  </si>
  <si>
    <t>Grundübungen</t>
  </si>
  <si>
    <t>GB</t>
  </si>
  <si>
    <t>IB</t>
  </si>
  <si>
    <t xml:space="preserve">Übungsreihenfolge </t>
  </si>
  <si>
    <t>Geplante Sätze</t>
  </si>
  <si>
    <t>Bsp. MRV</t>
  </si>
  <si>
    <t>RPE Perceived Exertion</t>
  </si>
  <si>
    <t>4-6</t>
  </si>
  <si>
    <t>14-20</t>
  </si>
  <si>
    <t>12-22</t>
  </si>
  <si>
    <t>10-14</t>
  </si>
  <si>
    <t>12-18</t>
  </si>
  <si>
    <t>10-16</t>
  </si>
  <si>
    <t>14-18</t>
  </si>
  <si>
    <t>20-26</t>
  </si>
  <si>
    <t xml:space="preserve">Top Sets Bankdrücken   </t>
  </si>
  <si>
    <t>Ja Einblenden</t>
  </si>
  <si>
    <t>Gewicht-Schritte</t>
  </si>
  <si>
    <t xml:space="preserve">Gewicht-Maximum </t>
  </si>
  <si>
    <t>OK/UK</t>
  </si>
  <si>
    <t>UK</t>
  </si>
  <si>
    <t>OK</t>
  </si>
  <si>
    <t>Gewicht:</t>
  </si>
  <si>
    <t>%des 1RM</t>
  </si>
  <si>
    <t xml:space="preserve">RPE </t>
  </si>
  <si>
    <t xml:space="preserve">Woche 1 </t>
  </si>
  <si>
    <t>Intro week</t>
  </si>
  <si>
    <t xml:space="preserve">Max Wdh. Tabelle </t>
  </si>
  <si>
    <t>RPE 10</t>
  </si>
  <si>
    <t>65-87%</t>
  </si>
  <si>
    <t>Steigerung im Overload?</t>
  </si>
  <si>
    <t>Spalte1</t>
  </si>
  <si>
    <t>Spalte2</t>
  </si>
  <si>
    <t>Tabelle  Overload Gewichts Calculator</t>
  </si>
  <si>
    <t>Sätze im Overload !</t>
  </si>
  <si>
    <t>Funktion</t>
  </si>
  <si>
    <t>Autonomer Gewichts-Rechner</t>
  </si>
  <si>
    <t>Akkumulation</t>
  </si>
  <si>
    <t>Overload Week</t>
  </si>
  <si>
    <t>Wochen-Zyklus</t>
  </si>
  <si>
    <t>Individueller Gewichts-Rechner</t>
  </si>
  <si>
    <t>GB+</t>
  </si>
  <si>
    <t>GB+ -Maximalkraftübungen</t>
  </si>
  <si>
    <t>Wdh. im Overload !</t>
  </si>
  <si>
    <t xml:space="preserve">Testübung </t>
  </si>
  <si>
    <t>Test Muskel</t>
  </si>
  <si>
    <t xml:space="preserve">An beliebiger Stelle Zeile einfügen! </t>
  </si>
  <si>
    <t>Test- Zeile  Kopieren und in freie Zeile Einfügen!</t>
  </si>
  <si>
    <t>Tabelle Satzanzahl Gewichts Calculator</t>
  </si>
  <si>
    <t xml:space="preserve">Beinstrecker </t>
  </si>
  <si>
    <t>Seitheben OK1</t>
  </si>
  <si>
    <t>Seitheben OK3+</t>
  </si>
  <si>
    <t xml:space="preserve"> Wiederholungen</t>
  </si>
  <si>
    <r>
      <rPr>
        <b/>
        <sz val="14"/>
        <color rgb="FF000000"/>
        <rFont val="Calibri"/>
        <family val="2"/>
        <scheme val="minor"/>
      </rPr>
      <t>M</t>
    </r>
    <r>
      <rPr>
        <sz val="11"/>
        <color rgb="FF000000"/>
        <rFont val="Calibri"/>
        <family val="2"/>
        <scheme val="minor"/>
      </rPr>
      <t>aintance</t>
    </r>
    <r>
      <rPr>
        <b/>
        <sz val="11"/>
        <color rgb="FF000000"/>
        <rFont val="Calibri"/>
        <family val="2"/>
        <scheme val="minor"/>
      </rPr>
      <t xml:space="preserve"> </t>
    </r>
    <r>
      <rPr>
        <b/>
        <sz val="14"/>
        <color rgb="FF000000"/>
        <rFont val="Calibri"/>
        <family val="2"/>
        <scheme val="minor"/>
      </rPr>
      <t>V</t>
    </r>
    <r>
      <rPr>
        <sz val="11"/>
        <color rgb="FF000000"/>
        <rFont val="Calibri"/>
        <family val="2"/>
        <scheme val="minor"/>
      </rPr>
      <t>olume</t>
    </r>
  </si>
  <si>
    <r>
      <rPr>
        <b/>
        <sz val="14"/>
        <color rgb="FF000000"/>
        <rFont val="Calibri"/>
        <family val="2"/>
        <scheme val="minor"/>
      </rPr>
      <t>M</t>
    </r>
    <r>
      <rPr>
        <sz val="11"/>
        <color rgb="FF000000"/>
        <rFont val="Calibri"/>
        <family val="2"/>
        <scheme val="minor"/>
      </rPr>
      <t>aximum</t>
    </r>
    <r>
      <rPr>
        <b/>
        <sz val="14"/>
        <color rgb="FF000000"/>
        <rFont val="Calibri"/>
        <family val="2"/>
        <scheme val="minor"/>
      </rPr>
      <t xml:space="preserve"> A</t>
    </r>
    <r>
      <rPr>
        <sz val="11"/>
        <color rgb="FF000000"/>
        <rFont val="Calibri"/>
        <family val="2"/>
        <scheme val="minor"/>
      </rPr>
      <t>daptive</t>
    </r>
    <r>
      <rPr>
        <sz val="14"/>
        <color rgb="FF000000"/>
        <rFont val="Calibri"/>
        <family val="2"/>
        <scheme val="minor"/>
      </rPr>
      <t xml:space="preserve"> </t>
    </r>
    <r>
      <rPr>
        <b/>
        <sz val="14"/>
        <color rgb="FF000000"/>
        <rFont val="Calibri"/>
        <family val="2"/>
        <scheme val="minor"/>
      </rPr>
      <t>V</t>
    </r>
    <r>
      <rPr>
        <sz val="11"/>
        <color rgb="FF000000"/>
        <rFont val="Calibri"/>
        <family val="2"/>
        <scheme val="minor"/>
      </rPr>
      <t>olume</t>
    </r>
  </si>
  <si>
    <r>
      <rPr>
        <b/>
        <sz val="14"/>
        <color rgb="FF000000"/>
        <rFont val="Calibri"/>
        <family val="2"/>
        <scheme val="minor"/>
      </rPr>
      <t>M</t>
    </r>
    <r>
      <rPr>
        <sz val="11"/>
        <color rgb="FF000000"/>
        <rFont val="Calibri"/>
        <family val="2"/>
        <scheme val="minor"/>
      </rPr>
      <t>inimal</t>
    </r>
    <r>
      <rPr>
        <b/>
        <sz val="14"/>
        <color rgb="FF000000"/>
        <rFont val="Calibri"/>
        <family val="2"/>
        <scheme val="minor"/>
      </rPr>
      <t xml:space="preserve"> E</t>
    </r>
    <r>
      <rPr>
        <sz val="11"/>
        <color rgb="FF000000"/>
        <rFont val="Calibri"/>
        <family val="2"/>
        <scheme val="minor"/>
      </rPr>
      <t>ffective</t>
    </r>
    <r>
      <rPr>
        <b/>
        <sz val="14"/>
        <color rgb="FF000000"/>
        <rFont val="Calibri"/>
        <family val="2"/>
        <scheme val="minor"/>
      </rPr>
      <t xml:space="preserve"> V</t>
    </r>
    <r>
      <rPr>
        <sz val="11"/>
        <color rgb="FF000000"/>
        <rFont val="Calibri"/>
        <family val="2"/>
        <scheme val="minor"/>
      </rPr>
      <t>olume</t>
    </r>
  </si>
  <si>
    <t/>
  </si>
  <si>
    <t xml:space="preserve">RPE Wdh. Tabelle </t>
  </si>
  <si>
    <t>Gewicht-Schritte Tabelle</t>
  </si>
  <si>
    <t xml:space="preserve">Quelle Diagramm Max Wdh. </t>
  </si>
  <si>
    <t>1 RM Formel</t>
  </si>
  <si>
    <t>Brzycki</t>
  </si>
  <si>
    <t>1RM "Epley"</t>
  </si>
  <si>
    <t>1 RM Bryzcki</t>
  </si>
  <si>
    <t>Brzcky</t>
  </si>
  <si>
    <t xml:space="preserve">Gewicht Rechner </t>
  </si>
  <si>
    <t xml:space="preserve">Wdh-% des 1RM Rechner </t>
  </si>
  <si>
    <t>RIR Auslastungs Rechner</t>
  </si>
  <si>
    <t>1 RM Formeln</t>
  </si>
  <si>
    <t>Ep</t>
  </si>
  <si>
    <t>Br</t>
  </si>
  <si>
    <t>Zeile 65-66 Einblenden!</t>
  </si>
  <si>
    <t>Warm Up Top Sets Beispiel</t>
  </si>
  <si>
    <t>Warm Up leichte Sätze Beispiel</t>
  </si>
  <si>
    <t>Warm Up schwere Sätze Beispiel</t>
  </si>
  <si>
    <t>Intensitäts - Guide</t>
  </si>
  <si>
    <t>Profi/ Fortg.</t>
  </si>
  <si>
    <t>Wdh. im Overload</t>
  </si>
  <si>
    <t>Bryzcki-Epley Wdh Diagramm</t>
  </si>
  <si>
    <t>Körper Gewicht</t>
  </si>
  <si>
    <t>Anfänger</t>
  </si>
  <si>
    <t>Fortgeschritten</t>
  </si>
  <si>
    <t>Elite</t>
  </si>
  <si>
    <t>von</t>
  </si>
  <si>
    <t>bis</t>
  </si>
  <si>
    <t>[kg pro Körperg.]</t>
  </si>
  <si>
    <t>Estimated 1 RM:</t>
  </si>
  <si>
    <t>Ehrlich einschätzen</t>
  </si>
  <si>
    <t>Übung Auswählen:</t>
  </si>
  <si>
    <t>1 RM Formel:</t>
  </si>
  <si>
    <t>Gewicht-Schritte:</t>
  </si>
  <si>
    <t>Empfehlungen:</t>
  </si>
  <si>
    <t>Aktuelles Arbeitsgewicht:</t>
  </si>
  <si>
    <t>Aktuelle Wiederholungen:</t>
  </si>
  <si>
    <t>Sätze im Overload:</t>
  </si>
  <si>
    <t>5 Sätze</t>
  </si>
  <si>
    <t>RPE:</t>
  </si>
  <si>
    <t>Potentielle Wdh.</t>
  </si>
  <si>
    <t>EINGEBEN</t>
  </si>
  <si>
    <t>Intensitäts % Diagramm</t>
  </si>
  <si>
    <t>Autonomer Rechner</t>
  </si>
  <si>
    <t>Aktuelle Satzanzahl:</t>
  </si>
  <si>
    <t>Ergebnis im Zyklus Anzeigen?</t>
  </si>
  <si>
    <t xml:space="preserve"> Individueller / Autonomer Rechner</t>
  </si>
  <si>
    <t>Werte Eintragen!</t>
  </si>
  <si>
    <t>Dieses Programm Gehört?</t>
  </si>
  <si>
    <t>Körper Größe</t>
  </si>
  <si>
    <t>Geschlecht</t>
  </si>
  <si>
    <t>Männlich</t>
  </si>
  <si>
    <t>Einheit Gewicht</t>
  </si>
  <si>
    <t>[Kg]</t>
  </si>
  <si>
    <t>Thomas Weber</t>
  </si>
  <si>
    <t>Volumen % vom MAV</t>
  </si>
  <si>
    <t>Intensität % vom MAV OK</t>
  </si>
  <si>
    <t>Intensität % vom MAV UK</t>
  </si>
  <si>
    <t>65-85%</t>
  </si>
  <si>
    <t>Wdh.in der Übungsübersicht Anzeigen?</t>
  </si>
  <si>
    <t>Gewicht 5 Wdh.</t>
  </si>
  <si>
    <t xml:space="preserve">Elite </t>
  </si>
  <si>
    <t>Weltklasse</t>
  </si>
  <si>
    <t>x Körpergewicht</t>
  </si>
  <si>
    <t>Level Balken Gewichts-Calculator</t>
  </si>
  <si>
    <t>Für Text 1</t>
  </si>
  <si>
    <t>Für Text 2</t>
  </si>
  <si>
    <t>Text 2</t>
  </si>
  <si>
    <t>Drop Down Gewicht Zyklus Woche 1</t>
  </si>
  <si>
    <t>Drop Down Gewicht Zyklus Woche 2</t>
  </si>
  <si>
    <t>Drop Down Gewicht Zyklus Woche 3</t>
  </si>
  <si>
    <t>RPE 8</t>
  </si>
  <si>
    <t>RPE 9</t>
  </si>
  <si>
    <t>M Spalte</t>
  </si>
  <si>
    <t>Q Spalte</t>
  </si>
  <si>
    <t>Datum zum Start</t>
  </si>
  <si>
    <t>Ergebnis in Tabelle Eintragen</t>
  </si>
  <si>
    <t>Aktuelles Gewicht</t>
  </si>
  <si>
    <t>Ber. Gewicht</t>
  </si>
  <si>
    <t>Ergebnis Tabelle</t>
  </si>
  <si>
    <t>Zurück zum Rechner</t>
  </si>
  <si>
    <t>RPE  Einblenden?</t>
  </si>
  <si>
    <t xml:space="preserve">   1RM Rechner</t>
  </si>
  <si>
    <t xml:space="preserve">   Einstellungen</t>
  </si>
  <si>
    <t xml:space="preserve">   Autoregulativer Back Off Rechner</t>
  </si>
  <si>
    <t>Aktuelle :</t>
  </si>
  <si>
    <t>Maximalkraftwerte!</t>
  </si>
  <si>
    <t>Aktueller 1RM</t>
  </si>
  <si>
    <t xml:space="preserve"> Neuen 1RM Wert Eintragen!</t>
  </si>
  <si>
    <t xml:space="preserve"> Top Sets/Back Off Sets?</t>
  </si>
  <si>
    <t>Mit Top Sets</t>
  </si>
  <si>
    <t>Informationen Trainingsprogramm</t>
  </si>
  <si>
    <t>Dauer des Meso-Zyklus?</t>
  </si>
  <si>
    <t>Aufrunden ab</t>
  </si>
  <si>
    <r>
      <rPr>
        <b/>
        <sz val="11"/>
        <rFont val="Helvetica Neue"/>
      </rPr>
      <t>Trainigs-System</t>
    </r>
    <r>
      <rPr>
        <sz val="11"/>
        <rFont val="Helvetica Neue"/>
      </rPr>
      <t>: Progressive Overload</t>
    </r>
  </si>
  <si>
    <r>
      <rPr>
        <b/>
        <sz val="11"/>
        <rFont val="Helvetica Neue"/>
      </rPr>
      <t>Trainings.Split:</t>
    </r>
    <r>
      <rPr>
        <sz val="11"/>
        <rFont val="Helvetica Neue"/>
      </rPr>
      <t xml:space="preserve"> OK/UK/OK+ "Arnold Split"</t>
    </r>
  </si>
  <si>
    <r>
      <rPr>
        <b/>
        <sz val="11"/>
        <rFont val="Helvetica Neue"/>
      </rPr>
      <t>Zyklus Dauer</t>
    </r>
    <r>
      <rPr>
        <sz val="11"/>
        <rFont val="Helvetica Neue"/>
      </rPr>
      <t xml:space="preserve"> ausgelegt für 5 Wochen</t>
    </r>
  </si>
  <si>
    <t xml:space="preserve">  Grund-Einstellungen</t>
  </si>
  <si>
    <r>
      <rPr>
        <b/>
        <sz val="11"/>
        <rFont val="Helvetica Neue"/>
      </rPr>
      <t xml:space="preserve">Zyklus Dauer </t>
    </r>
    <r>
      <rPr>
        <sz val="11"/>
        <rFont val="Helvetica Neue"/>
      </rPr>
      <t>kann auf 3-8 Wochen in den Dashboard-Einstellungen verändert werden</t>
    </r>
  </si>
  <si>
    <r>
      <rPr>
        <b/>
        <sz val="14"/>
        <color rgb="FF000000"/>
        <rFont val="Calibri"/>
        <family val="2"/>
        <scheme val="minor"/>
      </rPr>
      <t>M</t>
    </r>
    <r>
      <rPr>
        <sz val="11"/>
        <color rgb="FF000000"/>
        <rFont val="Calibri"/>
        <family val="2"/>
        <scheme val="minor"/>
      </rPr>
      <t>aximum</t>
    </r>
    <r>
      <rPr>
        <b/>
        <sz val="14"/>
        <color rgb="FF000000"/>
        <rFont val="Calibri"/>
        <family val="2"/>
        <scheme val="minor"/>
      </rPr>
      <t xml:space="preserve"> R</t>
    </r>
    <r>
      <rPr>
        <sz val="11"/>
        <color rgb="FF000000"/>
        <rFont val="Calibri"/>
        <family val="2"/>
        <scheme val="minor"/>
      </rPr>
      <t>ecoverable</t>
    </r>
    <r>
      <rPr>
        <sz val="14"/>
        <color rgb="FF000000"/>
        <rFont val="Calibri"/>
        <family val="2"/>
        <scheme val="minor"/>
      </rPr>
      <t xml:space="preserve"> </t>
    </r>
    <r>
      <rPr>
        <b/>
        <sz val="14"/>
        <color rgb="FF000000"/>
        <rFont val="Calibri"/>
        <family val="2"/>
        <scheme val="minor"/>
      </rPr>
      <t>V</t>
    </r>
    <r>
      <rPr>
        <sz val="11"/>
        <color rgb="FF000000"/>
        <rFont val="Calibri"/>
        <family val="2"/>
        <scheme val="minor"/>
      </rPr>
      <t>olume</t>
    </r>
  </si>
  <si>
    <t>M.Schulter</t>
  </si>
  <si>
    <t>H.Schulter</t>
  </si>
  <si>
    <t xml:space="preserve">      Minimal Efektives Volumen</t>
  </si>
  <si>
    <t xml:space="preserve">          Maximales Effektives Volumen</t>
  </si>
  <si>
    <t xml:space="preserve">                           Maximal Regenerierbares Volumen</t>
  </si>
  <si>
    <t xml:space="preserve">             Erhaltungs Volumen</t>
  </si>
  <si>
    <t>ERHALTEN</t>
  </si>
  <si>
    <t>GAINS</t>
  </si>
  <si>
    <t>MINIMALE</t>
  </si>
  <si>
    <t>BESTE</t>
  </si>
  <si>
    <t xml:space="preserve">KEINE </t>
  </si>
  <si>
    <t>AUFRECHT-</t>
  </si>
  <si>
    <t>HALTBAREN</t>
  </si>
  <si>
    <t>Level Balken Strength Calculator</t>
  </si>
  <si>
    <t>Level Balken Gewichts Cal.</t>
  </si>
  <si>
    <t>EIN</t>
  </si>
  <si>
    <t>Level Balken Strength Cal.</t>
  </si>
  <si>
    <t>Nein nicht Anzeigen</t>
  </si>
  <si>
    <t>Epley</t>
  </si>
  <si>
    <t>5.Übung</t>
  </si>
  <si>
    <t>Volumensteigerung</t>
  </si>
  <si>
    <t>1 Wdh.+</t>
  </si>
  <si>
    <t>Gewichtschritte</t>
  </si>
  <si>
    <t>5 Wochen</t>
  </si>
  <si>
    <t>Anzahl Wochen</t>
  </si>
  <si>
    <t>Zyklus Nummer</t>
  </si>
  <si>
    <t>Woche Nr</t>
  </si>
  <si>
    <t>Automatisch berechnen</t>
  </si>
  <si>
    <t>Montag</t>
  </si>
  <si>
    <t>Dienstag</t>
  </si>
  <si>
    <t>Mittwoch</t>
  </si>
  <si>
    <t>Donnerstag</t>
  </si>
  <si>
    <t>Freitag</t>
  </si>
  <si>
    <t>Samstag</t>
  </si>
  <si>
    <t>Sonntag</t>
  </si>
  <si>
    <t>Frei</t>
  </si>
  <si>
    <t>OK/UK/OK+</t>
  </si>
  <si>
    <t>2x</t>
  </si>
  <si>
    <t>Trainings Frequenz pro Woche</t>
  </si>
  <si>
    <t>Aktuelle Trainings-Woche zum Start</t>
  </si>
  <si>
    <t>Dashboard Woche zum Start</t>
  </si>
  <si>
    <t>Drpdown Trainings-Split</t>
  </si>
  <si>
    <t>Dashboard</t>
  </si>
  <si>
    <t xml:space="preserve"> Trainings-Split</t>
  </si>
  <si>
    <t xml:space="preserve"> Einstellungen Trainings-Split</t>
  </si>
  <si>
    <t>OVERLOAD</t>
  </si>
  <si>
    <t>Zeile</t>
  </si>
  <si>
    <t>Spalte</t>
  </si>
  <si>
    <t>Akt.Train Split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</si>
</sst>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164" formatCode="0.0"/>
    <numFmt numFmtId="165" formatCode="0.0%"/>
    <numFmt numFmtId="166" formatCode="0&quot; Wdh.&quot;;[Red]&quot;Nur Wdh. 1-20&quot;"/>
    <numFmt numFmtId="167" formatCode="0;&quot;0&quot;"/>
    <numFmt numFmtId="168" formatCode="General;&quot;0&quot;"/>
    <numFmt numFmtId="169" formatCode="General&quot; Wdh.&quot;"/>
    <numFmt numFmtId="170" formatCode="#,##0.0;&quot;&quot;"/>
    <numFmt numFmtId="171" formatCode="0;[Red]&quot;1&quot;;&quot;1&quot;"/>
    <numFmt numFmtId="172" formatCode="General&quot; RIR&quot;"/>
    <numFmt numFmtId="173" formatCode="&quot;Empfohlen &quot;General&quot; kg&quot;"/>
    <numFmt numFmtId="174" formatCode="General&quot; [Kg]&quot;"/>
    <numFmt numFmtId="175" formatCode="&quot;ge: &quot;0.0;&quot;ERROR&quot;"/>
    <numFmt numFmtId="176" formatCode="General&quot; [Kg].&quot;"/>
    <numFmt numFmtId="177" formatCode="General&quot; cm&quot;"/>
    <numFmt numFmtId="178" formatCode="0;&quot;ERROR&quot;"/>
    <numFmt numFmtId="179" formatCode="General;[Red]&quot;RPE 8&quot;;&quot;RPE 8&quot;;&quot;RPE 8&quot;"/>
    <numFmt numFmtId="180" formatCode="General;[Red]&quot;RPE 9&quot;;&quot;RPE 9&quot;;&quot;RPE 9&quot;"/>
    <numFmt numFmtId="181" formatCode="0&quot; Wdh.&quot;;[Red]&quot;Nur Wdh. 1-30&quot;"/>
    <numFmt numFmtId="182" formatCode="0&quot; Sätze&quot;;[Red]&quot;Nur positive Werte&quot;"/>
    <numFmt numFmtId="183" formatCode="General;[Red]&quot;1&quot;"/>
    <numFmt numFmtId="184" formatCode="General;[Red]&quot;RPE 8&quot;"/>
    <numFmt numFmtId="185" formatCode="dddd/\ dd/mmmm/yyyy\ "/>
    <numFmt numFmtId="186" formatCode="dd"/>
    <numFmt numFmtId="187" formatCode="mmmm"/>
    <numFmt numFmtId="188" formatCode="dddd"/>
  </numFmts>
  <fonts count="185">
    <font>
      <sz val="10"/>
      <name val="Helvetica Neue"/>
    </font>
    <font>
      <sz val="11"/>
      <color theme="1"/>
      <name val="Calibri"/>
      <family val="2"/>
      <scheme val="minor"/>
    </font>
    <font>
      <b/>
      <sz val="24"/>
      <color rgb="FF000000"/>
      <name val="Helvetica Neue"/>
    </font>
    <font>
      <i/>
      <sz val="10"/>
      <name val="Helvetica Neue"/>
    </font>
    <font>
      <sz val="10"/>
      <name val="Helvetica Neue"/>
    </font>
    <font>
      <i/>
      <sz val="10"/>
      <color rgb="FFFF9900"/>
      <name val="Helvetica Neue"/>
    </font>
    <font>
      <i/>
      <sz val="10"/>
      <color rgb="FF000000"/>
      <name val="Helvetica Neue"/>
    </font>
    <font>
      <i/>
      <sz val="10"/>
      <color rgb="FF008000"/>
      <name val="Helvetica Neue"/>
    </font>
    <font>
      <i/>
      <sz val="10"/>
      <color rgb="FFFF0000"/>
      <name val="Helvetica Neue"/>
    </font>
    <font>
      <b/>
      <sz val="10"/>
      <color rgb="FF000000"/>
      <name val="Helvetica Neue"/>
    </font>
    <font>
      <sz val="10"/>
      <color rgb="FF000000"/>
      <name val="Helvetica Neue"/>
    </font>
    <font>
      <sz val="10"/>
      <name val="Helvetica Neue"/>
    </font>
    <font>
      <sz val="10"/>
      <name val="Helvetica Neue"/>
    </font>
    <font>
      <sz val="10"/>
      <name val="Helvetica Neue"/>
    </font>
    <font>
      <u/>
      <sz val="10"/>
      <color rgb="FF0000FF"/>
      <name val="Helvetica Neue"/>
    </font>
    <font>
      <sz val="10"/>
      <color rgb="FF000000"/>
      <name val="Helvetica Neue"/>
    </font>
    <font>
      <i/>
      <sz val="9"/>
      <color rgb="FF008000"/>
      <name val="Helvetica Neue"/>
    </font>
    <font>
      <sz val="36"/>
      <color rgb="FFFFFFFF"/>
      <name val="Calibri"/>
    </font>
    <font>
      <sz val="11"/>
      <color rgb="FFFFFFFF"/>
      <name val="Calibri"/>
    </font>
    <font>
      <sz val="18"/>
      <color rgb="FFFFFFFF"/>
      <name val="Calibri"/>
    </font>
    <font>
      <sz val="18"/>
      <color rgb="FF3F3F3F"/>
      <name val="Calibri"/>
    </font>
    <font>
      <sz val="18"/>
      <color rgb="FF000000"/>
      <name val="Calibri"/>
    </font>
    <font>
      <sz val="10"/>
      <name val="Helvetica Neue"/>
    </font>
    <font>
      <sz val="10"/>
      <color rgb="FF36363D"/>
      <name val="Helvetica Neue"/>
    </font>
    <font>
      <sz val="12"/>
      <color rgb="FFFFFFFF"/>
      <name val="Calibri"/>
    </font>
    <font>
      <sz val="12"/>
      <color rgb="FF000000"/>
      <name val="Helvetica Neue"/>
    </font>
    <font>
      <sz val="10"/>
      <name val="Helvetica Neue"/>
    </font>
    <font>
      <sz val="18"/>
      <color rgb="FF000000"/>
      <name val="Helvetica Neue"/>
    </font>
    <font>
      <sz val="10"/>
      <name val="Helvetica Neue"/>
    </font>
    <font>
      <b/>
      <sz val="12"/>
      <name val="Carrois Gothic SC"/>
    </font>
    <font>
      <b/>
      <sz val="12"/>
      <color rgb="FF000000"/>
      <name val="Helvetica Neue"/>
    </font>
    <font>
      <sz val="14"/>
      <color rgb="FF000000"/>
      <name val="Helvetica Neue"/>
    </font>
    <font>
      <b/>
      <i/>
      <u/>
      <sz val="24"/>
      <color rgb="FF000000"/>
      <name val="Helvetica Neue"/>
    </font>
    <font>
      <b/>
      <i/>
      <u/>
      <sz val="20"/>
      <color rgb="FF000000"/>
      <name val="Helvetica Neue"/>
    </font>
    <font>
      <b/>
      <i/>
      <u/>
      <sz val="24"/>
      <name val="Helvetica Neue"/>
    </font>
    <font>
      <b/>
      <i/>
      <u/>
      <sz val="20"/>
      <name val="Helvetica Neue"/>
    </font>
    <font>
      <b/>
      <sz val="14"/>
      <color rgb="FFFFFFFF"/>
      <name val="Helvetica Neue"/>
    </font>
    <font>
      <b/>
      <u/>
      <sz val="14"/>
      <name val="Helvetica Neue"/>
    </font>
    <font>
      <sz val="10"/>
      <name val="Helvetica Neue"/>
    </font>
    <font>
      <b/>
      <sz val="14"/>
      <color rgb="FF36363D"/>
      <name val="Helvetica Neue"/>
    </font>
    <font>
      <sz val="14"/>
      <color rgb="FF000000"/>
      <name val="Helvetica Neue"/>
    </font>
    <font>
      <sz val="10"/>
      <name val="Helvetica Neue"/>
    </font>
    <font>
      <b/>
      <sz val="14"/>
      <color rgb="FF000000"/>
      <name val="Helvetica Neue"/>
    </font>
    <font>
      <sz val="14"/>
      <color rgb="FF000000"/>
      <name val="Helvetica Neue"/>
    </font>
    <font>
      <sz val="10"/>
      <name val="Helvetica Neue"/>
    </font>
    <font>
      <b/>
      <u/>
      <sz val="14"/>
      <color rgb="FF36363D"/>
      <name val="Helvetica Neue"/>
    </font>
    <font>
      <b/>
      <i/>
      <sz val="14"/>
      <color rgb="FF000000"/>
      <name val="Helvetica Neue"/>
    </font>
    <font>
      <sz val="10"/>
      <name val="Helvetica Neue"/>
    </font>
    <font>
      <sz val="10"/>
      <name val="Helvetica Neue"/>
    </font>
    <font>
      <b/>
      <i/>
      <u/>
      <sz val="18"/>
      <color rgb="FF000000"/>
      <name val="Helvetica Neue"/>
    </font>
    <font>
      <sz val="11"/>
      <color rgb="FF000000"/>
      <name val="Helvetica Neue"/>
    </font>
    <font>
      <sz val="10"/>
      <color rgb="FFFFFFFF"/>
      <name val="Helvetica Neue"/>
    </font>
    <font>
      <b/>
      <i/>
      <sz val="14"/>
      <color rgb="FF36363D"/>
      <name val="Helvetica Neue"/>
    </font>
    <font>
      <b/>
      <sz val="16"/>
      <color rgb="FFFFFFFF"/>
      <name val="Helvetica Neue"/>
    </font>
    <font>
      <b/>
      <sz val="18"/>
      <color rgb="FFFFFFFF"/>
      <name val="Helvetica Neue"/>
    </font>
    <font>
      <b/>
      <sz val="20"/>
      <color rgb="FFFFFFFF"/>
      <name val="Helvetica Neue"/>
    </font>
    <font>
      <b/>
      <u/>
      <sz val="12"/>
      <name val="Helvetica Neue"/>
    </font>
    <font>
      <sz val="10"/>
      <name val="Helvetica Neue"/>
    </font>
    <font>
      <sz val="10"/>
      <name val="Helvetica Neue"/>
    </font>
    <font>
      <b/>
      <sz val="14"/>
      <color indexed="20"/>
      <name val="Helvetica Neue"/>
    </font>
    <font>
      <sz val="12"/>
      <color rgb="FFC00000"/>
      <name val="Helvetica Neue"/>
    </font>
    <font>
      <sz val="12"/>
      <color rgb="FF36363D"/>
      <name val="Helvetica Neue"/>
    </font>
    <font>
      <sz val="10"/>
      <name val="Helvetica Neue"/>
    </font>
    <font>
      <sz val="24"/>
      <color rgb="FF000000"/>
      <name val="Helvetica Neue"/>
    </font>
    <font>
      <i/>
      <sz val="10"/>
      <color rgb="FF36363D"/>
      <name val="Helvetica Neue"/>
    </font>
    <font>
      <sz val="10"/>
      <name val="Helvetica Neue"/>
    </font>
    <font>
      <sz val="10"/>
      <name val="Helvetica Neue"/>
    </font>
    <font>
      <sz val="10"/>
      <name val="Helvetica Neue"/>
    </font>
    <font>
      <i/>
      <sz val="10"/>
      <color rgb="FF800000"/>
      <name val="Helvetica Neue"/>
    </font>
    <font>
      <i/>
      <sz val="10"/>
      <color rgb="FF0070C0"/>
      <name val="Helvetica Neue"/>
    </font>
    <font>
      <i/>
      <sz val="10"/>
      <color rgb="FF7030A0"/>
      <name val="Helvetica Neue"/>
    </font>
    <font>
      <i/>
      <sz val="9"/>
      <color rgb="FFFF0000"/>
      <name val="Helvetica Neue"/>
    </font>
    <font>
      <sz val="10"/>
      <color rgb="FF000000"/>
      <name val="Helvetica Neue"/>
    </font>
    <font>
      <sz val="16"/>
      <color rgb="FF000000"/>
      <name val="Helvetica Neue"/>
    </font>
    <font>
      <i/>
      <sz val="12"/>
      <color rgb="FFD66565"/>
      <name val="Helvetica Neue"/>
    </font>
    <font>
      <b/>
      <sz val="20"/>
      <color rgb="FF000000"/>
      <name val="Helvetica Neue"/>
    </font>
    <font>
      <i/>
      <sz val="14"/>
      <color rgb="FF000000"/>
      <name val="Helvetica Neue"/>
    </font>
    <font>
      <i/>
      <sz val="13.5"/>
      <color rgb="FF000000"/>
      <name val="Helvetica Neue"/>
    </font>
    <font>
      <sz val="8"/>
      <color rgb="FF000000"/>
      <name val="Helvetica Neue"/>
    </font>
    <font>
      <sz val="10"/>
      <color rgb="FF000000"/>
      <name val="Calibri"/>
      <family val="2"/>
    </font>
    <font>
      <sz val="10"/>
      <color theme="0"/>
      <name val="Helvetica Neue"/>
    </font>
    <font>
      <sz val="36"/>
      <color theme="0"/>
      <name val="Helvetica Neue"/>
    </font>
    <font>
      <b/>
      <i/>
      <sz val="28"/>
      <color rgb="FF000000"/>
      <name val="Helvetica Neue"/>
    </font>
    <font>
      <b/>
      <i/>
      <sz val="16"/>
      <color rgb="FF000000"/>
      <name val="Helvetica Neue"/>
    </font>
    <font>
      <b/>
      <i/>
      <sz val="28"/>
      <name val="Helvetica Neue"/>
    </font>
    <font>
      <sz val="12"/>
      <name val="Helvetica Neue"/>
    </font>
    <font>
      <b/>
      <sz val="24"/>
      <color theme="0"/>
      <name val="Helvetica Neue"/>
    </font>
    <font>
      <b/>
      <sz val="44"/>
      <color theme="0"/>
      <name val="Helvetica Neue"/>
    </font>
    <font>
      <b/>
      <sz val="36"/>
      <color theme="0"/>
      <name val="Helvetica Neue"/>
    </font>
    <font>
      <b/>
      <sz val="26"/>
      <color theme="0"/>
      <name val="Helvetica Neue"/>
    </font>
    <font>
      <b/>
      <sz val="28"/>
      <color theme="0"/>
      <name val="Helvetica Neue"/>
    </font>
    <font>
      <sz val="18"/>
      <color rgb="FFFFFFFF"/>
      <name val="Calibri"/>
      <family val="2"/>
    </font>
    <font>
      <sz val="12"/>
      <color rgb="FF000000"/>
      <name val="Calibri"/>
      <family val="2"/>
      <scheme val="minor"/>
    </font>
    <font>
      <b/>
      <sz val="11"/>
      <color rgb="FF000000"/>
      <name val="Calibri"/>
      <family val="2"/>
      <scheme val="minor"/>
    </font>
    <font>
      <sz val="12"/>
      <color theme="1"/>
      <name val="Calibri"/>
      <family val="2"/>
      <scheme val="minor"/>
    </font>
    <font>
      <sz val="10"/>
      <color rgb="FFFF0000"/>
      <name val="Helvetica Neue"/>
    </font>
    <font>
      <sz val="10"/>
      <color theme="8" tint="-0.249977111117893"/>
      <name val="Helvetica Neue"/>
    </font>
    <font>
      <sz val="10"/>
      <color theme="1"/>
      <name val="Helvetica Neue"/>
    </font>
    <font>
      <b/>
      <sz val="10"/>
      <color theme="1"/>
      <name val="Helvetica Neue"/>
    </font>
    <font>
      <sz val="22"/>
      <name val="Helvetica Neue"/>
    </font>
    <font>
      <sz val="18"/>
      <color theme="0"/>
      <name val="Helvetica Neue"/>
    </font>
    <font>
      <sz val="9"/>
      <color indexed="81"/>
      <name val="Segoe UI"/>
      <family val="2"/>
    </font>
    <font>
      <sz val="10"/>
      <color indexed="81"/>
      <name val="Segoe UI"/>
      <family val="2"/>
    </font>
    <font>
      <sz val="11"/>
      <color indexed="81"/>
      <name val="Segoe UI"/>
      <family val="2"/>
    </font>
    <font>
      <sz val="14"/>
      <color indexed="81"/>
      <name val="Segoe UI"/>
      <family val="2"/>
    </font>
    <font>
      <sz val="16"/>
      <color indexed="81"/>
      <name val="Segoe UI"/>
      <family val="2"/>
    </font>
    <font>
      <sz val="14"/>
      <color rgb="FFFFFFFF"/>
      <name val="Calibri"/>
      <family val="2"/>
    </font>
    <font>
      <b/>
      <sz val="14"/>
      <color rgb="FF000000"/>
      <name val="Calibri"/>
      <family val="2"/>
      <scheme val="minor"/>
    </font>
    <font>
      <sz val="11"/>
      <color rgb="FF000000"/>
      <name val="Calibri"/>
      <family val="2"/>
      <scheme val="minor"/>
    </font>
    <font>
      <sz val="14"/>
      <color rgb="FF000000"/>
      <name val="Calibri"/>
      <family val="2"/>
      <scheme val="minor"/>
    </font>
    <font>
      <sz val="10"/>
      <color rgb="FF0070C0"/>
      <name val="Helvetica Neue"/>
    </font>
    <font>
      <sz val="14"/>
      <color rgb="FFFFFFFF"/>
      <name val="Helvetica Neue"/>
    </font>
    <font>
      <sz val="36"/>
      <color rgb="FFFFFFFF"/>
      <name val="Calibri"/>
      <family val="2"/>
    </font>
    <font>
      <b/>
      <sz val="12"/>
      <color theme="1"/>
      <name val="Helvetica Neue"/>
    </font>
    <font>
      <sz val="12"/>
      <color theme="1"/>
      <name val="Helvetica Neue"/>
    </font>
    <font>
      <b/>
      <sz val="14"/>
      <color theme="1"/>
      <name val="Helvetica Neue"/>
    </font>
    <font>
      <sz val="13"/>
      <color rgb="FF36363D"/>
      <name val="Helvetica Neue"/>
    </font>
    <font>
      <sz val="13"/>
      <color rgb="FF000000"/>
      <name val="Helvetica Neue"/>
    </font>
    <font>
      <sz val="11"/>
      <color rgb="FF36363D"/>
      <name val="Helvetica Neue"/>
    </font>
    <font>
      <b/>
      <i/>
      <sz val="24"/>
      <color rgb="FF000000"/>
      <name val="Helvetica Neue"/>
    </font>
    <font>
      <sz val="18"/>
      <name val="Helvetica Neue"/>
    </font>
    <font>
      <b/>
      <sz val="11"/>
      <color rgb="FFFFFFFF"/>
      <name val="Helvetica Neue"/>
    </font>
    <font>
      <b/>
      <sz val="12"/>
      <color rgb="FFFFFFFF"/>
      <name val="Helvetica Neue"/>
    </font>
    <font>
      <b/>
      <sz val="18"/>
      <name val="Helvetica Neue"/>
    </font>
    <font>
      <sz val="16"/>
      <color rgb="FFFFFFFF"/>
      <name val="Calibri"/>
      <family val="2"/>
    </font>
    <font>
      <sz val="12"/>
      <color rgb="FFFFFFFF"/>
      <name val="Calibri"/>
      <family val="2"/>
    </font>
    <font>
      <sz val="8"/>
      <name val="Helvetica Neue"/>
    </font>
    <font>
      <sz val="20"/>
      <name val="Helvetica Neue"/>
    </font>
    <font>
      <b/>
      <sz val="20"/>
      <name val="Helvetica Neue"/>
    </font>
    <font>
      <sz val="14"/>
      <color theme="0"/>
      <name val="Helvetica Neue"/>
    </font>
    <font>
      <b/>
      <i/>
      <sz val="16"/>
      <color theme="0"/>
      <name val="Helvetica Neue"/>
    </font>
    <font>
      <i/>
      <sz val="18"/>
      <color rgb="FF000000"/>
      <name val="Helvetica Neue"/>
    </font>
    <font>
      <sz val="14"/>
      <name val="Helvetica Neue"/>
    </font>
    <font>
      <b/>
      <sz val="16"/>
      <color rgb="FF000000"/>
      <name val="Helvetica Neue"/>
    </font>
    <font>
      <sz val="12"/>
      <color indexed="81"/>
      <name val="Segoe UI"/>
      <family val="2"/>
    </font>
    <font>
      <sz val="20"/>
      <color theme="0"/>
      <name val="Helvetica Neue"/>
    </font>
    <font>
      <sz val="12"/>
      <color theme="0"/>
      <name val="Helvetica Neue"/>
    </font>
    <font>
      <b/>
      <sz val="11"/>
      <color rgb="FF000000"/>
      <name val="Helvetica Neue"/>
    </font>
    <font>
      <sz val="11"/>
      <color theme="1"/>
      <name val="Helvetica Neue"/>
    </font>
    <font>
      <sz val="10"/>
      <color rgb="FF008000"/>
      <name val="Helvetica Neue"/>
    </font>
    <font>
      <sz val="10"/>
      <color rgb="FF0000FF"/>
      <name val="Helvetica Neue"/>
    </font>
    <font>
      <sz val="10"/>
      <color rgb="FFFF9900"/>
      <name val="Helvetica Neue"/>
    </font>
    <font>
      <sz val="11"/>
      <color rgb="FF002060"/>
      <name val="Helvetica Neue"/>
    </font>
    <font>
      <sz val="11"/>
      <color rgb="FFD66565"/>
      <name val="Helvetica Neue"/>
    </font>
    <font>
      <sz val="14"/>
      <color rgb="FFD66565"/>
      <name val="Helvetica Neue"/>
    </font>
    <font>
      <sz val="14"/>
      <color rgb="FF7030A0"/>
      <name val="Helvetica Neue"/>
    </font>
    <font>
      <sz val="11"/>
      <color rgb="FFFF0000"/>
      <name val="Helvetica Neue"/>
    </font>
    <font>
      <i/>
      <sz val="12"/>
      <color rgb="FF000000"/>
      <name val="Helvetica Neue"/>
    </font>
    <font>
      <i/>
      <sz val="11"/>
      <color rgb="FF000000"/>
      <name val="Helvetica Neue"/>
    </font>
    <font>
      <b/>
      <sz val="10"/>
      <color indexed="81"/>
      <name val="Segoe UI"/>
      <family val="2"/>
    </font>
    <font>
      <i/>
      <sz val="16"/>
      <color rgb="FF000000"/>
      <name val="Helvetica Neue"/>
    </font>
    <font>
      <b/>
      <sz val="16"/>
      <color theme="1"/>
      <name val="Helvetica Neue"/>
    </font>
    <font>
      <u/>
      <sz val="10"/>
      <color rgb="FF7030A0"/>
      <name val="Helvetica Neue"/>
    </font>
    <font>
      <sz val="11"/>
      <name val="Helvetica Neue"/>
    </font>
    <font>
      <b/>
      <sz val="11"/>
      <name val="Helvetica Neue"/>
    </font>
    <font>
      <sz val="24"/>
      <color theme="0"/>
      <name val="Helvetica Neue"/>
    </font>
    <font>
      <sz val="72"/>
      <color theme="4" tint="-0.249977111117893"/>
      <name val="Calibri"/>
      <family val="2"/>
    </font>
    <font>
      <sz val="16"/>
      <color theme="1"/>
      <name val="Calibri"/>
      <family val="2"/>
      <scheme val="minor"/>
    </font>
    <font>
      <sz val="11"/>
      <color theme="1"/>
      <name val="Calibri Light"/>
      <family val="2"/>
      <scheme val="major"/>
    </font>
    <font>
      <sz val="11"/>
      <name val="Calibri"/>
      <family val="2"/>
      <scheme val="minor"/>
    </font>
    <font>
      <b/>
      <sz val="26"/>
      <color rgb="FF257670"/>
      <name val="Helvetica Neue"/>
    </font>
    <font>
      <b/>
      <sz val="16"/>
      <color theme="0"/>
      <name val="Helvetica Neue"/>
    </font>
    <font>
      <sz val="16"/>
      <color theme="1"/>
      <name val="Helvetica Neue"/>
    </font>
    <font>
      <b/>
      <sz val="14"/>
      <name val="Helvetica Neue"/>
    </font>
    <font>
      <b/>
      <sz val="16"/>
      <name val="Helvetica Neue"/>
    </font>
    <font>
      <vertAlign val="superscript"/>
      <sz val="20"/>
      <color theme="1"/>
      <name val="Helvetica Neue"/>
    </font>
    <font>
      <sz val="22"/>
      <color theme="0"/>
      <name val="Helvetica Neue"/>
    </font>
    <font>
      <vertAlign val="superscript"/>
      <sz val="24"/>
      <color theme="1"/>
      <name val="Helvetica Neue"/>
    </font>
    <font>
      <b/>
      <vertAlign val="superscript"/>
      <sz val="36"/>
      <color theme="1"/>
      <name val="Helvetica Neue"/>
    </font>
    <font>
      <sz val="20"/>
      <color rgb="FF000000"/>
      <name val="Helvetica Neue"/>
    </font>
    <font>
      <sz val="12"/>
      <color rgb="FFFF0000"/>
      <name val="Helvetica Neue"/>
    </font>
    <font>
      <sz val="24"/>
      <color theme="4" tint="-0.249977111117893"/>
      <name val="Calibri"/>
      <family val="2"/>
    </font>
    <font>
      <sz val="18"/>
      <color indexed="81"/>
      <name val="Segoe UI"/>
      <family val="2"/>
    </font>
    <font>
      <b/>
      <sz val="12"/>
      <color indexed="81"/>
      <name val="Segoe UI"/>
      <family val="2"/>
    </font>
    <font>
      <b/>
      <sz val="48"/>
      <color theme="1"/>
      <name val="Calibri"/>
      <family val="2"/>
      <scheme val="minor"/>
    </font>
    <font>
      <b/>
      <sz val="48"/>
      <color rgb="FF7030A0"/>
      <name val="Calibri"/>
      <family val="2"/>
      <scheme val="minor"/>
    </font>
    <font>
      <b/>
      <sz val="48"/>
      <color rgb="FF9148C8"/>
      <name val="Calibri"/>
      <family val="2"/>
      <scheme val="minor"/>
    </font>
    <font>
      <b/>
      <sz val="28"/>
      <color theme="1"/>
      <name val="Calibri"/>
      <family val="2"/>
      <scheme val="minor"/>
    </font>
    <font>
      <b/>
      <sz val="28"/>
      <color rgb="FF000000"/>
      <name val="Calibri"/>
      <family val="2"/>
      <scheme val="minor"/>
    </font>
    <font>
      <sz val="28"/>
      <name val="Calibri"/>
      <family val="2"/>
      <scheme val="minor"/>
    </font>
    <font>
      <sz val="28"/>
      <color theme="1"/>
      <name val="Calibri"/>
      <family val="2"/>
      <scheme val="minor"/>
    </font>
    <font>
      <b/>
      <vertAlign val="superscript"/>
      <sz val="36"/>
      <color theme="1"/>
      <name val="Calibri"/>
      <family val="2"/>
      <scheme val="minor"/>
    </font>
    <font>
      <sz val="26"/>
      <color rgb="FF000000"/>
      <name val="Calibri"/>
      <family val="2"/>
      <scheme val="minor"/>
    </font>
    <font>
      <b/>
      <sz val="28"/>
      <name val="Calibri"/>
      <family val="2"/>
      <scheme val="minor"/>
    </font>
    <font>
      <b/>
      <sz val="48"/>
      <name val="Calibri"/>
      <family val="2"/>
      <scheme val="minor"/>
    </font>
  </fonts>
  <fills count="83">
    <fill>
      <patternFill patternType="none"/>
    </fill>
    <fill>
      <patternFill patternType="gray125"/>
    </fill>
    <fill>
      <patternFill patternType="solid">
        <fgColor rgb="FFFEFEFE"/>
        <bgColor rgb="FFFEFEFE"/>
      </patternFill>
    </fill>
    <fill>
      <patternFill patternType="solid">
        <fgColor rgb="FF3D85C6"/>
        <bgColor rgb="FF3D85C6"/>
      </patternFill>
    </fill>
    <fill>
      <patternFill patternType="solid">
        <fgColor rgb="FFD0D8E8"/>
        <bgColor rgb="FFFEFEFE"/>
      </patternFill>
    </fill>
    <fill>
      <patternFill patternType="solid">
        <fgColor rgb="FFD0D8E8"/>
      </patternFill>
    </fill>
    <fill>
      <patternFill patternType="solid">
        <fgColor rgb="FFE9EDF4"/>
      </patternFill>
    </fill>
    <fill>
      <patternFill patternType="solid">
        <fgColor rgb="FFFFFFFF"/>
        <bgColor rgb="FFFEFEFE"/>
      </patternFill>
    </fill>
    <fill>
      <patternFill patternType="solid">
        <fgColor rgb="FFFFFFFF"/>
        <bgColor rgb="FFFFFFFF"/>
      </patternFill>
    </fill>
    <fill>
      <patternFill patternType="solid">
        <fgColor rgb="FFF2F2F2"/>
      </patternFill>
    </fill>
    <fill>
      <patternFill patternType="solid">
        <fgColor rgb="FFFFFFFF"/>
      </patternFill>
    </fill>
    <fill>
      <patternFill patternType="solid">
        <fgColor rgb="FFFFB9FF"/>
        <bgColor indexed="64"/>
      </patternFill>
    </fill>
    <fill>
      <patternFill patternType="solid">
        <fgColor rgb="FF8EB4E2"/>
        <bgColor indexed="64"/>
      </patternFill>
    </fill>
    <fill>
      <patternFill patternType="solid">
        <fgColor rgb="FFD66565"/>
      </patternFill>
    </fill>
    <fill>
      <patternFill patternType="solid">
        <fgColor rgb="FF00B050"/>
      </patternFill>
    </fill>
    <fill>
      <patternFill patternType="solid">
        <fgColor rgb="FF00B050"/>
        <bgColor indexed="64"/>
      </patternFill>
    </fill>
    <fill>
      <patternFill patternType="solid">
        <fgColor rgb="FFFFFFFF"/>
        <bgColor indexed="64"/>
      </patternFill>
    </fill>
    <fill>
      <patternFill patternType="solid">
        <fgColor rgb="FFFFCC99"/>
      </patternFill>
    </fill>
    <fill>
      <patternFill patternType="solid">
        <fgColor rgb="FF0070C0"/>
      </patternFill>
    </fill>
    <fill>
      <patternFill patternType="solid">
        <fgColor rgb="FF99CCFF"/>
      </patternFill>
    </fill>
    <fill>
      <patternFill patternType="solid">
        <fgColor rgb="FF92D050"/>
        <bgColor indexed="64"/>
      </patternFill>
    </fill>
    <fill>
      <patternFill patternType="solid">
        <fgColor rgb="FF92D050"/>
      </patternFill>
    </fill>
    <fill>
      <patternFill patternType="solid">
        <fgColor rgb="FFCCFECC"/>
      </patternFill>
    </fill>
    <fill>
      <patternFill patternType="solid">
        <fgColor rgb="FFFFE5E5"/>
      </patternFill>
    </fill>
    <fill>
      <patternFill patternType="solid">
        <fgColor rgb="FFCC99FF"/>
      </patternFill>
    </fill>
    <fill>
      <patternFill patternType="solid">
        <fgColor rgb="FFFFFFFF"/>
        <bgColor rgb="FF3D85C6"/>
      </patternFill>
    </fill>
    <fill>
      <patternFill patternType="solid">
        <fgColor rgb="FF0070C0"/>
        <bgColor indexed="64"/>
      </patternFill>
    </fill>
    <fill>
      <patternFill patternType="none">
        <bgColor indexed="64"/>
      </patternFill>
    </fill>
    <fill>
      <patternFill patternType="solid">
        <fgColor rgb="FFD0E3EA"/>
        <bgColor rgb="FFFEFEFE"/>
      </patternFill>
    </fill>
    <fill>
      <patternFill patternType="solid">
        <fgColor rgb="FFE9F1F5"/>
        <bgColor rgb="FFFEFEFE"/>
      </patternFill>
    </fill>
    <fill>
      <patternFill patternType="solid">
        <fgColor rgb="FFD0E3EA"/>
      </patternFill>
    </fill>
    <fill>
      <patternFill patternType="solid">
        <fgColor rgb="FFE9F1F5"/>
      </patternFill>
    </fill>
    <fill>
      <patternFill patternType="solid">
        <fgColor theme="8" tint="0.39997558519241921"/>
        <bgColor indexed="64"/>
      </patternFill>
    </fill>
    <fill>
      <patternFill patternType="solid">
        <fgColor theme="7" tint="0.59999389629810485"/>
        <bgColor indexed="64"/>
      </patternFill>
    </fill>
    <fill>
      <patternFill patternType="solid">
        <fgColor rgb="FF33CC33"/>
        <bgColor indexed="64"/>
      </patternFill>
    </fill>
    <fill>
      <patternFill patternType="solid">
        <fgColor rgb="FF99FF99"/>
        <bgColor indexed="64"/>
      </patternFill>
    </fill>
    <fill>
      <patternFill patternType="solid">
        <fgColor rgb="FFCC99FF"/>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249977111117893"/>
        <bgColor indexed="64"/>
      </patternFill>
    </fill>
    <fill>
      <patternFill patternType="solid">
        <fgColor rgb="FFFF4343"/>
        <bgColor indexed="64"/>
      </patternFill>
    </fill>
    <fill>
      <patternFill patternType="solid">
        <fgColor rgb="FFDBC1F7"/>
        <bgColor indexed="64"/>
      </patternFill>
    </fill>
    <fill>
      <patternFill patternType="solid">
        <fgColor rgb="FFFFBDBD"/>
        <bgColor indexed="64"/>
      </patternFill>
    </fill>
    <fill>
      <patternFill patternType="solid">
        <fgColor rgb="FFA9E9A9"/>
        <bgColor indexed="64"/>
      </patternFill>
    </fill>
    <fill>
      <patternFill patternType="solid">
        <fgColor rgb="FFB6D2EC"/>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E9EDF4"/>
        <bgColor indexed="64"/>
      </patternFill>
    </fill>
    <fill>
      <patternFill patternType="solid">
        <fgColor theme="7" tint="0.79998168889431442"/>
        <bgColor indexed="64"/>
      </patternFill>
    </fill>
    <fill>
      <patternFill patternType="solid">
        <fgColor theme="4" tint="0.79998168889431442"/>
        <bgColor theme="5" tint="0.59999389629810485"/>
      </patternFill>
    </fill>
    <fill>
      <patternFill patternType="solid">
        <fgColor theme="8" tint="0.39997558519241921"/>
        <bgColor theme="5" tint="0.79998168889431442"/>
      </patternFill>
    </fill>
    <fill>
      <patternFill patternType="solid">
        <fgColor theme="8" tint="0.39997558519241921"/>
        <bgColor theme="5" tint="0.59999389629810485"/>
      </patternFill>
    </fill>
    <fill>
      <patternFill patternType="solid">
        <fgColor theme="8" tint="0.59999389629810485"/>
        <bgColor theme="5" tint="0.59999389629810485"/>
      </patternFill>
    </fill>
    <fill>
      <patternFill patternType="solid">
        <fgColor rgb="FF99CCFF"/>
        <bgColor indexed="64"/>
      </patternFill>
    </fill>
    <fill>
      <patternFill patternType="solid">
        <fgColor rgb="FFF2F2F2"/>
        <bgColor indexed="64"/>
      </patternFill>
    </fill>
    <fill>
      <patternFill patternType="solid">
        <fgColor rgb="FFF5F5F5"/>
        <bgColor indexed="64"/>
      </patternFill>
    </fill>
    <fill>
      <patternFill patternType="solid">
        <fgColor rgb="FFFFFF99"/>
        <bgColor indexed="64"/>
      </patternFill>
    </fill>
    <fill>
      <patternFill patternType="solid">
        <fgColor rgb="FFF3F5FF"/>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74999237037263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rgb="FF7030A0"/>
        <bgColor indexed="64"/>
      </patternFill>
    </fill>
    <fill>
      <patternFill patternType="solid">
        <fgColor rgb="FFF4EDF9"/>
        <bgColor indexed="64"/>
      </patternFill>
    </fill>
    <fill>
      <patternFill patternType="solid">
        <fgColor theme="0"/>
        <bgColor rgb="FF3D85C6"/>
      </patternFill>
    </fill>
    <fill>
      <patternFill patternType="solid">
        <fgColor theme="6" tint="0.39997558519241921"/>
        <bgColor indexed="64"/>
      </patternFill>
    </fill>
    <fill>
      <patternFill patternType="solid">
        <fgColor theme="6" tint="0.79998168889431442"/>
        <bgColor indexed="64"/>
      </patternFill>
    </fill>
    <fill>
      <patternFill patternType="solid">
        <fgColor rgb="FF0060A8"/>
        <bgColor indexed="64"/>
      </patternFill>
    </fill>
    <fill>
      <patternFill patternType="solid">
        <fgColor theme="2" tint="-0.249977111117893"/>
        <bgColor indexed="64"/>
      </patternFill>
    </fill>
    <fill>
      <patternFill patternType="solid">
        <fgColor rgb="FFE1A3C2"/>
        <bgColor indexed="64"/>
      </patternFill>
    </fill>
    <fill>
      <patternFill patternType="solid">
        <fgColor rgb="FFCF6B9D"/>
        <bgColor indexed="64"/>
      </patternFill>
    </fill>
    <fill>
      <patternFill patternType="solid">
        <fgColor rgb="FFC9A6E4"/>
        <bgColor indexed="64"/>
      </patternFill>
    </fill>
    <fill>
      <patternFill patternType="solid">
        <fgColor rgb="FF257670"/>
        <bgColor indexed="64"/>
      </patternFill>
    </fill>
    <fill>
      <patternFill patternType="solid">
        <fgColor theme="9" tint="-0.249977111117893"/>
        <bgColor indexed="64"/>
      </patternFill>
    </fill>
    <fill>
      <patternFill patternType="solid">
        <fgColor rgb="FFC39BE1"/>
        <bgColor indexed="64"/>
      </patternFill>
    </fill>
    <fill>
      <patternFill patternType="solid">
        <fgColor rgb="FFEECEE6"/>
        <bgColor indexed="64"/>
      </patternFill>
    </fill>
  </fills>
  <borders count="273">
    <border>
      <left/>
      <right/>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style="thin">
        <color rgb="FFFFFFFF"/>
      </bottom>
      <diagonal/>
    </border>
    <border>
      <left/>
      <right/>
      <top/>
      <bottom style="thick">
        <color rgb="FF515151"/>
      </bottom>
      <diagonal/>
    </border>
    <border>
      <left style="thick">
        <color rgb="FF515151"/>
      </left>
      <right style="thick">
        <color rgb="FF515151"/>
      </right>
      <top style="thick">
        <color rgb="FF515151"/>
      </top>
      <bottom style="thick">
        <color rgb="FF515151"/>
      </bottom>
      <diagonal/>
    </border>
    <border>
      <left style="thick">
        <color rgb="FF515151"/>
      </left>
      <right/>
      <top style="thick">
        <color rgb="FF515151"/>
      </top>
      <bottom style="thick">
        <color rgb="FF515151"/>
      </bottom>
      <diagonal/>
    </border>
    <border>
      <left/>
      <right style="thick">
        <color rgb="FF515151"/>
      </right>
      <top style="thick">
        <color rgb="FF515151"/>
      </top>
      <bottom style="thick">
        <color rgb="FF515151"/>
      </bottom>
      <diagonal/>
    </border>
    <border>
      <left/>
      <right/>
      <top style="thick">
        <color rgb="FF51515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rgb="FF3D85C6"/>
      </bottom>
      <diagonal/>
    </border>
    <border>
      <left style="thin">
        <color indexed="64"/>
      </left>
      <right/>
      <top style="thin">
        <color rgb="FF3D85C6"/>
      </top>
      <bottom style="thin">
        <color rgb="FF3D85C6"/>
      </bottom>
      <diagonal/>
    </border>
    <border>
      <left style="thin">
        <color rgb="FF3F3F3F"/>
      </left>
      <right style="thin">
        <color rgb="FF3F3F3F"/>
      </right>
      <top style="thin">
        <color rgb="FF3F3F3F"/>
      </top>
      <bottom style="thin">
        <color rgb="FF3F3F3F"/>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rgb="FFFFFFFF"/>
      </right>
      <top/>
      <bottom style="thin">
        <color rgb="FFFFFFFF"/>
      </bottom>
      <diagonal/>
    </border>
    <border>
      <left style="thin">
        <color rgb="FFFFFFFF"/>
      </left>
      <right style="thin">
        <color rgb="FFFFFFFF"/>
      </right>
      <top/>
      <bottom/>
      <diagonal/>
    </border>
    <border>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diagonal/>
    </border>
    <border>
      <left/>
      <right style="thin">
        <color indexed="64"/>
      </right>
      <top/>
      <bottom/>
      <diagonal/>
    </border>
    <border>
      <left style="medium">
        <color rgb="FFFF0000"/>
      </left>
      <right style="medium">
        <color rgb="FFFF0000"/>
      </right>
      <top style="medium">
        <color rgb="FFFF0000"/>
      </top>
      <bottom style="medium">
        <color rgb="FFFF000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style="thin">
        <color indexed="64"/>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left/>
      <right/>
      <top/>
      <bottom style="thin">
        <color indexed="64"/>
      </bottom>
      <diagonal/>
    </border>
    <border>
      <left style="thin">
        <color rgb="FFFFFFFF"/>
      </left>
      <right style="thin">
        <color rgb="FFFFFFFF"/>
      </right>
      <top style="thin">
        <color rgb="FFFFFFFF"/>
      </top>
      <bottom/>
      <diagonal/>
    </border>
    <border>
      <left style="thin">
        <color indexed="64"/>
      </left>
      <right/>
      <top/>
      <bottom/>
      <diagonal/>
    </border>
    <border>
      <left/>
      <right style="thin">
        <color rgb="FFFFFFFF"/>
      </right>
      <top/>
      <bottom/>
      <diagonal/>
    </border>
    <border>
      <left style="thin">
        <color rgb="FFFFFFFF"/>
      </left>
      <right/>
      <top/>
      <bottom style="thin">
        <color rgb="FFFFFFFF"/>
      </bottom>
      <diagonal/>
    </border>
    <border>
      <left style="thin">
        <color indexed="10"/>
      </left>
      <right style="thin">
        <color indexed="10"/>
      </right>
      <top style="thin">
        <color indexed="10"/>
      </top>
      <bottom style="thin">
        <color indexed="10"/>
      </bottom>
      <diagonal/>
    </border>
    <border>
      <left/>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style="thin">
        <color indexed="8"/>
      </right>
      <top style="thin">
        <color indexed="8"/>
      </top>
      <bottom/>
      <diagonal/>
    </border>
    <border>
      <left style="thin">
        <color rgb="FFFF0000"/>
      </left>
      <right style="thin">
        <color rgb="FFFF0000"/>
      </right>
      <top style="thin">
        <color rgb="FFFF0000"/>
      </top>
      <bottom style="thin">
        <color rgb="FFFF0000"/>
      </bottom>
      <diagonal/>
    </border>
    <border>
      <left style="thin">
        <color theme="1"/>
      </left>
      <right style="thin">
        <color theme="1"/>
      </right>
      <top style="thin">
        <color theme="1"/>
      </top>
      <bottom style="thin">
        <color theme="1"/>
      </bottom>
      <diagonal/>
    </border>
    <border>
      <left/>
      <right/>
      <top style="thin">
        <color rgb="FFFFFFFF"/>
      </top>
      <bottom style="thin">
        <color rgb="FFFFFFFF"/>
      </bottom>
      <diagonal/>
    </border>
    <border>
      <left style="thin">
        <color rgb="FFFFFFFF"/>
      </left>
      <right/>
      <top style="thin">
        <color rgb="FFFFFFFF"/>
      </top>
      <bottom/>
      <diagonal/>
    </border>
    <border>
      <left style="thin">
        <color rgb="FFFFFFFF"/>
      </left>
      <right/>
      <top/>
      <bottom/>
      <diagonal/>
    </border>
    <border>
      <left/>
      <right style="thin">
        <color rgb="FFFFFFFF"/>
      </right>
      <top style="thin">
        <color rgb="FFFFFFFF"/>
      </top>
      <bottom/>
      <diagonal/>
    </border>
    <border>
      <left/>
      <right/>
      <top style="thin">
        <color rgb="FFFFFFFF"/>
      </top>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bottom/>
      <diagonal/>
    </border>
    <border>
      <left/>
      <right style="thin">
        <color auto="1"/>
      </right>
      <top/>
      <bottom/>
      <diagonal/>
    </border>
    <border>
      <left style="thin">
        <color theme="0"/>
      </left>
      <right/>
      <top style="thin">
        <color rgb="FFFFFFFF"/>
      </top>
      <bottom style="thin">
        <color rgb="FFFFFFFF"/>
      </bottom>
      <diagonal/>
    </border>
    <border>
      <left style="thin">
        <color rgb="FF3D85C6"/>
      </left>
      <right/>
      <top/>
      <bottom/>
      <diagonal/>
    </border>
    <border>
      <left style="thin">
        <color indexed="64"/>
      </left>
      <right style="thin">
        <color rgb="FF3F3F3F"/>
      </right>
      <top style="thin">
        <color indexed="64"/>
      </top>
      <bottom style="thin">
        <color rgb="FF3F3F3F"/>
      </bottom>
      <diagonal/>
    </border>
    <border>
      <left style="thin">
        <color rgb="FF3F3F3F"/>
      </left>
      <right style="thin">
        <color rgb="FF3F3F3F"/>
      </right>
      <top style="thin">
        <color indexed="64"/>
      </top>
      <bottom style="thin">
        <color rgb="FF3F3F3F"/>
      </bottom>
      <diagonal/>
    </border>
    <border>
      <left style="thin">
        <color indexed="64"/>
      </left>
      <right style="thin">
        <color rgb="FF3F3F3F"/>
      </right>
      <top style="thin">
        <color rgb="FF3F3F3F"/>
      </top>
      <bottom style="thin">
        <color rgb="FF3F3F3F"/>
      </bottom>
      <diagonal/>
    </border>
    <border>
      <left style="thin">
        <color rgb="FF3F3F3F"/>
      </left>
      <right/>
      <top style="thin">
        <color indexed="64"/>
      </top>
      <bottom style="thin">
        <color rgb="FF3F3F3F"/>
      </bottom>
      <diagonal/>
    </border>
    <border>
      <left/>
      <right/>
      <top style="thin">
        <color indexed="64"/>
      </top>
      <bottom style="thin">
        <color rgb="FF3F3F3F"/>
      </bottom>
      <diagonal/>
    </border>
    <border>
      <left/>
      <right style="thin">
        <color auto="1"/>
      </right>
      <top style="thin">
        <color indexed="64"/>
      </top>
      <bottom style="thin">
        <color rgb="FF3F3F3F"/>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auto="1"/>
      </right>
      <top style="thin">
        <color rgb="FF3F3F3F"/>
      </top>
      <bottom style="thin">
        <color rgb="FF3F3F3F"/>
      </bottom>
      <diagonal/>
    </border>
    <border>
      <left style="thin">
        <color auto="1"/>
      </left>
      <right/>
      <top style="thin">
        <color rgb="FF3D85C6"/>
      </top>
      <bottom/>
      <diagonal/>
    </border>
    <border>
      <left style="thin">
        <color theme="1"/>
      </left>
      <right style="thin">
        <color theme="1"/>
      </right>
      <top style="thin">
        <color theme="1"/>
      </top>
      <bottom style="thin">
        <color auto="1"/>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style="thin">
        <color indexed="9"/>
      </left>
      <right/>
      <top/>
      <bottom style="thin">
        <color indexed="9"/>
      </bottom>
      <diagonal/>
    </border>
    <border>
      <left style="thin">
        <color rgb="FF3D85C6"/>
      </left>
      <right/>
      <top/>
      <bottom style="thin">
        <color indexed="64"/>
      </bottom>
      <diagonal/>
    </border>
    <border>
      <left/>
      <right style="thin">
        <color theme="1"/>
      </right>
      <top style="thin">
        <color theme="1"/>
      </top>
      <bottom style="thin">
        <color theme="1"/>
      </bottom>
      <diagonal/>
    </border>
    <border>
      <left style="thin">
        <color theme="0"/>
      </left>
      <right/>
      <top/>
      <bottom/>
      <diagonal/>
    </border>
    <border>
      <left style="thin">
        <color theme="1"/>
      </left>
      <right/>
      <top style="thin">
        <color theme="1"/>
      </top>
      <bottom style="thin">
        <color theme="1"/>
      </bottom>
      <diagonal/>
    </border>
    <border>
      <left style="medium">
        <color theme="2" tint="-0.499984740745262"/>
      </left>
      <right style="medium">
        <color theme="2" tint="-0.499984740745262"/>
      </right>
      <top style="medium">
        <color theme="2" tint="-0.499984740745262"/>
      </top>
      <bottom style="medium">
        <color theme="2" tint="-0.499984740745262"/>
      </bottom>
      <diagonal/>
    </border>
    <border>
      <left style="thin">
        <color theme="1"/>
      </left>
      <right/>
      <top/>
      <bottom/>
      <diagonal/>
    </border>
    <border>
      <left/>
      <right/>
      <top style="thin">
        <color theme="1"/>
      </top>
      <bottom/>
      <diagonal/>
    </border>
    <border>
      <left style="thin">
        <color indexed="64"/>
      </left>
      <right style="thin">
        <color rgb="FF3F3F3F"/>
      </right>
      <top style="thin">
        <color indexed="64"/>
      </top>
      <bottom style="thin">
        <color indexed="64"/>
      </bottom>
      <diagonal/>
    </border>
    <border>
      <left/>
      <right style="thin">
        <color theme="1"/>
      </right>
      <top style="thin">
        <color theme="1"/>
      </top>
      <bottom/>
      <diagonal/>
    </border>
    <border>
      <left style="thin">
        <color theme="0"/>
      </left>
      <right/>
      <top/>
      <bottom style="thin">
        <color rgb="FFFFFFFF"/>
      </bottom>
      <diagonal/>
    </border>
    <border>
      <left style="thin">
        <color theme="0"/>
      </left>
      <right/>
      <top/>
      <bottom style="thin">
        <color indexed="9"/>
      </bottom>
      <diagonal/>
    </border>
    <border>
      <left style="medium">
        <color indexed="64"/>
      </left>
      <right/>
      <top/>
      <bottom/>
      <diagonal/>
    </border>
    <border>
      <left/>
      <right style="medium">
        <color indexed="64"/>
      </right>
      <top/>
      <bottom/>
      <diagonal/>
    </border>
    <border>
      <left/>
      <right/>
      <top/>
      <bottom style="thin">
        <color theme="8" tint="-0.249977111117893"/>
      </bottom>
      <diagonal/>
    </border>
    <border>
      <left style="medium">
        <color theme="8" tint="-0.249977111117893"/>
      </left>
      <right/>
      <top style="medium">
        <color theme="8" tint="-0.249977111117893"/>
      </top>
      <bottom/>
      <diagonal/>
    </border>
    <border>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top/>
      <bottom style="medium">
        <color theme="8" tint="-0.249977111117893"/>
      </bottom>
      <diagonal/>
    </border>
    <border>
      <left/>
      <right style="medium">
        <color theme="8" tint="-0.249977111117893"/>
      </right>
      <top/>
      <bottom style="medium">
        <color theme="8" tint="-0.249977111117893"/>
      </bottom>
      <diagonal/>
    </border>
    <border>
      <left style="thin">
        <color indexed="10"/>
      </left>
      <right/>
      <top style="thin">
        <color indexed="10"/>
      </top>
      <bottom style="thin">
        <color indexed="10"/>
      </bottom>
      <diagonal/>
    </border>
    <border>
      <left/>
      <right style="thin">
        <color indexed="10"/>
      </right>
      <top style="thin">
        <color indexed="10"/>
      </top>
      <bottom style="thin">
        <color indexed="10"/>
      </bottom>
      <diagonal/>
    </border>
    <border>
      <left/>
      <right/>
      <top style="thin">
        <color indexed="10"/>
      </top>
      <bottom style="thin">
        <color indexed="10"/>
      </bottom>
      <diagonal/>
    </border>
    <border>
      <left style="medium">
        <color theme="0" tint="-0.499984740745262"/>
      </left>
      <right/>
      <top style="medium">
        <color theme="0" tint="-0.499984740745262"/>
      </top>
      <bottom/>
      <diagonal/>
    </border>
    <border>
      <left/>
      <right/>
      <top style="medium">
        <color theme="0" tint="-0.499984740745262"/>
      </top>
      <bottom/>
      <diagonal/>
    </border>
    <border>
      <left/>
      <right style="medium">
        <color theme="0" tint="-0.499984740745262"/>
      </right>
      <top style="medium">
        <color theme="0" tint="-0.499984740745262"/>
      </top>
      <bottom/>
      <diagonal/>
    </border>
    <border>
      <left style="medium">
        <color theme="0" tint="-0.499984740745262"/>
      </left>
      <right/>
      <top/>
      <bottom/>
      <diagonal/>
    </border>
    <border>
      <left/>
      <right style="medium">
        <color theme="0" tint="-0.499984740745262"/>
      </right>
      <top/>
      <bottom/>
      <diagonal/>
    </border>
    <border>
      <left style="medium">
        <color theme="0" tint="-0.499984740745262"/>
      </left>
      <right/>
      <top/>
      <bottom style="medium">
        <color theme="0" tint="-0.499984740745262"/>
      </bottom>
      <diagonal/>
    </border>
    <border>
      <left/>
      <right/>
      <top/>
      <bottom style="medium">
        <color theme="0" tint="-0.499984740745262"/>
      </bottom>
      <diagonal/>
    </border>
    <border>
      <left/>
      <right style="medium">
        <color theme="0" tint="-0.499984740745262"/>
      </right>
      <top/>
      <bottom style="medium">
        <color theme="0" tint="-0.499984740745262"/>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style="medium">
        <color theme="0" tint="-0.499984740745262"/>
      </bottom>
      <diagonal/>
    </border>
    <border>
      <left style="thin">
        <color indexed="10"/>
      </left>
      <right style="medium">
        <color theme="0" tint="-0.499984740745262"/>
      </right>
      <top style="medium">
        <color theme="0" tint="-0.499984740745262"/>
      </top>
      <bottom style="medium">
        <color theme="0" tint="-0.499984740745262"/>
      </bottom>
      <diagonal/>
    </border>
    <border>
      <left/>
      <right/>
      <top/>
      <bottom style="thick">
        <color theme="2"/>
      </bottom>
      <diagonal/>
    </border>
    <border>
      <left style="thin">
        <color indexed="64"/>
      </left>
      <right style="medium">
        <color theme="0" tint="-0.499984740745262"/>
      </right>
      <top style="thin">
        <color indexed="64"/>
      </top>
      <bottom/>
      <diagonal/>
    </border>
    <border>
      <left/>
      <right/>
      <top style="thick">
        <color theme="2"/>
      </top>
      <bottom/>
      <diagonal/>
    </border>
    <border>
      <left/>
      <right style="thin">
        <color indexed="64"/>
      </right>
      <top style="thick">
        <color theme="2"/>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rgb="FFFF0000"/>
      </top>
      <bottom/>
      <diagonal/>
    </border>
    <border>
      <left style="medium">
        <color indexed="64"/>
      </left>
      <right style="medium">
        <color indexed="64"/>
      </right>
      <top/>
      <bottom style="thin">
        <color rgb="FFFF0000"/>
      </bottom>
      <diagonal/>
    </border>
    <border>
      <left/>
      <right style="thin">
        <color indexed="10"/>
      </right>
      <top/>
      <bottom/>
      <diagonal/>
    </border>
    <border>
      <left style="thin">
        <color indexed="64"/>
      </left>
      <right/>
      <top style="thin">
        <color indexed="64"/>
      </top>
      <bottom/>
      <diagonal/>
    </border>
    <border>
      <left style="thin">
        <color auto="1"/>
      </left>
      <right/>
      <top style="thin">
        <color auto="1"/>
      </top>
      <bottom style="thin">
        <color auto="1"/>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right/>
      <top style="medium">
        <color theme="1"/>
      </top>
      <bottom style="medium">
        <color theme="8" tint="-0.24994659260841701"/>
      </bottom>
      <diagonal/>
    </border>
    <border>
      <left/>
      <right/>
      <top/>
      <bottom style="medium">
        <color rgb="FF0070C0"/>
      </bottom>
      <diagonal/>
    </border>
    <border>
      <left style="thin">
        <color rgb="FF7030A0"/>
      </left>
      <right style="thin">
        <color rgb="FF7030A0"/>
      </right>
      <top style="thin">
        <color rgb="FF7030A0"/>
      </top>
      <bottom style="thin">
        <color rgb="FF7030A0"/>
      </bottom>
      <diagonal/>
    </border>
    <border>
      <left style="thin">
        <color rgb="FF7030A0"/>
      </left>
      <right/>
      <top style="thin">
        <color rgb="FF7030A0"/>
      </top>
      <bottom style="thin">
        <color auto="1"/>
      </bottom>
      <diagonal/>
    </border>
    <border>
      <left/>
      <right style="thin">
        <color rgb="FF7030A0"/>
      </right>
      <top style="thin">
        <color rgb="FF7030A0"/>
      </top>
      <bottom style="thin">
        <color rgb="FFFF0000"/>
      </bottom>
      <diagonal/>
    </border>
    <border>
      <left style="thin">
        <color rgb="FFFF0000"/>
      </left>
      <right style="thin">
        <color rgb="FFFF0000"/>
      </right>
      <top/>
      <bottom style="thin">
        <color rgb="FFFF0000"/>
      </bottom>
      <diagonal/>
    </border>
    <border>
      <left/>
      <right style="medium">
        <color theme="0" tint="-0.499984740745262"/>
      </right>
      <top/>
      <bottom style="thin">
        <color indexed="64"/>
      </bottom>
      <diagonal/>
    </border>
    <border>
      <left style="thin">
        <color indexed="64"/>
      </left>
      <right style="medium">
        <color theme="0" tint="-0.499984740745262"/>
      </right>
      <top/>
      <bottom style="thin">
        <color indexed="64"/>
      </bottom>
      <diagonal/>
    </border>
    <border>
      <left/>
      <right/>
      <top/>
      <bottom style="thin">
        <color theme="1"/>
      </bottom>
      <diagonal/>
    </border>
    <border>
      <left style="thin">
        <color rgb="FFFFFFFF"/>
      </left>
      <right style="thin">
        <color rgb="FFFFFFFF"/>
      </right>
      <top style="thin">
        <color theme="0"/>
      </top>
      <bottom style="thin">
        <color rgb="FFFFFFFF"/>
      </bottom>
      <diagonal/>
    </border>
    <border>
      <left style="medium">
        <color rgb="FF00B050"/>
      </left>
      <right/>
      <top style="medium">
        <color rgb="FF00B050"/>
      </top>
      <bottom/>
      <diagonal/>
    </border>
    <border>
      <left/>
      <right/>
      <top style="medium">
        <color rgb="FF00B050"/>
      </top>
      <bottom/>
      <diagonal/>
    </border>
    <border>
      <left/>
      <right style="medium">
        <color rgb="FF00B050"/>
      </right>
      <top style="medium">
        <color rgb="FF00B050"/>
      </top>
      <bottom/>
      <diagonal/>
    </border>
    <border>
      <left style="medium">
        <color rgb="FF00B050"/>
      </left>
      <right/>
      <top/>
      <bottom/>
      <diagonal/>
    </border>
    <border>
      <left/>
      <right style="medium">
        <color rgb="FF00B050"/>
      </right>
      <top/>
      <bottom/>
      <diagonal/>
    </border>
    <border>
      <left style="medium">
        <color rgb="FF00B050"/>
      </left>
      <right/>
      <top/>
      <bottom style="medium">
        <color rgb="FF00B050"/>
      </bottom>
      <diagonal/>
    </border>
    <border>
      <left/>
      <right/>
      <top/>
      <bottom style="medium">
        <color rgb="FF00B050"/>
      </bottom>
      <diagonal/>
    </border>
    <border>
      <left/>
      <right style="medium">
        <color rgb="FF00B050"/>
      </right>
      <top/>
      <bottom style="medium">
        <color rgb="FF00B050"/>
      </bottom>
      <diagonal/>
    </border>
    <border>
      <left style="thin">
        <color indexed="10"/>
      </left>
      <right/>
      <top style="thin">
        <color indexed="10"/>
      </top>
      <bottom style="thin">
        <color indexed="10"/>
      </bottom>
      <diagonal/>
    </border>
    <border>
      <left/>
      <right style="thin">
        <color indexed="10"/>
      </right>
      <top style="thin">
        <color indexed="10"/>
      </top>
      <bottom style="thin">
        <color indexed="10"/>
      </bottom>
      <diagonal/>
    </border>
    <border>
      <left style="thin">
        <color rgb="FF7030A0"/>
      </left>
      <right/>
      <top style="thin">
        <color rgb="FF7030A0"/>
      </top>
      <bottom/>
      <diagonal/>
    </border>
    <border>
      <left/>
      <right style="thin">
        <color rgb="FF7030A0"/>
      </right>
      <top style="thin">
        <color rgb="FF7030A0"/>
      </top>
      <bottom/>
      <diagonal/>
    </border>
    <border>
      <left/>
      <right/>
      <top style="thin">
        <color theme="4"/>
      </top>
      <bottom/>
      <diagonal/>
    </border>
    <border>
      <left style="thin">
        <color indexed="64"/>
      </left>
      <right style="thin">
        <color rgb="FF3F3F3F"/>
      </right>
      <top style="thin">
        <color rgb="FF3F3F3F"/>
      </top>
      <bottom style="thin">
        <color indexed="64"/>
      </bottom>
      <diagonal/>
    </border>
    <border>
      <left style="thin">
        <color rgb="FF3F3F3F"/>
      </left>
      <right style="thin">
        <color rgb="FF3F3F3F"/>
      </right>
      <top style="thin">
        <color rgb="FF3F3F3F"/>
      </top>
      <bottom style="thin">
        <color indexed="64"/>
      </bottom>
      <diagonal/>
    </border>
    <border>
      <left style="thin">
        <color rgb="FF3F3F3F"/>
      </left>
      <right/>
      <top style="thin">
        <color rgb="FF3F3F3F"/>
      </top>
      <bottom style="thin">
        <color indexed="64"/>
      </bottom>
      <diagonal/>
    </border>
    <border>
      <left/>
      <right/>
      <top style="thin">
        <color rgb="FF3F3F3F"/>
      </top>
      <bottom style="thin">
        <color indexed="64"/>
      </bottom>
      <diagonal/>
    </border>
    <border>
      <left/>
      <right style="thin">
        <color auto="1"/>
      </right>
      <top style="thin">
        <color rgb="FF3F3F3F"/>
      </top>
      <bottom style="thin">
        <color indexed="64"/>
      </bottom>
      <diagonal/>
    </border>
    <border>
      <left style="thin">
        <color indexed="64"/>
      </left>
      <right style="thin">
        <color rgb="FF3F3F3F"/>
      </right>
      <top/>
      <bottom style="thin">
        <color theme="1"/>
      </bottom>
      <diagonal/>
    </border>
    <border>
      <left style="thin">
        <color auto="1"/>
      </left>
      <right/>
      <top/>
      <bottom style="thin">
        <color theme="1"/>
      </bottom>
      <diagonal/>
    </border>
    <border>
      <left/>
      <right style="thin">
        <color indexed="64"/>
      </right>
      <top/>
      <bottom style="thin">
        <color theme="1"/>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right/>
      <top/>
      <bottom style="thin">
        <color indexed="64"/>
      </bottom>
      <diagonal/>
    </border>
    <border>
      <left/>
      <right/>
      <top style="medium">
        <color rgb="FF0070C0"/>
      </top>
      <bottom/>
      <diagonal/>
    </border>
    <border>
      <left style="medium">
        <color theme="1"/>
      </left>
      <right/>
      <top/>
      <bottom style="medium">
        <color rgb="FF0070C0"/>
      </bottom>
      <diagonal/>
    </border>
    <border>
      <left style="thin">
        <color rgb="FF0060A8"/>
      </left>
      <right style="thin">
        <color rgb="FF0060A8"/>
      </right>
      <top style="thin">
        <color rgb="FF0060A8"/>
      </top>
      <bottom style="thin">
        <color rgb="FF0060A8"/>
      </bottom>
      <diagonal/>
    </border>
    <border>
      <left style="thin">
        <color theme="1"/>
      </left>
      <right style="thin">
        <color theme="1"/>
      </right>
      <top style="thin">
        <color theme="1"/>
      </top>
      <bottom/>
      <diagonal/>
    </border>
    <border>
      <left style="thin">
        <color theme="1"/>
      </left>
      <right style="thin">
        <color theme="1"/>
      </right>
      <top/>
      <bottom/>
      <diagonal/>
    </border>
    <border>
      <left style="medium">
        <color theme="1"/>
      </left>
      <right/>
      <top/>
      <bottom/>
      <diagonal/>
    </border>
    <border>
      <left style="medium">
        <color rgb="FF0060A8"/>
      </left>
      <right/>
      <top style="medium">
        <color rgb="FF0060A8"/>
      </top>
      <bottom/>
      <diagonal/>
    </border>
    <border>
      <left/>
      <right/>
      <top style="medium">
        <color rgb="FF0060A8"/>
      </top>
      <bottom/>
      <diagonal/>
    </border>
    <border>
      <left style="medium">
        <color theme="1"/>
      </left>
      <right style="medium">
        <color theme="1"/>
      </right>
      <top style="medium">
        <color rgb="FF0060A8"/>
      </top>
      <bottom/>
      <diagonal/>
    </border>
    <border>
      <left/>
      <right style="medium">
        <color rgb="FF0060A8"/>
      </right>
      <top style="medium">
        <color rgb="FF0060A8"/>
      </top>
      <bottom/>
      <diagonal/>
    </border>
    <border>
      <left style="medium">
        <color rgb="FF0060A8"/>
      </left>
      <right/>
      <top/>
      <bottom/>
      <diagonal/>
    </border>
    <border>
      <left/>
      <right style="medium">
        <color rgb="FF0060A8"/>
      </right>
      <top/>
      <bottom/>
      <diagonal/>
    </border>
    <border>
      <left style="medium">
        <color rgb="FF0060A8"/>
      </left>
      <right/>
      <top/>
      <bottom style="medium">
        <color rgb="FF0060A8"/>
      </bottom>
      <diagonal/>
    </border>
    <border>
      <left/>
      <right/>
      <top/>
      <bottom style="medium">
        <color rgb="FF0060A8"/>
      </bottom>
      <diagonal/>
    </border>
    <border>
      <left/>
      <right/>
      <top style="medium">
        <color theme="1"/>
      </top>
      <bottom style="medium">
        <color rgb="FF0060A8"/>
      </bottom>
      <diagonal/>
    </border>
    <border>
      <left/>
      <right style="medium">
        <color rgb="FF0060A8"/>
      </right>
      <top/>
      <bottom style="medium">
        <color rgb="FF0060A8"/>
      </bottom>
      <diagonal/>
    </border>
    <border>
      <left/>
      <right/>
      <top style="thin">
        <color rgb="FF33CC33"/>
      </top>
      <bottom/>
      <diagonal/>
    </border>
    <border>
      <left style="medium">
        <color indexed="12"/>
      </left>
      <right/>
      <top style="medium">
        <color indexed="12"/>
      </top>
      <bottom/>
      <diagonal/>
    </border>
    <border>
      <left/>
      <right style="thin">
        <color indexed="8"/>
      </right>
      <top style="medium">
        <color indexed="12"/>
      </top>
      <bottom/>
      <diagonal/>
    </border>
    <border>
      <left style="thin">
        <color indexed="8"/>
      </left>
      <right style="thin">
        <color indexed="8"/>
      </right>
      <top style="medium">
        <color indexed="12"/>
      </top>
      <bottom/>
      <diagonal/>
    </border>
    <border>
      <left style="thin">
        <color indexed="8"/>
      </left>
      <right style="thin">
        <color indexed="8"/>
      </right>
      <top style="medium">
        <color indexed="12"/>
      </top>
      <bottom style="thin">
        <color indexed="8"/>
      </bottom>
      <diagonal/>
    </border>
    <border>
      <left style="medium">
        <color indexed="12"/>
      </left>
      <right/>
      <top/>
      <bottom/>
      <diagonal/>
    </border>
    <border>
      <left style="thin">
        <color indexed="8"/>
      </left>
      <right style="medium">
        <color indexed="12"/>
      </right>
      <top style="thin">
        <color indexed="8"/>
      </top>
      <bottom/>
      <diagonal/>
    </border>
    <border>
      <left style="thin">
        <color indexed="8"/>
      </left>
      <right style="medium">
        <color indexed="12"/>
      </right>
      <top/>
      <bottom/>
      <diagonal/>
    </border>
    <border>
      <left style="medium">
        <color indexed="12"/>
      </left>
      <right style="thin">
        <color rgb="FFFFFFFF"/>
      </right>
      <top style="thin">
        <color rgb="FFFFFFFF"/>
      </top>
      <bottom style="thin">
        <color rgb="FFFFFFFF"/>
      </bottom>
      <diagonal/>
    </border>
    <border>
      <left/>
      <right style="thin">
        <color indexed="8"/>
      </right>
      <top/>
      <bottom style="thin">
        <color indexed="8"/>
      </bottom>
      <diagonal/>
    </border>
    <border>
      <left/>
      <right style="medium">
        <color indexed="12"/>
      </right>
      <top/>
      <bottom/>
      <diagonal/>
    </border>
    <border>
      <left/>
      <right style="thin">
        <color indexed="8"/>
      </right>
      <top style="thin">
        <color indexed="8"/>
      </top>
      <bottom/>
      <diagonal/>
    </border>
    <border>
      <left/>
      <right style="medium">
        <color indexed="12"/>
      </right>
      <top style="thin">
        <color indexed="8"/>
      </top>
      <bottom/>
      <diagonal/>
    </border>
    <border>
      <left style="medium">
        <color indexed="12"/>
      </left>
      <right/>
      <top/>
      <bottom style="medium">
        <color indexed="12"/>
      </bottom>
      <diagonal/>
    </border>
    <border>
      <left/>
      <right/>
      <top/>
      <bottom style="medium">
        <color indexed="12"/>
      </bottom>
      <diagonal/>
    </border>
    <border>
      <left style="thin">
        <color indexed="8"/>
      </left>
      <right/>
      <top/>
      <bottom style="medium">
        <color indexed="12"/>
      </bottom>
      <diagonal/>
    </border>
    <border>
      <left style="thin">
        <color theme="1"/>
      </left>
      <right style="thin">
        <color theme="1"/>
      </right>
      <top/>
      <bottom style="medium">
        <color indexed="12"/>
      </bottom>
      <diagonal/>
    </border>
    <border>
      <left/>
      <right style="thin">
        <color indexed="8"/>
      </right>
      <top/>
      <bottom style="medium">
        <color indexed="12"/>
      </bottom>
      <diagonal/>
    </border>
    <border>
      <left style="thin">
        <color indexed="8"/>
      </left>
      <right style="thin">
        <color indexed="8"/>
      </right>
      <top/>
      <bottom style="medium">
        <color indexed="12"/>
      </bottom>
      <diagonal/>
    </border>
    <border>
      <left/>
      <right style="medium">
        <color indexed="12"/>
      </right>
      <top/>
      <bottom style="medium">
        <color indexed="12"/>
      </bottom>
      <diagonal/>
    </border>
    <border>
      <left style="thin">
        <color indexed="8"/>
      </left>
      <right style="thin">
        <color indexed="8"/>
      </right>
      <top/>
      <bottom style="thin">
        <color indexed="8"/>
      </bottom>
      <diagonal/>
    </border>
    <border>
      <left style="medium">
        <color rgb="FF7030A0"/>
      </left>
      <right/>
      <top style="medium">
        <color rgb="FF7030A0"/>
      </top>
      <bottom/>
      <diagonal/>
    </border>
    <border>
      <left/>
      <right/>
      <top style="medium">
        <color rgb="FF7030A0"/>
      </top>
      <bottom/>
      <diagonal/>
    </border>
    <border>
      <left style="medium">
        <color theme="1"/>
      </left>
      <right style="medium">
        <color theme="1"/>
      </right>
      <top style="medium">
        <color rgb="FF7030A0"/>
      </top>
      <bottom/>
      <diagonal/>
    </border>
    <border>
      <left/>
      <right style="medium">
        <color rgb="FF7030A0"/>
      </right>
      <top style="medium">
        <color rgb="FF7030A0"/>
      </top>
      <bottom/>
      <diagonal/>
    </border>
    <border>
      <left style="medium">
        <color rgb="FF7030A0"/>
      </left>
      <right/>
      <top/>
      <bottom/>
      <diagonal/>
    </border>
    <border>
      <left/>
      <right style="medium">
        <color rgb="FF7030A0"/>
      </right>
      <top/>
      <bottom/>
      <diagonal/>
    </border>
    <border>
      <left style="medium">
        <color rgb="FF7030A0"/>
      </left>
      <right style="thin">
        <color indexed="9"/>
      </right>
      <top/>
      <bottom/>
      <diagonal/>
    </border>
    <border>
      <left style="medium">
        <color rgb="FF7030A0"/>
      </left>
      <right/>
      <top/>
      <bottom style="medium">
        <color rgb="FF7030A0"/>
      </bottom>
      <diagonal/>
    </border>
    <border>
      <left/>
      <right/>
      <top/>
      <bottom style="medium">
        <color rgb="FF7030A0"/>
      </bottom>
      <diagonal/>
    </border>
    <border>
      <left/>
      <right style="medium">
        <color rgb="FF7030A0"/>
      </right>
      <top/>
      <bottom style="medium">
        <color rgb="FF7030A0"/>
      </bottom>
      <diagonal/>
    </border>
    <border>
      <left style="medium">
        <color indexed="12"/>
      </left>
      <right style="thin">
        <color theme="1"/>
      </right>
      <top style="medium">
        <color indexed="12"/>
      </top>
      <bottom style="thin">
        <color theme="1"/>
      </bottom>
      <diagonal/>
    </border>
    <border>
      <left style="medium">
        <color indexed="12"/>
      </left>
      <right style="thin">
        <color theme="1"/>
      </right>
      <top style="thin">
        <color theme="1"/>
      </top>
      <bottom style="medium">
        <color indexed="12"/>
      </bottom>
      <diagonal/>
    </border>
    <border>
      <left style="thin">
        <color theme="1"/>
      </left>
      <right/>
      <top style="medium">
        <color indexed="12"/>
      </top>
      <bottom style="thin">
        <color theme="1"/>
      </bottom>
      <diagonal/>
    </border>
    <border>
      <left style="thin">
        <color theme="1"/>
      </left>
      <right/>
      <top style="thin">
        <color theme="1"/>
      </top>
      <bottom style="medium">
        <color indexed="12"/>
      </bottom>
      <diagonal/>
    </border>
    <border>
      <left style="thin">
        <color rgb="FFFF0000"/>
      </left>
      <right style="medium">
        <color indexed="12"/>
      </right>
      <top style="medium">
        <color indexed="12"/>
      </top>
      <bottom style="thin">
        <color rgb="FFFF0000"/>
      </bottom>
      <diagonal/>
    </border>
    <border>
      <left style="thin">
        <color rgb="FFFF0000"/>
      </left>
      <right style="medium">
        <color indexed="12"/>
      </right>
      <top style="thin">
        <color rgb="FFFF0000"/>
      </top>
      <bottom style="medium">
        <color indexed="12"/>
      </bottom>
      <diagonal/>
    </border>
    <border>
      <left style="thin">
        <color indexed="9"/>
      </left>
      <right/>
      <top/>
      <bottom/>
      <diagonal/>
    </border>
    <border>
      <left style="medium">
        <color rgb="FF0070C0"/>
      </left>
      <right/>
      <top style="medium">
        <color rgb="FF0070C0"/>
      </top>
      <bottom/>
      <diagonal/>
    </border>
    <border>
      <left/>
      <right style="medium">
        <color rgb="FF0070C0"/>
      </right>
      <top style="medium">
        <color rgb="FF0070C0"/>
      </top>
      <bottom/>
      <diagonal/>
    </border>
    <border>
      <left style="medium">
        <color rgb="FF0070C0"/>
      </left>
      <right/>
      <top/>
      <bottom/>
      <diagonal/>
    </border>
    <border>
      <left/>
      <right style="medium">
        <color rgb="FF0070C0"/>
      </right>
      <top/>
      <bottom/>
      <diagonal/>
    </border>
    <border>
      <left style="medium">
        <color rgb="FF0070C0"/>
      </left>
      <right/>
      <top/>
      <bottom style="medium">
        <color rgb="FF0070C0"/>
      </bottom>
      <diagonal/>
    </border>
    <border>
      <left/>
      <right style="medium">
        <color rgb="FF0070C0"/>
      </right>
      <top/>
      <bottom style="medium">
        <color rgb="FF0070C0"/>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style="thick">
        <color theme="0"/>
      </right>
      <top/>
      <bottom/>
      <diagonal/>
    </border>
    <border>
      <left/>
      <right style="thin">
        <color theme="0" tint="-0.14993743705557422"/>
      </right>
      <top style="thin">
        <color theme="0" tint="-0.14996795556505021"/>
      </top>
      <bottom/>
      <diagonal/>
    </border>
    <border>
      <left/>
      <right style="thin">
        <color theme="0" tint="-0.14996795556505021"/>
      </right>
      <top/>
      <bottom/>
      <diagonal/>
    </border>
    <border>
      <left style="thin">
        <color theme="0" tint="-0.14996795556505021"/>
      </left>
      <right/>
      <top style="thin">
        <color theme="0" tint="-0.14993743705557422"/>
      </top>
      <bottom/>
      <diagonal/>
    </border>
    <border>
      <left/>
      <right style="thick">
        <color theme="0"/>
      </right>
      <top/>
      <bottom style="thin">
        <color theme="2" tint="-0.24994659260841701"/>
      </bottom>
      <diagonal/>
    </border>
    <border>
      <left style="thick">
        <color theme="0"/>
      </left>
      <right style="thick">
        <color theme="0"/>
      </right>
      <top/>
      <bottom style="thin">
        <color theme="2" tint="-0.24994659260841701"/>
      </bottom>
      <diagonal/>
    </border>
    <border>
      <left style="thick">
        <color theme="0"/>
      </left>
      <right/>
      <top/>
      <bottom style="thin">
        <color theme="2" tint="-0.24994659260841701"/>
      </bottom>
      <diagonal/>
    </border>
    <border>
      <left style="thin">
        <color theme="2" tint="-0.24994659260841701"/>
      </left>
      <right style="thin">
        <color theme="2" tint="-0.24994659260841701"/>
      </right>
      <top style="thin">
        <color theme="2" tint="-0.24994659260841701"/>
      </top>
      <bottom/>
      <diagonal/>
    </border>
    <border>
      <left/>
      <right/>
      <top/>
      <bottom style="thick">
        <color theme="0"/>
      </bottom>
      <diagonal/>
    </border>
    <border>
      <left style="thin">
        <color theme="2" tint="-0.24994659260841701"/>
      </left>
      <right/>
      <top/>
      <bottom/>
      <diagonal/>
    </border>
    <border>
      <left style="thin">
        <color theme="2" tint="-0.24994659260841701"/>
      </left>
      <right style="thin">
        <color theme="2" tint="-0.24994659260841701"/>
      </right>
      <top/>
      <bottom/>
      <diagonal/>
    </border>
    <border>
      <left style="thick">
        <color theme="0"/>
      </left>
      <right style="thin">
        <color rgb="FFFF0000"/>
      </right>
      <top style="thin">
        <color rgb="FFFF0000"/>
      </top>
      <bottom style="thin">
        <color rgb="FFFF0000"/>
      </bottom>
      <diagonal/>
    </border>
    <border>
      <left style="thin">
        <color theme="2" tint="-0.24994659260841701"/>
      </left>
      <right/>
      <top/>
      <bottom style="thick">
        <color rgb="FF51515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theme="1" tint="0.34998626667073579"/>
      </left>
      <right style="thick">
        <color rgb="FF515151"/>
      </right>
      <top style="thick">
        <color theme="1" tint="0.34998626667073579"/>
      </top>
      <bottom style="thick">
        <color rgb="FF515151"/>
      </bottom>
      <diagonal/>
    </border>
    <border>
      <left style="thick">
        <color rgb="FF515151"/>
      </left>
      <right style="thick">
        <color rgb="FF515151"/>
      </right>
      <top style="thick">
        <color theme="1" tint="0.34998626667073579"/>
      </top>
      <bottom style="thick">
        <color rgb="FF515151"/>
      </bottom>
      <diagonal/>
    </border>
    <border>
      <left style="thick">
        <color rgb="FF515151"/>
      </left>
      <right style="thick">
        <color theme="1" tint="0.34998626667073579"/>
      </right>
      <top style="thick">
        <color theme="1" tint="0.34998626667073579"/>
      </top>
      <bottom style="thick">
        <color rgb="FF515151"/>
      </bottom>
      <diagonal/>
    </border>
    <border>
      <left style="thick">
        <color theme="1" tint="0.34998626667073579"/>
      </left>
      <right style="thick">
        <color rgb="FF515151"/>
      </right>
      <top style="thick">
        <color rgb="FF515151"/>
      </top>
      <bottom style="thick">
        <color rgb="FF515151"/>
      </bottom>
      <diagonal/>
    </border>
    <border>
      <left style="thick">
        <color rgb="FF515151"/>
      </left>
      <right style="thick">
        <color theme="1" tint="0.34998626667073579"/>
      </right>
      <top style="thick">
        <color rgb="FF515151"/>
      </top>
      <bottom style="thick">
        <color rgb="FF515151"/>
      </bottom>
      <diagonal/>
    </border>
    <border>
      <left style="thick">
        <color theme="1" tint="0.34998626667073579"/>
      </left>
      <right style="thick">
        <color rgb="FF515151"/>
      </right>
      <top style="thick">
        <color rgb="FF515151"/>
      </top>
      <bottom style="thick">
        <color theme="1" tint="0.34998626667073579"/>
      </bottom>
      <diagonal/>
    </border>
    <border>
      <left style="thick">
        <color rgb="FF515151"/>
      </left>
      <right/>
      <top style="thick">
        <color rgb="FF515151"/>
      </top>
      <bottom style="thick">
        <color theme="1" tint="0.34998626667073579"/>
      </bottom>
      <diagonal/>
    </border>
    <border>
      <left style="thick">
        <color rgb="FF515151"/>
      </left>
      <right style="thick">
        <color theme="1" tint="0.34998626667073579"/>
      </right>
      <top style="thick">
        <color rgb="FF515151"/>
      </top>
      <bottom style="thick">
        <color theme="1" tint="0.34998626667073579"/>
      </bottom>
      <diagonal/>
    </border>
    <border>
      <left style="thick">
        <color theme="1" tint="0.34998626667073579"/>
      </left>
      <right style="thick">
        <color rgb="FF515151"/>
      </right>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diagonal/>
    </border>
    <border>
      <left/>
      <right style="medium">
        <color indexed="64"/>
      </right>
      <top style="medium">
        <color theme="0" tint="-0.499984740745262"/>
      </top>
      <bottom/>
      <diagonal/>
    </border>
    <border>
      <left style="medium">
        <color indexed="64"/>
      </left>
      <right/>
      <top style="medium">
        <color theme="0" tint="-0.499984740745262"/>
      </top>
      <bottom/>
      <diagonal/>
    </border>
    <border>
      <left style="thick">
        <color theme="0"/>
      </left>
      <right/>
      <top/>
      <bottom/>
      <diagonal/>
    </border>
    <border>
      <left style="thin">
        <color rgb="FFFF0000"/>
      </left>
      <right style="thick">
        <color theme="0"/>
      </right>
      <top style="thin">
        <color rgb="FFFF0000"/>
      </top>
      <bottom style="thin">
        <color rgb="FFFF0000"/>
      </bottom>
      <diagonal/>
    </border>
  </borders>
  <cellStyleXfs count="7">
    <xf numFmtId="0" fontId="0" fillId="0" borderId="0">
      <alignment vertical="center"/>
    </xf>
    <xf numFmtId="0" fontId="14" fillId="0" borderId="0">
      <protection locked="0"/>
    </xf>
    <xf numFmtId="0" fontId="20" fillId="9" borderId="13">
      <protection locked="0"/>
    </xf>
    <xf numFmtId="186" fontId="157" fillId="27" borderId="234" applyFill="0" applyProtection="0">
      <alignment horizontal="left" vertical="center" wrapText="1" indent="1"/>
    </xf>
    <xf numFmtId="186" fontId="158" fillId="27" borderId="235" applyFill="0" applyProtection="0">
      <alignment horizontal="left" vertical="top" wrapText="1" indent="1"/>
    </xf>
    <xf numFmtId="186" fontId="159" fillId="27" borderId="236" applyNumberFormat="0" applyFill="0" applyProtection="0">
      <alignment horizontal="left" vertical="center" wrapText="1" indent="1"/>
    </xf>
    <xf numFmtId="186" fontId="1" fillId="27" borderId="0" applyNumberFormat="0" applyFill="0" applyProtection="0">
      <alignment horizontal="left" vertical="top" wrapText="1" indent="1"/>
    </xf>
  </cellStyleXfs>
  <cellXfs count="1240">
    <xf numFmtId="0" fontId="0" fillId="0" borderId="0" xfId="0">
      <alignment vertical="center"/>
    </xf>
    <xf numFmtId="0" fontId="2" fillId="0" borderId="0" xfId="0" applyFont="1" applyBorder="1" applyAlignment="1">
      <alignment horizontal="center" vertical="center"/>
    </xf>
    <xf numFmtId="0" fontId="3" fillId="0" borderId="0" xfId="0" applyFont="1">
      <alignment vertical="center"/>
    </xf>
    <xf numFmtId="0" fontId="4" fillId="0" borderId="0" xfId="0" applyFont="1" applyBorder="1">
      <alignment vertical="center"/>
    </xf>
    <xf numFmtId="0" fontId="9" fillId="0" borderId="0" xfId="0" applyFont="1" applyAlignment="1">
      <alignment horizontal="center" vertical="top" wrapText="1"/>
    </xf>
    <xf numFmtId="0" fontId="9" fillId="0" borderId="0" xfId="0" applyFont="1" applyBorder="1" applyAlignment="1">
      <alignment horizontal="center" vertical="top" wrapText="1"/>
    </xf>
    <xf numFmtId="0" fontId="10" fillId="0" borderId="0" xfId="0" applyFont="1" applyBorder="1" applyAlignment="1">
      <alignment horizontal="center" vertical="top" wrapText="1"/>
    </xf>
    <xf numFmtId="0" fontId="10" fillId="0" borderId="0" xfId="0" applyFont="1" applyAlignment="1">
      <alignment vertical="top" wrapText="1"/>
    </xf>
    <xf numFmtId="0" fontId="10" fillId="0" borderId="0" xfId="0" applyFont="1" applyBorder="1" applyAlignment="1">
      <alignment vertical="top" wrapText="1"/>
    </xf>
    <xf numFmtId="0" fontId="11" fillId="0" borderId="0" xfId="0" applyNumberFormat="1" applyFont="1">
      <alignment vertical="center"/>
    </xf>
    <xf numFmtId="0" fontId="12" fillId="0" borderId="0" xfId="0" applyNumberFormat="1" applyFont="1" applyAlignment="1">
      <alignment vertical="center" wrapText="1"/>
    </xf>
    <xf numFmtId="0" fontId="2" fillId="0" borderId="0" xfId="0" applyFont="1" applyAlignment="1">
      <alignment horizontal="center" vertical="center"/>
    </xf>
    <xf numFmtId="0" fontId="2" fillId="0" borderId="0" xfId="0" applyFont="1" applyAlignment="1">
      <alignment horizontal="center" vertical="center"/>
    </xf>
    <xf numFmtId="0" fontId="10" fillId="0" borderId="0" xfId="0" applyFont="1" applyAlignment="1">
      <alignment vertical="center" wrapText="1"/>
    </xf>
    <xf numFmtId="0" fontId="10" fillId="0" borderId="0" xfId="0" applyFont="1" applyBorder="1" applyAlignment="1">
      <alignment horizontal="center" vertical="center" wrapText="1"/>
    </xf>
    <xf numFmtId="0" fontId="10" fillId="0" borderId="0" xfId="0" applyFont="1" applyBorder="1" applyAlignment="1">
      <alignment vertical="center" wrapText="1"/>
    </xf>
    <xf numFmtId="0" fontId="11" fillId="0" borderId="0" xfId="0" applyFont="1">
      <alignment vertical="center"/>
    </xf>
    <xf numFmtId="0" fontId="9" fillId="2" borderId="7" xfId="0" applyNumberFormat="1" applyFont="1" applyFill="1" applyBorder="1" applyAlignment="1">
      <alignment vertical="center" wrapText="1"/>
    </xf>
    <xf numFmtId="0" fontId="10" fillId="0" borderId="7" xfId="0" applyFont="1" applyBorder="1" applyAlignment="1">
      <alignment horizontal="center" vertical="center" wrapText="1"/>
    </xf>
    <xf numFmtId="0" fontId="10" fillId="0" borderId="0" xfId="0" applyFont="1" applyBorder="1" applyAlignment="1">
      <alignment horizontal="center" vertical="center" wrapText="1"/>
    </xf>
    <xf numFmtId="0" fontId="13" fillId="0" borderId="0" xfId="0" applyFont="1" applyBorder="1">
      <alignment vertical="center"/>
    </xf>
    <xf numFmtId="0" fontId="13" fillId="0" borderId="0" xfId="0" applyFont="1" applyBorder="1">
      <alignment vertical="center"/>
    </xf>
    <xf numFmtId="0" fontId="10" fillId="0" borderId="0" xfId="0" applyFont="1" applyBorder="1" applyAlignment="1">
      <alignment horizontal="center" vertical="center" wrapText="1"/>
    </xf>
    <xf numFmtId="0" fontId="10" fillId="0" borderId="0" xfId="0" applyNumberFormat="1" applyFont="1" applyAlignment="1">
      <alignment vertical="top" wrapText="1"/>
    </xf>
    <xf numFmtId="0" fontId="9" fillId="2" borderId="0" xfId="0" applyNumberFormat="1" applyFont="1" applyFill="1" applyBorder="1" applyAlignment="1">
      <alignment vertical="center" wrapText="1"/>
    </xf>
    <xf numFmtId="0" fontId="10" fillId="0" borderId="0" xfId="0" applyFont="1" applyBorder="1" applyAlignment="1">
      <alignment horizontal="center" vertical="center" wrapText="1"/>
    </xf>
    <xf numFmtId="49" fontId="10" fillId="0" borderId="0" xfId="0" applyNumberFormat="1" applyFont="1" applyBorder="1" applyAlignment="1">
      <alignment horizontal="center" vertical="center" wrapText="1"/>
    </xf>
    <xf numFmtId="0" fontId="10" fillId="0" borderId="0" xfId="0" applyFont="1" applyBorder="1" applyAlignment="1">
      <alignment horizontal="center" vertical="center" wrapText="1"/>
    </xf>
    <xf numFmtId="9" fontId="10" fillId="0" borderId="0" xfId="0" applyNumberFormat="1" applyFont="1" applyBorder="1" applyAlignment="1">
      <alignment horizontal="center" vertical="center" wrapText="1"/>
    </xf>
    <xf numFmtId="0" fontId="15" fillId="2" borderId="0" xfId="0" applyNumberFormat="1" applyFont="1" applyFill="1" applyBorder="1" applyAlignment="1">
      <alignment horizontal="center" vertical="top" wrapText="1"/>
    </xf>
    <xf numFmtId="49" fontId="16" fillId="2" borderId="0" xfId="0" applyNumberFormat="1" applyFont="1" applyFill="1" applyBorder="1" applyAlignment="1">
      <alignment horizontal="center" vertical="center" wrapText="1"/>
    </xf>
    <xf numFmtId="49" fontId="8" fillId="2" borderId="0" xfId="0" applyNumberFormat="1" applyFont="1" applyFill="1" applyBorder="1" applyAlignment="1">
      <alignment horizontal="center" vertical="center" wrapText="1"/>
    </xf>
    <xf numFmtId="49" fontId="6" fillId="2" borderId="0" xfId="0" applyNumberFormat="1" applyFont="1" applyFill="1" applyBorder="1" applyAlignment="1">
      <alignment horizontal="center" vertical="top" wrapText="1"/>
    </xf>
    <xf numFmtId="49" fontId="6" fillId="2" borderId="0" xfId="0" applyNumberFormat="1" applyFont="1" applyFill="1" applyBorder="1" applyAlignment="1">
      <alignment horizontal="center" vertical="center" wrapText="1"/>
    </xf>
    <xf numFmtId="0" fontId="10" fillId="0" borderId="0" xfId="0" applyNumberFormat="1" applyFont="1" applyBorder="1" applyAlignment="1">
      <alignment vertical="top" wrapText="1"/>
    </xf>
    <xf numFmtId="0" fontId="10" fillId="0" borderId="0" xfId="0" applyNumberFormat="1" applyFont="1" applyBorder="1" applyAlignment="1">
      <alignment vertical="top" wrapText="1"/>
    </xf>
    <xf numFmtId="0" fontId="18" fillId="3" borderId="12" xfId="0" applyFont="1" applyFill="1" applyBorder="1" applyAlignment="1">
      <alignment vertical="top" wrapText="1"/>
    </xf>
    <xf numFmtId="0" fontId="15" fillId="2" borderId="0" xfId="0" applyNumberFormat="1" applyFont="1" applyFill="1" applyBorder="1" applyAlignment="1">
      <alignment vertical="center" wrapText="1"/>
    </xf>
    <xf numFmtId="0" fontId="12" fillId="8" borderId="0" xfId="0" applyFont="1" applyFill="1" applyAlignment="1">
      <alignment vertical="top" wrapText="1"/>
    </xf>
    <xf numFmtId="0" fontId="21" fillId="8" borderId="0" xfId="0" applyFont="1" applyFill="1" applyAlignment="1">
      <alignment horizontal="center" vertical="top" wrapText="1"/>
    </xf>
    <xf numFmtId="0" fontId="19" fillId="3" borderId="0" xfId="0" applyFont="1" applyFill="1" applyBorder="1" applyAlignment="1">
      <alignment horizontal="center" vertical="top" wrapText="1"/>
    </xf>
    <xf numFmtId="0" fontId="9" fillId="0" borderId="0" xfId="0" applyFont="1" applyAlignment="1">
      <alignment vertical="top" wrapText="1"/>
    </xf>
    <xf numFmtId="0" fontId="24" fillId="3" borderId="0" xfId="0" applyFont="1" applyFill="1" applyBorder="1" applyAlignment="1">
      <alignment horizontal="center" vertical="center" wrapText="1"/>
    </xf>
    <xf numFmtId="9" fontId="25" fillId="5" borderId="19" xfId="0" applyNumberFormat="1" applyFont="1" applyFill="1" applyBorder="1" applyAlignment="1">
      <alignment horizontal="center" vertical="center" wrapText="1"/>
    </xf>
    <xf numFmtId="9" fontId="25" fillId="5" borderId="1" xfId="0" applyNumberFormat="1" applyFont="1" applyFill="1" applyBorder="1" applyAlignment="1">
      <alignment horizontal="center" vertical="center" wrapText="1"/>
    </xf>
    <xf numFmtId="9" fontId="25" fillId="5" borderId="20" xfId="0" applyNumberFormat="1" applyFont="1" applyFill="1" applyBorder="1" applyAlignment="1">
      <alignment horizontal="center" vertical="center" wrapText="1"/>
    </xf>
    <xf numFmtId="9" fontId="25" fillId="6" borderId="21" xfId="0" applyNumberFormat="1" applyFont="1" applyFill="1" applyBorder="1" applyAlignment="1">
      <alignment horizontal="center" vertical="center" wrapText="1"/>
    </xf>
    <xf numFmtId="9" fontId="25" fillId="6" borderId="2" xfId="0" applyNumberFormat="1" applyFont="1" applyFill="1" applyBorder="1" applyAlignment="1">
      <alignment horizontal="center" vertical="center" wrapText="1"/>
    </xf>
    <xf numFmtId="9" fontId="25" fillId="6" borderId="22" xfId="0" applyNumberFormat="1" applyFont="1" applyFill="1" applyBorder="1" applyAlignment="1">
      <alignment horizontal="center" vertical="center" wrapText="1"/>
    </xf>
    <xf numFmtId="9" fontId="25" fillId="5" borderId="2" xfId="0" applyNumberFormat="1" applyFont="1" applyFill="1" applyBorder="1" applyAlignment="1">
      <alignment horizontal="center" vertical="center" wrapText="1"/>
    </xf>
    <xf numFmtId="9" fontId="25" fillId="5" borderId="22" xfId="0" applyNumberFormat="1" applyFont="1" applyFill="1" applyBorder="1" applyAlignment="1">
      <alignment horizontal="center" vertical="center" wrapText="1"/>
    </xf>
    <xf numFmtId="0" fontId="27" fillId="0" borderId="0" xfId="0" applyFont="1" applyAlignment="1">
      <alignment vertical="top" wrapText="1"/>
    </xf>
    <xf numFmtId="0" fontId="27" fillId="0" borderId="0" xfId="0" applyFont="1" applyBorder="1" applyAlignment="1">
      <alignment vertical="top" wrapText="1"/>
    </xf>
    <xf numFmtId="0" fontId="10" fillId="10" borderId="0" xfId="0" applyFont="1" applyFill="1" applyAlignment="1">
      <alignment vertical="top" wrapText="1"/>
    </xf>
    <xf numFmtId="0" fontId="28" fillId="10" borderId="0" xfId="0" applyFont="1" applyFill="1">
      <alignment vertical="center"/>
    </xf>
    <xf numFmtId="0" fontId="11" fillId="0" borderId="0" xfId="0" applyFont="1" applyFill="1" applyBorder="1">
      <alignment vertical="center"/>
    </xf>
    <xf numFmtId="0" fontId="10" fillId="0" borderId="0" xfId="0" applyFont="1" applyFill="1" applyBorder="1" applyAlignment="1">
      <alignment vertical="top" wrapText="1"/>
    </xf>
    <xf numFmtId="0" fontId="29" fillId="0" borderId="0" xfId="0" applyFont="1" applyFill="1" applyBorder="1" applyAlignment="1">
      <alignment horizontal="center" vertical="center"/>
    </xf>
    <xf numFmtId="0" fontId="25" fillId="0" borderId="0" xfId="0" applyFont="1" applyFill="1" applyBorder="1" applyAlignment="1">
      <alignment horizontal="right" vertical="center" wrapText="1"/>
    </xf>
    <xf numFmtId="0" fontId="30" fillId="0" borderId="0" xfId="0" applyFont="1" applyFill="1" applyBorder="1" applyAlignment="1">
      <alignment horizontal="left" vertical="center" wrapText="1"/>
    </xf>
    <xf numFmtId="0" fontId="31" fillId="0" borderId="0" xfId="0" applyNumberFormat="1" applyFont="1" applyAlignment="1">
      <alignment vertical="top" wrapText="1"/>
    </xf>
    <xf numFmtId="164" fontId="11" fillId="0" borderId="0" xfId="0" applyNumberFormat="1" applyFont="1">
      <alignment vertical="center"/>
    </xf>
    <xf numFmtId="164" fontId="11" fillId="16" borderId="0" xfId="0" applyNumberFormat="1" applyFont="1" applyFill="1" applyBorder="1">
      <alignment vertical="center"/>
    </xf>
    <xf numFmtId="0" fontId="32" fillId="0" borderId="0" xfId="0" applyFont="1" applyBorder="1" applyAlignment="1">
      <alignment horizontal="center" vertical="center"/>
    </xf>
    <xf numFmtId="164" fontId="10" fillId="16" borderId="0" xfId="0" applyNumberFormat="1" applyFont="1" applyFill="1" applyBorder="1" applyAlignment="1">
      <alignment vertical="top" wrapText="1"/>
    </xf>
    <xf numFmtId="0" fontId="34" fillId="0" borderId="0" xfId="0" applyFont="1" applyBorder="1" applyAlignment="1">
      <alignment horizontal="center" vertical="center"/>
    </xf>
    <xf numFmtId="0" fontId="35" fillId="0" borderId="0" xfId="0" applyFont="1" applyBorder="1" applyAlignment="1">
      <alignment horizontal="center" vertical="center"/>
    </xf>
    <xf numFmtId="164" fontId="10" fillId="0" borderId="0" xfId="0" applyNumberFormat="1" applyFont="1" applyAlignment="1">
      <alignment vertical="top" wrapText="1"/>
    </xf>
    <xf numFmtId="49" fontId="36" fillId="3" borderId="23" xfId="0" applyNumberFormat="1" applyFont="1" applyFill="1" applyBorder="1" applyAlignment="1">
      <alignment horizontal="center" vertical="center" wrapText="1"/>
    </xf>
    <xf numFmtId="49" fontId="36" fillId="3" borderId="18" xfId="0" applyNumberFormat="1" applyFont="1" applyFill="1" applyBorder="1" applyAlignment="1">
      <alignment horizontal="center" vertical="center" wrapText="1"/>
    </xf>
    <xf numFmtId="0" fontId="11" fillId="0" borderId="24" xfId="0" applyFont="1" applyBorder="1">
      <alignment vertical="center"/>
    </xf>
    <xf numFmtId="0" fontId="36" fillId="18" borderId="16" xfId="0" applyFont="1" applyFill="1" applyBorder="1" applyAlignment="1">
      <alignment horizontal="center" vertical="center" wrapText="1"/>
    </xf>
    <xf numFmtId="0" fontId="36" fillId="18" borderId="18" xfId="0" applyFont="1" applyFill="1" applyBorder="1" applyAlignment="1">
      <alignment horizontal="center" vertical="center" wrapText="1"/>
    </xf>
    <xf numFmtId="164" fontId="36" fillId="18" borderId="18" xfId="0" applyNumberFormat="1" applyFont="1" applyFill="1" applyBorder="1" applyAlignment="1">
      <alignment horizontal="center" vertical="center" wrapText="1"/>
    </xf>
    <xf numFmtId="164" fontId="36" fillId="16" borderId="24" xfId="0" applyNumberFormat="1" applyFont="1" applyFill="1" applyBorder="1" applyAlignment="1">
      <alignment horizontal="center" vertical="center" wrapText="1"/>
    </xf>
    <xf numFmtId="49" fontId="36" fillId="3" borderId="16" xfId="0" applyNumberFormat="1" applyFont="1" applyFill="1" applyBorder="1" applyAlignment="1">
      <alignment horizontal="center" vertical="center" wrapText="1"/>
    </xf>
    <xf numFmtId="49" fontId="36" fillId="3" borderId="15" xfId="0" applyNumberFormat="1" applyFont="1" applyFill="1" applyBorder="1" applyAlignment="1">
      <alignment horizontal="center" vertical="center" wrapText="1"/>
    </xf>
    <xf numFmtId="49" fontId="36" fillId="3" borderId="14" xfId="0" applyNumberFormat="1" applyFont="1" applyFill="1" applyBorder="1" applyAlignment="1">
      <alignment horizontal="center" vertical="center" wrapText="1"/>
    </xf>
    <xf numFmtId="0" fontId="28" fillId="19" borderId="18" xfId="0" applyFont="1" applyFill="1" applyBorder="1" applyAlignment="1">
      <alignment horizontal="center" vertical="center"/>
    </xf>
    <xf numFmtId="0" fontId="28" fillId="0" borderId="18" xfId="0" applyFont="1" applyBorder="1" applyAlignment="1">
      <alignment horizontal="center" vertical="center"/>
    </xf>
    <xf numFmtId="0" fontId="38" fillId="19" borderId="18" xfId="0" applyFont="1" applyFill="1" applyBorder="1" applyAlignment="1">
      <alignment horizontal="center" vertical="center" wrapText="1"/>
    </xf>
    <xf numFmtId="0" fontId="23" fillId="10" borderId="18" xfId="0" applyFont="1" applyFill="1" applyBorder="1" applyAlignment="1">
      <alignment horizontal="center" vertical="center" wrapText="1"/>
    </xf>
    <xf numFmtId="0" fontId="23" fillId="10" borderId="14" xfId="0" applyFont="1" applyFill="1" applyBorder="1" applyAlignment="1">
      <alignment horizontal="center" vertical="center" wrapText="1"/>
    </xf>
    <xf numFmtId="164" fontId="23" fillId="20" borderId="26" xfId="0" applyNumberFormat="1" applyFont="1" applyFill="1" applyBorder="1" applyAlignment="1">
      <alignment horizontal="center" vertical="center" wrapText="1"/>
    </xf>
    <xf numFmtId="9" fontId="25" fillId="0" borderId="18" xfId="0" applyNumberFormat="1" applyFont="1" applyBorder="1" applyAlignment="1">
      <alignment horizontal="center" vertical="center" wrapText="1"/>
    </xf>
    <xf numFmtId="164" fontId="25" fillId="0" borderId="18" xfId="0" applyNumberFormat="1" applyFont="1" applyBorder="1" applyAlignment="1">
      <alignment horizontal="center" vertical="center" wrapText="1"/>
    </xf>
    <xf numFmtId="164" fontId="25" fillId="16" borderId="24" xfId="0" applyNumberFormat="1" applyFont="1" applyFill="1" applyBorder="1" applyAlignment="1">
      <alignment horizontal="center" vertical="center" wrapText="1"/>
    </xf>
    <xf numFmtId="164" fontId="23" fillId="21" borderId="16" xfId="0" applyNumberFormat="1" applyFont="1" applyFill="1" applyBorder="1" applyAlignment="1">
      <alignment horizontal="center" vertical="center" wrapText="1"/>
    </xf>
    <xf numFmtId="164" fontId="23" fillId="22" borderId="18" xfId="0" applyNumberFormat="1" applyFont="1" applyFill="1" applyBorder="1" applyAlignment="1">
      <alignment horizontal="center" vertical="center" wrapText="1"/>
    </xf>
    <xf numFmtId="1" fontId="23" fillId="23" borderId="18" xfId="0" applyNumberFormat="1" applyFont="1" applyFill="1" applyBorder="1" applyAlignment="1">
      <alignment horizontal="center" vertical="center" wrapText="1"/>
    </xf>
    <xf numFmtId="9" fontId="39" fillId="0" borderId="18" xfId="0" applyNumberFormat="1" applyFont="1" applyBorder="1" applyAlignment="1">
      <alignment horizontal="center" vertical="center" wrapText="1"/>
    </xf>
    <xf numFmtId="1" fontId="23" fillId="10" borderId="18" xfId="0" applyNumberFormat="1" applyFont="1" applyFill="1" applyBorder="1" applyAlignment="1">
      <alignment horizontal="center" vertical="center" wrapText="1"/>
    </xf>
    <xf numFmtId="164" fontId="23" fillId="10" borderId="16" xfId="0" applyNumberFormat="1" applyFont="1" applyFill="1" applyBorder="1" applyAlignment="1">
      <alignment horizontal="center" vertical="center" wrapText="1"/>
    </xf>
    <xf numFmtId="164" fontId="23" fillId="10" borderId="9" xfId="0" applyNumberFormat="1" applyFont="1" applyFill="1" applyBorder="1" applyAlignment="1">
      <alignment horizontal="center" vertical="center" wrapText="1"/>
    </xf>
    <xf numFmtId="1" fontId="23" fillId="10" borderId="8" xfId="0" applyNumberFormat="1" applyFont="1" applyFill="1" applyBorder="1" applyAlignment="1">
      <alignment horizontal="center" vertical="center" wrapText="1"/>
    </xf>
    <xf numFmtId="9" fontId="41" fillId="0" borderId="27" xfId="0" applyNumberFormat="1" applyFont="1" applyBorder="1" applyAlignment="1">
      <alignment horizontal="center" vertical="center"/>
    </xf>
    <xf numFmtId="0" fontId="28" fillId="19" borderId="18" xfId="0" applyFont="1" applyFill="1" applyBorder="1" applyAlignment="1">
      <alignment horizontal="center" vertical="center" wrapText="1"/>
    </xf>
    <xf numFmtId="164" fontId="23" fillId="22" borderId="28" xfId="0" applyNumberFormat="1" applyFont="1" applyFill="1" applyBorder="1" applyAlignment="1">
      <alignment horizontal="center" vertical="center" wrapText="1"/>
    </xf>
    <xf numFmtId="0" fontId="10" fillId="0" borderId="24" xfId="0" applyFont="1" applyBorder="1" applyAlignment="1">
      <alignment vertical="top" wrapText="1"/>
    </xf>
    <xf numFmtId="9" fontId="25" fillId="19" borderId="18" xfId="0" applyNumberFormat="1" applyFont="1" applyFill="1" applyBorder="1" applyAlignment="1">
      <alignment horizontal="center" vertical="center" wrapText="1"/>
    </xf>
    <xf numFmtId="164" fontId="25" fillId="19" borderId="18" xfId="0" applyNumberFormat="1" applyFont="1" applyFill="1" applyBorder="1" applyAlignment="1">
      <alignment horizontal="center" vertical="center" wrapText="1"/>
    </xf>
    <xf numFmtId="164" fontId="25" fillId="16" borderId="0" xfId="0" applyNumberFormat="1" applyFont="1" applyFill="1" applyBorder="1" applyAlignment="1">
      <alignment horizontal="center" vertical="center" wrapText="1"/>
    </xf>
    <xf numFmtId="9" fontId="42" fillId="19" borderId="18" xfId="0" applyNumberFormat="1" applyFont="1" applyFill="1" applyBorder="1" applyAlignment="1">
      <alignment horizontal="center" vertical="center" wrapText="1"/>
    </xf>
    <xf numFmtId="164" fontId="23" fillId="10" borderId="15" xfId="0" applyNumberFormat="1" applyFont="1" applyFill="1" applyBorder="1" applyAlignment="1">
      <alignment horizontal="center" vertical="center" wrapText="1"/>
    </xf>
    <xf numFmtId="1" fontId="23" fillId="10" borderId="14" xfId="0" applyNumberFormat="1" applyFont="1" applyFill="1" applyBorder="1" applyAlignment="1">
      <alignment horizontal="center" vertical="center" wrapText="1"/>
    </xf>
    <xf numFmtId="9" fontId="41" fillId="0" borderId="18" xfId="0" applyNumberFormat="1" applyFont="1" applyBorder="1" applyAlignment="1">
      <alignment horizontal="center" vertical="center"/>
    </xf>
    <xf numFmtId="164" fontId="23" fillId="21" borderId="18" xfId="0" applyNumberFormat="1" applyFont="1" applyFill="1" applyBorder="1" applyAlignment="1">
      <alignment horizontal="center" vertical="center" wrapText="1"/>
    </xf>
    <xf numFmtId="0" fontId="34" fillId="0" borderId="24" xfId="0" applyFont="1" applyBorder="1" applyAlignment="1">
      <alignment horizontal="center" vertical="center"/>
    </xf>
    <xf numFmtId="9" fontId="25" fillId="19" borderId="23" xfId="0" applyNumberFormat="1" applyFont="1" applyFill="1" applyBorder="1" applyAlignment="1">
      <alignment horizontal="center" vertical="center" wrapText="1"/>
    </xf>
    <xf numFmtId="9" fontId="42" fillId="19" borderId="23" xfId="0" applyNumberFormat="1" applyFont="1" applyFill="1" applyBorder="1" applyAlignment="1">
      <alignment horizontal="center" vertical="center" wrapText="1"/>
    </xf>
    <xf numFmtId="164" fontId="25" fillId="19" borderId="23" xfId="0" applyNumberFormat="1" applyFont="1" applyFill="1" applyBorder="1" applyAlignment="1">
      <alignment horizontal="center" vertical="center" wrapText="1"/>
    </xf>
    <xf numFmtId="0" fontId="44" fillId="19" borderId="23" xfId="0" applyFont="1" applyFill="1" applyBorder="1" applyAlignment="1">
      <alignment horizontal="center" vertical="center"/>
    </xf>
    <xf numFmtId="0" fontId="44" fillId="0" borderId="23" xfId="0" applyFont="1" applyBorder="1" applyAlignment="1">
      <alignment horizontal="center" vertical="center"/>
    </xf>
    <xf numFmtId="9" fontId="25" fillId="10" borderId="18" xfId="0" applyNumberFormat="1" applyFont="1" applyFill="1" applyBorder="1" applyAlignment="1">
      <alignment horizontal="center" vertical="center" wrapText="1"/>
    </xf>
    <xf numFmtId="165" fontId="23" fillId="24" borderId="18" xfId="0" applyNumberFormat="1" applyFont="1" applyFill="1" applyBorder="1" applyAlignment="1">
      <alignment horizontal="center" vertical="center" wrapText="1"/>
    </xf>
    <xf numFmtId="9" fontId="46" fillId="10" borderId="18" xfId="0" applyNumberFormat="1" applyFont="1" applyFill="1" applyBorder="1" applyAlignment="1">
      <alignment horizontal="center" vertical="center" wrapText="1"/>
    </xf>
    <xf numFmtId="164" fontId="25" fillId="10" borderId="18" xfId="0" applyNumberFormat="1" applyFont="1" applyFill="1" applyBorder="1" applyAlignment="1">
      <alignment horizontal="center" vertical="center" wrapText="1"/>
    </xf>
    <xf numFmtId="0" fontId="47" fillId="19" borderId="29" xfId="0" applyFont="1" applyFill="1" applyBorder="1" applyAlignment="1">
      <alignment horizontal="center" vertical="center"/>
    </xf>
    <xf numFmtId="164" fontId="23" fillId="22" borderId="30" xfId="0" applyNumberFormat="1" applyFont="1" applyFill="1" applyBorder="1" applyAlignment="1">
      <alignment horizontal="center" vertical="center" wrapText="1"/>
    </xf>
    <xf numFmtId="0" fontId="28" fillId="0" borderId="0" xfId="0" applyFont="1" applyBorder="1">
      <alignment vertical="center"/>
    </xf>
    <xf numFmtId="9" fontId="46" fillId="19" borderId="18" xfId="0" applyNumberFormat="1" applyFont="1" applyFill="1" applyBorder="1" applyAlignment="1">
      <alignment horizontal="center" vertical="center" wrapText="1"/>
    </xf>
    <xf numFmtId="0" fontId="41" fillId="0" borderId="0" xfId="0" applyFont="1" applyBorder="1">
      <alignment vertical="center"/>
    </xf>
    <xf numFmtId="0" fontId="48" fillId="0" borderId="0" xfId="0" applyFont="1" applyFill="1" applyBorder="1">
      <alignment vertical="center"/>
    </xf>
    <xf numFmtId="2" fontId="48" fillId="0" borderId="0" xfId="0" applyNumberFormat="1" applyFont="1" applyFill="1" applyBorder="1" applyAlignment="1">
      <alignment horizontal="center" vertical="center"/>
    </xf>
    <xf numFmtId="0" fontId="11" fillId="0" borderId="17" xfId="0" applyFont="1" applyBorder="1">
      <alignment vertical="center"/>
    </xf>
    <xf numFmtId="0" fontId="49" fillId="0" borderId="0" xfId="0" applyFont="1" applyAlignment="1">
      <alignment horizontal="center" vertical="center" wrapText="1"/>
    </xf>
    <xf numFmtId="164" fontId="23" fillId="23" borderId="16" xfId="0" applyNumberFormat="1" applyFont="1" applyFill="1" applyBorder="1" applyAlignment="1">
      <alignment horizontal="center" vertical="center" wrapText="1"/>
    </xf>
    <xf numFmtId="0" fontId="50" fillId="0" borderId="0" xfId="0" applyFont="1" applyAlignment="1">
      <alignment vertical="top" wrapText="1"/>
    </xf>
    <xf numFmtId="164" fontId="10" fillId="0" borderId="0" xfId="0" applyNumberFormat="1" applyFont="1" applyBorder="1" applyAlignment="1">
      <alignment vertical="top" wrapText="1"/>
    </xf>
    <xf numFmtId="0" fontId="41" fillId="0" borderId="0" xfId="0" applyFont="1" applyAlignment="1">
      <alignment horizontal="right" vertical="center"/>
    </xf>
    <xf numFmtId="0" fontId="10" fillId="16" borderId="0" xfId="0" applyFont="1" applyFill="1" applyBorder="1" applyAlignment="1">
      <alignment vertical="top" wrapText="1"/>
    </xf>
    <xf numFmtId="0" fontId="44" fillId="0" borderId="0" xfId="0" applyFont="1" applyBorder="1">
      <alignment vertical="center"/>
    </xf>
    <xf numFmtId="0" fontId="11" fillId="16" borderId="0" xfId="0" applyFont="1" applyFill="1" applyBorder="1">
      <alignment vertical="center"/>
    </xf>
    <xf numFmtId="0" fontId="51" fillId="18" borderId="18" xfId="0" applyFont="1" applyFill="1" applyBorder="1" applyAlignment="1">
      <alignment vertical="top" wrapText="1"/>
    </xf>
    <xf numFmtId="0" fontId="52" fillId="10" borderId="0" xfId="0" applyFont="1" applyFill="1" applyBorder="1" applyAlignment="1">
      <alignment horizontal="center" vertical="center" wrapText="1"/>
    </xf>
    <xf numFmtId="0" fontId="53" fillId="18" borderId="8" xfId="0" applyFont="1" applyFill="1" applyBorder="1" applyAlignment="1">
      <alignment horizontal="center" vertical="center" wrapText="1"/>
    </xf>
    <xf numFmtId="0" fontId="55" fillId="18" borderId="8" xfId="0" applyFont="1" applyFill="1" applyBorder="1" applyAlignment="1">
      <alignment horizontal="center" vertical="center" wrapText="1"/>
    </xf>
    <xf numFmtId="0" fontId="28" fillId="10" borderId="0" xfId="0" applyFont="1" applyFill="1" applyBorder="1" applyAlignment="1">
      <alignment horizontal="center" vertical="center"/>
    </xf>
    <xf numFmtId="0" fontId="28" fillId="16" borderId="0" xfId="0" applyFont="1" applyFill="1" applyBorder="1" applyAlignment="1">
      <alignment horizontal="center" vertical="center"/>
    </xf>
    <xf numFmtId="0" fontId="38" fillId="10" borderId="0" xfId="0" applyFont="1" applyFill="1" applyBorder="1" applyAlignment="1">
      <alignment horizontal="center" vertical="center" wrapText="1"/>
    </xf>
    <xf numFmtId="49" fontId="36" fillId="25" borderId="0" xfId="0" applyNumberFormat="1" applyFont="1" applyFill="1" applyBorder="1" applyAlignment="1">
      <alignment horizontal="center" vertical="center" wrapText="1"/>
    </xf>
    <xf numFmtId="0" fontId="39" fillId="0" borderId="18" xfId="0" applyFont="1" applyBorder="1" applyAlignment="1">
      <alignment horizontal="center" vertical="center" wrapText="1"/>
    </xf>
    <xf numFmtId="0" fontId="25" fillId="0" borderId="18" xfId="0" applyFont="1" applyBorder="1" applyAlignment="1">
      <alignment horizontal="center" vertical="center" wrapText="1"/>
    </xf>
    <xf numFmtId="0" fontId="56" fillId="10" borderId="0" xfId="0" applyFont="1" applyFill="1" applyBorder="1">
      <alignment vertical="center"/>
    </xf>
    <xf numFmtId="0" fontId="39" fillId="17" borderId="27" xfId="0" applyFont="1" applyFill="1" applyBorder="1" applyAlignment="1">
      <alignment horizontal="center" vertical="center" wrapText="1"/>
    </xf>
    <xf numFmtId="9" fontId="39" fillId="17" borderId="27" xfId="0" applyNumberFormat="1" applyFont="1" applyFill="1" applyBorder="1" applyAlignment="1">
      <alignment horizontal="center" vertical="center" wrapText="1"/>
    </xf>
    <xf numFmtId="0" fontId="39" fillId="17" borderId="18" xfId="0" applyFont="1" applyFill="1" applyBorder="1" applyAlignment="1">
      <alignment horizontal="center" vertical="center" wrapText="1"/>
    </xf>
    <xf numFmtId="0" fontId="42" fillId="17" borderId="18" xfId="0" applyFont="1" applyFill="1" applyBorder="1" applyAlignment="1">
      <alignment horizontal="center" vertical="center" wrapText="1"/>
    </xf>
    <xf numFmtId="0" fontId="42" fillId="17" borderId="14" xfId="0" applyFont="1" applyFill="1" applyBorder="1" applyAlignment="1">
      <alignment horizontal="center" vertical="center" wrapText="1"/>
    </xf>
    <xf numFmtId="9" fontId="39" fillId="17" borderId="18" xfId="0" applyNumberFormat="1" applyFont="1" applyFill="1" applyBorder="1" applyAlignment="1">
      <alignment horizontal="center" vertical="center" wrapText="1"/>
    </xf>
    <xf numFmtId="0" fontId="42" fillId="17" borderId="16" xfId="0" applyFont="1" applyFill="1" applyBorder="1" applyAlignment="1">
      <alignment horizontal="center" vertical="center" wrapText="1"/>
    </xf>
    <xf numFmtId="0" fontId="42" fillId="17" borderId="27" xfId="0" applyFont="1" applyFill="1" applyBorder="1" applyAlignment="1">
      <alignment horizontal="center" vertical="center" wrapText="1"/>
    </xf>
    <xf numFmtId="0" fontId="28" fillId="10" borderId="0" xfId="0" applyFont="1" applyFill="1" applyBorder="1" applyAlignment="1">
      <alignment horizontal="center" vertical="center" wrapText="1"/>
    </xf>
    <xf numFmtId="164" fontId="23" fillId="10" borderId="0" xfId="0" applyNumberFormat="1" applyFont="1" applyFill="1" applyBorder="1" applyAlignment="1">
      <alignment horizontal="center" vertical="center" wrapText="1"/>
    </xf>
    <xf numFmtId="0" fontId="23" fillId="10" borderId="0" xfId="0" applyFont="1" applyFill="1" applyBorder="1" applyAlignment="1">
      <alignment horizontal="center" vertical="center" wrapText="1"/>
    </xf>
    <xf numFmtId="0" fontId="42" fillId="19" borderId="18" xfId="0" applyFont="1" applyFill="1" applyBorder="1" applyAlignment="1">
      <alignment horizontal="center" vertical="center" wrapText="1"/>
    </xf>
    <xf numFmtId="0" fontId="25" fillId="19" borderId="18" xfId="0" applyFont="1" applyFill="1" applyBorder="1" applyAlignment="1">
      <alignment horizontal="center" vertical="center" wrapText="1"/>
    </xf>
    <xf numFmtId="0" fontId="42" fillId="19" borderId="27" xfId="0" applyFont="1" applyFill="1" applyBorder="1" applyAlignment="1">
      <alignment horizontal="center" vertical="center" wrapText="1"/>
    </xf>
    <xf numFmtId="0" fontId="25" fillId="19" borderId="27" xfId="0" applyFont="1" applyFill="1" applyBorder="1" applyAlignment="1">
      <alignment horizontal="center" vertical="center" wrapText="1"/>
    </xf>
    <xf numFmtId="9" fontId="25" fillId="19" borderId="27" xfId="0" applyNumberFormat="1" applyFont="1" applyFill="1" applyBorder="1" applyAlignment="1">
      <alignment horizontal="center" vertical="center" wrapText="1"/>
    </xf>
    <xf numFmtId="0" fontId="45" fillId="10" borderId="0" xfId="0" applyFont="1" applyFill="1" applyBorder="1">
      <alignment vertical="center"/>
    </xf>
    <xf numFmtId="0" fontId="44" fillId="10" borderId="0" xfId="0" applyFont="1" applyFill="1" applyBorder="1" applyAlignment="1">
      <alignment horizontal="center" vertical="center"/>
    </xf>
    <xf numFmtId="0" fontId="44" fillId="16" borderId="0" xfId="0" applyFont="1" applyFill="1" applyBorder="1" applyAlignment="1">
      <alignment horizontal="center" vertical="center"/>
    </xf>
    <xf numFmtId="0" fontId="46" fillId="21" borderId="18" xfId="0" applyFont="1" applyFill="1" applyBorder="1" applyAlignment="1">
      <alignment horizontal="center" vertical="center" wrapText="1"/>
    </xf>
    <xf numFmtId="0" fontId="10" fillId="21" borderId="18" xfId="0" applyFont="1" applyFill="1" applyBorder="1" applyAlignment="1">
      <alignment vertical="top" wrapText="1"/>
    </xf>
    <xf numFmtId="9" fontId="25" fillId="21" borderId="18" xfId="0" applyNumberFormat="1" applyFont="1" applyFill="1" applyBorder="1" applyAlignment="1">
      <alignment horizontal="center" vertical="center" wrapText="1"/>
    </xf>
    <xf numFmtId="164" fontId="25" fillId="21" borderId="18" xfId="0" applyNumberFormat="1" applyFont="1" applyFill="1" applyBorder="1" applyAlignment="1">
      <alignment horizontal="center" vertical="center" wrapText="1"/>
    </xf>
    <xf numFmtId="164" fontId="30" fillId="21" borderId="18" xfId="0" applyNumberFormat="1" applyFont="1" applyFill="1" applyBorder="1" applyAlignment="1">
      <alignment horizontal="center" vertical="center" wrapText="1"/>
    </xf>
    <xf numFmtId="0" fontId="47" fillId="10" borderId="0" xfId="0" applyFont="1" applyFill="1" applyBorder="1" applyAlignment="1">
      <alignment horizontal="center" vertical="center"/>
    </xf>
    <xf numFmtId="0" fontId="10" fillId="16" borderId="0" xfId="0" applyFont="1" applyFill="1" applyBorder="1" applyAlignment="1">
      <alignment horizontal="center" wrapText="1"/>
    </xf>
    <xf numFmtId="0" fontId="57" fillId="0" borderId="0" xfId="0" applyFont="1" applyBorder="1">
      <alignment vertical="center"/>
    </xf>
    <xf numFmtId="0" fontId="48" fillId="10" borderId="0" xfId="0" applyFont="1" applyFill="1" applyBorder="1">
      <alignment vertical="center"/>
    </xf>
    <xf numFmtId="49" fontId="48" fillId="16" borderId="0" xfId="0" applyNumberFormat="1" applyFont="1" applyFill="1" applyBorder="1" applyAlignment="1">
      <alignment horizontal="center" vertical="center"/>
    </xf>
    <xf numFmtId="0" fontId="28" fillId="16" borderId="0" xfId="0" applyFont="1" applyFill="1" applyBorder="1">
      <alignment vertical="center"/>
    </xf>
    <xf numFmtId="2" fontId="23" fillId="10" borderId="0" xfId="0" applyNumberFormat="1" applyFont="1" applyFill="1" applyBorder="1" applyAlignment="1">
      <alignment horizontal="center" vertical="center" wrapText="1"/>
    </xf>
    <xf numFmtId="9" fontId="46" fillId="10" borderId="0" xfId="0" applyNumberFormat="1" applyFont="1" applyFill="1" applyBorder="1" applyAlignment="1">
      <alignment horizontal="center" vertical="center" wrapText="1"/>
    </xf>
    <xf numFmtId="164" fontId="25" fillId="10" borderId="0" xfId="0" applyNumberFormat="1" applyFont="1" applyFill="1" applyBorder="1" applyAlignment="1">
      <alignment horizontal="center" vertical="center" wrapText="1"/>
    </xf>
    <xf numFmtId="1" fontId="23" fillId="10" borderId="0" xfId="0" applyNumberFormat="1" applyFont="1" applyFill="1" applyBorder="1" applyAlignment="1">
      <alignment horizontal="center" vertical="center" wrapText="1"/>
    </xf>
    <xf numFmtId="0" fontId="41" fillId="16" borderId="0" xfId="0" applyFont="1" applyFill="1" applyBorder="1">
      <alignment vertical="center"/>
    </xf>
    <xf numFmtId="164" fontId="58" fillId="16" borderId="0" xfId="0" applyNumberFormat="1" applyFont="1" applyFill="1" applyBorder="1">
      <alignment vertical="center"/>
    </xf>
    <xf numFmtId="0" fontId="58" fillId="16" borderId="0" xfId="0" applyFont="1" applyFill="1" applyBorder="1">
      <alignment vertical="center"/>
    </xf>
    <xf numFmtId="2" fontId="58" fillId="16" borderId="0" xfId="0" applyNumberFormat="1" applyFont="1" applyFill="1" applyBorder="1">
      <alignment vertical="center"/>
    </xf>
    <xf numFmtId="0" fontId="3" fillId="0" borderId="0" xfId="0" applyFont="1" applyAlignment="1">
      <alignment horizontal="center" vertical="center"/>
    </xf>
    <xf numFmtId="0" fontId="59" fillId="0" borderId="0" xfId="0" applyFont="1" applyFill="1" applyAlignment="1">
      <alignment horizontal="left" vertical="center" wrapText="1"/>
    </xf>
    <xf numFmtId="0" fontId="60" fillId="0" borderId="18" xfId="0" applyFont="1" applyBorder="1" applyAlignment="1">
      <alignment horizontal="center" vertical="center" wrapText="1"/>
    </xf>
    <xf numFmtId="0" fontId="30" fillId="0" borderId="27" xfId="0" applyFont="1" applyBorder="1" applyAlignment="1">
      <alignment horizontal="center" vertical="center" wrapText="1"/>
    </xf>
    <xf numFmtId="9" fontId="25" fillId="0" borderId="27" xfId="0" applyNumberFormat="1" applyFont="1" applyBorder="1" applyAlignment="1">
      <alignment horizontal="center" vertical="center" wrapText="1"/>
    </xf>
    <xf numFmtId="0" fontId="25" fillId="0" borderId="27" xfId="0" applyFont="1" applyBorder="1" applyAlignment="1">
      <alignment horizontal="center" vertical="center" wrapText="1"/>
    </xf>
    <xf numFmtId="0" fontId="30" fillId="19" borderId="18" xfId="0" applyFont="1" applyFill="1" applyBorder="1" applyAlignment="1">
      <alignment horizontal="center" vertical="center" wrapText="1"/>
    </xf>
    <xf numFmtId="0" fontId="43" fillId="19" borderId="18" xfId="0" applyFont="1" applyFill="1" applyBorder="1" applyAlignment="1">
      <alignment horizontal="center" vertical="center" wrapText="1"/>
    </xf>
    <xf numFmtId="0" fontId="30" fillId="0" borderId="18" xfId="0" applyFont="1" applyBorder="1" applyAlignment="1">
      <alignment horizontal="center" vertical="center" wrapText="1"/>
    </xf>
    <xf numFmtId="9" fontId="61" fillId="0" borderId="18" xfId="0" applyNumberFormat="1" applyFont="1" applyBorder="1" applyAlignment="1">
      <alignment horizontal="center" vertical="center" wrapText="1"/>
    </xf>
    <xf numFmtId="0" fontId="43" fillId="0" borderId="18" xfId="0" applyFont="1" applyBorder="1" applyAlignment="1">
      <alignment horizontal="center" vertical="center" wrapText="1"/>
    </xf>
    <xf numFmtId="0" fontId="6" fillId="0" borderId="0" xfId="0" applyFont="1" applyAlignment="1">
      <alignment horizontal="center" vertical="center" wrapText="1"/>
    </xf>
    <xf numFmtId="0" fontId="10" fillId="22" borderId="18" xfId="0" applyFont="1" applyFill="1" applyBorder="1" applyAlignment="1">
      <alignment horizontal="center" vertical="center" wrapText="1"/>
    </xf>
    <xf numFmtId="0" fontId="62" fillId="0" borderId="18" xfId="0" applyFont="1" applyBorder="1" applyAlignment="1">
      <alignment horizontal="center" vertical="center"/>
    </xf>
    <xf numFmtId="0" fontId="10" fillId="0" borderId="16" xfId="0" applyFont="1" applyBorder="1" applyAlignment="1">
      <alignment horizontal="center" vertical="center" wrapText="1"/>
    </xf>
    <xf numFmtId="0" fontId="62" fillId="10" borderId="0" xfId="0" applyFont="1" applyFill="1">
      <alignment vertical="center"/>
    </xf>
    <xf numFmtId="0" fontId="32" fillId="0" borderId="0" xfId="0" applyFont="1" applyBorder="1" applyAlignment="1">
      <alignment horizontal="center" wrapText="1"/>
    </xf>
    <xf numFmtId="0" fontId="63" fillId="0" borderId="0" xfId="0" applyFont="1" applyBorder="1" applyAlignment="1">
      <alignment horizontal="center" vertical="top" wrapText="1"/>
    </xf>
    <xf numFmtId="0" fontId="36" fillId="26" borderId="18" xfId="0" applyFont="1" applyFill="1" applyBorder="1" applyAlignment="1">
      <alignment horizontal="center" vertical="center" wrapText="1"/>
    </xf>
    <xf numFmtId="0" fontId="25" fillId="0" borderId="18" xfId="0" applyFont="1" applyFill="1" applyBorder="1" applyAlignment="1">
      <alignment horizontal="center" vertical="center" wrapText="1"/>
    </xf>
    <xf numFmtId="0" fontId="10" fillId="0" borderId="18" xfId="0" applyFont="1" applyFill="1" applyBorder="1" applyAlignment="1">
      <alignment vertical="top" wrapText="1"/>
    </xf>
    <xf numFmtId="0" fontId="25" fillId="27" borderId="18" xfId="0" applyFont="1" applyFill="1" applyBorder="1" applyAlignment="1">
      <alignment horizontal="center" vertical="center" wrapText="1"/>
    </xf>
    <xf numFmtId="2" fontId="10" fillId="0" borderId="0" xfId="0" applyNumberFormat="1" applyFont="1" applyAlignment="1">
      <alignment vertical="top" wrapText="1"/>
    </xf>
    <xf numFmtId="0" fontId="61" fillId="27" borderId="18" xfId="0" applyFont="1" applyFill="1" applyBorder="1" applyAlignment="1">
      <alignment horizontal="center" vertical="center" wrapText="1"/>
    </xf>
    <xf numFmtId="49" fontId="64" fillId="2" borderId="0" xfId="0" applyNumberFormat="1" applyFont="1" applyFill="1" applyBorder="1" applyAlignment="1">
      <alignment horizontal="left" wrapText="1"/>
    </xf>
    <xf numFmtId="0" fontId="23" fillId="0" borderId="0" xfId="0" applyFont="1" applyAlignment="1">
      <alignment vertical="top" wrapText="1"/>
    </xf>
    <xf numFmtId="0" fontId="10" fillId="0" borderId="0" xfId="0" applyFont="1" applyBorder="1" applyAlignment="1">
      <alignment horizontal="left" wrapText="1"/>
    </xf>
    <xf numFmtId="49" fontId="6" fillId="0" borderId="0" xfId="0" applyNumberFormat="1" applyFont="1" applyAlignment="1">
      <alignment horizontal="left" vertical="top"/>
    </xf>
    <xf numFmtId="0" fontId="10" fillId="0" borderId="0" xfId="0" applyFont="1" applyBorder="1" applyAlignment="1">
      <alignment vertical="top" wrapText="1"/>
    </xf>
    <xf numFmtId="0" fontId="66" fillId="0" borderId="0" xfId="0" applyNumberFormat="1" applyFont="1" applyAlignment="1">
      <alignment horizontal="center" vertical="center"/>
    </xf>
    <xf numFmtId="0" fontId="67" fillId="0" borderId="0" xfId="0" applyFont="1" applyAlignment="1">
      <alignment horizontal="center" vertical="center"/>
    </xf>
    <xf numFmtId="49" fontId="5" fillId="0" borderId="0" xfId="0" applyNumberFormat="1" applyFont="1" applyFill="1" applyAlignment="1">
      <alignment horizontal="center" vertical="center"/>
    </xf>
    <xf numFmtId="49" fontId="64" fillId="0" borderId="0" xfId="0" applyNumberFormat="1" applyFont="1" applyFill="1" applyAlignment="1">
      <alignment horizontal="left" vertical="center"/>
    </xf>
    <xf numFmtId="49" fontId="6" fillId="0" borderId="0" xfId="0" applyNumberFormat="1" applyFont="1" applyAlignment="1">
      <alignment horizontal="left" vertical="center"/>
    </xf>
    <xf numFmtId="49" fontId="7" fillId="0" borderId="0" xfId="0" applyNumberFormat="1" applyFont="1" applyAlignment="1">
      <alignment horizontal="center" vertical="center"/>
    </xf>
    <xf numFmtId="49" fontId="68" fillId="0" borderId="0" xfId="0" applyNumberFormat="1" applyFont="1" applyAlignment="1">
      <alignment horizontal="center" vertical="center"/>
    </xf>
    <xf numFmtId="49" fontId="69" fillId="0" borderId="0" xfId="0" applyNumberFormat="1" applyFont="1" applyAlignment="1">
      <alignment horizontal="center" vertical="center"/>
    </xf>
    <xf numFmtId="49" fontId="6" fillId="0" borderId="0" xfId="0" applyNumberFormat="1" applyFont="1" applyAlignment="1">
      <alignment horizontal="center" vertical="center"/>
    </xf>
    <xf numFmtId="49" fontId="10" fillId="2" borderId="0" xfId="0" applyNumberFormat="1" applyFont="1" applyFill="1" applyAlignment="1">
      <alignment horizontal="left" vertical="center" wrapText="1"/>
    </xf>
    <xf numFmtId="0" fontId="12" fillId="0" borderId="0" xfId="0" applyFont="1" applyAlignment="1">
      <alignment vertical="top" wrapText="1"/>
    </xf>
    <xf numFmtId="49" fontId="10" fillId="2" borderId="0" xfId="0" applyNumberFormat="1" applyFont="1" applyFill="1" applyAlignment="1">
      <alignment horizontal="left" vertical="center" wrapText="1"/>
    </xf>
    <xf numFmtId="49" fontId="10" fillId="2" borderId="0" xfId="0" applyNumberFormat="1" applyFont="1" applyFill="1" applyAlignment="1">
      <alignment vertical="center" wrapText="1"/>
    </xf>
    <xf numFmtId="49" fontId="10" fillId="2" borderId="0" xfId="0" applyNumberFormat="1" applyFont="1" applyFill="1" applyAlignment="1">
      <alignment vertical="center" wrapText="1"/>
    </xf>
    <xf numFmtId="0" fontId="42" fillId="31" borderId="0" xfId="0" applyFont="1" applyFill="1" applyBorder="1" applyAlignment="1">
      <alignment horizontal="center" vertical="center"/>
    </xf>
    <xf numFmtId="0" fontId="31" fillId="31" borderId="38" xfId="0" applyFont="1" applyFill="1" applyBorder="1" applyAlignment="1">
      <alignment horizontal="center" vertical="top"/>
    </xf>
    <xf numFmtId="0" fontId="31" fillId="31" borderId="40" xfId="0" applyFont="1" applyFill="1" applyBorder="1" applyAlignment="1">
      <alignment horizontal="center" vertical="top"/>
    </xf>
    <xf numFmtId="0" fontId="31" fillId="31" borderId="0" xfId="0" applyFont="1" applyFill="1" applyBorder="1" applyAlignment="1">
      <alignment horizontal="center" vertical="center"/>
    </xf>
    <xf numFmtId="0" fontId="42" fillId="31" borderId="41" xfId="0" applyFont="1" applyFill="1" applyBorder="1" applyAlignment="1">
      <alignment horizontal="center" vertical="center"/>
    </xf>
    <xf numFmtId="49" fontId="5" fillId="2" borderId="0" xfId="0" applyNumberFormat="1" applyFont="1" applyFill="1" applyBorder="1" applyAlignment="1">
      <alignment horizontal="center" vertical="center" wrapText="1"/>
    </xf>
    <xf numFmtId="49" fontId="7" fillId="2" borderId="0" xfId="0" applyNumberFormat="1" applyFont="1" applyFill="1" applyBorder="1" applyAlignment="1">
      <alignment horizontal="center" vertical="center" wrapText="1"/>
    </xf>
    <xf numFmtId="49" fontId="8" fillId="2" borderId="0" xfId="0" applyNumberFormat="1" applyFont="1" applyFill="1" applyBorder="1" applyAlignment="1">
      <alignment horizontal="center" vertical="center" wrapText="1"/>
    </xf>
    <xf numFmtId="164" fontId="74" fillId="34" borderId="23" xfId="0" applyNumberFormat="1" applyFont="1" applyFill="1" applyBorder="1" applyAlignment="1">
      <alignment horizontal="center" vertical="top"/>
    </xf>
    <xf numFmtId="164" fontId="39" fillId="34" borderId="28" xfId="0" applyNumberFormat="1" applyFont="1" applyFill="1" applyBorder="1" applyAlignment="1">
      <alignment horizontal="center" vertical="top" wrapText="1"/>
    </xf>
    <xf numFmtId="164" fontId="39" fillId="34" borderId="27" xfId="0" applyNumberFormat="1" applyFont="1" applyFill="1" applyBorder="1" applyAlignment="1">
      <alignment horizontal="center" vertical="top" wrapText="1"/>
    </xf>
    <xf numFmtId="0" fontId="25" fillId="33" borderId="36" xfId="0" applyFont="1" applyFill="1" applyBorder="1" applyAlignment="1">
      <alignment horizontal="center" vertical="center"/>
    </xf>
    <xf numFmtId="0" fontId="25" fillId="5" borderId="2" xfId="0" applyNumberFormat="1" applyFont="1" applyFill="1" applyBorder="1" applyAlignment="1">
      <alignment horizontal="center" vertical="center" wrapText="1"/>
    </xf>
    <xf numFmtId="0" fontId="25" fillId="5" borderId="21" xfId="0" applyNumberFormat="1" applyFont="1" applyFill="1" applyBorder="1" applyAlignment="1">
      <alignment horizontal="center" vertical="center" wrapText="1"/>
    </xf>
    <xf numFmtId="0" fontId="11" fillId="39" borderId="0" xfId="0" applyFont="1" applyFill="1">
      <alignment vertical="center"/>
    </xf>
    <xf numFmtId="0" fontId="32" fillId="0" borderId="0" xfId="0" applyFont="1" applyBorder="1" applyAlignment="1">
      <alignment vertical="center"/>
    </xf>
    <xf numFmtId="0" fontId="2" fillId="39" borderId="0" xfId="0" applyFont="1" applyFill="1" applyBorder="1" applyAlignment="1">
      <alignment horizontal="center" wrapText="1"/>
    </xf>
    <xf numFmtId="0" fontId="10" fillId="39" borderId="0" xfId="0" applyFont="1" applyFill="1" applyBorder="1" applyAlignment="1">
      <alignment vertical="top" wrapText="1"/>
    </xf>
    <xf numFmtId="0" fontId="2" fillId="39" borderId="0" xfId="0" applyFont="1" applyFill="1" applyBorder="1" applyAlignment="1">
      <alignment vertical="center"/>
    </xf>
    <xf numFmtId="0" fontId="32" fillId="0" borderId="0" xfId="0" applyFont="1" applyBorder="1" applyAlignment="1">
      <alignment wrapText="1"/>
    </xf>
    <xf numFmtId="0" fontId="0" fillId="39" borderId="0" xfId="0" applyFill="1">
      <alignment vertical="center"/>
    </xf>
    <xf numFmtId="0" fontId="10" fillId="39" borderId="0" xfId="0" applyFont="1" applyFill="1" applyAlignment="1">
      <alignment vertical="top" wrapText="1"/>
    </xf>
    <xf numFmtId="0" fontId="32" fillId="39" borderId="0" xfId="0" applyFont="1" applyFill="1" applyBorder="1" applyAlignment="1">
      <alignment horizontal="center" wrapText="1"/>
    </xf>
    <xf numFmtId="0" fontId="88" fillId="39" borderId="0" xfId="0" applyFont="1" applyFill="1" applyAlignment="1">
      <alignment vertical="center"/>
    </xf>
    <xf numFmtId="0" fontId="88" fillId="39" borderId="0" xfId="0" applyFont="1" applyFill="1" applyAlignment="1">
      <alignment horizontal="right" vertical="center"/>
    </xf>
    <xf numFmtId="49" fontId="5" fillId="0" borderId="0" xfId="0" applyNumberFormat="1" applyFont="1" applyAlignment="1">
      <alignment horizontal="center" vertical="center" wrapText="1"/>
    </xf>
    <xf numFmtId="0" fontId="31" fillId="28" borderId="1" xfId="0" applyNumberFormat="1" applyFont="1" applyFill="1" applyBorder="1" applyAlignment="1">
      <alignment horizontal="left" vertical="center" wrapText="1"/>
    </xf>
    <xf numFmtId="0" fontId="31" fillId="29" borderId="2" xfId="0" applyNumberFormat="1" applyFont="1" applyFill="1" applyBorder="1" applyAlignment="1">
      <alignment horizontal="left" vertical="center" wrapText="1"/>
    </xf>
    <xf numFmtId="0" fontId="25" fillId="28" borderId="35" xfId="0" applyNumberFormat="1" applyFont="1" applyFill="1" applyBorder="1" applyAlignment="1">
      <alignment horizontal="center" vertical="center" wrapText="1"/>
    </xf>
    <xf numFmtId="0" fontId="25" fillId="29" borderId="22" xfId="0" applyNumberFormat="1" applyFont="1" applyFill="1" applyBorder="1" applyAlignment="1">
      <alignment horizontal="center" vertical="center" wrapText="1"/>
    </xf>
    <xf numFmtId="0" fontId="89" fillId="39" borderId="0" xfId="0" applyFont="1" applyFill="1" applyAlignment="1">
      <alignment horizontal="right" vertical="center"/>
    </xf>
    <xf numFmtId="0" fontId="89" fillId="39" borderId="0" xfId="0" applyFont="1" applyFill="1" applyAlignment="1">
      <alignment vertical="center"/>
    </xf>
    <xf numFmtId="0" fontId="89" fillId="39" borderId="0" xfId="0" applyFont="1" applyFill="1" applyAlignment="1">
      <alignment horizontal="center" vertical="center"/>
    </xf>
    <xf numFmtId="0" fontId="80" fillId="26" borderId="0" xfId="0" applyFont="1" applyFill="1" applyAlignment="1">
      <alignment horizontal="center" vertical="center"/>
    </xf>
    <xf numFmtId="0" fontId="20" fillId="9" borderId="13" xfId="2" applyFont="1" applyBorder="1" applyAlignment="1" applyProtection="1">
      <alignment horizontal="center" vertical="center" wrapText="1"/>
    </xf>
    <xf numFmtId="0" fontId="19" fillId="3" borderId="53" xfId="0" applyFont="1" applyFill="1" applyBorder="1" applyAlignment="1">
      <alignment horizontal="center" vertical="center" wrapText="1"/>
    </xf>
    <xf numFmtId="0" fontId="19" fillId="3" borderId="52" xfId="0" applyFont="1" applyFill="1" applyBorder="1" applyAlignment="1">
      <alignment horizontal="center" vertical="center" wrapText="1"/>
    </xf>
    <xf numFmtId="9" fontId="25" fillId="17" borderId="36" xfId="0" applyNumberFormat="1" applyFont="1" applyFill="1" applyBorder="1" applyAlignment="1">
      <alignment horizontal="center" vertical="center" wrapText="1"/>
    </xf>
    <xf numFmtId="0" fontId="19" fillId="3" borderId="56" xfId="0" applyFont="1" applyFill="1" applyBorder="1" applyAlignment="1">
      <alignment horizontal="center" vertical="center" wrapText="1"/>
    </xf>
    <xf numFmtId="49" fontId="19" fillId="3" borderId="56" xfId="0" applyNumberFormat="1" applyFont="1" applyFill="1" applyBorder="1" applyAlignment="1">
      <alignment horizontal="center" vertical="center" wrapText="1"/>
    </xf>
    <xf numFmtId="0" fontId="20" fillId="9" borderId="57" xfId="2" applyFont="1" applyBorder="1" applyAlignment="1" applyProtection="1">
      <alignment horizontal="center" vertical="center" wrapText="1"/>
    </xf>
    <xf numFmtId="0" fontId="20" fillId="9" borderId="58" xfId="2" applyFont="1" applyBorder="1" applyAlignment="1" applyProtection="1">
      <alignment horizontal="center" vertical="center" wrapText="1"/>
    </xf>
    <xf numFmtId="0" fontId="20" fillId="9" borderId="59" xfId="2" applyFont="1" applyBorder="1" applyAlignment="1" applyProtection="1">
      <alignment horizontal="center" vertical="center" wrapText="1"/>
    </xf>
    <xf numFmtId="0" fontId="19" fillId="3" borderId="11" xfId="0" applyFont="1" applyFill="1" applyBorder="1" applyAlignment="1">
      <alignment horizontal="center" vertical="top" wrapText="1"/>
    </xf>
    <xf numFmtId="0" fontId="19" fillId="3" borderId="12" xfId="0" applyFont="1" applyFill="1" applyBorder="1" applyAlignment="1">
      <alignment horizontal="center" vertical="top" wrapText="1"/>
    </xf>
    <xf numFmtId="0" fontId="19" fillId="3" borderId="66" xfId="0" applyFont="1" applyFill="1" applyBorder="1" applyAlignment="1">
      <alignment horizontal="center" vertical="top" wrapText="1"/>
    </xf>
    <xf numFmtId="0" fontId="91" fillId="3" borderId="28" xfId="0" applyFont="1" applyFill="1" applyBorder="1" applyAlignment="1">
      <alignment horizontal="center" vertical="center" wrapText="1"/>
    </xf>
    <xf numFmtId="0" fontId="19" fillId="3" borderId="27" xfId="0" applyFont="1" applyFill="1" applyBorder="1" applyAlignment="1">
      <alignment horizontal="center" vertical="center" wrapText="1"/>
    </xf>
    <xf numFmtId="49" fontId="94" fillId="13" borderId="45" xfId="0" applyNumberFormat="1" applyFont="1" applyFill="1" applyBorder="1" applyAlignment="1">
      <alignment horizontal="center" vertical="center" wrapText="1"/>
    </xf>
    <xf numFmtId="49" fontId="94" fillId="11" borderId="45" xfId="0" applyNumberFormat="1" applyFont="1" applyFill="1" applyBorder="1" applyAlignment="1">
      <alignment horizontal="center" vertical="center" wrapText="1"/>
    </xf>
    <xf numFmtId="49" fontId="94" fillId="12" borderId="45" xfId="0" applyNumberFormat="1" applyFont="1" applyFill="1" applyBorder="1" applyAlignment="1">
      <alignment horizontal="center" vertical="center" wrapText="1"/>
    </xf>
    <xf numFmtId="49" fontId="94" fillId="14" borderId="45" xfId="0" applyNumberFormat="1" applyFont="1" applyFill="1" applyBorder="1" applyAlignment="1">
      <alignment horizontal="center" vertical="center" wrapText="1"/>
    </xf>
    <xf numFmtId="49" fontId="94" fillId="15" borderId="45" xfId="0" applyNumberFormat="1" applyFont="1" applyFill="1" applyBorder="1" applyAlignment="1">
      <alignment horizontal="center" vertical="center" wrapText="1"/>
    </xf>
    <xf numFmtId="0" fontId="6" fillId="39" borderId="0" xfId="0" applyFont="1" applyFill="1" applyAlignment="1">
      <alignment horizontal="center" vertical="center" wrapText="1"/>
    </xf>
    <xf numFmtId="0" fontId="10" fillId="39" borderId="0" xfId="0" applyFont="1" applyFill="1" applyBorder="1" applyAlignment="1">
      <alignment horizontal="center" vertical="center" wrapText="1"/>
    </xf>
    <xf numFmtId="0" fontId="62" fillId="39" borderId="0" xfId="0" applyFont="1" applyFill="1" applyBorder="1" applyAlignment="1">
      <alignment horizontal="center" vertical="center"/>
    </xf>
    <xf numFmtId="0" fontId="78" fillId="0" borderId="18" xfId="0" applyFont="1" applyBorder="1" applyAlignment="1">
      <alignment horizontal="center" vertical="center" wrapText="1"/>
    </xf>
    <xf numFmtId="0" fontId="78" fillId="19" borderId="18" xfId="0" applyFont="1" applyFill="1" applyBorder="1" applyAlignment="1">
      <alignment horizontal="center" vertical="center" wrapText="1"/>
    </xf>
    <xf numFmtId="0" fontId="96" fillId="31" borderId="0" xfId="0" applyFont="1" applyFill="1" applyBorder="1" applyAlignment="1">
      <alignment horizontal="center" vertical="center"/>
    </xf>
    <xf numFmtId="0" fontId="0" fillId="46" borderId="18" xfId="0" applyFill="1" applyBorder="1">
      <alignment vertical="center"/>
    </xf>
    <xf numFmtId="0" fontId="0" fillId="47" borderId="18" xfId="0" applyFill="1" applyBorder="1">
      <alignment vertical="center"/>
    </xf>
    <xf numFmtId="0" fontId="0" fillId="47" borderId="33" xfId="0" applyFill="1" applyBorder="1">
      <alignment vertical="center"/>
    </xf>
    <xf numFmtId="49" fontId="6" fillId="2" borderId="0" xfId="0" applyNumberFormat="1" applyFont="1" applyFill="1" applyBorder="1" applyAlignment="1">
      <alignment vertical="top" wrapText="1"/>
    </xf>
    <xf numFmtId="0" fontId="72" fillId="39" borderId="0" xfId="0" applyFont="1" applyFill="1" applyBorder="1" applyProtection="1">
      <alignment vertical="center"/>
    </xf>
    <xf numFmtId="0" fontId="0" fillId="39" borderId="0" xfId="0" applyFill="1" applyBorder="1" applyProtection="1">
      <alignment vertical="center"/>
    </xf>
    <xf numFmtId="0" fontId="0" fillId="39" borderId="0" xfId="0" applyFill="1" applyProtection="1">
      <alignment vertical="center"/>
    </xf>
    <xf numFmtId="0" fontId="0" fillId="0" borderId="0" xfId="0" applyProtection="1">
      <alignment vertical="center"/>
    </xf>
    <xf numFmtId="0" fontId="36" fillId="18" borderId="18" xfId="0" applyFont="1" applyFill="1" applyBorder="1" applyAlignment="1" applyProtection="1">
      <alignment horizontal="center" vertical="center" wrapText="1"/>
    </xf>
    <xf numFmtId="0" fontId="31" fillId="45" borderId="0" xfId="0" applyFont="1" applyFill="1" applyBorder="1" applyAlignment="1" applyProtection="1">
      <alignment horizontal="center" vertical="center" wrapText="1"/>
    </xf>
    <xf numFmtId="0" fontId="31" fillId="43" borderId="0" xfId="0" applyFont="1" applyFill="1" applyBorder="1" applyAlignment="1" applyProtection="1">
      <alignment horizontal="center" vertical="center" wrapText="1"/>
    </xf>
    <xf numFmtId="164" fontId="31" fillId="44" borderId="0" xfId="0" applyNumberFormat="1" applyFont="1" applyFill="1" applyBorder="1" applyAlignment="1" applyProtection="1">
      <alignment horizontal="center" vertical="center" wrapText="1"/>
    </xf>
    <xf numFmtId="0" fontId="11" fillId="0" borderId="0" xfId="0" applyFont="1">
      <alignment vertical="center"/>
    </xf>
    <xf numFmtId="49" fontId="71" fillId="2" borderId="0" xfId="0" applyNumberFormat="1" applyFont="1" applyFill="1" applyBorder="1" applyAlignment="1">
      <alignment vertical="center" wrapText="1"/>
    </xf>
    <xf numFmtId="0" fontId="10" fillId="0" borderId="7"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0" fontId="0" fillId="49" borderId="0" xfId="0" applyFill="1">
      <alignment vertical="center"/>
    </xf>
    <xf numFmtId="0" fontId="0" fillId="33" borderId="0" xfId="0" applyFill="1">
      <alignment vertical="center"/>
    </xf>
    <xf numFmtId="0" fontId="97" fillId="50" borderId="45" xfId="0" applyFont="1" applyFill="1" applyBorder="1">
      <alignment vertical="center"/>
    </xf>
    <xf numFmtId="0" fontId="97" fillId="51" borderId="45" xfId="0" applyFont="1" applyFill="1" applyBorder="1">
      <alignment vertical="center"/>
    </xf>
    <xf numFmtId="0" fontId="97" fillId="52" borderId="45" xfId="0" applyFont="1" applyFill="1" applyBorder="1">
      <alignment vertical="center"/>
    </xf>
    <xf numFmtId="0" fontId="97" fillId="53" borderId="45" xfId="0" applyFont="1" applyFill="1" applyBorder="1">
      <alignment vertical="center"/>
    </xf>
    <xf numFmtId="167" fontId="25" fillId="28" borderId="1" xfId="0" applyNumberFormat="1" applyFont="1" applyFill="1" applyBorder="1" applyAlignment="1">
      <alignment horizontal="center" vertical="center" wrapText="1"/>
    </xf>
    <xf numFmtId="167" fontId="25" fillId="28" borderId="35" xfId="0" applyNumberFormat="1" applyFont="1" applyFill="1" applyBorder="1" applyAlignment="1">
      <alignment horizontal="center" vertical="center" wrapText="1"/>
    </xf>
    <xf numFmtId="167" fontId="25" fillId="29" borderId="2" xfId="0" applyNumberFormat="1" applyFont="1" applyFill="1" applyBorder="1" applyAlignment="1">
      <alignment horizontal="center" vertical="center" wrapText="1"/>
    </xf>
    <xf numFmtId="167" fontId="25" fillId="29" borderId="22" xfId="0" applyNumberFormat="1" applyFont="1" applyFill="1" applyBorder="1" applyAlignment="1">
      <alignment horizontal="center" vertical="center" wrapText="1"/>
    </xf>
    <xf numFmtId="168" fontId="25" fillId="28" borderId="1" xfId="0" applyNumberFormat="1" applyFont="1" applyFill="1" applyBorder="1" applyAlignment="1">
      <alignment horizontal="center" vertical="center" wrapText="1"/>
    </xf>
    <xf numFmtId="168" fontId="25" fillId="29" borderId="2" xfId="0" applyNumberFormat="1" applyFont="1" applyFill="1" applyBorder="1" applyAlignment="1">
      <alignment horizontal="center" vertical="center" wrapText="1"/>
    </xf>
    <xf numFmtId="49" fontId="9" fillId="2" borderId="75" xfId="0" applyNumberFormat="1" applyFont="1" applyFill="1" applyBorder="1" applyAlignment="1">
      <alignment horizontal="left" vertical="center" wrapText="1"/>
    </xf>
    <xf numFmtId="0" fontId="10" fillId="2" borderId="75" xfId="0" applyNumberFormat="1" applyFont="1" applyFill="1" applyBorder="1" applyAlignment="1">
      <alignment horizontal="left" vertical="center" wrapText="1"/>
    </xf>
    <xf numFmtId="0" fontId="10" fillId="2" borderId="75" xfId="0" applyNumberFormat="1" applyFont="1" applyFill="1" applyBorder="1" applyAlignment="1">
      <alignment horizontal="center" vertical="center" wrapText="1"/>
    </xf>
    <xf numFmtId="0" fontId="79" fillId="0" borderId="0" xfId="0" applyFont="1" applyBorder="1" applyAlignment="1">
      <alignment horizontal="center" vertical="top" wrapText="1"/>
    </xf>
    <xf numFmtId="0" fontId="95" fillId="0" borderId="0" xfId="0" applyFont="1" applyAlignment="1">
      <alignment horizontal="center" vertical="center" wrapText="1"/>
    </xf>
    <xf numFmtId="0" fontId="110" fillId="0" borderId="0" xfId="0" applyFont="1" applyBorder="1" applyAlignment="1">
      <alignment horizontal="left" vertical="center" wrapText="1"/>
    </xf>
    <xf numFmtId="168" fontId="25" fillId="0" borderId="18" xfId="0" applyNumberFormat="1" applyFont="1" applyFill="1" applyBorder="1" applyAlignment="1">
      <alignment horizontal="center" vertical="center" wrapText="1"/>
    </xf>
    <xf numFmtId="0" fontId="25" fillId="0" borderId="18" xfId="0" applyNumberFormat="1" applyFont="1" applyFill="1" applyBorder="1" applyAlignment="1">
      <alignment horizontal="center" vertical="center" wrapText="1"/>
    </xf>
    <xf numFmtId="0" fontId="25" fillId="27" borderId="18" xfId="0" applyNumberFormat="1" applyFont="1" applyFill="1" applyBorder="1" applyAlignment="1">
      <alignment horizontal="center" vertical="center" wrapText="1"/>
    </xf>
    <xf numFmtId="0" fontId="61" fillId="27" borderId="18" xfId="0" applyNumberFormat="1" applyFont="1" applyFill="1" applyBorder="1" applyAlignment="1">
      <alignment horizontal="center" vertical="center" wrapText="1"/>
    </xf>
    <xf numFmtId="164" fontId="36" fillId="18" borderId="18" xfId="0" applyNumberFormat="1" applyFont="1" applyFill="1" applyBorder="1" applyAlignment="1" applyProtection="1">
      <alignment horizontal="center" vertical="center" wrapText="1"/>
    </xf>
    <xf numFmtId="170" fontId="116" fillId="54" borderId="18" xfId="0" applyNumberFormat="1" applyFont="1" applyFill="1" applyBorder="1" applyAlignment="1" applyProtection="1">
      <alignment horizontal="center" vertical="center" wrapText="1"/>
    </xf>
    <xf numFmtId="169" fontId="115" fillId="0" borderId="18" xfId="0" applyNumberFormat="1" applyFont="1" applyBorder="1" applyAlignment="1" applyProtection="1">
      <alignment horizontal="center" vertical="center" wrapText="1"/>
    </xf>
    <xf numFmtId="170" fontId="116" fillId="0" borderId="18" xfId="0" applyNumberFormat="1" applyFont="1" applyBorder="1" applyAlignment="1" applyProtection="1">
      <alignment horizontal="center" vertical="center" wrapText="1"/>
    </xf>
    <xf numFmtId="169" fontId="115" fillId="19" borderId="18" xfId="0" applyNumberFormat="1" applyFont="1" applyFill="1" applyBorder="1" applyAlignment="1" applyProtection="1">
      <alignment horizontal="center" vertical="center" wrapText="1"/>
    </xf>
    <xf numFmtId="0" fontId="87" fillId="39" borderId="0" xfId="0" applyNumberFormat="1" applyFont="1" applyFill="1" applyAlignment="1">
      <alignment horizontal="right" vertical="center"/>
    </xf>
    <xf numFmtId="0" fontId="87" fillId="39" borderId="0" xfId="0" applyNumberFormat="1" applyFont="1" applyFill="1" applyAlignment="1">
      <alignment vertical="center"/>
    </xf>
    <xf numFmtId="0" fontId="90" fillId="39" borderId="0" xfId="0" applyFont="1" applyFill="1" applyAlignment="1">
      <alignment horizontal="right" vertical="center"/>
    </xf>
    <xf numFmtId="0" fontId="35" fillId="39" borderId="0" xfId="0" applyFont="1" applyFill="1" applyBorder="1" applyAlignment="1">
      <alignment horizontal="center" vertical="center"/>
    </xf>
    <xf numFmtId="164" fontId="10" fillId="39" borderId="0" xfId="0" applyNumberFormat="1" applyFont="1" applyFill="1" applyAlignment="1">
      <alignment vertical="top" wrapText="1"/>
    </xf>
    <xf numFmtId="164" fontId="27" fillId="39" borderId="0" xfId="0" applyNumberFormat="1" applyFont="1" applyFill="1" applyAlignment="1">
      <alignment horizontal="center" vertical="top" wrapText="1"/>
    </xf>
    <xf numFmtId="164" fontId="27" fillId="39" borderId="0" xfId="0" applyNumberFormat="1" applyFont="1" applyFill="1" applyBorder="1" applyAlignment="1">
      <alignment horizontal="center" vertical="top" wrapText="1"/>
    </xf>
    <xf numFmtId="164" fontId="10" fillId="39" borderId="0" xfId="0" applyNumberFormat="1" applyFont="1" applyFill="1" applyAlignment="1">
      <alignment horizontal="center" vertical="top" wrapText="1"/>
    </xf>
    <xf numFmtId="164" fontId="25" fillId="39" borderId="0" xfId="0" applyNumberFormat="1" applyFont="1" applyFill="1" applyBorder="1" applyAlignment="1">
      <alignment horizontal="center" vertical="top" wrapText="1"/>
    </xf>
    <xf numFmtId="164" fontId="10" fillId="39" borderId="0" xfId="0" applyNumberFormat="1" applyFont="1" applyFill="1" applyBorder="1" applyAlignment="1">
      <alignment vertical="top" wrapText="1"/>
    </xf>
    <xf numFmtId="164" fontId="10" fillId="39" borderId="0" xfId="0" applyNumberFormat="1" applyFont="1" applyFill="1" applyBorder="1" applyAlignment="1">
      <alignment horizontal="center" vertical="top" wrapText="1"/>
    </xf>
    <xf numFmtId="49" fontId="36" fillId="39" borderId="0" xfId="0" applyNumberFormat="1" applyFont="1" applyFill="1" applyBorder="1" applyAlignment="1">
      <alignment horizontal="center" vertical="center" wrapText="1"/>
    </xf>
    <xf numFmtId="164" fontId="11" fillId="39" borderId="0" xfId="0" applyNumberFormat="1" applyFont="1" applyFill="1">
      <alignment vertical="center"/>
    </xf>
    <xf numFmtId="164" fontId="120" fillId="39" borderId="0" xfId="0" applyNumberFormat="1" applyFont="1" applyFill="1" applyAlignment="1">
      <alignment horizontal="center" vertical="center"/>
    </xf>
    <xf numFmtId="164" fontId="11" fillId="39" borderId="0" xfId="0" applyNumberFormat="1" applyFont="1" applyFill="1" applyBorder="1">
      <alignment vertical="center"/>
    </xf>
    <xf numFmtId="164" fontId="85" fillId="39" borderId="0" xfId="0" applyNumberFormat="1" applyFont="1" applyFill="1">
      <alignment vertical="center"/>
    </xf>
    <xf numFmtId="165" fontId="116" fillId="0" borderId="18" xfId="0" applyNumberFormat="1" applyFont="1" applyBorder="1" applyAlignment="1" applyProtection="1">
      <alignment horizontal="center" vertical="center" wrapText="1"/>
    </xf>
    <xf numFmtId="165" fontId="116" fillId="54" borderId="18" xfId="0" applyNumberFormat="1" applyFont="1" applyFill="1" applyBorder="1" applyAlignment="1" applyProtection="1">
      <alignment horizontal="center" vertical="center" wrapText="1"/>
    </xf>
    <xf numFmtId="0" fontId="61" fillId="10" borderId="25" xfId="0" applyFont="1" applyFill="1" applyBorder="1" applyAlignment="1">
      <alignment horizontal="center" vertical="center" wrapText="1"/>
    </xf>
    <xf numFmtId="169" fontId="39" fillId="0" borderId="16" xfId="0" applyNumberFormat="1" applyFont="1" applyBorder="1" applyAlignment="1">
      <alignment horizontal="center" vertical="center" wrapText="1"/>
    </xf>
    <xf numFmtId="169" fontId="42" fillId="19" borderId="16" xfId="0" applyNumberFormat="1" applyFont="1" applyFill="1" applyBorder="1" applyAlignment="1">
      <alignment horizontal="center" vertical="center" wrapText="1"/>
    </xf>
    <xf numFmtId="169" fontId="42" fillId="19" borderId="10" xfId="0" applyNumberFormat="1" applyFont="1" applyFill="1" applyBorder="1" applyAlignment="1">
      <alignment horizontal="center" vertical="center" wrapText="1"/>
    </xf>
    <xf numFmtId="169" fontId="46" fillId="10" borderId="16" xfId="0" applyNumberFormat="1" applyFont="1" applyFill="1" applyBorder="1" applyAlignment="1">
      <alignment horizontal="center" vertical="center" wrapText="1"/>
    </xf>
    <xf numFmtId="169" fontId="46" fillId="19" borderId="18" xfId="0" applyNumberFormat="1" applyFont="1" applyFill="1" applyBorder="1" applyAlignment="1">
      <alignment horizontal="center" vertical="center" wrapText="1"/>
    </xf>
    <xf numFmtId="164" fontId="25" fillId="54" borderId="18" xfId="0" applyNumberFormat="1" applyFont="1" applyFill="1" applyBorder="1" applyAlignment="1">
      <alignment horizontal="center" vertical="center" wrapText="1"/>
    </xf>
    <xf numFmtId="1" fontId="23" fillId="54" borderId="18" xfId="0" applyNumberFormat="1" applyFont="1" applyFill="1" applyBorder="1" applyAlignment="1">
      <alignment horizontal="center" vertical="center" wrapText="1"/>
    </xf>
    <xf numFmtId="49" fontId="122" fillId="3" borderId="18" xfId="0" applyNumberFormat="1" applyFont="1" applyFill="1" applyBorder="1" applyAlignment="1">
      <alignment horizontal="center" vertical="center" wrapText="1"/>
    </xf>
    <xf numFmtId="172" fontId="41" fillId="0" borderId="18" xfId="0" applyNumberFormat="1" applyFont="1" applyBorder="1" applyAlignment="1">
      <alignment horizontal="center" vertical="center"/>
    </xf>
    <xf numFmtId="172" fontId="0" fillId="0" borderId="18" xfId="0" applyNumberFormat="1" applyFont="1" applyBorder="1" applyAlignment="1">
      <alignment horizontal="center" vertical="center"/>
    </xf>
    <xf numFmtId="165" fontId="23" fillId="10" borderId="18" xfId="0" applyNumberFormat="1" applyFont="1" applyFill="1" applyBorder="1" applyAlignment="1">
      <alignment horizontal="center" vertical="center" wrapText="1"/>
    </xf>
    <xf numFmtId="0" fontId="106" fillId="3" borderId="0" xfId="0" applyFont="1" applyFill="1" applyBorder="1" applyAlignment="1">
      <alignment horizontal="center" vertical="center" wrapText="1"/>
    </xf>
    <xf numFmtId="0" fontId="19" fillId="3" borderId="76" xfId="0" applyFont="1" applyFill="1" applyBorder="1" applyAlignment="1">
      <alignment horizontal="center" vertical="top" wrapText="1"/>
    </xf>
    <xf numFmtId="0" fontId="19" fillId="3" borderId="77" xfId="0" applyFont="1" applyFill="1" applyBorder="1" applyAlignment="1">
      <alignment horizontal="center" vertical="top" wrapText="1"/>
    </xf>
    <xf numFmtId="9" fontId="20" fillId="9" borderId="78" xfId="2" applyNumberFormat="1" applyFont="1" applyBorder="1" applyAlignment="1" applyProtection="1">
      <alignment horizontal="center" vertical="center" wrapText="1"/>
    </xf>
    <xf numFmtId="49" fontId="94" fillId="56" borderId="67" xfId="0" applyNumberFormat="1" applyFont="1" applyFill="1" applyBorder="1" applyAlignment="1">
      <alignment horizontal="center" vertical="center" wrapText="1"/>
    </xf>
    <xf numFmtId="49" fontId="94" fillId="56" borderId="67" xfId="0" applyNumberFormat="1" applyFont="1" applyFill="1" applyBorder="1" applyAlignment="1">
      <alignment vertical="top" wrapText="1"/>
    </xf>
    <xf numFmtId="0" fontId="124" fillId="3" borderId="76" xfId="0" applyFont="1" applyFill="1" applyBorder="1" applyAlignment="1">
      <alignment horizontal="center" vertical="top" wrapText="1"/>
    </xf>
    <xf numFmtId="0" fontId="124" fillId="3" borderId="53" xfId="0" applyFont="1" applyFill="1" applyBorder="1" applyAlignment="1">
      <alignment horizontal="center" vertical="top" wrapText="1"/>
    </xf>
    <xf numFmtId="0" fontId="19" fillId="3" borderId="79" xfId="0" applyFont="1" applyFill="1" applyBorder="1" applyAlignment="1">
      <alignment horizontal="center" vertical="top" wrapText="1"/>
    </xf>
    <xf numFmtId="0" fontId="125" fillId="3" borderId="0" xfId="0" applyFont="1" applyFill="1" applyBorder="1" applyAlignment="1">
      <alignment horizontal="center" vertical="center" wrapText="1"/>
    </xf>
    <xf numFmtId="0" fontId="25" fillId="6" borderId="21" xfId="0" applyNumberFormat="1" applyFont="1" applyFill="1" applyBorder="1" applyAlignment="1">
      <alignment horizontal="center" vertical="center" wrapText="1"/>
    </xf>
    <xf numFmtId="0" fontId="25" fillId="6" borderId="2" xfId="0" applyNumberFormat="1" applyFont="1" applyFill="1" applyBorder="1" applyAlignment="1">
      <alignment horizontal="center" vertical="center" wrapText="1"/>
    </xf>
    <xf numFmtId="0" fontId="25" fillId="6" borderId="1" xfId="0" applyNumberFormat="1" applyFont="1" applyFill="1" applyBorder="1" applyAlignment="1">
      <alignment horizontal="center" vertical="center" wrapText="1"/>
    </xf>
    <xf numFmtId="0" fontId="42" fillId="28" borderId="19" xfId="0" applyNumberFormat="1" applyFont="1" applyFill="1" applyBorder="1" applyAlignment="1">
      <alignment horizontal="left" vertical="center" wrapText="1"/>
    </xf>
    <xf numFmtId="49" fontId="42" fillId="29" borderId="21" xfId="0" applyNumberFormat="1" applyFont="1" applyFill="1" applyBorder="1" applyAlignment="1">
      <alignment horizontal="left" vertical="center" wrapText="1"/>
    </xf>
    <xf numFmtId="0" fontId="25" fillId="28" borderId="80" xfId="0" applyNumberFormat="1" applyFont="1" applyFill="1" applyBorder="1" applyAlignment="1">
      <alignment horizontal="center" vertical="center" wrapText="1"/>
    </xf>
    <xf numFmtId="0" fontId="25" fillId="29" borderId="55" xfId="0" applyNumberFormat="1" applyFont="1" applyFill="1" applyBorder="1" applyAlignment="1">
      <alignment horizontal="center" vertical="center" wrapText="1"/>
    </xf>
    <xf numFmtId="0" fontId="36" fillId="3" borderId="68" xfId="0" applyNumberFormat="1" applyFont="1" applyFill="1" applyBorder="1" applyAlignment="1">
      <alignment horizontal="center" vertical="center" wrapText="1"/>
    </xf>
    <xf numFmtId="0" fontId="36" fillId="3" borderId="69" xfId="0" applyNumberFormat="1" applyFont="1" applyFill="1" applyBorder="1" applyAlignment="1">
      <alignment horizontal="center" vertical="center" wrapText="1"/>
    </xf>
    <xf numFmtId="0" fontId="36" fillId="3" borderId="70" xfId="0" applyNumberFormat="1" applyFont="1" applyFill="1" applyBorder="1" applyAlignment="1">
      <alignment horizontal="center" vertical="center" wrapText="1"/>
    </xf>
    <xf numFmtId="0" fontId="36" fillId="3" borderId="81" xfId="0" applyNumberFormat="1" applyFont="1" applyFill="1" applyBorder="1" applyAlignment="1">
      <alignment horizontal="center" vertical="center" wrapText="1"/>
    </xf>
    <xf numFmtId="0" fontId="42" fillId="28" borderId="34" xfId="0" applyNumberFormat="1" applyFont="1" applyFill="1" applyBorder="1" applyAlignment="1">
      <alignment horizontal="left" vertical="center" wrapText="1"/>
    </xf>
    <xf numFmtId="0" fontId="31" fillId="28" borderId="20" xfId="0" applyNumberFormat="1" applyFont="1" applyFill="1" applyBorder="1" applyAlignment="1">
      <alignment horizontal="left" vertical="center" wrapText="1"/>
    </xf>
    <xf numFmtId="168" fontId="25" fillId="28" borderId="20" xfId="0" applyNumberFormat="1" applyFont="1" applyFill="1" applyBorder="1" applyAlignment="1">
      <alignment horizontal="center" vertical="center" wrapText="1"/>
    </xf>
    <xf numFmtId="167" fontId="25" fillId="28" borderId="20" xfId="0" applyNumberFormat="1" applyFont="1" applyFill="1" applyBorder="1" applyAlignment="1">
      <alignment horizontal="center" vertical="center" wrapText="1"/>
    </xf>
    <xf numFmtId="167" fontId="25" fillId="28" borderId="48" xfId="0" applyNumberFormat="1" applyFont="1" applyFill="1" applyBorder="1" applyAlignment="1">
      <alignment horizontal="center" vertical="center" wrapText="1"/>
    </xf>
    <xf numFmtId="0" fontId="25" fillId="28" borderId="48" xfId="0" applyNumberFormat="1" applyFont="1" applyFill="1" applyBorder="1" applyAlignment="1">
      <alignment horizontal="center" vertical="center" wrapText="1"/>
    </xf>
    <xf numFmtId="0" fontId="25" fillId="28" borderId="73" xfId="0" applyNumberFormat="1" applyFont="1" applyFill="1" applyBorder="1" applyAlignment="1">
      <alignment horizontal="center" vertical="center" wrapText="1"/>
    </xf>
    <xf numFmtId="0" fontId="11" fillId="0" borderId="0" xfId="0" applyFont="1">
      <alignment vertical="center"/>
    </xf>
    <xf numFmtId="0" fontId="25" fillId="37" borderId="0" xfId="0" applyFont="1" applyFill="1" applyBorder="1" applyAlignment="1" applyProtection="1">
      <alignment horizontal="center" vertical="center" wrapText="1"/>
      <protection locked="0"/>
    </xf>
    <xf numFmtId="1" fontId="25" fillId="45" borderId="87" xfId="0" applyNumberFormat="1" applyFont="1" applyFill="1" applyBorder="1" applyAlignment="1" applyProtection="1">
      <alignment horizontal="left" vertical="center"/>
      <protection locked="0"/>
    </xf>
    <xf numFmtId="0" fontId="25" fillId="37" borderId="92" xfId="0" applyFont="1" applyFill="1" applyBorder="1" applyAlignment="1" applyProtection="1">
      <alignment horizontal="left" vertical="center" wrapText="1"/>
    </xf>
    <xf numFmtId="1" fontId="10" fillId="58" borderId="0" xfId="0" applyNumberFormat="1" applyFont="1" applyFill="1" applyBorder="1" applyAlignment="1" applyProtection="1">
      <alignment vertical="center" wrapText="1"/>
    </xf>
    <xf numFmtId="0" fontId="72" fillId="58" borderId="0" xfId="0" applyFont="1" applyFill="1" applyBorder="1" applyProtection="1">
      <alignment vertical="center"/>
    </xf>
    <xf numFmtId="0" fontId="10" fillId="58" borderId="0" xfId="0" applyFont="1" applyFill="1" applyBorder="1" applyAlignment="1" applyProtection="1">
      <alignment horizontal="center" vertical="center" wrapText="1"/>
    </xf>
    <xf numFmtId="0" fontId="0" fillId="58" borderId="0" xfId="0" applyFill="1" applyBorder="1" applyAlignment="1" applyProtection="1">
      <alignment horizontal="center"/>
    </xf>
    <xf numFmtId="1" fontId="10" fillId="58" borderId="0" xfId="0" applyNumberFormat="1" applyFont="1" applyFill="1" applyBorder="1" applyAlignment="1" applyProtection="1">
      <alignment horizontal="center" vertical="center" wrapText="1"/>
    </xf>
    <xf numFmtId="0" fontId="0" fillId="58" borderId="0" xfId="0" applyFill="1" applyProtection="1">
      <alignment vertical="center"/>
    </xf>
    <xf numFmtId="0" fontId="10" fillId="58" borderId="0" xfId="0" applyFont="1" applyFill="1" applyBorder="1" applyAlignment="1" applyProtection="1">
      <alignment horizontal="center" vertical="center" wrapText="1"/>
    </xf>
    <xf numFmtId="0" fontId="10" fillId="58" borderId="0" xfId="0" applyFont="1" applyFill="1" applyBorder="1" applyAlignment="1" applyProtection="1">
      <alignment vertical="center" wrapText="1"/>
    </xf>
    <xf numFmtId="0" fontId="100" fillId="58" borderId="0" xfId="0" applyFont="1" applyFill="1" applyBorder="1" applyAlignment="1" applyProtection="1">
      <alignment horizontal="center" vertical="center"/>
    </xf>
    <xf numFmtId="0" fontId="10" fillId="58" borderId="84" xfId="0" applyFont="1" applyFill="1" applyBorder="1" applyAlignment="1" applyProtection="1">
      <alignment horizontal="center" vertical="center" wrapText="1"/>
    </xf>
    <xf numFmtId="0" fontId="0" fillId="58" borderId="84" xfId="0" applyFill="1" applyBorder="1" applyProtection="1">
      <alignment vertical="center"/>
    </xf>
    <xf numFmtId="0" fontId="72" fillId="58" borderId="0" xfId="0" applyFont="1" applyFill="1" applyBorder="1" applyAlignment="1" applyProtection="1">
      <alignment horizontal="center" vertical="center"/>
    </xf>
    <xf numFmtId="0" fontId="10" fillId="58" borderId="0" xfId="0" applyNumberFormat="1" applyFont="1" applyFill="1" applyBorder="1" applyAlignment="1" applyProtection="1">
      <alignment vertical="center" wrapText="1"/>
    </xf>
    <xf numFmtId="0" fontId="0" fillId="58" borderId="0" xfId="0" applyFill="1" applyBorder="1" applyProtection="1">
      <alignment vertical="center"/>
    </xf>
    <xf numFmtId="173" fontId="31" fillId="57" borderId="18" xfId="0" applyNumberFormat="1" applyFont="1" applyFill="1" applyBorder="1" applyAlignment="1" applyProtection="1">
      <alignment horizontal="center" vertical="center" wrapText="1"/>
    </xf>
    <xf numFmtId="0" fontId="50" fillId="37" borderId="89" xfId="0" applyFont="1" applyFill="1" applyBorder="1" applyAlignment="1" applyProtection="1">
      <alignment horizontal="center" vertical="center" wrapText="1"/>
      <protection locked="0"/>
    </xf>
    <xf numFmtId="0" fontId="50" fillId="45" borderId="89" xfId="0" applyFont="1" applyFill="1" applyBorder="1" applyAlignment="1" applyProtection="1">
      <alignment horizontal="center" vertical="center"/>
      <protection locked="0"/>
    </xf>
    <xf numFmtId="0" fontId="50" fillId="60" borderId="88" xfId="0" applyFont="1" applyFill="1" applyBorder="1" applyProtection="1">
      <alignment vertical="center"/>
    </xf>
    <xf numFmtId="0" fontId="50" fillId="60" borderId="89" xfId="0" applyFont="1" applyFill="1" applyBorder="1" applyProtection="1">
      <alignment vertical="center"/>
    </xf>
    <xf numFmtId="0" fontId="50" fillId="61" borderId="88" xfId="0" applyFont="1" applyFill="1" applyBorder="1" applyAlignment="1" applyProtection="1">
      <alignment vertical="center" wrapText="1"/>
    </xf>
    <xf numFmtId="0" fontId="50" fillId="61" borderId="89" xfId="0" applyFont="1" applyFill="1" applyBorder="1" applyAlignment="1" applyProtection="1">
      <alignment vertical="center" wrapText="1"/>
    </xf>
    <xf numFmtId="0" fontId="50" fillId="60" borderId="90" xfId="0" applyFont="1" applyFill="1" applyBorder="1" applyProtection="1">
      <alignment vertical="center"/>
    </xf>
    <xf numFmtId="0" fontId="50" fillId="60" borderId="92" xfId="0" applyFont="1" applyFill="1" applyBorder="1" applyProtection="1">
      <alignment vertical="center"/>
    </xf>
    <xf numFmtId="164" fontId="31" fillId="42" borderId="0" xfId="0" applyNumberFormat="1" applyFont="1" applyFill="1" applyBorder="1" applyAlignment="1" applyProtection="1">
      <alignment horizontal="center" vertical="center" wrapText="1"/>
    </xf>
    <xf numFmtId="165" fontId="31" fillId="42" borderId="0" xfId="0" applyNumberFormat="1" applyFont="1" applyFill="1" applyBorder="1" applyAlignment="1" applyProtection="1">
      <alignment horizontal="center" vertical="center" wrapText="1"/>
    </xf>
    <xf numFmtId="0" fontId="31" fillId="42" borderId="0" xfId="0" applyFont="1" applyFill="1" applyBorder="1" applyAlignment="1" applyProtection="1">
      <alignment horizontal="center" vertical="center" wrapText="1"/>
    </xf>
    <xf numFmtId="164" fontId="95" fillId="42" borderId="0" xfId="0" applyNumberFormat="1" applyFont="1" applyFill="1" applyBorder="1" applyAlignment="1" applyProtection="1">
      <alignment horizontal="center" vertical="center" wrapText="1"/>
    </xf>
    <xf numFmtId="165" fontId="31" fillId="42" borderId="0" xfId="0" applyNumberFormat="1" applyFont="1" applyFill="1" applyBorder="1" applyAlignment="1" applyProtection="1">
      <alignment vertical="center" wrapText="1"/>
    </xf>
    <xf numFmtId="0" fontId="31" fillId="42" borderId="0" xfId="0" applyFont="1" applyFill="1" applyBorder="1" applyAlignment="1" applyProtection="1">
      <alignment vertical="center" wrapText="1"/>
    </xf>
    <xf numFmtId="164" fontId="31" fillId="45" borderId="0" xfId="0" applyNumberFormat="1" applyFont="1" applyFill="1" applyBorder="1" applyAlignment="1" applyProtection="1">
      <alignment horizontal="center" vertical="center" wrapText="1"/>
    </xf>
    <xf numFmtId="165" fontId="31" fillId="45" borderId="0" xfId="0" applyNumberFormat="1" applyFont="1" applyFill="1" applyBorder="1" applyAlignment="1" applyProtection="1">
      <alignment horizontal="center" vertical="center" wrapText="1"/>
    </xf>
    <xf numFmtId="1" fontId="31" fillId="45" borderId="0" xfId="0" applyNumberFormat="1" applyFont="1" applyFill="1" applyBorder="1" applyAlignment="1" applyProtection="1">
      <alignment horizontal="center" vertical="center" wrapText="1"/>
    </xf>
    <xf numFmtId="164" fontId="95" fillId="45" borderId="0" xfId="0" applyNumberFormat="1" applyFont="1" applyFill="1" applyBorder="1" applyAlignment="1" applyProtection="1">
      <alignment horizontal="center" vertical="center" wrapText="1"/>
    </xf>
    <xf numFmtId="165" fontId="31" fillId="45" borderId="0" xfId="0" applyNumberFormat="1" applyFont="1" applyFill="1" applyBorder="1" applyAlignment="1" applyProtection="1">
      <alignment vertical="center" wrapText="1"/>
    </xf>
    <xf numFmtId="1" fontId="31" fillId="45" borderId="0" xfId="0" applyNumberFormat="1" applyFont="1" applyFill="1" applyBorder="1" applyAlignment="1" applyProtection="1">
      <alignment vertical="center" wrapText="1"/>
    </xf>
    <xf numFmtId="164" fontId="31" fillId="43" borderId="0" xfId="0" applyNumberFormat="1" applyFont="1" applyFill="1" applyBorder="1" applyAlignment="1" applyProtection="1">
      <alignment horizontal="center" vertical="center" wrapText="1"/>
    </xf>
    <xf numFmtId="165" fontId="31" fillId="43" borderId="0" xfId="0" applyNumberFormat="1" applyFont="1" applyFill="1" applyBorder="1" applyAlignment="1" applyProtection="1">
      <alignment horizontal="center" vertical="center" wrapText="1"/>
    </xf>
    <xf numFmtId="164" fontId="95" fillId="43" borderId="0" xfId="0" applyNumberFormat="1" applyFont="1" applyFill="1" applyBorder="1" applyAlignment="1" applyProtection="1">
      <alignment horizontal="center" vertical="center" wrapText="1"/>
    </xf>
    <xf numFmtId="165" fontId="31" fillId="43" borderId="0" xfId="0" applyNumberFormat="1" applyFont="1" applyFill="1" applyBorder="1" applyAlignment="1" applyProtection="1">
      <alignment vertical="center" wrapText="1"/>
    </xf>
    <xf numFmtId="0" fontId="31" fillId="43" borderId="0" xfId="0" applyFont="1" applyFill="1" applyBorder="1" applyAlignment="1" applyProtection="1">
      <alignment vertical="center" wrapText="1"/>
    </xf>
    <xf numFmtId="165" fontId="31" fillId="44" borderId="0" xfId="0" applyNumberFormat="1" applyFont="1" applyFill="1" applyBorder="1" applyAlignment="1" applyProtection="1">
      <alignment horizontal="center" vertical="center" wrapText="1"/>
    </xf>
    <xf numFmtId="1" fontId="31" fillId="44" borderId="0" xfId="0" applyNumberFormat="1" applyFont="1" applyFill="1" applyBorder="1" applyAlignment="1" applyProtection="1">
      <alignment horizontal="center" vertical="center" wrapText="1"/>
    </xf>
    <xf numFmtId="164" fontId="95" fillId="44" borderId="0" xfId="0" applyNumberFormat="1" applyFont="1" applyFill="1" applyBorder="1" applyAlignment="1" applyProtection="1">
      <alignment horizontal="center" vertical="center" wrapText="1"/>
    </xf>
    <xf numFmtId="1" fontId="31" fillId="44" borderId="0" xfId="0" applyNumberFormat="1" applyFont="1" applyFill="1" applyBorder="1" applyAlignment="1" applyProtection="1">
      <alignment vertical="center" wrapText="1"/>
    </xf>
    <xf numFmtId="0" fontId="72" fillId="62" borderId="0" xfId="0" applyFont="1" applyFill="1" applyBorder="1" applyProtection="1">
      <alignment vertical="center"/>
    </xf>
    <xf numFmtId="0" fontId="83" fillId="62" borderId="0" xfId="0" applyFont="1" applyFill="1" applyBorder="1" applyAlignment="1" applyProtection="1">
      <alignment vertical="center"/>
    </xf>
    <xf numFmtId="0" fontId="10" fillId="62" borderId="0" xfId="0" applyFont="1" applyFill="1" applyBorder="1" applyAlignment="1" applyProtection="1">
      <alignment vertical="center" wrapText="1"/>
    </xf>
    <xf numFmtId="0" fontId="72" fillId="62" borderId="99" xfId="0" applyFont="1" applyFill="1" applyBorder="1" applyProtection="1">
      <alignment vertical="center"/>
    </xf>
    <xf numFmtId="0" fontId="72" fillId="62" borderId="100" xfId="0" applyFont="1" applyFill="1" applyBorder="1" applyProtection="1">
      <alignment vertical="center"/>
    </xf>
    <xf numFmtId="164" fontId="31" fillId="42" borderId="100" xfId="0" applyNumberFormat="1" applyFont="1" applyFill="1" applyBorder="1" applyAlignment="1" applyProtection="1">
      <alignment horizontal="center" vertical="center" wrapText="1"/>
    </xf>
    <xf numFmtId="0" fontId="31" fillId="42" borderId="100" xfId="0" applyFont="1" applyFill="1" applyBorder="1" applyAlignment="1" applyProtection="1">
      <alignment horizontal="center" vertical="center" wrapText="1"/>
    </xf>
    <xf numFmtId="0" fontId="31" fillId="42" borderId="100" xfId="0" applyFont="1" applyFill="1" applyBorder="1" applyAlignment="1" applyProtection="1">
      <alignment vertical="center" wrapText="1"/>
    </xf>
    <xf numFmtId="0" fontId="10" fillId="62" borderId="99" xfId="0" applyFont="1" applyFill="1" applyBorder="1" applyAlignment="1" applyProtection="1">
      <alignment vertical="center" wrapText="1"/>
    </xf>
    <xf numFmtId="0" fontId="10" fillId="62" borderId="100" xfId="0" applyFont="1" applyFill="1" applyBorder="1" applyAlignment="1" applyProtection="1">
      <alignment vertical="center" wrapText="1"/>
    </xf>
    <xf numFmtId="164" fontId="31" fillId="45" borderId="100" xfId="0" applyNumberFormat="1" applyFont="1" applyFill="1" applyBorder="1" applyAlignment="1" applyProtection="1">
      <alignment horizontal="center" vertical="center" wrapText="1"/>
    </xf>
    <xf numFmtId="1" fontId="31" fillId="45" borderId="100" xfId="0" applyNumberFormat="1" applyFont="1" applyFill="1" applyBorder="1" applyAlignment="1" applyProtection="1">
      <alignment horizontal="center" vertical="center" wrapText="1"/>
    </xf>
    <xf numFmtId="1" fontId="31" fillId="45" borderId="100" xfId="0" applyNumberFormat="1" applyFont="1" applyFill="1" applyBorder="1" applyAlignment="1" applyProtection="1">
      <alignment vertical="center" wrapText="1"/>
    </xf>
    <xf numFmtId="164" fontId="31" fillId="43" borderId="100" xfId="0" applyNumberFormat="1" applyFont="1" applyFill="1" applyBorder="1" applyAlignment="1" applyProtection="1">
      <alignment horizontal="center" vertical="center" wrapText="1"/>
    </xf>
    <xf numFmtId="0" fontId="31" fillId="43" borderId="100" xfId="0" applyFont="1" applyFill="1" applyBorder="1" applyAlignment="1" applyProtection="1">
      <alignment horizontal="center" vertical="center" wrapText="1"/>
    </xf>
    <xf numFmtId="0" fontId="31" fillId="43" borderId="100" xfId="0" applyFont="1" applyFill="1" applyBorder="1" applyAlignment="1" applyProtection="1">
      <alignment vertical="center" wrapText="1"/>
    </xf>
    <xf numFmtId="164" fontId="31" fillId="44" borderId="100" xfId="0" applyNumberFormat="1" applyFont="1" applyFill="1" applyBorder="1" applyAlignment="1" applyProtection="1">
      <alignment horizontal="center" vertical="center" wrapText="1"/>
    </xf>
    <xf numFmtId="1" fontId="31" fillId="44" borderId="100" xfId="0" applyNumberFormat="1" applyFont="1" applyFill="1" applyBorder="1" applyAlignment="1" applyProtection="1">
      <alignment horizontal="center" vertical="center" wrapText="1"/>
    </xf>
    <xf numFmtId="0" fontId="10" fillId="62" borderId="102" xfId="0" applyFont="1" applyFill="1" applyBorder="1" applyAlignment="1" applyProtection="1">
      <alignment vertical="center" wrapText="1"/>
    </xf>
    <xf numFmtId="0" fontId="10" fillId="62" borderId="103" xfId="0" applyFont="1" applyFill="1" applyBorder="1" applyAlignment="1" applyProtection="1">
      <alignment vertical="center" wrapText="1"/>
    </xf>
    <xf numFmtId="1" fontId="31" fillId="44" borderId="100" xfId="0" applyNumberFormat="1" applyFont="1" applyFill="1" applyBorder="1" applyAlignment="1" applyProtection="1">
      <alignment vertical="center" wrapText="1"/>
    </xf>
    <xf numFmtId="0" fontId="25" fillId="33" borderId="106" xfId="0" applyFont="1" applyFill="1" applyBorder="1" applyAlignment="1" applyProtection="1">
      <alignment horizontal="center" vertical="center"/>
    </xf>
    <xf numFmtId="164" fontId="95" fillId="44" borderId="107" xfId="0" applyNumberFormat="1" applyFont="1" applyFill="1" applyBorder="1" applyAlignment="1" applyProtection="1">
      <alignment horizontal="center" vertical="center" wrapText="1"/>
    </xf>
    <xf numFmtId="165" fontId="31" fillId="44" borderId="107" xfId="0" applyNumberFormat="1" applyFont="1" applyFill="1" applyBorder="1" applyAlignment="1" applyProtection="1">
      <alignment vertical="center" wrapText="1"/>
    </xf>
    <xf numFmtId="1" fontId="31" fillId="44" borderId="107" xfId="0" applyNumberFormat="1" applyFont="1" applyFill="1" applyBorder="1" applyAlignment="1" applyProtection="1">
      <alignment vertical="center" wrapText="1"/>
    </xf>
    <xf numFmtId="0" fontId="72" fillId="58" borderId="100" xfId="0" applyFont="1" applyFill="1" applyBorder="1" applyProtection="1">
      <alignment vertical="center"/>
    </xf>
    <xf numFmtId="0" fontId="0" fillId="62" borderId="0" xfId="0" applyFill="1" applyProtection="1">
      <alignment vertical="center"/>
    </xf>
    <xf numFmtId="0" fontId="0" fillId="62" borderId="107" xfId="0" applyFill="1" applyBorder="1" applyProtection="1">
      <alignment vertical="center"/>
    </xf>
    <xf numFmtId="0" fontId="0" fillId="62" borderId="0" xfId="0" applyFill="1" applyBorder="1" applyProtection="1">
      <alignment vertical="center"/>
    </xf>
    <xf numFmtId="0" fontId="76" fillId="62" borderId="0" xfId="0" applyFont="1" applyFill="1" applyBorder="1" applyAlignment="1" applyProtection="1">
      <alignment horizontal="center" vertical="top"/>
    </xf>
    <xf numFmtId="164" fontId="95" fillId="62" borderId="107" xfId="0" applyNumberFormat="1" applyFont="1" applyFill="1" applyBorder="1" applyAlignment="1" applyProtection="1">
      <alignment horizontal="center" vertical="center" wrapText="1"/>
    </xf>
    <xf numFmtId="165" fontId="31" fillId="62" borderId="107" xfId="0" applyNumberFormat="1" applyFont="1" applyFill="1" applyBorder="1" applyAlignment="1" applyProtection="1">
      <alignment vertical="center" wrapText="1"/>
    </xf>
    <xf numFmtId="1" fontId="31" fillId="62" borderId="0" xfId="0" applyNumberFormat="1" applyFont="1" applyFill="1" applyBorder="1" applyAlignment="1" applyProtection="1">
      <alignment vertical="center" wrapText="1"/>
    </xf>
    <xf numFmtId="0" fontId="0" fillId="62" borderId="110" xfId="0" applyFill="1" applyBorder="1" applyProtection="1">
      <alignment vertical="center"/>
    </xf>
    <xf numFmtId="0" fontId="10" fillId="62" borderId="24" xfId="0" applyFont="1" applyFill="1" applyBorder="1" applyAlignment="1" applyProtection="1">
      <alignment vertical="center" wrapText="1"/>
    </xf>
    <xf numFmtId="0" fontId="72" fillId="63" borderId="112" xfId="0" applyFont="1" applyFill="1" applyBorder="1" applyProtection="1">
      <alignment vertical="center"/>
    </xf>
    <xf numFmtId="0" fontId="10" fillId="63" borderId="112" xfId="0" applyFont="1" applyFill="1" applyBorder="1" applyAlignment="1" applyProtection="1">
      <alignment vertical="center" wrapText="1"/>
    </xf>
    <xf numFmtId="164" fontId="31" fillId="45" borderId="0" xfId="0" applyNumberFormat="1" applyFont="1" applyFill="1" applyBorder="1" applyAlignment="1" applyProtection="1">
      <alignment vertical="center" wrapText="1"/>
    </xf>
    <xf numFmtId="0" fontId="10" fillId="63" borderId="112" xfId="0" applyFont="1" applyFill="1" applyBorder="1" applyAlignment="1" applyProtection="1">
      <alignment horizontal="center" vertical="center" wrapText="1"/>
    </xf>
    <xf numFmtId="0" fontId="50" fillId="34" borderId="113" xfId="0" applyFont="1" applyFill="1" applyBorder="1" applyAlignment="1" applyProtection="1">
      <alignment horizontal="center" vertical="center"/>
    </xf>
    <xf numFmtId="0" fontId="50" fillId="19" borderId="114" xfId="0" applyFont="1" applyFill="1" applyBorder="1" applyAlignment="1" applyProtection="1">
      <alignment horizontal="center" vertical="center"/>
    </xf>
    <xf numFmtId="0" fontId="50" fillId="41" borderId="114" xfId="0" applyFont="1" applyFill="1" applyBorder="1" applyAlignment="1" applyProtection="1">
      <alignment horizontal="center" vertical="center"/>
    </xf>
    <xf numFmtId="0" fontId="11" fillId="0" borderId="0" xfId="0" applyFont="1">
      <alignment vertical="center"/>
    </xf>
    <xf numFmtId="0" fontId="25" fillId="37" borderId="89" xfId="0" applyFont="1" applyFill="1" applyBorder="1" applyAlignment="1" applyProtection="1">
      <alignment horizontal="center" vertical="center" wrapText="1"/>
      <protection locked="0"/>
    </xf>
    <xf numFmtId="1" fontId="31" fillId="45" borderId="87" xfId="0" applyNumberFormat="1" applyFont="1" applyFill="1" applyBorder="1" applyAlignment="1" applyProtection="1">
      <alignment horizontal="center" vertical="center"/>
      <protection locked="0"/>
    </xf>
    <xf numFmtId="169" fontId="31" fillId="65" borderId="92" xfId="0" applyNumberFormat="1" applyFont="1" applyFill="1" applyBorder="1" applyAlignment="1" applyProtection="1">
      <alignment horizontal="center" vertical="center" wrapText="1"/>
    </xf>
    <xf numFmtId="0" fontId="31" fillId="33" borderId="44" xfId="0" applyFont="1" applyFill="1" applyBorder="1" applyAlignment="1" applyProtection="1">
      <alignment horizontal="center" vertical="center"/>
    </xf>
    <xf numFmtId="166" fontId="31" fillId="33" borderId="44" xfId="0" applyNumberFormat="1" applyFont="1" applyFill="1" applyBorder="1" applyAlignment="1" applyProtection="1">
      <alignment horizontal="center" vertical="center"/>
    </xf>
    <xf numFmtId="164" fontId="73" fillId="45" borderId="0" xfId="0" applyNumberFormat="1" applyFont="1" applyFill="1" applyBorder="1" applyAlignment="1" applyProtection="1">
      <alignment horizontal="center" wrapText="1"/>
    </xf>
    <xf numFmtId="164" fontId="73" fillId="43" borderId="0" xfId="0" applyNumberFormat="1" applyFont="1" applyFill="1" applyBorder="1" applyAlignment="1" applyProtection="1">
      <alignment horizontal="center" wrapText="1"/>
    </xf>
    <xf numFmtId="164" fontId="73" fillId="44" borderId="0" xfId="0" applyNumberFormat="1" applyFont="1" applyFill="1" applyBorder="1" applyAlignment="1" applyProtection="1">
      <alignment horizontal="center" wrapText="1"/>
    </xf>
    <xf numFmtId="164" fontId="73" fillId="42" borderId="0" xfId="0" applyNumberFormat="1" applyFont="1" applyFill="1" applyBorder="1" applyAlignment="1" applyProtection="1">
      <alignment horizontal="center" vertical="center" wrapText="1"/>
    </xf>
    <xf numFmtId="164" fontId="73" fillId="45" borderId="0" xfId="0" applyNumberFormat="1" applyFont="1" applyFill="1" applyBorder="1" applyAlignment="1" applyProtection="1">
      <alignment horizontal="center" vertical="center" wrapText="1"/>
    </xf>
    <xf numFmtId="164" fontId="73" fillId="43" borderId="0" xfId="0" applyNumberFormat="1" applyFont="1" applyFill="1" applyBorder="1" applyAlignment="1" applyProtection="1">
      <alignment horizontal="center" vertical="center" wrapText="1"/>
    </xf>
    <xf numFmtId="164" fontId="73" fillId="44" borderId="0" xfId="0" applyNumberFormat="1" applyFont="1" applyFill="1" applyBorder="1" applyAlignment="1" applyProtection="1">
      <alignment horizontal="center" vertical="center" wrapText="1"/>
    </xf>
    <xf numFmtId="0" fontId="0" fillId="66" borderId="117" xfId="0" applyFill="1" applyBorder="1">
      <alignment vertical="center"/>
    </xf>
    <xf numFmtId="0" fontId="0" fillId="33" borderId="53" xfId="0" applyFill="1" applyBorder="1">
      <alignment vertical="center"/>
    </xf>
    <xf numFmtId="0" fontId="0" fillId="33" borderId="0" xfId="0" applyFill="1" applyBorder="1">
      <alignment vertical="center"/>
    </xf>
    <xf numFmtId="0" fontId="0" fillId="33" borderId="54" xfId="0" applyFill="1" applyBorder="1">
      <alignment vertical="center"/>
    </xf>
    <xf numFmtId="0" fontId="0" fillId="49" borderId="53" xfId="0" applyFill="1" applyBorder="1">
      <alignment vertical="center"/>
    </xf>
    <xf numFmtId="0" fontId="0" fillId="49" borderId="0" xfId="0" applyFill="1" applyBorder="1">
      <alignment vertical="center"/>
    </xf>
    <xf numFmtId="0" fontId="0" fillId="49" borderId="54" xfId="0" applyFill="1" applyBorder="1">
      <alignment vertical="center"/>
    </xf>
    <xf numFmtId="0" fontId="0" fillId="49" borderId="121" xfId="0" applyFill="1" applyBorder="1">
      <alignment vertical="center"/>
    </xf>
    <xf numFmtId="0" fontId="0" fillId="49" borderId="122" xfId="0" applyFill="1" applyBorder="1">
      <alignment vertical="center"/>
    </xf>
    <xf numFmtId="0" fontId="0" fillId="49" borderId="123" xfId="0" applyFill="1" applyBorder="1">
      <alignment vertical="center"/>
    </xf>
    <xf numFmtId="0" fontId="117" fillId="33" borderId="44" xfId="0" applyFont="1" applyFill="1" applyBorder="1" applyAlignment="1" applyProtection="1">
      <alignment horizontal="center" vertical="center"/>
    </xf>
    <xf numFmtId="0" fontId="117" fillId="45" borderId="0" xfId="0" applyFont="1" applyFill="1" applyBorder="1" applyAlignment="1" applyProtection="1">
      <alignment horizontal="center" vertical="center"/>
      <protection locked="0"/>
    </xf>
    <xf numFmtId="169" fontId="117" fillId="45" borderId="91" xfId="0" applyNumberFormat="1" applyFont="1" applyFill="1" applyBorder="1" applyAlignment="1" applyProtection="1">
      <alignment horizontal="center" vertical="center" wrapText="1"/>
    </xf>
    <xf numFmtId="0" fontId="80" fillId="58" borderId="0" xfId="0" applyFont="1" applyFill="1" applyBorder="1" applyAlignment="1" applyProtection="1">
      <alignment horizontal="center" vertical="center" wrapText="1"/>
    </xf>
    <xf numFmtId="0" fontId="31" fillId="68" borderId="125" xfId="0" applyFont="1" applyFill="1" applyBorder="1" applyAlignment="1" applyProtection="1">
      <alignment horizontal="center" vertical="center" wrapText="1"/>
      <protection locked="0"/>
    </xf>
    <xf numFmtId="0" fontId="31" fillId="37" borderId="127" xfId="0" applyFont="1" applyFill="1" applyBorder="1" applyAlignment="1" applyProtection="1">
      <alignment horizontal="center" vertical="center" wrapText="1"/>
    </xf>
    <xf numFmtId="0" fontId="31" fillId="38" borderId="126" xfId="0" applyFont="1" applyFill="1" applyBorder="1" applyAlignment="1" applyProtection="1">
      <alignment horizontal="center" vertical="center"/>
      <protection locked="0"/>
    </xf>
    <xf numFmtId="0" fontId="136" fillId="67" borderId="124" xfId="0" applyFont="1" applyFill="1" applyBorder="1" applyAlignment="1" applyProtection="1">
      <alignment horizontal="center" vertical="center" wrapText="1"/>
    </xf>
    <xf numFmtId="0" fontId="72" fillId="58" borderId="128" xfId="0" applyFont="1" applyFill="1" applyBorder="1" applyProtection="1">
      <alignment vertical="center"/>
    </xf>
    <xf numFmtId="0" fontId="72" fillId="70" borderId="0" xfId="0" applyFont="1" applyFill="1" applyBorder="1" applyProtection="1">
      <alignment vertical="center"/>
    </xf>
    <xf numFmtId="0" fontId="0" fillId="70" borderId="0" xfId="0" applyFill="1" applyProtection="1">
      <alignment vertical="center"/>
    </xf>
    <xf numFmtId="0" fontId="0" fillId="70" borderId="0" xfId="0" applyFill="1" applyBorder="1" applyProtection="1">
      <alignment vertical="center"/>
    </xf>
    <xf numFmtId="0" fontId="79" fillId="70" borderId="0" xfId="0" applyFont="1" applyFill="1" applyBorder="1" applyProtection="1">
      <alignment vertical="center"/>
    </xf>
    <xf numFmtId="0" fontId="84" fillId="70" borderId="0" xfId="0" applyFont="1" applyFill="1" applyBorder="1" applyAlignment="1" applyProtection="1">
      <alignment vertical="center"/>
    </xf>
    <xf numFmtId="0" fontId="72" fillId="70" borderId="2" xfId="0" applyFont="1" applyFill="1" applyBorder="1" applyProtection="1">
      <alignment vertical="center"/>
    </xf>
    <xf numFmtId="0" fontId="72" fillId="70" borderId="21" xfId="0" applyFont="1" applyFill="1" applyBorder="1" applyProtection="1">
      <alignment vertical="center"/>
    </xf>
    <xf numFmtId="0" fontId="31" fillId="70" borderId="0" xfId="0" applyFont="1" applyFill="1" applyBorder="1" applyAlignment="1" applyProtection="1">
      <alignment vertical="center"/>
    </xf>
    <xf numFmtId="0" fontId="72" fillId="70" borderId="22" xfId="0" applyFont="1" applyFill="1" applyBorder="1" applyProtection="1">
      <alignment vertical="center"/>
    </xf>
    <xf numFmtId="0" fontId="82" fillId="70" borderId="0" xfId="0" applyFont="1" applyFill="1" applyBorder="1" applyAlignment="1" applyProtection="1">
      <alignment horizontal="center" vertical="center"/>
    </xf>
    <xf numFmtId="0" fontId="115" fillId="70" borderId="0" xfId="0" applyFont="1" applyFill="1" applyBorder="1" applyAlignment="1" applyProtection="1">
      <alignment horizontal="center" vertical="center"/>
    </xf>
    <xf numFmtId="171" fontId="85" fillId="70" borderId="0" xfId="0" applyNumberFormat="1" applyFont="1" applyFill="1" applyBorder="1" applyAlignment="1" applyProtection="1">
      <alignment horizontal="center" vertical="center"/>
    </xf>
    <xf numFmtId="0" fontId="76" fillId="70" borderId="0" xfId="0" applyFont="1" applyFill="1" applyBorder="1" applyAlignment="1" applyProtection="1">
      <alignment vertical="top"/>
    </xf>
    <xf numFmtId="0" fontId="72" fillId="70" borderId="19" xfId="0" applyFont="1" applyFill="1" applyBorder="1" applyProtection="1">
      <alignment vertical="center"/>
    </xf>
    <xf numFmtId="0" fontId="72" fillId="70" borderId="35" xfId="0" applyFont="1" applyFill="1" applyBorder="1" applyProtection="1">
      <alignment vertical="center"/>
    </xf>
    <xf numFmtId="0" fontId="42" fillId="70" borderId="0" xfId="0" applyFont="1" applyFill="1" applyBorder="1" applyAlignment="1" applyProtection="1">
      <alignment vertical="center"/>
    </xf>
    <xf numFmtId="170" fontId="116" fillId="70" borderId="0" xfId="0" applyNumberFormat="1" applyFont="1" applyFill="1" applyBorder="1" applyAlignment="1" applyProtection="1">
      <alignment horizontal="center" vertical="center" wrapText="1"/>
    </xf>
    <xf numFmtId="168" fontId="117" fillId="70" borderId="0" xfId="0" applyNumberFormat="1" applyFont="1" applyFill="1" applyBorder="1" applyAlignment="1" applyProtection="1">
      <alignment horizontal="center" vertical="center" wrapText="1"/>
    </xf>
    <xf numFmtId="164" fontId="25" fillId="70" borderId="0" xfId="0" applyNumberFormat="1" applyFont="1" applyFill="1" applyBorder="1" applyAlignment="1" applyProtection="1">
      <alignment horizontal="center" vertical="center" wrapText="1"/>
    </xf>
    <xf numFmtId="169" fontId="115" fillId="70" borderId="0" xfId="0" applyNumberFormat="1" applyFont="1" applyFill="1" applyBorder="1" applyAlignment="1" applyProtection="1">
      <alignment horizontal="center" vertical="center" wrapText="1"/>
    </xf>
    <xf numFmtId="9" fontId="116" fillId="70" borderId="0" xfId="0" applyNumberFormat="1" applyFont="1" applyFill="1" applyBorder="1" applyAlignment="1" applyProtection="1">
      <alignment horizontal="center" vertical="center" wrapText="1"/>
    </xf>
    <xf numFmtId="9" fontId="117" fillId="70" borderId="0" xfId="0" applyNumberFormat="1" applyFont="1" applyFill="1" applyBorder="1" applyAlignment="1" applyProtection="1">
      <alignment horizontal="center" vertical="center" wrapText="1"/>
    </xf>
    <xf numFmtId="0" fontId="72" fillId="70" borderId="32" xfId="0" applyFont="1" applyFill="1" applyBorder="1" applyProtection="1">
      <alignment vertical="center"/>
    </xf>
    <xf numFmtId="0" fontId="72" fillId="70" borderId="47" xfId="0" applyFont="1" applyFill="1" applyBorder="1" applyProtection="1">
      <alignment vertical="center"/>
    </xf>
    <xf numFmtId="164" fontId="23" fillId="70" borderId="0" xfId="0" applyNumberFormat="1" applyFont="1" applyFill="1" applyBorder="1" applyAlignment="1" applyProtection="1">
      <alignment horizontal="center" vertical="center" wrapText="1"/>
    </xf>
    <xf numFmtId="164" fontId="36" fillId="70" borderId="0" xfId="0" applyNumberFormat="1" applyFont="1" applyFill="1" applyBorder="1" applyAlignment="1" applyProtection="1">
      <alignment horizontal="center" vertical="center" wrapText="1"/>
    </xf>
    <xf numFmtId="0" fontId="72" fillId="70" borderId="46" xfId="0" applyFont="1" applyFill="1" applyBorder="1" applyProtection="1">
      <alignment vertical="center"/>
    </xf>
    <xf numFmtId="0" fontId="10" fillId="39" borderId="0" xfId="0" applyFont="1" applyFill="1" applyBorder="1" applyAlignment="1" applyProtection="1">
      <alignment vertical="center" wrapText="1"/>
    </xf>
    <xf numFmtId="0" fontId="36" fillId="69" borderId="129" xfId="0" applyNumberFormat="1" applyFont="1" applyFill="1" applyBorder="1" applyAlignment="1" applyProtection="1">
      <alignment horizontal="center" vertical="center" wrapText="1"/>
    </xf>
    <xf numFmtId="49" fontId="36" fillId="69" borderId="129" xfId="0" applyNumberFormat="1" applyFont="1" applyFill="1" applyBorder="1" applyAlignment="1" applyProtection="1">
      <alignment horizontal="center" vertical="center" wrapText="1"/>
    </xf>
    <xf numFmtId="1" fontId="113" fillId="10" borderId="129" xfId="0" applyNumberFormat="1" applyFont="1" applyFill="1" applyBorder="1" applyAlignment="1" applyProtection="1">
      <alignment horizontal="center" vertical="center" wrapText="1"/>
    </xf>
    <xf numFmtId="164" fontId="114" fillId="10" borderId="129" xfId="0" applyNumberFormat="1" applyFont="1" applyFill="1" applyBorder="1" applyAlignment="1" applyProtection="1">
      <alignment horizontal="center" vertical="center" wrapText="1"/>
    </xf>
    <xf numFmtId="1" fontId="114" fillId="10" borderId="129" xfId="0" applyNumberFormat="1" applyFont="1" applyFill="1" applyBorder="1" applyAlignment="1" applyProtection="1">
      <alignment horizontal="center" vertical="center" wrapText="1"/>
    </xf>
    <xf numFmtId="1" fontId="113" fillId="36" borderId="129" xfId="0" applyNumberFormat="1" applyFont="1" applyFill="1" applyBorder="1" applyAlignment="1" applyProtection="1">
      <alignment horizontal="center" vertical="center" wrapText="1"/>
    </xf>
    <xf numFmtId="164" fontId="114" fillId="36" borderId="129" xfId="0" applyNumberFormat="1" applyFont="1" applyFill="1" applyBorder="1" applyAlignment="1" applyProtection="1">
      <alignment horizontal="center" vertical="center" wrapText="1"/>
    </xf>
    <xf numFmtId="1" fontId="114" fillId="36" borderId="129" xfId="0" applyNumberFormat="1" applyFont="1" applyFill="1" applyBorder="1" applyAlignment="1" applyProtection="1">
      <alignment horizontal="center" vertical="center" wrapText="1"/>
    </xf>
    <xf numFmtId="0" fontId="36" fillId="69" borderId="129" xfId="0" applyFont="1" applyFill="1" applyBorder="1" applyAlignment="1" applyProtection="1">
      <alignment horizontal="center" vertical="center" wrapText="1"/>
    </xf>
    <xf numFmtId="164" fontId="36" fillId="69" borderId="129" xfId="0" applyNumberFormat="1" applyFont="1" applyFill="1" applyBorder="1" applyAlignment="1" applyProtection="1">
      <alignment horizontal="center" vertical="center" wrapText="1"/>
    </xf>
    <xf numFmtId="169" fontId="115" fillId="0" borderId="129" xfId="0" applyNumberFormat="1" applyFont="1" applyBorder="1" applyAlignment="1" applyProtection="1">
      <alignment horizontal="center" vertical="center" wrapText="1"/>
    </xf>
    <xf numFmtId="9" fontId="116" fillId="0" borderId="129" xfId="0" applyNumberFormat="1" applyFont="1" applyBorder="1" applyAlignment="1" applyProtection="1">
      <alignment horizontal="center" vertical="center" wrapText="1"/>
    </xf>
    <xf numFmtId="170" fontId="116" fillId="0" borderId="129" xfId="0" applyNumberFormat="1" applyFont="1" applyBorder="1" applyAlignment="1" applyProtection="1">
      <alignment horizontal="center" vertical="center" wrapText="1"/>
    </xf>
    <xf numFmtId="168" fontId="117" fillId="0" borderId="129" xfId="0" applyNumberFormat="1" applyFont="1" applyBorder="1" applyAlignment="1" applyProtection="1">
      <alignment horizontal="center" vertical="center" wrapText="1"/>
    </xf>
    <xf numFmtId="169" fontId="115" fillId="36" borderId="129" xfId="0" applyNumberFormat="1" applyFont="1" applyFill="1" applyBorder="1" applyAlignment="1" applyProtection="1">
      <alignment horizontal="center" vertical="center" wrapText="1"/>
    </xf>
    <xf numFmtId="9" fontId="117" fillId="36" borderId="129" xfId="0" applyNumberFormat="1" applyFont="1" applyFill="1" applyBorder="1" applyAlignment="1" applyProtection="1">
      <alignment horizontal="center" vertical="center" wrapText="1"/>
    </xf>
    <xf numFmtId="170" fontId="116" fillId="36" borderId="129" xfId="0" applyNumberFormat="1" applyFont="1" applyFill="1" applyBorder="1" applyAlignment="1" applyProtection="1">
      <alignment horizontal="center" vertical="center" wrapText="1"/>
    </xf>
    <xf numFmtId="168" fontId="117" fillId="36" borderId="129" xfId="0" applyNumberFormat="1" applyFont="1" applyFill="1" applyBorder="1" applyAlignment="1" applyProtection="1">
      <alignment horizontal="center" vertical="center" wrapText="1"/>
    </xf>
    <xf numFmtId="9" fontId="39" fillId="0" borderId="129" xfId="0" applyNumberFormat="1" applyFont="1" applyBorder="1" applyAlignment="1" applyProtection="1">
      <alignment horizontal="center" vertical="center" wrapText="1"/>
    </xf>
    <xf numFmtId="170" fontId="117" fillId="0" borderId="129" xfId="0" applyNumberFormat="1" applyFont="1" applyBorder="1" applyAlignment="1" applyProtection="1">
      <alignment horizontal="center" vertical="center" wrapText="1"/>
    </xf>
    <xf numFmtId="1" fontId="116" fillId="10" borderId="129" xfId="0" applyNumberFormat="1" applyFont="1" applyFill="1" applyBorder="1" applyAlignment="1" applyProtection="1">
      <alignment horizontal="center" vertical="center" wrapText="1"/>
    </xf>
    <xf numFmtId="9" fontId="42" fillId="36" borderId="129" xfId="0" applyNumberFormat="1" applyFont="1" applyFill="1" applyBorder="1" applyAlignment="1" applyProtection="1">
      <alignment horizontal="center" vertical="center" wrapText="1"/>
    </xf>
    <xf numFmtId="170" fontId="117" fillId="36" borderId="129" xfId="0" applyNumberFormat="1" applyFont="1" applyFill="1" applyBorder="1" applyAlignment="1" applyProtection="1">
      <alignment horizontal="center" vertical="center" wrapText="1"/>
    </xf>
    <xf numFmtId="1" fontId="116" fillId="36" borderId="129" xfId="0" applyNumberFormat="1" applyFont="1" applyFill="1" applyBorder="1" applyAlignment="1" applyProtection="1">
      <alignment horizontal="center" vertical="center" wrapText="1"/>
    </xf>
    <xf numFmtId="9" fontId="42" fillId="10" borderId="129" xfId="0" applyNumberFormat="1" applyFont="1" applyFill="1" applyBorder="1" applyAlignment="1" applyProtection="1">
      <alignment horizontal="center" vertical="center" wrapText="1"/>
    </xf>
    <xf numFmtId="168" fontId="39" fillId="0" borderId="129" xfId="0" applyNumberFormat="1" applyFont="1" applyBorder="1" applyAlignment="1" applyProtection="1">
      <alignment horizontal="center" vertical="center" wrapText="1"/>
    </xf>
    <xf numFmtId="9" fontId="117" fillId="0" borderId="129" xfId="0" applyNumberFormat="1" applyFont="1" applyBorder="1" applyAlignment="1" applyProtection="1">
      <alignment horizontal="center" vertical="center" wrapText="1"/>
    </xf>
    <xf numFmtId="164" fontId="118" fillId="10" borderId="129" xfId="0" applyNumberFormat="1" applyFont="1" applyFill="1" applyBorder="1" applyAlignment="1" applyProtection="1">
      <alignment horizontal="center" vertical="center" wrapText="1"/>
    </xf>
    <xf numFmtId="168" fontId="42" fillId="36" borderId="129" xfId="0" applyNumberFormat="1" applyFont="1" applyFill="1" applyBorder="1" applyAlignment="1" applyProtection="1">
      <alignment horizontal="center" vertical="center" wrapText="1"/>
    </xf>
    <xf numFmtId="2" fontId="118" fillId="36" borderId="129" xfId="0" applyNumberFormat="1" applyFont="1" applyFill="1" applyBorder="1" applyAlignment="1" applyProtection="1">
      <alignment horizontal="center" vertical="center" wrapText="1"/>
    </xf>
    <xf numFmtId="164" fontId="118" fillId="36" borderId="129" xfId="0" applyNumberFormat="1" applyFont="1" applyFill="1" applyBorder="1" applyAlignment="1" applyProtection="1">
      <alignment horizontal="center" vertical="center" wrapText="1"/>
    </xf>
    <xf numFmtId="168" fontId="42" fillId="10" borderId="129" xfId="0" applyNumberFormat="1" applyFont="1" applyFill="1" applyBorder="1" applyAlignment="1" applyProtection="1">
      <alignment horizontal="center" vertical="center" wrapText="1"/>
    </xf>
    <xf numFmtId="0" fontId="72" fillId="70" borderId="130" xfId="0" applyFont="1" applyFill="1" applyBorder="1" applyProtection="1">
      <alignment vertical="center"/>
    </xf>
    <xf numFmtId="0" fontId="72" fillId="70" borderId="131" xfId="0" applyFont="1" applyFill="1" applyBorder="1" applyProtection="1">
      <alignment vertical="center"/>
    </xf>
    <xf numFmtId="49" fontId="6" fillId="0" borderId="0" xfId="0" applyNumberFormat="1" applyFont="1" applyAlignment="1">
      <alignment horizontal="left" vertical="center"/>
    </xf>
    <xf numFmtId="0" fontId="11" fillId="0" borderId="0" xfId="0" applyFont="1">
      <alignment vertical="center"/>
    </xf>
    <xf numFmtId="0" fontId="31" fillId="43" borderId="0" xfId="0" applyFont="1" applyFill="1" applyBorder="1" applyAlignment="1" applyProtection="1">
      <alignment horizontal="center" vertical="center" wrapText="1"/>
    </xf>
    <xf numFmtId="1" fontId="31" fillId="44" borderId="0" xfId="0" applyNumberFormat="1" applyFont="1" applyFill="1" applyBorder="1" applyAlignment="1" applyProtection="1">
      <alignment horizontal="center" vertical="center" wrapText="1"/>
    </xf>
    <xf numFmtId="0" fontId="10" fillId="58" borderId="0" xfId="0" applyFont="1" applyFill="1" applyBorder="1" applyAlignment="1" applyProtection="1">
      <alignment horizontal="center" vertical="center" wrapText="1"/>
    </xf>
    <xf numFmtId="0" fontId="117" fillId="33" borderId="132" xfId="0" applyFont="1" applyFill="1" applyBorder="1" applyAlignment="1" applyProtection="1">
      <alignment horizontal="center" vertical="center"/>
    </xf>
    <xf numFmtId="1" fontId="31" fillId="62" borderId="133" xfId="0" applyNumberFormat="1" applyFont="1" applyFill="1" applyBorder="1" applyAlignment="1" applyProtection="1">
      <alignment vertical="center" wrapText="1"/>
    </xf>
    <xf numFmtId="0" fontId="50" fillId="61" borderId="88" xfId="0" applyFont="1" applyFill="1" applyBorder="1" applyProtection="1">
      <alignment vertical="center"/>
    </xf>
    <xf numFmtId="0" fontId="50" fillId="61" borderId="89" xfId="0" applyFont="1" applyFill="1" applyBorder="1" applyProtection="1">
      <alignment vertical="center"/>
    </xf>
    <xf numFmtId="0" fontId="50" fillId="62" borderId="90" xfId="0" applyFont="1" applyFill="1" applyBorder="1" applyProtection="1">
      <alignment vertical="center"/>
    </xf>
    <xf numFmtId="0" fontId="50" fillId="62" borderId="92" xfId="0" applyFont="1" applyFill="1" applyBorder="1" applyProtection="1">
      <alignment vertical="center"/>
    </xf>
    <xf numFmtId="0" fontId="0" fillId="62" borderId="90" xfId="0" applyFill="1" applyBorder="1" applyProtection="1">
      <alignment vertical="center"/>
    </xf>
    <xf numFmtId="0" fontId="0" fillId="62" borderId="92" xfId="0" applyFill="1" applyBorder="1" applyProtection="1">
      <alignment vertical="center"/>
    </xf>
    <xf numFmtId="0" fontId="72" fillId="58" borderId="0" xfId="0" applyFont="1" applyFill="1" applyBorder="1" applyAlignment="1" applyProtection="1">
      <alignment vertical="center"/>
    </xf>
    <xf numFmtId="0" fontId="10" fillId="58" borderId="0" xfId="0" applyFont="1" applyFill="1" applyBorder="1" applyAlignment="1" applyProtection="1">
      <alignment horizontal="center" vertical="center" wrapText="1"/>
    </xf>
    <xf numFmtId="0" fontId="95" fillId="0" borderId="0" xfId="0" applyFont="1">
      <alignment vertical="center"/>
    </xf>
    <xf numFmtId="49" fontId="6" fillId="0" borderId="0" xfId="0" applyNumberFormat="1" applyFont="1" applyAlignment="1">
      <alignment vertical="center"/>
    </xf>
    <xf numFmtId="0" fontId="11" fillId="0" borderId="0" xfId="0" applyFont="1" applyAlignment="1">
      <alignment vertical="center"/>
    </xf>
    <xf numFmtId="173" fontId="76" fillId="46" borderId="108" xfId="0" applyNumberFormat="1" applyFont="1" applyFill="1" applyBorder="1" applyAlignment="1" applyProtection="1">
      <alignment horizontal="center" vertical="center" wrapText="1"/>
    </xf>
    <xf numFmtId="173" fontId="76" fillId="46" borderId="134" xfId="0" applyNumberFormat="1" applyFont="1" applyFill="1" applyBorder="1" applyAlignment="1" applyProtection="1">
      <alignment horizontal="center" vertical="center" wrapText="1"/>
    </xf>
    <xf numFmtId="0" fontId="0" fillId="62" borderId="138" xfId="0" applyFill="1" applyBorder="1" applyProtection="1">
      <alignment vertical="center"/>
    </xf>
    <xf numFmtId="0" fontId="0" fillId="62" borderId="139" xfId="0" applyFill="1" applyBorder="1" applyProtection="1">
      <alignment vertical="center"/>
    </xf>
    <xf numFmtId="0" fontId="0" fillId="62" borderId="141" xfId="0" applyFill="1" applyBorder="1" applyProtection="1">
      <alignment vertical="center"/>
    </xf>
    <xf numFmtId="0" fontId="31" fillId="45" borderId="140" xfId="0" applyFont="1" applyFill="1" applyBorder="1" applyAlignment="1" applyProtection="1">
      <alignment horizontal="center" vertical="center" wrapText="1"/>
    </xf>
    <xf numFmtId="0" fontId="31" fillId="45" borderId="142" xfId="0" applyFont="1" applyFill="1" applyBorder="1" applyAlignment="1" applyProtection="1">
      <alignment horizontal="center" vertical="center" wrapText="1"/>
    </xf>
    <xf numFmtId="0" fontId="0" fillId="62" borderId="143" xfId="0" applyFill="1" applyBorder="1" applyProtection="1">
      <alignment vertical="center"/>
    </xf>
    <xf numFmtId="0" fontId="31" fillId="43" borderId="143" xfId="0" applyFont="1" applyFill="1" applyBorder="1" applyAlignment="1" applyProtection="1">
      <alignment horizontal="center" vertical="center" wrapText="1"/>
    </xf>
    <xf numFmtId="1" fontId="31" fillId="44" borderId="143" xfId="0" applyNumberFormat="1" applyFont="1" applyFill="1" applyBorder="1" applyAlignment="1" applyProtection="1">
      <alignment horizontal="center" vertical="center" wrapText="1"/>
    </xf>
    <xf numFmtId="0" fontId="0" fillId="62" borderId="144" xfId="0" applyFill="1" applyBorder="1" applyProtection="1">
      <alignment vertical="center"/>
    </xf>
    <xf numFmtId="0" fontId="97" fillId="0" borderId="0" xfId="0" applyFont="1" applyBorder="1" applyAlignment="1">
      <alignment horizontal="left" vertical="center" wrapText="1"/>
    </xf>
    <xf numFmtId="168" fontId="50" fillId="6" borderId="2" xfId="0" applyNumberFormat="1" applyFont="1" applyFill="1" applyBorder="1" applyAlignment="1">
      <alignment horizontal="center" vertical="center" wrapText="1"/>
    </xf>
    <xf numFmtId="168" fontId="50" fillId="5" borderId="2" xfId="0" applyNumberFormat="1" applyFont="1" applyFill="1" applyBorder="1" applyAlignment="1">
      <alignment horizontal="center" vertical="center" wrapText="1"/>
    </xf>
    <xf numFmtId="0" fontId="115" fillId="40" borderId="118" xfId="0" applyFont="1" applyFill="1" applyBorder="1" applyAlignment="1" applyProtection="1">
      <alignment horizontal="center" vertical="center"/>
    </xf>
    <xf numFmtId="171" fontId="85" fillId="32" borderId="44" xfId="0" applyNumberFormat="1" applyFont="1" applyFill="1" applyBorder="1" applyAlignment="1" applyProtection="1">
      <alignment horizontal="center" vertical="center"/>
    </xf>
    <xf numFmtId="1" fontId="50" fillId="45" borderId="87" xfId="0" applyNumberFormat="1" applyFont="1" applyFill="1" applyBorder="1" applyAlignment="1" applyProtection="1">
      <alignment horizontal="center" vertical="center"/>
      <protection locked="0"/>
    </xf>
    <xf numFmtId="0" fontId="50" fillId="45" borderId="92" xfId="0" applyFont="1" applyFill="1" applyBorder="1" applyAlignment="1" applyProtection="1">
      <alignment horizontal="center" vertical="center" wrapText="1"/>
    </xf>
    <xf numFmtId="1" fontId="25" fillId="45" borderId="86" xfId="0" applyNumberFormat="1" applyFont="1" applyFill="1" applyBorder="1" applyAlignment="1" applyProtection="1">
      <alignment horizontal="center" vertical="center"/>
      <protection locked="0"/>
    </xf>
    <xf numFmtId="0" fontId="0" fillId="70" borderId="147" xfId="0" applyFill="1" applyBorder="1" applyProtection="1">
      <alignment vertical="center"/>
    </xf>
    <xf numFmtId="0" fontId="0" fillId="70" borderId="148" xfId="0" applyFill="1" applyBorder="1" applyProtection="1">
      <alignment vertical="center"/>
    </xf>
    <xf numFmtId="0" fontId="138" fillId="54" borderId="45" xfId="1" applyFont="1" applyFill="1" applyBorder="1" applyAlignment="1">
      <alignment horizontal="center" vertical="center"/>
      <protection locked="0"/>
    </xf>
    <xf numFmtId="0" fontId="100" fillId="39" borderId="0" xfId="0" applyFont="1" applyFill="1" applyBorder="1" applyAlignment="1" applyProtection="1">
      <alignment horizontal="center" vertical="center"/>
    </xf>
    <xf numFmtId="1" fontId="10" fillId="39" borderId="0" xfId="0" applyNumberFormat="1" applyFont="1" applyFill="1" applyBorder="1" applyAlignment="1" applyProtection="1">
      <alignment horizontal="center" vertical="center" wrapText="1"/>
    </xf>
    <xf numFmtId="0" fontId="100" fillId="39" borderId="149" xfId="0" applyFont="1" applyFill="1" applyBorder="1" applyAlignment="1" applyProtection="1">
      <alignment horizontal="center" vertical="center"/>
    </xf>
    <xf numFmtId="1" fontId="10" fillId="39" borderId="149" xfId="0" applyNumberFormat="1" applyFont="1" applyFill="1" applyBorder="1" applyAlignment="1" applyProtection="1">
      <alignment horizontal="center" vertical="center" wrapText="1"/>
    </xf>
    <xf numFmtId="0" fontId="0" fillId="39" borderId="149" xfId="0" applyFill="1" applyBorder="1" applyProtection="1">
      <alignment vertical="center"/>
    </xf>
    <xf numFmtId="164" fontId="50" fillId="5" borderId="136" xfId="0" applyNumberFormat="1" applyFont="1" applyFill="1" applyBorder="1" applyAlignment="1">
      <alignment horizontal="center" vertical="center" wrapText="1"/>
    </xf>
    <xf numFmtId="0" fontId="100" fillId="39" borderId="0" xfId="0" applyFont="1" applyFill="1" applyBorder="1" applyAlignment="1" applyProtection="1">
      <alignment horizontal="left" vertical="center" indent="1"/>
    </xf>
    <xf numFmtId="176" fontId="50" fillId="5" borderId="136" xfId="0" applyNumberFormat="1" applyFont="1" applyFill="1" applyBorder="1" applyAlignment="1">
      <alignment horizontal="center" vertical="center" wrapText="1"/>
    </xf>
    <xf numFmtId="177" fontId="50" fillId="6" borderId="2" xfId="0" applyNumberFormat="1" applyFont="1" applyFill="1" applyBorder="1" applyAlignment="1">
      <alignment horizontal="center" vertical="center" wrapText="1"/>
    </xf>
    <xf numFmtId="0" fontId="20" fillId="55" borderId="150" xfId="2" applyFont="1" applyFill="1" applyBorder="1" applyAlignment="1" applyProtection="1">
      <alignment horizontal="center" vertical="center" wrapText="1"/>
    </xf>
    <xf numFmtId="0" fontId="20" fillId="9" borderId="151" xfId="2" applyFont="1" applyBorder="1" applyAlignment="1" applyProtection="1">
      <alignment horizontal="center" vertical="center" wrapText="1"/>
    </xf>
    <xf numFmtId="9" fontId="20" fillId="9" borderId="155" xfId="2" applyNumberFormat="1" applyFont="1" applyBorder="1" applyAlignment="1" applyProtection="1">
      <alignment horizontal="center" vertical="center" wrapText="1"/>
    </xf>
    <xf numFmtId="0" fontId="125" fillId="3" borderId="76" xfId="0" applyFont="1" applyFill="1" applyBorder="1" applyAlignment="1">
      <alignment horizontal="center" vertical="center" wrapText="1"/>
    </xf>
    <xf numFmtId="14" fontId="50" fillId="5" borderId="136" xfId="0" applyNumberFormat="1" applyFont="1" applyFill="1" applyBorder="1" applyAlignment="1">
      <alignment horizontal="center" vertical="center" wrapText="1"/>
    </xf>
    <xf numFmtId="0" fontId="100" fillId="40" borderId="0" xfId="0" applyFont="1" applyFill="1" applyBorder="1" applyAlignment="1" applyProtection="1">
      <alignment horizontal="left" vertical="center" indent="1"/>
    </xf>
    <xf numFmtId="49" fontId="121" fillId="71" borderId="0" xfId="0" applyNumberFormat="1" applyFont="1" applyFill="1" applyBorder="1" applyAlignment="1">
      <alignment horizontal="center" vertical="center" wrapText="1"/>
    </xf>
    <xf numFmtId="9" fontId="26" fillId="0" borderId="0" xfId="0" applyNumberFormat="1" applyFont="1" applyBorder="1" applyAlignment="1">
      <alignment horizontal="center" vertical="center"/>
    </xf>
    <xf numFmtId="0" fontId="0" fillId="0" borderId="0" xfId="0" applyAlignment="1">
      <alignment horizontal="center" vertical="center"/>
    </xf>
    <xf numFmtId="0" fontId="0" fillId="0" borderId="0" xfId="0" applyAlignment="1"/>
    <xf numFmtId="0" fontId="10" fillId="0" borderId="0" xfId="0" applyFont="1" applyAlignment="1">
      <alignment horizontal="center" vertical="center" wrapText="1"/>
    </xf>
    <xf numFmtId="0" fontId="0" fillId="66" borderId="23" xfId="0" applyFill="1" applyBorder="1">
      <alignment vertical="center"/>
    </xf>
    <xf numFmtId="0" fontId="0" fillId="33" borderId="27" xfId="0" applyFill="1" applyBorder="1" applyAlignment="1">
      <alignment horizontal="center" vertical="center"/>
    </xf>
    <xf numFmtId="0" fontId="0" fillId="66" borderId="23" xfId="0" applyFill="1" applyBorder="1" applyAlignment="1">
      <alignment horizontal="center" vertical="center"/>
    </xf>
    <xf numFmtId="0" fontId="31" fillId="58" borderId="0" xfId="0" applyFont="1" applyFill="1" applyBorder="1" applyProtection="1">
      <alignment vertical="center"/>
    </xf>
    <xf numFmtId="0" fontId="0" fillId="33" borderId="0" xfId="0" applyFill="1" applyBorder="1" applyAlignment="1">
      <alignment horizontal="center" vertical="center"/>
    </xf>
    <xf numFmtId="0" fontId="0" fillId="33" borderId="27" xfId="0" applyFill="1" applyBorder="1">
      <alignment vertical="center"/>
    </xf>
    <xf numFmtId="0" fontId="0" fillId="49" borderId="24" xfId="0" applyFill="1" applyBorder="1">
      <alignment vertical="center"/>
    </xf>
    <xf numFmtId="0" fontId="0" fillId="49" borderId="160" xfId="0" applyFill="1" applyBorder="1">
      <alignment vertical="center"/>
    </xf>
    <xf numFmtId="0" fontId="0" fillId="49" borderId="159" xfId="0" applyFill="1" applyBorder="1">
      <alignment vertical="center"/>
    </xf>
    <xf numFmtId="0" fontId="0" fillId="33" borderId="24" xfId="0" applyFill="1" applyBorder="1">
      <alignment vertical="center"/>
    </xf>
    <xf numFmtId="0" fontId="10" fillId="45" borderId="161" xfId="0" applyFont="1" applyFill="1" applyBorder="1" applyAlignment="1" applyProtection="1">
      <alignment horizontal="center" vertical="center" wrapText="1"/>
    </xf>
    <xf numFmtId="0" fontId="10" fillId="45" borderId="0" xfId="0" applyFont="1" applyFill="1" applyBorder="1" applyAlignment="1" applyProtection="1">
      <alignment horizontal="center" vertical="center" wrapText="1"/>
    </xf>
    <xf numFmtId="0" fontId="10" fillId="37" borderId="0" xfId="0" applyFont="1" applyFill="1" applyBorder="1" applyAlignment="1" applyProtection="1">
      <alignment horizontal="center" vertical="center" wrapText="1"/>
    </xf>
    <xf numFmtId="0" fontId="10" fillId="37" borderId="128" xfId="0" applyFont="1" applyFill="1" applyBorder="1" applyAlignment="1" applyProtection="1">
      <alignment horizontal="center" vertical="center" wrapText="1"/>
    </xf>
    <xf numFmtId="0" fontId="10" fillId="58" borderId="162" xfId="0" applyFont="1" applyFill="1" applyBorder="1" applyAlignment="1" applyProtection="1">
      <alignment horizontal="center" vertical="center" wrapText="1"/>
    </xf>
    <xf numFmtId="0" fontId="0" fillId="33" borderId="158" xfId="0" applyFill="1" applyBorder="1" applyAlignment="1">
      <alignment horizontal="center" vertical="center"/>
    </xf>
    <xf numFmtId="0" fontId="76" fillId="57" borderId="18" xfId="0" applyNumberFormat="1" applyFont="1" applyFill="1" applyBorder="1" applyAlignment="1" applyProtection="1">
      <alignment horizontal="center" vertical="center" wrapText="1"/>
    </xf>
    <xf numFmtId="0" fontId="0" fillId="0" borderId="0" xfId="0" applyAlignment="1">
      <alignment vertical="center"/>
    </xf>
    <xf numFmtId="0" fontId="120" fillId="0" borderId="0" xfId="0" applyFont="1" applyAlignment="1">
      <alignment vertical="center"/>
    </xf>
    <xf numFmtId="0" fontId="0" fillId="72" borderId="117" xfId="0" applyFill="1" applyBorder="1" applyAlignment="1">
      <alignment horizontal="left" vertical="center"/>
    </xf>
    <xf numFmtId="0" fontId="0" fillId="72" borderId="9" xfId="0" applyFill="1" applyBorder="1" applyAlignment="1">
      <alignment horizontal="center" vertical="center"/>
    </xf>
    <xf numFmtId="0" fontId="0" fillId="72" borderId="10" xfId="0" applyFill="1" applyBorder="1" applyAlignment="1">
      <alignment horizontal="center" vertical="center"/>
    </xf>
    <xf numFmtId="0" fontId="0" fillId="73" borderId="53" xfId="0" applyFill="1" applyBorder="1" applyAlignment="1">
      <alignment horizontal="left" vertical="center"/>
    </xf>
    <xf numFmtId="0" fontId="0" fillId="73" borderId="0" xfId="0" applyFill="1" applyBorder="1" applyAlignment="1">
      <alignment horizontal="center" vertical="center"/>
    </xf>
    <xf numFmtId="0" fontId="0" fillId="73" borderId="24" xfId="0" applyFill="1" applyBorder="1" applyAlignment="1">
      <alignment horizontal="center" vertical="center"/>
    </xf>
    <xf numFmtId="0" fontId="0" fillId="72" borderId="53" xfId="0" applyFill="1" applyBorder="1" applyAlignment="1">
      <alignment horizontal="left" vertical="center"/>
    </xf>
    <xf numFmtId="0" fontId="0" fillId="72" borderId="0" xfId="0" applyFill="1" applyBorder="1" applyAlignment="1">
      <alignment horizontal="center" vertical="center"/>
    </xf>
    <xf numFmtId="0" fontId="0" fillId="72" borderId="24" xfId="0" applyFill="1" applyBorder="1" applyAlignment="1">
      <alignment horizontal="center" vertical="center"/>
    </xf>
    <xf numFmtId="0" fontId="10" fillId="58" borderId="0" xfId="0" applyFont="1" applyFill="1" applyBorder="1" applyAlignment="1" applyProtection="1">
      <alignment horizontal="center" vertical="center" wrapText="1"/>
    </xf>
    <xf numFmtId="0" fontId="0" fillId="39" borderId="0" xfId="0" applyFill="1" applyBorder="1" applyAlignment="1">
      <alignment horizontal="left" vertical="center"/>
    </xf>
    <xf numFmtId="0" fontId="0" fillId="39" borderId="0" xfId="0" applyFill="1" applyBorder="1" applyAlignment="1">
      <alignment horizontal="center" vertical="center"/>
    </xf>
    <xf numFmtId="0" fontId="0" fillId="72" borderId="119" xfId="0" applyFill="1" applyBorder="1" applyAlignment="1">
      <alignment horizontal="center" vertical="center"/>
    </xf>
    <xf numFmtId="164" fontId="50" fillId="39" borderId="136" xfId="0" applyNumberFormat="1" applyFont="1" applyFill="1" applyBorder="1" applyAlignment="1">
      <alignment horizontal="center" vertical="center" wrapText="1"/>
    </xf>
    <xf numFmtId="9" fontId="50" fillId="5" borderId="136" xfId="0" applyNumberFormat="1" applyFont="1" applyFill="1" applyBorder="1" applyAlignment="1">
      <alignment horizontal="center" vertical="center" wrapText="1"/>
    </xf>
    <xf numFmtId="164" fontId="50" fillId="5" borderId="35" xfId="0" applyNumberFormat="1" applyFont="1" applyFill="1" applyBorder="1" applyAlignment="1">
      <alignment vertical="center" wrapText="1"/>
    </xf>
    <xf numFmtId="0" fontId="36" fillId="3" borderId="4" xfId="0" applyNumberFormat="1" applyFont="1" applyFill="1" applyBorder="1" applyAlignment="1">
      <alignment vertical="center" wrapText="1"/>
    </xf>
    <xf numFmtId="49" fontId="36" fillId="3" borderId="4" xfId="0" applyNumberFormat="1" applyFont="1" applyFill="1" applyBorder="1" applyAlignment="1">
      <alignment horizontal="center" vertical="center" wrapText="1"/>
    </xf>
    <xf numFmtId="49" fontId="36" fillId="3" borderId="5" xfId="0" applyNumberFormat="1" applyFont="1" applyFill="1" applyBorder="1" applyAlignment="1">
      <alignment horizontal="center" vertical="center" wrapText="1"/>
    </xf>
    <xf numFmtId="0" fontId="36" fillId="3" borderId="4" xfId="0" applyNumberFormat="1" applyFont="1" applyFill="1" applyBorder="1" applyAlignment="1">
      <alignment horizontal="center" vertical="center" wrapText="1"/>
    </xf>
    <xf numFmtId="0" fontId="30" fillId="2" borderId="6" xfId="0" applyNumberFormat="1" applyFont="1" applyFill="1" applyBorder="1" applyAlignment="1">
      <alignment vertical="center" wrapText="1"/>
    </xf>
    <xf numFmtId="0" fontId="30" fillId="7" borderId="4" xfId="0" applyNumberFormat="1" applyFont="1" applyFill="1" applyBorder="1" applyAlignment="1">
      <alignment vertical="center" wrapText="1"/>
    </xf>
    <xf numFmtId="167" fontId="50" fillId="0" borderId="4" xfId="0" applyNumberFormat="1" applyFont="1" applyBorder="1" applyAlignment="1">
      <alignment horizontal="center" vertical="center" wrapText="1"/>
    </xf>
    <xf numFmtId="0" fontId="50" fillId="0" borderId="5" xfId="0" applyFont="1" applyBorder="1" applyAlignment="1">
      <alignment horizontal="center" vertical="center" wrapText="1"/>
    </xf>
    <xf numFmtId="0" fontId="50" fillId="0" borderId="4" xfId="0" applyFont="1" applyBorder="1" applyAlignment="1">
      <alignment horizontal="center" vertical="center" wrapText="1"/>
    </xf>
    <xf numFmtId="179" fontId="50" fillId="0" borderId="4" xfId="0" applyNumberFormat="1" applyFont="1" applyBorder="1" applyAlignment="1">
      <alignment horizontal="center" vertical="center" wrapText="1"/>
    </xf>
    <xf numFmtId="0" fontId="50" fillId="0" borderId="4" xfId="0" applyNumberFormat="1" applyFont="1" applyBorder="1" applyAlignment="1">
      <alignment horizontal="center" vertical="center" wrapText="1"/>
    </xf>
    <xf numFmtId="180" fontId="50" fillId="0" borderId="4" xfId="0" applyNumberFormat="1" applyFont="1" applyBorder="1" applyAlignment="1">
      <alignment horizontal="center" vertical="center" wrapText="1"/>
    </xf>
    <xf numFmtId="0" fontId="138" fillId="0" borderId="0" xfId="0" applyFont="1" applyBorder="1" applyAlignment="1">
      <alignment horizontal="left" vertical="center" wrapText="1"/>
    </xf>
    <xf numFmtId="49" fontId="139" fillId="2" borderId="0" xfId="0" applyNumberFormat="1" applyFont="1" applyFill="1" applyBorder="1" applyAlignment="1">
      <alignment horizontal="center" vertical="center" wrapText="1"/>
    </xf>
    <xf numFmtId="49" fontId="140" fillId="2" borderId="0" xfId="0" applyNumberFormat="1" applyFont="1" applyFill="1" applyBorder="1" applyAlignment="1">
      <alignment horizontal="center" vertical="center" wrapText="1"/>
    </xf>
    <xf numFmtId="49" fontId="95" fillId="2" borderId="0" xfId="0" applyNumberFormat="1" applyFont="1" applyFill="1" applyBorder="1" applyAlignment="1">
      <alignment horizontal="center" vertical="center" wrapText="1"/>
    </xf>
    <xf numFmtId="49" fontId="141" fillId="2" borderId="0" xfId="0" applyNumberFormat="1" applyFont="1" applyFill="1" applyBorder="1" applyAlignment="1">
      <alignment horizontal="center" vertical="center" wrapText="1"/>
    </xf>
    <xf numFmtId="49" fontId="10" fillId="2" borderId="0" xfId="0" applyNumberFormat="1" applyFont="1" applyFill="1" applyBorder="1" applyAlignment="1">
      <alignment horizontal="center" vertical="top" wrapText="1"/>
    </xf>
    <xf numFmtId="0" fontId="10" fillId="39" borderId="0" xfId="0" applyFont="1" applyFill="1" applyBorder="1" applyAlignment="1" applyProtection="1">
      <alignment horizontal="center" vertical="center" wrapText="1"/>
    </xf>
    <xf numFmtId="173" fontId="129" fillId="59" borderId="85" xfId="0" applyNumberFormat="1" applyFont="1" applyFill="1" applyBorder="1" applyAlignment="1" applyProtection="1">
      <alignment horizontal="center" vertical="center" wrapText="1"/>
    </xf>
    <xf numFmtId="0" fontId="10" fillId="58" borderId="0" xfId="0" applyFont="1" applyFill="1" applyBorder="1" applyAlignment="1" applyProtection="1">
      <alignment horizontal="center" vertical="center" wrapText="1"/>
    </xf>
    <xf numFmtId="173" fontId="142" fillId="57" borderId="18" xfId="0" applyNumberFormat="1" applyFont="1" applyFill="1" applyBorder="1" applyAlignment="1" applyProtection="1">
      <alignment horizontal="center" vertical="center" wrapText="1"/>
    </xf>
    <xf numFmtId="164" fontId="50" fillId="5" borderId="35" xfId="0" applyNumberFormat="1" applyFont="1" applyFill="1" applyBorder="1" applyAlignment="1">
      <alignment horizontal="center" vertical="center" wrapText="1"/>
    </xf>
    <xf numFmtId="173" fontId="142" fillId="57" borderId="27" xfId="0" applyNumberFormat="1" applyFont="1" applyFill="1" applyBorder="1" applyAlignment="1" applyProtection="1">
      <alignment horizontal="center" vertical="center" wrapText="1"/>
    </xf>
    <xf numFmtId="0" fontId="36" fillId="74" borderId="163" xfId="0" applyNumberFormat="1" applyFont="1" applyFill="1" applyBorder="1" applyAlignment="1" applyProtection="1">
      <alignment horizontal="center" vertical="center" wrapText="1"/>
    </xf>
    <xf numFmtId="49" fontId="36" fillId="74" borderId="163" xfId="0" applyNumberFormat="1" applyFont="1" applyFill="1" applyBorder="1" applyAlignment="1" applyProtection="1">
      <alignment horizontal="center" vertical="center" wrapText="1"/>
    </xf>
    <xf numFmtId="1" fontId="113" fillId="10" borderId="163" xfId="0" applyNumberFormat="1" applyFont="1" applyFill="1" applyBorder="1" applyAlignment="1" applyProtection="1">
      <alignment horizontal="center" vertical="center" wrapText="1"/>
    </xf>
    <xf numFmtId="164" fontId="114" fillId="10" borderId="163" xfId="0" applyNumberFormat="1" applyFont="1" applyFill="1" applyBorder="1" applyAlignment="1" applyProtection="1">
      <alignment horizontal="center" vertical="center" wrapText="1"/>
    </xf>
    <xf numFmtId="1" fontId="114" fillId="10" borderId="163" xfId="0" applyNumberFormat="1" applyFont="1" applyFill="1" applyBorder="1" applyAlignment="1" applyProtection="1">
      <alignment horizontal="center" vertical="center" wrapText="1"/>
    </xf>
    <xf numFmtId="181" fontId="114" fillId="10" borderId="163" xfId="0" applyNumberFormat="1" applyFont="1" applyFill="1" applyBorder="1" applyAlignment="1" applyProtection="1">
      <alignment horizontal="center" vertical="center" wrapText="1"/>
    </xf>
    <xf numFmtId="182" fontId="114" fillId="10" borderId="163" xfId="0" applyNumberFormat="1" applyFont="1" applyFill="1" applyBorder="1" applyAlignment="1" applyProtection="1">
      <alignment horizontal="center" vertical="center" wrapText="1"/>
    </xf>
    <xf numFmtId="183" fontId="114" fillId="10" borderId="163" xfId="0" applyNumberFormat="1" applyFont="1" applyFill="1" applyBorder="1" applyAlignment="1" applyProtection="1">
      <alignment horizontal="center" vertical="center" wrapText="1"/>
    </xf>
    <xf numFmtId="164" fontId="113" fillId="32" borderId="163" xfId="0" applyNumberFormat="1" applyFont="1" applyFill="1" applyBorder="1" applyAlignment="1" applyProtection="1">
      <alignment horizontal="center" vertical="center" wrapText="1"/>
    </xf>
    <xf numFmtId="164" fontId="114" fillId="32" borderId="163" xfId="0" applyNumberFormat="1" applyFont="1" applyFill="1" applyBorder="1" applyAlignment="1" applyProtection="1">
      <alignment horizontal="center" vertical="center" wrapText="1"/>
    </xf>
    <xf numFmtId="1" fontId="114" fillId="32" borderId="163" xfId="0" applyNumberFormat="1" applyFont="1" applyFill="1" applyBorder="1" applyAlignment="1" applyProtection="1">
      <alignment horizontal="center" vertical="center" wrapText="1"/>
    </xf>
    <xf numFmtId="181" fontId="114" fillId="32" borderId="163" xfId="0" applyNumberFormat="1" applyFont="1" applyFill="1" applyBorder="1" applyAlignment="1" applyProtection="1">
      <alignment horizontal="center" vertical="center" wrapText="1"/>
    </xf>
    <xf numFmtId="182" fontId="114" fillId="32" borderId="163" xfId="0" applyNumberFormat="1" applyFont="1" applyFill="1" applyBorder="1" applyAlignment="1" applyProtection="1">
      <alignment horizontal="center" vertical="center" wrapText="1"/>
    </xf>
    <xf numFmtId="165" fontId="31" fillId="35" borderId="42" xfId="0" applyNumberFormat="1" applyFont="1" applyFill="1" applyBorder="1" applyAlignment="1">
      <alignment horizontal="center" vertical="top"/>
    </xf>
    <xf numFmtId="165" fontId="31" fillId="35" borderId="42" xfId="0" applyNumberFormat="1" applyFont="1" applyFill="1" applyBorder="1" applyAlignment="1">
      <alignment vertical="top"/>
    </xf>
    <xf numFmtId="164" fontId="39" fillId="34" borderId="40" xfId="0" applyNumberFormat="1" applyFont="1" applyFill="1" applyBorder="1" applyAlignment="1">
      <alignment horizontal="center" vertical="top" wrapText="1" readingOrder="1"/>
    </xf>
    <xf numFmtId="0" fontId="31" fillId="31" borderId="0" xfId="0" applyFont="1" applyFill="1" applyBorder="1" applyAlignment="1">
      <alignment horizontal="center" vertical="top"/>
    </xf>
    <xf numFmtId="164" fontId="39" fillId="34" borderId="40" xfId="0" applyNumberFormat="1" applyFont="1" applyFill="1" applyBorder="1" applyAlignment="1">
      <alignment horizontal="center" vertical="center" wrapText="1"/>
    </xf>
    <xf numFmtId="164" fontId="39" fillId="34" borderId="40" xfId="0" applyNumberFormat="1" applyFont="1" applyFill="1" applyBorder="1" applyAlignment="1">
      <alignment horizontal="center" vertical="top" wrapText="1"/>
    </xf>
    <xf numFmtId="164" fontId="74" fillId="34" borderId="40" xfId="0" applyNumberFormat="1" applyFont="1" applyFill="1" applyBorder="1" applyAlignment="1">
      <alignment horizontal="center" vertical="top"/>
    </xf>
    <xf numFmtId="169" fontId="31" fillId="31" borderId="0" xfId="0" applyNumberFormat="1" applyFont="1" applyFill="1" applyBorder="1" applyAlignment="1">
      <alignment horizontal="center" vertical="center"/>
    </xf>
    <xf numFmtId="164" fontId="39" fillId="34" borderId="40" xfId="0" applyNumberFormat="1" applyFont="1" applyFill="1" applyBorder="1" applyAlignment="1">
      <alignment vertical="top" wrapText="1" readingOrder="1"/>
    </xf>
    <xf numFmtId="9" fontId="31" fillId="35" borderId="164" xfId="0" applyNumberFormat="1" applyFont="1" applyFill="1" applyBorder="1" applyAlignment="1"/>
    <xf numFmtId="165" fontId="31" fillId="35" borderId="165" xfId="0" applyNumberFormat="1" applyFont="1" applyFill="1" applyBorder="1" applyAlignment="1">
      <alignment horizontal="center" vertical="top"/>
    </xf>
    <xf numFmtId="165" fontId="31" fillId="35" borderId="165" xfId="0" applyNumberFormat="1" applyFont="1" applyFill="1" applyBorder="1" applyAlignment="1">
      <alignment vertical="top"/>
    </xf>
    <xf numFmtId="164" fontId="143" fillId="34" borderId="40" xfId="0" applyNumberFormat="1" applyFont="1" applyFill="1" applyBorder="1" applyAlignment="1">
      <alignment horizontal="center" vertical="top" wrapText="1" readingOrder="1"/>
    </xf>
    <xf numFmtId="165" fontId="144" fillId="35" borderId="42" xfId="0" applyNumberFormat="1" applyFont="1" applyFill="1" applyBorder="1" applyAlignment="1">
      <alignment horizontal="center" vertical="top"/>
    </xf>
    <xf numFmtId="164" fontId="143" fillId="34" borderId="40" xfId="0" applyNumberFormat="1" applyFont="1" applyFill="1" applyBorder="1" applyAlignment="1">
      <alignment horizontal="center" vertical="center" wrapText="1" readingOrder="1"/>
    </xf>
    <xf numFmtId="0" fontId="148" fillId="57" borderId="18" xfId="0" applyNumberFormat="1" applyFont="1" applyFill="1" applyBorder="1" applyAlignment="1" applyProtection="1">
      <alignment horizontal="center" vertical="center" wrapText="1"/>
    </xf>
    <xf numFmtId="0" fontId="10" fillId="58" borderId="166" xfId="0" applyFont="1" applyFill="1" applyBorder="1" applyAlignment="1" applyProtection="1">
      <alignment horizontal="center" vertical="center" wrapText="1"/>
    </xf>
    <xf numFmtId="0" fontId="31" fillId="38" borderId="125" xfId="0" applyNumberFormat="1" applyFont="1" applyFill="1" applyBorder="1" applyAlignment="1" applyProtection="1">
      <alignment horizontal="center" vertical="center"/>
      <protection locked="0"/>
    </xf>
    <xf numFmtId="0" fontId="31" fillId="38" borderId="169" xfId="0" applyNumberFormat="1" applyFont="1" applyFill="1" applyBorder="1" applyAlignment="1" applyProtection="1">
      <alignment horizontal="center" vertical="center"/>
      <protection locked="0"/>
    </xf>
    <xf numFmtId="1" fontId="25" fillId="45" borderId="170" xfId="0" applyNumberFormat="1" applyFont="1" applyFill="1" applyBorder="1" applyAlignment="1" applyProtection="1">
      <alignment horizontal="left" vertical="center"/>
      <protection locked="0"/>
    </xf>
    <xf numFmtId="0" fontId="31" fillId="37" borderId="175" xfId="0" applyFont="1" applyFill="1" applyBorder="1" applyAlignment="1" applyProtection="1">
      <alignment horizontal="center" vertical="center" wrapText="1"/>
    </xf>
    <xf numFmtId="0" fontId="10" fillId="37" borderId="174" xfId="0" applyFont="1" applyFill="1" applyBorder="1" applyAlignment="1" applyProtection="1">
      <alignment horizontal="center" vertical="center" wrapText="1"/>
    </xf>
    <xf numFmtId="0" fontId="25" fillId="37" borderId="176" xfId="0" applyFont="1" applyFill="1" applyBorder="1" applyAlignment="1" applyProtection="1">
      <alignment horizontal="left" vertical="center" wrapText="1"/>
    </xf>
    <xf numFmtId="0" fontId="10" fillId="58" borderId="177" xfId="0" applyFont="1" applyFill="1" applyBorder="1" applyAlignment="1" applyProtection="1">
      <alignment horizontal="center" vertical="center" wrapText="1"/>
    </xf>
    <xf numFmtId="178" fontId="83" fillId="15" borderId="0" xfId="0" applyNumberFormat="1" applyFont="1" applyFill="1" applyBorder="1" applyAlignment="1" applyProtection="1">
      <alignment horizontal="center" vertical="center"/>
    </xf>
    <xf numFmtId="175" fontId="50" fillId="15" borderId="0" xfId="0" applyNumberFormat="1" applyFont="1" applyFill="1" applyBorder="1" applyAlignment="1" applyProtection="1">
      <alignment horizontal="left" vertical="center"/>
    </xf>
    <xf numFmtId="0" fontId="42" fillId="31" borderId="178" xfId="0" applyFont="1" applyFill="1" applyBorder="1" applyAlignment="1">
      <alignment horizontal="center" vertical="center"/>
    </xf>
    <xf numFmtId="0" fontId="42" fillId="31" borderId="179" xfId="0" applyFont="1" applyFill="1" applyBorder="1" applyAlignment="1">
      <alignment horizontal="center" vertical="center"/>
    </xf>
    <xf numFmtId="0" fontId="31" fillId="34" borderId="180" xfId="0" applyFont="1" applyFill="1" applyBorder="1" applyAlignment="1">
      <alignment horizontal="center" vertical="center"/>
    </xf>
    <xf numFmtId="0" fontId="31" fillId="35" borderId="181" xfId="0" applyFont="1" applyFill="1" applyBorder="1" applyAlignment="1">
      <alignment horizontal="center" vertical="center"/>
    </xf>
    <xf numFmtId="0" fontId="31" fillId="30" borderId="180" xfId="0" applyFont="1" applyFill="1" applyBorder="1">
      <alignment vertical="center"/>
    </xf>
    <xf numFmtId="0" fontId="31" fillId="30" borderId="180" xfId="0" applyFont="1" applyFill="1" applyBorder="1" applyAlignment="1">
      <alignment horizontal="center" vertical="center"/>
    </xf>
    <xf numFmtId="0" fontId="42" fillId="31" borderId="182" xfId="0" applyFont="1" applyFill="1" applyBorder="1" applyAlignment="1">
      <alignment horizontal="center" vertical="center"/>
    </xf>
    <xf numFmtId="0" fontId="31" fillId="31" borderId="183" xfId="0" applyFont="1" applyFill="1" applyBorder="1" applyAlignment="1">
      <alignment horizontal="center" vertical="top"/>
    </xf>
    <xf numFmtId="0" fontId="31" fillId="31" borderId="184" xfId="0" applyFont="1" applyFill="1" applyBorder="1" applyAlignment="1">
      <alignment horizontal="center" vertical="top"/>
    </xf>
    <xf numFmtId="0" fontId="31" fillId="31" borderId="187" xfId="0" applyFont="1" applyFill="1" applyBorder="1" applyAlignment="1">
      <alignment horizontal="center" vertical="center"/>
    </xf>
    <xf numFmtId="0" fontId="96" fillId="31" borderId="187" xfId="0" applyFont="1" applyFill="1" applyBorder="1" applyAlignment="1">
      <alignment horizontal="center" vertical="center"/>
    </xf>
    <xf numFmtId="0" fontId="31" fillId="31" borderId="188" xfId="0" applyFont="1" applyFill="1" applyBorder="1" applyAlignment="1">
      <alignment horizontal="center" vertical="top"/>
    </xf>
    <xf numFmtId="9" fontId="31" fillId="35" borderId="43" xfId="0" applyNumberFormat="1" applyFont="1" applyFill="1" applyBorder="1" applyAlignment="1"/>
    <xf numFmtId="0" fontId="31" fillId="31" borderId="189" xfId="0" applyFont="1" applyFill="1" applyBorder="1" applyAlignment="1">
      <alignment horizontal="center" vertical="top"/>
    </xf>
    <xf numFmtId="0" fontId="31" fillId="31" borderId="187" xfId="0" applyFont="1" applyFill="1" applyBorder="1" applyAlignment="1">
      <alignment horizontal="center" vertical="top"/>
    </xf>
    <xf numFmtId="169" fontId="31" fillId="31" borderId="187" xfId="0" applyNumberFormat="1" applyFont="1" applyFill="1" applyBorder="1" applyAlignment="1">
      <alignment horizontal="center" vertical="center"/>
    </xf>
    <xf numFmtId="0" fontId="42" fillId="31" borderId="190" xfId="0" applyFont="1" applyFill="1" applyBorder="1" applyAlignment="1">
      <alignment horizontal="center" vertical="center"/>
    </xf>
    <xf numFmtId="0" fontId="42" fillId="31" borderId="191" xfId="0" applyFont="1" applyFill="1" applyBorder="1" applyAlignment="1">
      <alignment horizontal="center" vertical="center"/>
    </xf>
    <xf numFmtId="164" fontId="145" fillId="34" borderId="192" xfId="0" applyNumberFormat="1" applyFont="1" applyFill="1" applyBorder="1" applyAlignment="1">
      <alignment horizontal="center" vertical="top" wrapText="1"/>
    </xf>
    <xf numFmtId="9" fontId="31" fillId="35" borderId="193" xfId="0" applyNumberFormat="1" applyFont="1" applyFill="1" applyBorder="1" applyAlignment="1">
      <alignment vertical="top"/>
    </xf>
    <xf numFmtId="0" fontId="96" fillId="31" borderId="194" xfId="0" applyFont="1" applyFill="1" applyBorder="1" applyAlignment="1">
      <alignment horizontal="center" vertical="center"/>
    </xf>
    <xf numFmtId="9" fontId="31" fillId="35" borderId="195" xfId="0" applyNumberFormat="1" applyFont="1" applyFill="1" applyBorder="1" applyAlignment="1">
      <alignment vertical="top"/>
    </xf>
    <xf numFmtId="0" fontId="96" fillId="31" borderId="196" xfId="0" applyFont="1" applyFill="1" applyBorder="1" applyAlignment="1">
      <alignment horizontal="center" vertical="center"/>
    </xf>
    <xf numFmtId="0" fontId="31" fillId="34" borderId="42" xfId="0" applyFont="1" applyFill="1" applyBorder="1" applyAlignment="1">
      <alignment horizontal="center" vertical="center"/>
    </xf>
    <xf numFmtId="0" fontId="31" fillId="35" borderId="197" xfId="0" applyFont="1" applyFill="1" applyBorder="1" applyAlignment="1">
      <alignment horizontal="center" vertical="center"/>
    </xf>
    <xf numFmtId="0" fontId="31" fillId="31" borderId="184" xfId="0" applyFont="1" applyFill="1" applyBorder="1" applyAlignment="1">
      <alignment horizontal="center" vertical="center"/>
    </xf>
    <xf numFmtId="164" fontId="95" fillId="65" borderId="0" xfId="0" applyNumberFormat="1" applyFont="1" applyFill="1" applyBorder="1" applyAlignment="1">
      <alignment horizontal="center" vertical="center"/>
    </xf>
    <xf numFmtId="164" fontId="95" fillId="37" borderId="0" xfId="0" applyNumberFormat="1" applyFont="1" applyFill="1" applyBorder="1" applyAlignment="1">
      <alignment horizontal="center" vertical="center"/>
    </xf>
    <xf numFmtId="0" fontId="31" fillId="38" borderId="200" xfId="0" applyNumberFormat="1" applyFont="1" applyFill="1" applyBorder="1" applyAlignment="1" applyProtection="1">
      <alignment horizontal="center" vertical="center"/>
      <protection locked="0"/>
    </xf>
    <xf numFmtId="0" fontId="10" fillId="45" borderId="199" xfId="0" applyFont="1" applyFill="1" applyBorder="1" applyAlignment="1" applyProtection="1">
      <alignment horizontal="center" vertical="center" wrapText="1"/>
    </xf>
    <xf numFmtId="1" fontId="25" fillId="45" borderId="201" xfId="0" applyNumberFormat="1" applyFont="1" applyFill="1" applyBorder="1" applyAlignment="1" applyProtection="1">
      <alignment horizontal="left" vertical="center"/>
      <protection locked="0"/>
    </xf>
    <xf numFmtId="0" fontId="31" fillId="37" borderId="0" xfId="0" applyFont="1" applyFill="1" applyBorder="1" applyAlignment="1" applyProtection="1">
      <alignment horizontal="center" vertical="center" wrapText="1"/>
    </xf>
    <xf numFmtId="0" fontId="25" fillId="37" borderId="203" xfId="0" applyFont="1" applyFill="1" applyBorder="1" applyAlignment="1" applyProtection="1">
      <alignment horizontal="left" vertical="center" wrapText="1"/>
    </xf>
    <xf numFmtId="0" fontId="10" fillId="33" borderId="212" xfId="0" applyFont="1" applyFill="1" applyBorder="1" applyAlignment="1">
      <alignment horizontal="center" vertical="center"/>
    </xf>
    <xf numFmtId="0" fontId="10" fillId="33" borderId="213" xfId="0" applyFont="1" applyFill="1" applyBorder="1" applyAlignment="1">
      <alignment horizontal="center" vertical="center"/>
    </xf>
    <xf numFmtId="0" fontId="73" fillId="65" borderId="203" xfId="0" applyFont="1" applyFill="1" applyBorder="1">
      <alignment vertical="center"/>
    </xf>
    <xf numFmtId="0" fontId="72" fillId="37" borderId="0" xfId="0" applyFont="1" applyFill="1" applyBorder="1">
      <alignment vertical="center"/>
    </xf>
    <xf numFmtId="0" fontId="72" fillId="37" borderId="203" xfId="0" applyFont="1" applyFill="1" applyBorder="1">
      <alignment vertical="center"/>
    </xf>
    <xf numFmtId="0" fontId="73" fillId="65" borderId="202" xfId="0" applyFont="1" applyFill="1" applyBorder="1">
      <alignment vertical="center"/>
    </xf>
    <xf numFmtId="0" fontId="73" fillId="65" borderId="0" xfId="0" applyFont="1" applyFill="1" applyBorder="1">
      <alignment vertical="center"/>
    </xf>
    <xf numFmtId="0" fontId="72" fillId="37" borderId="202" xfId="0" applyFont="1" applyFill="1" applyBorder="1">
      <alignment vertical="center"/>
    </xf>
    <xf numFmtId="0" fontId="72" fillId="37" borderId="205" xfId="0" applyFont="1" applyFill="1" applyBorder="1">
      <alignment vertical="center"/>
    </xf>
    <xf numFmtId="0" fontId="72" fillId="37" borderId="206" xfId="0" applyFont="1" applyFill="1" applyBorder="1">
      <alignment vertical="center"/>
    </xf>
    <xf numFmtId="164" fontId="95" fillId="37" borderId="206" xfId="0" applyNumberFormat="1" applyFont="1" applyFill="1" applyBorder="1" applyAlignment="1">
      <alignment horizontal="center" vertical="center"/>
    </xf>
    <xf numFmtId="178" fontId="150" fillId="65" borderId="0" xfId="0" applyNumberFormat="1" applyFont="1" applyFill="1" applyBorder="1" applyAlignment="1" applyProtection="1">
      <alignment horizontal="center" vertical="center"/>
    </xf>
    <xf numFmtId="0" fontId="46" fillId="36" borderId="0" xfId="0" applyFont="1" applyFill="1" applyBorder="1" applyAlignment="1">
      <alignment horizontal="center" vertical="center"/>
    </xf>
    <xf numFmtId="0" fontId="46" fillId="36" borderId="206" xfId="0" applyFont="1" applyFill="1" applyBorder="1" applyAlignment="1">
      <alignment horizontal="center" vertical="center"/>
    </xf>
    <xf numFmtId="0" fontId="76" fillId="65" borderId="203" xfId="0" applyFont="1" applyFill="1" applyBorder="1" applyAlignment="1">
      <alignment horizontal="center" vertical="center"/>
    </xf>
    <xf numFmtId="0" fontId="76" fillId="37" borderId="203" xfId="0" applyFont="1" applyFill="1" applyBorder="1" applyAlignment="1">
      <alignment horizontal="center" vertical="center"/>
    </xf>
    <xf numFmtId="0" fontId="76" fillId="37" borderId="207" xfId="0" applyFont="1" applyFill="1" applyBorder="1" applyAlignment="1">
      <alignment horizontal="center" vertical="center"/>
    </xf>
    <xf numFmtId="0" fontId="10" fillId="37" borderId="203" xfId="0" applyFont="1" applyFill="1" applyBorder="1" applyAlignment="1" applyProtection="1">
      <alignment horizontal="center" vertical="center" wrapText="1"/>
      <protection locked="0"/>
    </xf>
    <xf numFmtId="0" fontId="10" fillId="45" borderId="203" xfId="0" applyFont="1" applyFill="1" applyBorder="1" applyAlignment="1" applyProtection="1">
      <alignment horizontal="center" vertical="center"/>
      <protection locked="0"/>
    </xf>
    <xf numFmtId="0" fontId="10" fillId="37" borderId="172" xfId="0" applyFont="1" applyFill="1" applyBorder="1" applyAlignment="1" applyProtection="1">
      <alignment horizontal="center" vertical="center" wrapText="1"/>
      <protection locked="0"/>
    </xf>
    <xf numFmtId="0" fontId="10" fillId="45" borderId="172" xfId="0" applyFont="1" applyFill="1" applyBorder="1" applyAlignment="1" applyProtection="1">
      <alignment horizontal="center" vertical="center"/>
      <protection locked="0"/>
    </xf>
    <xf numFmtId="0" fontId="83" fillId="15" borderId="0" xfId="0" applyFont="1" applyFill="1" applyBorder="1" applyAlignment="1" applyProtection="1">
      <alignment horizontal="center" vertical="center"/>
    </xf>
    <xf numFmtId="0" fontId="129" fillId="59" borderId="87" xfId="0" applyFont="1" applyFill="1" applyBorder="1" applyAlignment="1" applyProtection="1">
      <alignment horizontal="center" vertical="center" wrapText="1"/>
    </xf>
    <xf numFmtId="173" fontId="129" fillId="59" borderId="86" xfId="0" applyNumberFormat="1" applyFont="1" applyFill="1" applyBorder="1" applyAlignment="1" applyProtection="1">
      <alignment horizontal="center" vertical="center" wrapText="1"/>
    </xf>
    <xf numFmtId="0" fontId="50" fillId="60" borderId="0" xfId="0" applyFont="1" applyFill="1" applyBorder="1" applyAlignment="1" applyProtection="1">
      <alignment horizontal="center" vertical="center"/>
    </xf>
    <xf numFmtId="0" fontId="50" fillId="61" borderId="0" xfId="0" applyFont="1" applyFill="1" applyBorder="1" applyAlignment="1" applyProtection="1">
      <alignment horizontal="center" vertical="center"/>
    </xf>
    <xf numFmtId="0" fontId="50" fillId="62" borderId="91" xfId="0" applyFont="1" applyFill="1" applyBorder="1" applyAlignment="1" applyProtection="1">
      <alignment horizontal="center" vertical="center"/>
    </xf>
    <xf numFmtId="0" fontId="50" fillId="60" borderId="89" xfId="0" applyFont="1" applyFill="1" applyBorder="1" applyAlignment="1" applyProtection="1">
      <alignment horizontal="center" vertical="center"/>
    </xf>
    <xf numFmtId="0" fontId="50" fillId="61" borderId="89" xfId="0" applyFont="1" applyFill="1" applyBorder="1" applyAlignment="1" applyProtection="1">
      <alignment horizontal="center" vertical="center"/>
    </xf>
    <xf numFmtId="0" fontId="50" fillId="62" borderId="92" xfId="0" applyFont="1" applyFill="1" applyBorder="1" applyAlignment="1" applyProtection="1">
      <alignment horizontal="center" vertical="center"/>
    </xf>
    <xf numFmtId="0" fontId="50" fillId="60" borderId="88" xfId="0" applyFont="1" applyFill="1" applyBorder="1" applyAlignment="1" applyProtection="1">
      <alignment horizontal="center" vertical="center"/>
    </xf>
    <xf numFmtId="0" fontId="50" fillId="61" borderId="88" xfId="0" applyFont="1" applyFill="1" applyBorder="1" applyAlignment="1" applyProtection="1">
      <alignment horizontal="center" vertical="center"/>
    </xf>
    <xf numFmtId="0" fontId="50" fillId="62" borderId="90" xfId="0" applyFont="1" applyFill="1" applyBorder="1" applyAlignment="1" applyProtection="1">
      <alignment horizontal="center" vertical="center"/>
    </xf>
    <xf numFmtId="0" fontId="50" fillId="60" borderId="88" xfId="0" applyFont="1" applyFill="1" applyBorder="1" applyAlignment="1" applyProtection="1">
      <alignment horizontal="center" vertical="center"/>
    </xf>
    <xf numFmtId="0" fontId="50" fillId="60" borderId="89" xfId="0" applyFont="1" applyFill="1" applyBorder="1" applyAlignment="1" applyProtection="1">
      <alignment horizontal="center" vertical="center"/>
    </xf>
    <xf numFmtId="0" fontId="77" fillId="32" borderId="217" xfId="0" applyFont="1" applyFill="1" applyBorder="1" applyAlignment="1">
      <alignment horizontal="center" vertical="center"/>
    </xf>
    <xf numFmtId="0" fontId="76" fillId="32" borderId="219" xfId="0" applyFont="1" applyFill="1" applyBorder="1" applyAlignment="1">
      <alignment horizontal="center" vertical="center"/>
    </xf>
    <xf numFmtId="0" fontId="76" fillId="65" borderId="217" xfId="0" applyFont="1" applyFill="1" applyBorder="1" applyAlignment="1">
      <alignment horizontal="center" vertical="center"/>
    </xf>
    <xf numFmtId="1" fontId="52" fillId="46" borderId="215" xfId="0" applyNumberFormat="1" applyFont="1" applyFill="1" applyBorder="1" applyAlignment="1">
      <alignment horizontal="center" vertical="center" wrapText="1"/>
    </xf>
    <xf numFmtId="1" fontId="52" fillId="46" borderId="161" xfId="0" applyNumberFormat="1" applyFont="1" applyFill="1" applyBorder="1" applyAlignment="1">
      <alignment horizontal="center" vertical="center" wrapText="1"/>
    </xf>
    <xf numFmtId="1" fontId="52" fillId="46" borderId="216" xfId="0" applyNumberFormat="1" applyFont="1" applyFill="1" applyBorder="1" applyAlignment="1">
      <alignment horizontal="center" vertical="center" wrapText="1"/>
    </xf>
    <xf numFmtId="0" fontId="147" fillId="32" borderId="0" xfId="0" applyFont="1" applyFill="1" applyBorder="1" applyAlignment="1">
      <alignment horizontal="center" vertical="center"/>
    </xf>
    <xf numFmtId="169" fontId="25" fillId="32" borderId="218" xfId="0" applyNumberFormat="1" applyFont="1" applyFill="1" applyBorder="1" applyAlignment="1">
      <alignment horizontal="center" vertical="center"/>
    </xf>
    <xf numFmtId="0" fontId="147" fillId="65" borderId="0" xfId="0" applyFont="1" applyFill="1" applyBorder="1" applyAlignment="1">
      <alignment horizontal="center" vertical="center"/>
    </xf>
    <xf numFmtId="169" fontId="25" fillId="65" borderId="218" xfId="0" applyNumberFormat="1" applyFont="1" applyFill="1" applyBorder="1" applyAlignment="1">
      <alignment horizontal="center" vertical="center"/>
    </xf>
    <xf numFmtId="0" fontId="147" fillId="32" borderId="128" xfId="0" applyFont="1" applyFill="1" applyBorder="1" applyAlignment="1">
      <alignment horizontal="center" vertical="center"/>
    </xf>
    <xf numFmtId="169" fontId="25" fillId="32" borderId="220" xfId="0" applyNumberFormat="1" applyFont="1" applyFill="1" applyBorder="1" applyAlignment="1">
      <alignment horizontal="center" vertical="center"/>
    </xf>
    <xf numFmtId="0" fontId="25" fillId="33" borderId="36" xfId="0" applyFont="1" applyFill="1" applyBorder="1" applyAlignment="1" applyProtection="1">
      <alignment horizontal="center" vertical="center"/>
    </xf>
    <xf numFmtId="175" fontId="146" fillId="65" borderId="0" xfId="0" applyNumberFormat="1" applyFont="1" applyFill="1" applyBorder="1" applyAlignment="1" applyProtection="1">
      <alignment horizontal="center" vertical="center"/>
    </xf>
    <xf numFmtId="168" fontId="50" fillId="39" borderId="2" xfId="0" applyNumberFormat="1" applyFont="1" applyFill="1" applyBorder="1" applyAlignment="1">
      <alignment horizontal="center" vertical="center" wrapText="1"/>
    </xf>
    <xf numFmtId="0" fontId="153" fillId="68" borderId="0" xfId="0" applyFont="1" applyFill="1">
      <alignment vertical="center"/>
    </xf>
    <xf numFmtId="184" fontId="50" fillId="0" borderId="4" xfId="0" applyNumberFormat="1" applyFont="1" applyBorder="1" applyAlignment="1">
      <alignment horizontal="center" vertical="center" wrapText="1"/>
    </xf>
    <xf numFmtId="0" fontId="10" fillId="39" borderId="0" xfId="0" applyFont="1" applyFill="1" applyBorder="1" applyAlignment="1" applyProtection="1">
      <alignment horizontal="center" vertical="center" wrapText="1"/>
    </xf>
    <xf numFmtId="0" fontId="31" fillId="58" borderId="0" xfId="0" applyFont="1" applyFill="1" applyBorder="1" applyAlignment="1" applyProtection="1">
      <alignment horizontal="left" vertical="center"/>
    </xf>
    <xf numFmtId="0" fontId="10" fillId="58" borderId="0" xfId="0" applyFont="1" applyFill="1" applyBorder="1" applyAlignment="1" applyProtection="1">
      <alignment horizontal="center" vertical="center" wrapText="1"/>
    </xf>
    <xf numFmtId="0" fontId="0" fillId="33" borderId="0" xfId="0" applyFill="1" applyBorder="1" applyAlignment="1">
      <alignment horizontal="center" vertical="center"/>
    </xf>
    <xf numFmtId="0" fontId="0" fillId="33" borderId="24" xfId="0" applyFill="1" applyBorder="1" applyAlignment="1">
      <alignment horizontal="center" vertical="center"/>
    </xf>
    <xf numFmtId="0" fontId="0" fillId="66" borderId="118" xfId="0" applyFill="1" applyBorder="1" applyAlignment="1">
      <alignment horizontal="center" vertical="center"/>
    </xf>
    <xf numFmtId="0" fontId="0" fillId="66" borderId="15" xfId="0" applyFill="1" applyBorder="1" applyAlignment="1">
      <alignment horizontal="center" vertical="center"/>
    </xf>
    <xf numFmtId="0" fontId="0" fillId="66" borderId="16" xfId="0" applyFill="1" applyBorder="1" applyAlignment="1">
      <alignment horizontal="center" vertical="center"/>
    </xf>
    <xf numFmtId="0" fontId="0" fillId="66" borderId="117" xfId="0" applyFill="1" applyBorder="1" applyAlignment="1">
      <alignment horizontal="center" vertical="center"/>
    </xf>
    <xf numFmtId="0" fontId="0" fillId="66" borderId="10" xfId="0" applyFill="1" applyBorder="1" applyAlignment="1">
      <alignment horizontal="center" vertical="center"/>
    </xf>
    <xf numFmtId="0" fontId="0" fillId="33" borderId="121" xfId="0" applyFill="1" applyBorder="1" applyAlignment="1">
      <alignment horizontal="center" vertical="center"/>
    </xf>
    <xf numFmtId="0" fontId="0" fillId="33" borderId="159" xfId="0" applyFill="1" applyBorder="1" applyAlignment="1">
      <alignment horizontal="center" vertical="center"/>
    </xf>
    <xf numFmtId="0" fontId="0" fillId="66" borderId="9" xfId="0" applyFill="1" applyBorder="1" applyAlignment="1">
      <alignment horizontal="center" vertical="center"/>
    </xf>
    <xf numFmtId="0" fontId="0" fillId="39" borderId="117" xfId="0" applyFill="1" applyBorder="1">
      <alignment vertical="center"/>
    </xf>
    <xf numFmtId="0" fontId="0" fillId="39" borderId="119" xfId="0" applyFill="1" applyBorder="1">
      <alignment vertical="center"/>
    </xf>
    <xf numFmtId="0" fontId="0" fillId="39" borderId="120" xfId="0" applyFill="1" applyBorder="1">
      <alignment vertical="center"/>
    </xf>
    <xf numFmtId="0" fontId="0" fillId="39" borderId="53" xfId="0" applyFill="1" applyBorder="1">
      <alignment vertical="center"/>
    </xf>
    <xf numFmtId="0" fontId="0" fillId="39" borderId="0" xfId="0" applyFill="1" applyBorder="1">
      <alignment vertical="center"/>
    </xf>
    <xf numFmtId="0" fontId="0" fillId="39" borderId="24" xfId="0" applyFill="1" applyBorder="1">
      <alignment vertical="center"/>
    </xf>
    <xf numFmtId="0" fontId="0" fillId="65" borderId="0" xfId="0" applyFill="1" applyBorder="1">
      <alignment vertical="center"/>
    </xf>
    <xf numFmtId="0" fontId="0" fillId="38" borderId="0" xfId="0" applyFill="1" applyBorder="1">
      <alignment vertical="center"/>
    </xf>
    <xf numFmtId="0" fontId="0" fillId="76" borderId="0" xfId="0" applyFill="1" applyBorder="1">
      <alignment vertical="center"/>
    </xf>
    <xf numFmtId="0" fontId="0" fillId="77" borderId="0" xfId="0" applyFill="1" applyBorder="1">
      <alignment vertical="center"/>
    </xf>
    <xf numFmtId="0" fontId="0" fillId="0" borderId="221" xfId="0" applyBorder="1">
      <alignment vertical="center"/>
    </xf>
    <xf numFmtId="0" fontId="0" fillId="39" borderId="222" xfId="0" applyFill="1" applyBorder="1">
      <alignment vertical="center"/>
    </xf>
    <xf numFmtId="0" fontId="0" fillId="39" borderId="223" xfId="0" applyFill="1" applyBorder="1">
      <alignment vertical="center"/>
    </xf>
    <xf numFmtId="0" fontId="80" fillId="38" borderId="0" xfId="0" applyFont="1" applyFill="1" applyBorder="1" applyAlignment="1">
      <alignment horizontal="center" vertical="center"/>
    </xf>
    <xf numFmtId="0" fontId="80" fillId="76" borderId="0" xfId="0" applyFont="1" applyFill="1" applyBorder="1" applyAlignment="1">
      <alignment horizontal="center" vertical="center"/>
    </xf>
    <xf numFmtId="0" fontId="80" fillId="77" borderId="0" xfId="0" applyFont="1" applyFill="1" applyBorder="1" applyAlignment="1">
      <alignment horizontal="center" vertical="center"/>
    </xf>
    <xf numFmtId="0" fontId="80" fillId="65" borderId="0" xfId="0" applyFont="1" applyFill="1" applyBorder="1" applyAlignment="1">
      <alignment horizontal="center"/>
    </xf>
    <xf numFmtId="0" fontId="80" fillId="65" borderId="0" xfId="0" applyFont="1" applyFill="1" applyBorder="1" applyAlignment="1">
      <alignment horizontal="center" vertical="top"/>
    </xf>
    <xf numFmtId="0" fontId="10" fillId="58" borderId="0" xfId="0" applyFont="1" applyFill="1" applyBorder="1" applyAlignment="1" applyProtection="1">
      <alignment horizontal="center" vertical="center" wrapText="1"/>
    </xf>
    <xf numFmtId="0" fontId="0" fillId="0" borderId="0" xfId="0" applyAlignment="1">
      <alignment horizontal="left" vertical="center"/>
    </xf>
    <xf numFmtId="10" fontId="0" fillId="0" borderId="0" xfId="0" applyNumberFormat="1" applyAlignment="1">
      <alignment horizontal="left" vertical="center"/>
    </xf>
    <xf numFmtId="0" fontId="0" fillId="68" borderId="224" xfId="0" applyFill="1" applyBorder="1" applyAlignment="1">
      <alignment horizontal="center" vertical="center"/>
    </xf>
    <xf numFmtId="0" fontId="0" fillId="39" borderId="225" xfId="0" applyFill="1" applyBorder="1" applyAlignment="1">
      <alignment vertical="center"/>
    </xf>
    <xf numFmtId="0" fontId="0" fillId="39" borderId="226" xfId="0" applyFill="1" applyBorder="1" applyAlignment="1">
      <alignment vertical="center"/>
    </xf>
    <xf numFmtId="0" fontId="0" fillId="68" borderId="224" xfId="0" applyFill="1" applyBorder="1" applyAlignment="1">
      <alignment vertical="center"/>
    </xf>
    <xf numFmtId="0" fontId="50" fillId="0" borderId="0" xfId="0" applyNumberFormat="1" applyFont="1" applyBorder="1" applyAlignment="1">
      <alignment horizontal="center" vertical="center" wrapText="1"/>
    </xf>
    <xf numFmtId="14" fontId="0" fillId="0" borderId="0" xfId="0" applyNumberFormat="1">
      <alignment vertical="center"/>
    </xf>
    <xf numFmtId="2" fontId="11" fillId="0" borderId="0" xfId="0" applyNumberFormat="1" applyFont="1">
      <alignment vertical="center"/>
    </xf>
    <xf numFmtId="14" fontId="73" fillId="0" borderId="0" xfId="0" applyNumberFormat="1" applyFont="1" applyAlignment="1">
      <alignment vertical="top" wrapText="1"/>
    </xf>
    <xf numFmtId="0" fontId="0" fillId="0" borderId="0" xfId="0" applyBorder="1">
      <alignment vertical="center"/>
    </xf>
    <xf numFmtId="0" fontId="50" fillId="5" borderId="136" xfId="0" applyNumberFormat="1" applyFont="1" applyFill="1" applyBorder="1" applyAlignment="1">
      <alignment horizontal="center" vertical="center" wrapText="1"/>
    </xf>
    <xf numFmtId="0" fontId="0" fillId="33" borderId="158" xfId="0" applyFill="1" applyBorder="1">
      <alignment vertical="center"/>
    </xf>
    <xf numFmtId="0" fontId="0" fillId="68" borderId="158" xfId="0" applyFill="1" applyBorder="1">
      <alignment vertical="center"/>
    </xf>
    <xf numFmtId="0" fontId="156" fillId="0" borderId="0" xfId="0" applyFont="1" applyAlignment="1">
      <alignment vertical="center"/>
    </xf>
    <xf numFmtId="0" fontId="0" fillId="78" borderId="18" xfId="0" applyFill="1" applyBorder="1">
      <alignment vertical="center"/>
    </xf>
    <xf numFmtId="187" fontId="160" fillId="0" borderId="0" xfId="0" applyNumberFormat="1" applyFont="1" applyAlignment="1">
      <alignment horizontal="center" vertical="center"/>
    </xf>
    <xf numFmtId="0" fontId="161" fillId="80" borderId="237" xfId="0" applyFont="1" applyFill="1" applyBorder="1" applyAlignment="1">
      <alignment horizontal="center" vertical="center"/>
    </xf>
    <xf numFmtId="0" fontId="161" fillId="80" borderId="238" xfId="0" applyFont="1" applyFill="1" applyBorder="1" applyAlignment="1">
      <alignment horizontal="center" vertical="center"/>
    </xf>
    <xf numFmtId="0" fontId="161" fillId="80" borderId="239" xfId="0" applyFont="1" applyFill="1" applyBorder="1" applyAlignment="1">
      <alignment horizontal="center" vertical="center"/>
    </xf>
    <xf numFmtId="187" fontId="161" fillId="79" borderId="238" xfId="0" applyNumberFormat="1" applyFont="1" applyFill="1" applyBorder="1" applyAlignment="1">
      <alignment horizontal="center" vertical="center"/>
    </xf>
    <xf numFmtId="0" fontId="161" fillId="79" borderId="238" xfId="0" applyFont="1" applyFill="1" applyBorder="1" applyAlignment="1">
      <alignment horizontal="center" vertical="center"/>
    </xf>
    <xf numFmtId="0" fontId="90" fillId="79" borderId="241" xfId="0" applyFont="1" applyFill="1" applyBorder="1" applyAlignment="1">
      <alignment horizontal="center" vertical="center"/>
    </xf>
    <xf numFmtId="186" fontId="162" fillId="63" borderId="240" xfId="0" applyNumberFormat="1" applyFont="1" applyFill="1" applyBorder="1" applyAlignment="1">
      <alignment horizontal="left" vertical="top" indent="1"/>
    </xf>
    <xf numFmtId="0" fontId="0" fillId="68" borderId="18" xfId="0" applyFill="1" applyBorder="1">
      <alignment vertical="center"/>
    </xf>
    <xf numFmtId="0" fontId="0" fillId="81" borderId="18" xfId="0" applyFill="1" applyBorder="1">
      <alignment vertical="center"/>
    </xf>
    <xf numFmtId="0" fontId="0" fillId="82" borderId="18" xfId="0" applyFill="1" applyBorder="1">
      <alignment vertical="center"/>
    </xf>
    <xf numFmtId="0" fontId="0" fillId="81" borderId="18" xfId="0" applyFill="1" applyBorder="1" applyAlignment="1">
      <alignment horizontal="center" vertical="center"/>
    </xf>
    <xf numFmtId="0" fontId="0" fillId="82" borderId="18" xfId="0" applyFill="1" applyBorder="1" applyAlignment="1">
      <alignment horizontal="center" vertical="center"/>
    </xf>
    <xf numFmtId="0" fontId="164" fillId="39" borderId="0" xfId="0" applyFont="1" applyFill="1" applyAlignment="1">
      <alignment horizontal="center" vertical="center"/>
    </xf>
    <xf numFmtId="186" fontId="165" fillId="62" borderId="243" xfId="0" applyNumberFormat="1" applyFont="1" applyFill="1" applyBorder="1" applyAlignment="1">
      <alignment horizontal="center" vertical="center"/>
    </xf>
    <xf numFmtId="186" fontId="162" fillId="39" borderId="0" xfId="0" applyNumberFormat="1" applyFont="1" applyFill="1" applyBorder="1" applyAlignment="1">
      <alignment horizontal="left" vertical="top" indent="1"/>
    </xf>
    <xf numFmtId="186" fontId="168" fillId="62" borderId="245" xfId="0" applyNumberFormat="1" applyFont="1" applyFill="1" applyBorder="1" applyAlignment="1">
      <alignment vertical="top"/>
    </xf>
    <xf numFmtId="168" fontId="25" fillId="0" borderId="246" xfId="0" applyNumberFormat="1" applyFont="1" applyFill="1" applyBorder="1" applyAlignment="1">
      <alignment horizontal="center" vertical="center" wrapText="1"/>
    </xf>
    <xf numFmtId="0" fontId="111" fillId="18" borderId="247" xfId="0" applyFont="1" applyFill="1" applyBorder="1" applyAlignment="1">
      <alignment horizontal="center" vertical="center" wrapText="1"/>
    </xf>
    <xf numFmtId="0" fontId="36" fillId="18" borderId="247" xfId="0" applyFont="1" applyFill="1" applyBorder="1" applyAlignment="1">
      <alignment horizontal="center" vertical="center" wrapText="1"/>
    </xf>
    <xf numFmtId="0" fontId="25" fillId="27" borderId="27" xfId="0" applyFont="1" applyFill="1" applyBorder="1" applyAlignment="1">
      <alignment horizontal="center" vertical="center" wrapText="1"/>
    </xf>
    <xf numFmtId="186" fontId="167" fillId="62" borderId="45" xfId="0" applyNumberFormat="1" applyFont="1" applyFill="1" applyBorder="1" applyAlignment="1">
      <alignment horizontal="center" vertical="top"/>
    </xf>
    <xf numFmtId="186" fontId="167" fillId="39" borderId="45" xfId="0" applyNumberFormat="1" applyFont="1" applyFill="1" applyBorder="1" applyAlignment="1">
      <alignment horizontal="center" vertical="center"/>
    </xf>
    <xf numFmtId="0" fontId="162" fillId="39" borderId="0" xfId="0" applyNumberFormat="1" applyFont="1" applyFill="1" applyBorder="1" applyAlignment="1">
      <alignment horizontal="left" vertical="top" indent="1"/>
    </xf>
    <xf numFmtId="49" fontId="36" fillId="3" borderId="254" xfId="0" applyNumberFormat="1" applyFont="1" applyFill="1" applyBorder="1" applyAlignment="1">
      <alignment horizontal="center" vertical="center" wrapText="1"/>
    </xf>
    <xf numFmtId="49" fontId="36" fillId="3" borderId="255" xfId="0" applyNumberFormat="1" applyFont="1" applyFill="1" applyBorder="1" applyAlignment="1">
      <alignment horizontal="center" vertical="center" wrapText="1"/>
    </xf>
    <xf numFmtId="49" fontId="36" fillId="3" borderId="256" xfId="0" applyNumberFormat="1" applyFont="1" applyFill="1" applyBorder="1" applyAlignment="1">
      <alignment horizontal="center" vertical="center" wrapText="1"/>
    </xf>
    <xf numFmtId="167" fontId="50" fillId="0" borderId="257" xfId="0" applyNumberFormat="1" applyFont="1" applyBorder="1" applyAlignment="1">
      <alignment horizontal="center" vertical="center" wrapText="1"/>
    </xf>
    <xf numFmtId="179" fontId="50" fillId="0" borderId="258" xfId="0" applyNumberFormat="1" applyFont="1" applyBorder="1" applyAlignment="1">
      <alignment horizontal="center" vertical="center" wrapText="1"/>
    </xf>
    <xf numFmtId="167" fontId="50" fillId="0" borderId="259" xfId="0" applyNumberFormat="1" applyFont="1" applyBorder="1" applyAlignment="1">
      <alignment horizontal="center" vertical="center" wrapText="1"/>
    </xf>
    <xf numFmtId="0" fontId="50" fillId="0" borderId="260" xfId="0" applyFont="1" applyBorder="1" applyAlignment="1">
      <alignment horizontal="center" vertical="center" wrapText="1"/>
    </xf>
    <xf numFmtId="179" fontId="50" fillId="0" borderId="261" xfId="0" applyNumberFormat="1" applyFont="1" applyBorder="1" applyAlignment="1">
      <alignment horizontal="center" vertical="center" wrapText="1"/>
    </xf>
    <xf numFmtId="0" fontId="2" fillId="0" borderId="0" xfId="0" applyNumberFormat="1" applyFont="1" applyAlignment="1">
      <alignment horizontal="center" vertical="center"/>
    </xf>
    <xf numFmtId="0" fontId="0" fillId="0" borderId="0" xfId="0" applyNumberFormat="1">
      <alignment vertical="center"/>
    </xf>
    <xf numFmtId="186" fontId="168" fillId="39" borderId="0" xfId="0" applyNumberFormat="1" applyFont="1" applyFill="1" applyBorder="1" applyAlignment="1">
      <alignment horizontal="left" vertical="top"/>
    </xf>
    <xf numFmtId="0" fontId="168" fillId="39" borderId="262" xfId="0" applyNumberFormat="1" applyFont="1" applyFill="1" applyBorder="1" applyAlignment="1">
      <alignment horizontal="center" vertical="top"/>
    </xf>
    <xf numFmtId="0" fontId="169" fillId="0" borderId="0" xfId="0" applyFont="1" applyAlignment="1">
      <alignment horizontal="center" vertical="center"/>
    </xf>
    <xf numFmtId="0" fontId="10" fillId="37" borderId="18" xfId="0" applyFont="1" applyFill="1" applyBorder="1" applyAlignment="1">
      <alignment vertical="center" wrapText="1"/>
    </xf>
    <xf numFmtId="0" fontId="0" fillId="37" borderId="18" xfId="0" applyFill="1" applyBorder="1">
      <alignment vertical="center"/>
    </xf>
    <xf numFmtId="2" fontId="0" fillId="32" borderId="18" xfId="0" applyNumberFormat="1" applyFill="1" applyBorder="1">
      <alignment vertical="center"/>
    </xf>
    <xf numFmtId="0" fontId="0" fillId="32" borderId="18" xfId="0" applyFill="1" applyBorder="1">
      <alignment vertical="center"/>
    </xf>
    <xf numFmtId="0" fontId="0" fillId="32" borderId="18" xfId="0" applyFill="1" applyBorder="1" applyAlignment="1">
      <alignment horizontal="right" vertical="center"/>
    </xf>
    <xf numFmtId="0" fontId="0" fillId="37" borderId="18" xfId="0" applyFill="1" applyBorder="1" applyAlignment="1">
      <alignment horizontal="right" vertical="center"/>
    </xf>
    <xf numFmtId="0" fontId="0" fillId="32" borderId="18" xfId="0" applyFill="1" applyBorder="1" applyAlignment="1">
      <alignment horizontal="left" vertical="center"/>
    </xf>
    <xf numFmtId="0" fontId="0" fillId="37" borderId="18" xfId="0" applyFill="1" applyBorder="1" applyAlignment="1">
      <alignment horizontal="left" vertical="center"/>
    </xf>
    <xf numFmtId="14" fontId="50" fillId="39" borderId="0" xfId="0" applyNumberFormat="1" applyFont="1" applyFill="1" applyBorder="1" applyAlignment="1" applyProtection="1">
      <alignment horizontal="center" vertical="center"/>
    </xf>
    <xf numFmtId="186" fontId="9" fillId="0" borderId="0" xfId="0" applyNumberFormat="1" applyFont="1" applyAlignment="1">
      <alignment horizontal="center" vertical="center"/>
    </xf>
    <xf numFmtId="188" fontId="78" fillId="0" borderId="0" xfId="0" applyNumberFormat="1" applyFont="1" applyBorder="1" applyAlignment="1">
      <alignment horizontal="center" vertical="center" wrapText="1"/>
    </xf>
    <xf numFmtId="186" fontId="87" fillId="39" borderId="0" xfId="0" applyNumberFormat="1" applyFont="1" applyFill="1" applyAlignment="1">
      <alignment horizontal="right" vertical="center"/>
    </xf>
    <xf numFmtId="186" fontId="73" fillId="0" borderId="0" xfId="0" applyNumberFormat="1" applyFont="1" applyAlignment="1">
      <alignment horizontal="center" vertical="center"/>
    </xf>
    <xf numFmtId="188" fontId="9" fillId="0" borderId="0" xfId="0" applyNumberFormat="1" applyFont="1" applyAlignment="1">
      <alignment vertical="center" wrapText="1"/>
    </xf>
    <xf numFmtId="0" fontId="165" fillId="62" borderId="243" xfId="0" applyNumberFormat="1" applyFont="1" applyFill="1" applyBorder="1" applyAlignment="1">
      <alignment horizontal="center" vertical="center"/>
    </xf>
    <xf numFmtId="186" fontId="168" fillId="62" borderId="0" xfId="0" applyNumberFormat="1" applyFont="1" applyFill="1" applyBorder="1" applyAlignment="1">
      <alignment vertical="top"/>
    </xf>
    <xf numFmtId="188" fontId="133" fillId="62" borderId="0" xfId="0" applyNumberFormat="1" applyFont="1" applyFill="1" applyAlignment="1">
      <alignment horizontal="center" vertical="center" wrapText="1"/>
    </xf>
    <xf numFmtId="188" fontId="133" fillId="0" borderId="3" xfId="0" applyNumberFormat="1" applyFont="1" applyBorder="1" applyAlignment="1">
      <alignment horizontal="center" vertical="center" wrapText="1"/>
    </xf>
    <xf numFmtId="0" fontId="115" fillId="39" borderId="0" xfId="0" applyNumberFormat="1" applyFont="1" applyFill="1" applyAlignment="1">
      <alignment vertical="center"/>
    </xf>
    <xf numFmtId="186" fontId="0" fillId="27" borderId="242" xfId="0" applyNumberFormat="1" applyFill="1" applyBorder="1">
      <alignment vertical="center"/>
    </xf>
    <xf numFmtId="0" fontId="0" fillId="39" borderId="0" xfId="0" applyFill="1" applyAlignment="1">
      <alignment horizontal="right" vertical="center"/>
    </xf>
    <xf numFmtId="0" fontId="170" fillId="0" borderId="0" xfId="0" applyFont="1" applyBorder="1" applyAlignment="1">
      <alignment horizontal="center" vertical="center" wrapText="1"/>
    </xf>
    <xf numFmtId="0" fontId="76" fillId="62" borderId="99" xfId="0" applyFont="1" applyFill="1" applyBorder="1" applyAlignment="1" applyProtection="1">
      <alignment horizontal="center" vertical="top"/>
    </xf>
    <xf numFmtId="0" fontId="0" fillId="62" borderId="99" xfId="0" applyFill="1" applyBorder="1" applyProtection="1">
      <alignment vertical="center"/>
    </xf>
    <xf numFmtId="0" fontId="171" fillId="0" borderId="0" xfId="0" applyFont="1" applyAlignment="1">
      <alignment vertical="center"/>
    </xf>
    <xf numFmtId="0" fontId="130" fillId="59" borderId="97" xfId="0" applyFont="1" applyFill="1" applyBorder="1" applyAlignment="1" applyProtection="1">
      <alignment horizontal="center" vertical="center"/>
    </xf>
    <xf numFmtId="0" fontId="130" fillId="59" borderId="98" xfId="0" applyFont="1" applyFill="1" applyBorder="1" applyAlignment="1" applyProtection="1">
      <alignment horizontal="center" vertical="center"/>
    </xf>
    <xf numFmtId="49" fontId="122" fillId="3" borderId="265" xfId="0" applyNumberFormat="1" applyFont="1" applyFill="1" applyBorder="1" applyAlignment="1">
      <alignment horizontal="center" vertical="center" wrapText="1"/>
    </xf>
    <xf numFmtId="49" fontId="121" fillId="3" borderId="266" xfId="0" applyNumberFormat="1" applyFont="1" applyFill="1" applyBorder="1" applyAlignment="1">
      <alignment horizontal="center" vertical="center" wrapText="1"/>
    </xf>
    <xf numFmtId="49" fontId="121" fillId="3" borderId="267" xfId="0" applyNumberFormat="1" applyFont="1" applyFill="1" applyBorder="1" applyAlignment="1">
      <alignment horizontal="center" vertical="center" wrapText="1"/>
    </xf>
    <xf numFmtId="49" fontId="30" fillId="4" borderId="226" xfId="0" applyNumberFormat="1" applyFont="1" applyFill="1" applyBorder="1" applyAlignment="1">
      <alignment horizontal="center" vertical="center" wrapText="1"/>
    </xf>
    <xf numFmtId="164" fontId="50" fillId="5" borderId="224" xfId="0" applyNumberFormat="1" applyFont="1" applyFill="1" applyBorder="1" applyAlignment="1">
      <alignment horizontal="center" vertical="center" wrapText="1"/>
    </xf>
    <xf numFmtId="168" fontId="50" fillId="5" borderId="224" xfId="0" applyNumberFormat="1" applyFont="1" applyFill="1" applyBorder="1" applyAlignment="1">
      <alignment horizontal="center" vertical="center" wrapText="1"/>
    </xf>
    <xf numFmtId="167" fontId="50" fillId="5" borderId="224" xfId="0" applyNumberFormat="1" applyFont="1" applyFill="1" applyBorder="1" applyAlignment="1">
      <alignment horizontal="center" vertical="center" wrapText="1"/>
    </xf>
    <xf numFmtId="0" fontId="50" fillId="5" borderId="225" xfId="0" applyNumberFormat="1" applyFont="1" applyFill="1" applyBorder="1" applyAlignment="1">
      <alignment horizontal="center" vertical="center" wrapText="1"/>
    </xf>
    <xf numFmtId="164" fontId="30" fillId="6" borderId="226" xfId="0" applyNumberFormat="1" applyFont="1" applyFill="1" applyBorder="1" applyAlignment="1">
      <alignment horizontal="center" vertical="center" wrapText="1"/>
    </xf>
    <xf numFmtId="164" fontId="50" fillId="6" borderId="224" xfId="0" applyNumberFormat="1" applyFont="1" applyFill="1" applyBorder="1" applyAlignment="1">
      <alignment horizontal="center" vertical="center" wrapText="1"/>
    </xf>
    <xf numFmtId="168" fontId="50" fillId="6" borderId="224" xfId="0" applyNumberFormat="1" applyFont="1" applyFill="1" applyBorder="1" applyAlignment="1">
      <alignment horizontal="center" vertical="center" wrapText="1"/>
    </xf>
    <xf numFmtId="167" fontId="50" fillId="6" borderId="224" xfId="0" applyNumberFormat="1" applyFont="1" applyFill="1" applyBorder="1" applyAlignment="1">
      <alignment horizontal="center" vertical="center" wrapText="1"/>
    </xf>
    <xf numFmtId="0" fontId="50" fillId="6" borderId="225" xfId="0" applyNumberFormat="1" applyFont="1" applyFill="1" applyBorder="1" applyAlignment="1">
      <alignment horizontal="center" vertical="center" wrapText="1"/>
    </xf>
    <xf numFmtId="164" fontId="30" fillId="48" borderId="226" xfId="0" applyNumberFormat="1" applyFont="1" applyFill="1" applyBorder="1" applyAlignment="1">
      <alignment horizontal="center" vertical="center" wrapText="1"/>
    </xf>
    <xf numFmtId="164" fontId="137" fillId="6" borderId="224" xfId="0" applyNumberFormat="1" applyFont="1" applyFill="1" applyBorder="1" applyAlignment="1">
      <alignment horizontal="center" vertical="center" wrapText="1"/>
    </xf>
    <xf numFmtId="168" fontId="50" fillId="48" borderId="224" xfId="0" applyNumberFormat="1" applyFont="1" applyFill="1" applyBorder="1" applyAlignment="1">
      <alignment horizontal="center" vertical="center" wrapText="1"/>
    </xf>
    <xf numFmtId="167" fontId="50" fillId="48" borderId="224" xfId="0" applyNumberFormat="1" applyFont="1" applyFill="1" applyBorder="1" applyAlignment="1">
      <alignment horizontal="center" vertical="center" wrapText="1"/>
    </xf>
    <xf numFmtId="49" fontId="30" fillId="4" borderId="268" xfId="0" applyNumberFormat="1" applyFont="1" applyFill="1" applyBorder="1" applyAlignment="1">
      <alignment horizontal="center" vertical="center" wrapText="1"/>
    </xf>
    <xf numFmtId="164" fontId="50" fillId="5" borderId="263" xfId="0" applyNumberFormat="1" applyFont="1" applyFill="1" applyBorder="1" applyAlignment="1">
      <alignment horizontal="center" vertical="center" wrapText="1"/>
    </xf>
    <xf numFmtId="168" fontId="50" fillId="5" borderId="263" xfId="0" applyNumberFormat="1" applyFont="1" applyFill="1" applyBorder="1" applyAlignment="1">
      <alignment horizontal="center" vertical="center" wrapText="1"/>
    </xf>
    <xf numFmtId="167" fontId="50" fillId="5" borderId="263" xfId="0" applyNumberFormat="1" applyFont="1" applyFill="1" applyBorder="1" applyAlignment="1">
      <alignment horizontal="center" vertical="center" wrapText="1"/>
    </xf>
    <xf numFmtId="0" fontId="50" fillId="5" borderId="264" xfId="0" applyNumberFormat="1" applyFont="1" applyFill="1" applyBorder="1" applyAlignment="1">
      <alignment horizontal="center" vertical="center" wrapText="1"/>
    </xf>
    <xf numFmtId="0" fontId="100" fillId="40" borderId="0" xfId="0" applyFont="1" applyFill="1" applyBorder="1" applyAlignment="1" applyProtection="1">
      <alignment horizontal="left" vertical="center"/>
    </xf>
    <xf numFmtId="0" fontId="100" fillId="40" borderId="0" xfId="0" applyFont="1" applyFill="1" applyBorder="1" applyAlignment="1" applyProtection="1">
      <alignment horizontal="left" vertical="center" indent="1"/>
    </xf>
    <xf numFmtId="164" fontId="50" fillId="39" borderId="35" xfId="0" applyNumberFormat="1" applyFont="1" applyFill="1" applyBorder="1" applyAlignment="1">
      <alignment horizontal="center" vertical="center" wrapText="1"/>
    </xf>
    <xf numFmtId="164" fontId="50" fillId="39" borderId="19" xfId="0" applyNumberFormat="1" applyFont="1" applyFill="1" applyBorder="1" applyAlignment="1">
      <alignment horizontal="center" vertical="center" wrapText="1"/>
    </xf>
    <xf numFmtId="0" fontId="100" fillId="40" borderId="0" xfId="0" applyFont="1" applyFill="1" applyBorder="1" applyAlignment="1" applyProtection="1">
      <alignment horizontal="center" vertical="center"/>
    </xf>
    <xf numFmtId="0" fontId="100" fillId="39" borderId="0" xfId="0" applyFont="1" applyFill="1" applyBorder="1" applyAlignment="1" applyProtection="1">
      <alignment horizontal="left" vertical="center" indent="1"/>
    </xf>
    <xf numFmtId="0" fontId="153" fillId="68" borderId="0" xfId="0" applyFont="1" applyFill="1" applyAlignment="1">
      <alignment horizontal="left" vertical="center" wrapText="1"/>
    </xf>
    <xf numFmtId="49" fontId="6" fillId="0" borderId="0" xfId="0" applyNumberFormat="1" applyFont="1" applyAlignment="1">
      <alignment horizontal="left" vertical="center"/>
    </xf>
    <xf numFmtId="0" fontId="11" fillId="0" borderId="0" xfId="0" applyFont="1">
      <alignment vertical="center"/>
    </xf>
    <xf numFmtId="0" fontId="88" fillId="39" borderId="0" xfId="0" applyFont="1" applyFill="1" applyAlignment="1">
      <alignment horizontal="right" vertical="center"/>
    </xf>
    <xf numFmtId="49" fontId="71" fillId="2" borderId="0" xfId="0" applyNumberFormat="1" applyFont="1" applyFill="1" applyBorder="1" applyAlignment="1">
      <alignment horizontal="center" vertical="center" wrapText="1"/>
    </xf>
    <xf numFmtId="49" fontId="70" fillId="0" borderId="0" xfId="0" applyNumberFormat="1" applyFont="1" applyBorder="1" applyAlignment="1">
      <alignment horizontal="center" vertical="center"/>
    </xf>
    <xf numFmtId="0" fontId="97" fillId="0" borderId="0" xfId="0" applyFont="1" applyAlignment="1">
      <alignment vertical="center"/>
    </xf>
    <xf numFmtId="0" fontId="95" fillId="0" borderId="0" xfId="0" applyFont="1" applyAlignment="1">
      <alignment horizontal="left" vertical="center"/>
    </xf>
    <xf numFmtId="0" fontId="90" fillId="39" borderId="0" xfId="0" applyFont="1" applyFill="1" applyBorder="1" applyAlignment="1">
      <alignment horizontal="center" vertical="center"/>
    </xf>
    <xf numFmtId="49" fontId="6" fillId="2" borderId="0" xfId="0" applyNumberFormat="1" applyFont="1" applyFill="1" applyBorder="1" applyAlignment="1">
      <alignment horizontal="center" wrapText="1"/>
    </xf>
    <xf numFmtId="186" fontId="168" fillId="39" borderId="3" xfId="0" applyNumberFormat="1" applyFont="1" applyFill="1" applyBorder="1" applyAlignment="1">
      <alignment horizontal="center" vertical="top"/>
    </xf>
    <xf numFmtId="185" fontId="135" fillId="79" borderId="227" xfId="0" applyNumberFormat="1" applyFont="1" applyFill="1" applyBorder="1" applyAlignment="1">
      <alignment horizontal="center" vertical="center"/>
    </xf>
    <xf numFmtId="185" fontId="135" fillId="79" borderId="228" xfId="0" applyNumberFormat="1" applyFont="1" applyFill="1" applyBorder="1" applyAlignment="1">
      <alignment horizontal="center" vertical="center"/>
    </xf>
    <xf numFmtId="185" fontId="135" fillId="79" borderId="229" xfId="0" applyNumberFormat="1" applyFont="1" applyFill="1" applyBorder="1" applyAlignment="1">
      <alignment horizontal="center" vertical="center"/>
    </xf>
    <xf numFmtId="185" fontId="135" fillId="79" borderId="230" xfId="0" applyNumberFormat="1" applyFont="1" applyFill="1" applyBorder="1" applyAlignment="1">
      <alignment horizontal="center" vertical="center"/>
    </xf>
    <xf numFmtId="185" fontId="135" fillId="79" borderId="231" xfId="0" applyNumberFormat="1" applyFont="1" applyFill="1" applyBorder="1" applyAlignment="1">
      <alignment horizontal="center" vertical="center"/>
    </xf>
    <xf numFmtId="185" fontId="135" fillId="79" borderId="232" xfId="0" applyNumberFormat="1" applyFont="1" applyFill="1" applyBorder="1" applyAlignment="1">
      <alignment horizontal="center" vertical="center"/>
    </xf>
    <xf numFmtId="185" fontId="155" fillId="79" borderId="227" xfId="0" applyNumberFormat="1" applyFont="1" applyFill="1" applyBorder="1" applyAlignment="1">
      <alignment horizontal="center" vertical="center"/>
    </xf>
    <xf numFmtId="185" fontId="155" fillId="79" borderId="228" xfId="0" applyNumberFormat="1" applyFont="1" applyFill="1" applyBorder="1" applyAlignment="1">
      <alignment horizontal="center" vertical="center"/>
    </xf>
    <xf numFmtId="185" fontId="155" fillId="79" borderId="229" xfId="0" applyNumberFormat="1" applyFont="1" applyFill="1" applyBorder="1" applyAlignment="1">
      <alignment horizontal="center" vertical="center"/>
    </xf>
    <xf numFmtId="185" fontId="155" fillId="79" borderId="230" xfId="0" applyNumberFormat="1" applyFont="1" applyFill="1" applyBorder="1" applyAlignment="1">
      <alignment horizontal="center" vertical="center"/>
    </xf>
    <xf numFmtId="185" fontId="155" fillId="79" borderId="231" xfId="0" applyNumberFormat="1" applyFont="1" applyFill="1" applyBorder="1" applyAlignment="1">
      <alignment horizontal="center" vertical="center"/>
    </xf>
    <xf numFmtId="185" fontId="155" fillId="79" borderId="232" xfId="0" applyNumberFormat="1" applyFont="1" applyFill="1" applyBorder="1" applyAlignment="1">
      <alignment horizontal="center" vertical="center"/>
    </xf>
    <xf numFmtId="0" fontId="166" fillId="79" borderId="124" xfId="0" applyNumberFormat="1" applyFont="1" applyFill="1" applyBorder="1" applyAlignment="1">
      <alignment horizontal="center" vertical="center"/>
    </xf>
    <xf numFmtId="0" fontId="166" fillId="79" borderId="126" xfId="0" applyNumberFormat="1" applyFont="1" applyFill="1" applyBorder="1" applyAlignment="1">
      <alignment horizontal="center" vertical="center"/>
    </xf>
    <xf numFmtId="0" fontId="155" fillId="79" borderId="248" xfId="0" applyFont="1" applyFill="1" applyBorder="1" applyAlignment="1">
      <alignment horizontal="center" vertical="center"/>
    </xf>
    <xf numFmtId="0" fontId="155" fillId="79" borderId="249" xfId="0" applyFont="1" applyFill="1" applyBorder="1" applyAlignment="1">
      <alignment horizontal="center" vertical="center"/>
    </xf>
    <xf numFmtId="0" fontId="155" fillId="79" borderId="250" xfId="0" applyFont="1" applyFill="1" applyBorder="1" applyAlignment="1">
      <alignment horizontal="center" vertical="center"/>
    </xf>
    <xf numFmtId="0" fontId="155" fillId="79" borderId="251" xfId="0" applyFont="1" applyFill="1" applyBorder="1" applyAlignment="1">
      <alignment horizontal="center" vertical="center"/>
    </xf>
    <xf numFmtId="0" fontId="155" fillId="79" borderId="252" xfId="0" applyFont="1" applyFill="1" applyBorder="1" applyAlignment="1">
      <alignment horizontal="center" vertical="center"/>
    </xf>
    <xf numFmtId="0" fontId="155" fillId="79" borderId="253" xfId="0" applyFont="1" applyFill="1" applyBorder="1" applyAlignment="1">
      <alignment horizontal="center" vertical="center"/>
    </xf>
    <xf numFmtId="0" fontId="155" fillId="79" borderId="111" xfId="0" applyFont="1" applyFill="1" applyBorder="1" applyAlignment="1">
      <alignment horizontal="center" vertical="center" wrapText="1"/>
    </xf>
    <xf numFmtId="0" fontId="155" fillId="79" borderId="113" xfId="0" applyFont="1" applyFill="1" applyBorder="1" applyAlignment="1">
      <alignment horizontal="center" vertical="center" wrapText="1"/>
    </xf>
    <xf numFmtId="49" fontId="6" fillId="2" borderId="0" xfId="0" applyNumberFormat="1" applyFont="1" applyFill="1" applyBorder="1" applyAlignment="1">
      <alignment horizontal="left" vertical="top" wrapText="1"/>
    </xf>
    <xf numFmtId="0" fontId="22" fillId="0" borderId="0" xfId="0" applyFont="1" applyBorder="1" applyAlignment="1">
      <alignment vertical="top" wrapText="1"/>
    </xf>
    <xf numFmtId="0" fontId="20" fillId="9" borderId="60" xfId="2" applyBorder="1" applyAlignment="1" applyProtection="1">
      <alignment horizontal="center" vertical="center" wrapText="1"/>
    </xf>
    <xf numFmtId="0" fontId="20" fillId="9" borderId="61" xfId="2" applyBorder="1" applyAlignment="1" applyProtection="1">
      <alignment horizontal="center" vertical="center" wrapText="1"/>
    </xf>
    <xf numFmtId="0" fontId="20" fillId="9" borderId="62" xfId="2" applyBorder="1" applyAlignment="1" applyProtection="1">
      <alignment horizontal="center" vertical="center" wrapText="1"/>
    </xf>
    <xf numFmtId="0" fontId="20" fillId="9" borderId="63" xfId="2" applyBorder="1" applyAlignment="1" applyProtection="1">
      <alignment horizontal="center" vertical="center" wrapText="1"/>
    </xf>
    <xf numFmtId="0" fontId="20" fillId="9" borderId="64" xfId="2" applyBorder="1" applyAlignment="1" applyProtection="1">
      <alignment horizontal="center" vertical="center" wrapText="1"/>
    </xf>
    <xf numFmtId="0" fontId="20" fillId="9" borderId="65" xfId="2" applyBorder="1" applyAlignment="1" applyProtection="1">
      <alignment horizontal="center" vertical="center" wrapText="1"/>
    </xf>
    <xf numFmtId="0" fontId="20" fillId="9" borderId="152" xfId="2" applyBorder="1" applyAlignment="1" applyProtection="1">
      <alignment horizontal="center" vertical="center" wrapText="1"/>
    </xf>
    <xf numFmtId="0" fontId="20" fillId="9" borderId="153" xfId="2" applyBorder="1" applyAlignment="1" applyProtection="1">
      <alignment horizontal="center" vertical="center" wrapText="1"/>
    </xf>
    <xf numFmtId="0" fontId="20" fillId="9" borderId="154" xfId="2" applyBorder="1" applyAlignment="1" applyProtection="1">
      <alignment horizontal="center" vertical="center" wrapText="1"/>
    </xf>
    <xf numFmtId="0" fontId="19" fillId="3" borderId="71" xfId="0" applyFont="1" applyFill="1" applyBorder="1" applyAlignment="1">
      <alignment horizontal="center" vertical="center" wrapText="1"/>
    </xf>
    <xf numFmtId="0" fontId="19" fillId="3" borderId="31" xfId="0" applyFont="1" applyFill="1" applyBorder="1" applyAlignment="1">
      <alignment horizontal="center" vertical="center" wrapText="1"/>
    </xf>
    <xf numFmtId="0" fontId="19" fillId="3" borderId="51" xfId="0" applyFont="1" applyFill="1" applyBorder="1" applyAlignment="1">
      <alignment horizontal="center" vertical="center" wrapText="1"/>
    </xf>
    <xf numFmtId="186" fontId="168" fillId="39" borderId="0" xfId="0" applyNumberFormat="1" applyFont="1" applyFill="1" applyBorder="1" applyAlignment="1">
      <alignment horizontal="center" vertical="top"/>
    </xf>
    <xf numFmtId="186" fontId="168" fillId="39" borderId="0" xfId="0" applyNumberFormat="1" applyFont="1" applyFill="1" applyBorder="1" applyAlignment="1">
      <alignment horizontal="left" vertical="top"/>
    </xf>
    <xf numFmtId="0" fontId="93" fillId="13" borderId="45" xfId="0" applyFont="1" applyFill="1" applyBorder="1" applyAlignment="1">
      <alignment horizontal="center" vertical="center" wrapText="1"/>
    </xf>
    <xf numFmtId="0" fontId="112" fillId="3" borderId="53" xfId="0" applyFont="1" applyFill="1" applyBorder="1" applyAlignment="1">
      <alignment horizontal="center" vertical="top" wrapText="1"/>
    </xf>
    <xf numFmtId="0" fontId="17" fillId="3" borderId="0" xfId="0" applyFont="1" applyFill="1" applyBorder="1" applyAlignment="1">
      <alignment horizontal="center" vertical="top" wrapText="1"/>
    </xf>
    <xf numFmtId="0" fontId="17" fillId="3" borderId="24" xfId="0" applyFont="1" applyFill="1" applyBorder="1" applyAlignment="1">
      <alignment horizontal="center" vertical="top" wrapText="1"/>
    </xf>
    <xf numFmtId="0" fontId="17" fillId="3" borderId="53" xfId="0" applyFont="1" applyFill="1" applyBorder="1" applyAlignment="1">
      <alignment horizontal="center" vertical="top" wrapText="1"/>
    </xf>
    <xf numFmtId="0" fontId="17" fillId="3" borderId="54" xfId="0" applyFont="1" applyFill="1" applyBorder="1" applyAlignment="1">
      <alignment horizontal="center" vertical="top" wrapText="1"/>
    </xf>
    <xf numFmtId="9" fontId="20" fillId="9" borderId="156" xfId="2" applyNumberFormat="1" applyFont="1" applyBorder="1" applyAlignment="1" applyProtection="1">
      <alignment horizontal="center" vertical="center" wrapText="1"/>
    </xf>
    <xf numFmtId="9" fontId="20" fillId="9" borderId="135" xfId="2" applyNumberFormat="1" applyFont="1" applyBorder="1" applyAlignment="1" applyProtection="1">
      <alignment horizontal="center" vertical="center" wrapText="1"/>
    </xf>
    <xf numFmtId="9" fontId="20" fillId="9" borderId="157" xfId="2" applyNumberFormat="1" applyFont="1" applyBorder="1" applyAlignment="1" applyProtection="1">
      <alignment horizontal="center" vertical="center" wrapText="1"/>
    </xf>
    <xf numFmtId="9" fontId="20" fillId="9" borderId="14" xfId="2" applyNumberFormat="1" applyFont="1" applyBorder="1" applyAlignment="1" applyProtection="1">
      <alignment horizontal="center" vertical="center" wrapText="1"/>
    </xf>
    <xf numFmtId="9" fontId="20" fillId="9" borderId="15" xfId="2" applyNumberFormat="1" applyFont="1" applyBorder="1" applyAlignment="1" applyProtection="1">
      <alignment horizontal="center" vertical="center" wrapText="1"/>
    </xf>
    <xf numFmtId="9" fontId="20" fillId="9" borderId="16" xfId="2" applyNumberFormat="1" applyFont="1" applyBorder="1" applyAlignment="1" applyProtection="1">
      <alignment horizontal="center" vertical="center" wrapText="1"/>
    </xf>
    <xf numFmtId="0" fontId="112" fillId="3" borderId="0" xfId="0" applyFont="1" applyFill="1" applyBorder="1" applyAlignment="1">
      <alignment horizontal="center" vertical="center"/>
    </xf>
    <xf numFmtId="0" fontId="87" fillId="39" borderId="0" xfId="0" applyNumberFormat="1" applyFont="1" applyFill="1" applyAlignment="1">
      <alignment horizontal="right" vertical="center"/>
    </xf>
    <xf numFmtId="0" fontId="93" fillId="14" borderId="45" xfId="0" applyFont="1" applyFill="1" applyBorder="1" applyAlignment="1">
      <alignment horizontal="center" vertical="center" wrapText="1"/>
    </xf>
    <xf numFmtId="0" fontId="92" fillId="56" borderId="67" xfId="0" applyFont="1" applyFill="1" applyBorder="1" applyAlignment="1">
      <alignment horizontal="center" vertical="top" wrapText="1"/>
    </xf>
    <xf numFmtId="0" fontId="17" fillId="3" borderId="8" xfId="0" applyFont="1" applyFill="1" applyBorder="1" applyAlignment="1">
      <alignment horizontal="center" vertical="top" wrapText="1"/>
    </xf>
    <xf numFmtId="0" fontId="17" fillId="3" borderId="9" xfId="0" applyFont="1" applyFill="1" applyBorder="1" applyAlignment="1">
      <alignment horizontal="center" vertical="top" wrapText="1"/>
    </xf>
    <xf numFmtId="0" fontId="17" fillId="3" borderId="10" xfId="0" applyFont="1" applyFill="1" applyBorder="1" applyAlignment="1">
      <alignment horizontal="center" vertical="top" wrapText="1"/>
    </xf>
    <xf numFmtId="0" fontId="93" fillId="11" borderId="45" xfId="0" applyFont="1" applyFill="1" applyBorder="1" applyAlignment="1">
      <alignment horizontal="center" vertical="center" wrapText="1"/>
    </xf>
    <xf numFmtId="0" fontId="93" fillId="12" borderId="45" xfId="0" applyFont="1" applyFill="1" applyBorder="1" applyAlignment="1">
      <alignment horizontal="center" vertical="center" wrapText="1"/>
    </xf>
    <xf numFmtId="0" fontId="163" fillId="0" borderId="0" xfId="0" applyFont="1" applyAlignment="1">
      <alignment horizontal="center" vertical="center" wrapText="1"/>
    </xf>
    <xf numFmtId="0" fontId="163" fillId="0" borderId="0" xfId="0" applyFont="1" applyAlignment="1">
      <alignment horizontal="center" vertical="center"/>
    </xf>
    <xf numFmtId="0" fontId="0" fillId="33" borderId="0" xfId="0" applyFill="1" applyBorder="1" applyAlignment="1">
      <alignment horizontal="center" vertical="center"/>
    </xf>
    <xf numFmtId="0" fontId="0" fillId="33" borderId="24" xfId="0" applyFill="1" applyBorder="1" applyAlignment="1">
      <alignment horizontal="center" vertical="center"/>
    </xf>
    <xf numFmtId="0" fontId="0" fillId="33" borderId="118" xfId="0" applyFill="1" applyBorder="1" applyAlignment="1">
      <alignment horizontal="center" vertical="center"/>
    </xf>
    <xf numFmtId="0" fontId="0" fillId="33" borderId="15" xfId="0" applyFill="1" applyBorder="1" applyAlignment="1">
      <alignment horizontal="center" vertical="center"/>
    </xf>
    <xf numFmtId="0" fontId="0" fillId="33" borderId="16" xfId="0" applyFill="1" applyBorder="1" applyAlignment="1">
      <alignment horizontal="center" vertical="center"/>
    </xf>
    <xf numFmtId="0" fontId="127" fillId="0" borderId="0" xfId="0" applyFont="1" applyAlignment="1">
      <alignment horizontal="center" vertical="center"/>
    </xf>
    <xf numFmtId="0" fontId="0" fillId="66" borderId="119" xfId="0" applyFill="1" applyBorder="1" applyAlignment="1">
      <alignment horizontal="center" vertical="center"/>
    </xf>
    <xf numFmtId="0" fontId="0" fillId="66" borderId="120" xfId="0" applyFill="1" applyBorder="1" applyAlignment="1">
      <alignment horizontal="center" vertical="center"/>
    </xf>
    <xf numFmtId="0" fontId="119" fillId="39" borderId="0" xfId="0" applyFont="1" applyFill="1" applyBorder="1" applyAlignment="1" applyProtection="1">
      <alignment horizontal="center" vertical="center"/>
    </xf>
    <xf numFmtId="0" fontId="99" fillId="0" borderId="0" xfId="0" applyFont="1" applyAlignment="1">
      <alignment horizontal="center" vertical="center"/>
    </xf>
    <xf numFmtId="0" fontId="0" fillId="66" borderId="118" xfId="0" applyFill="1" applyBorder="1" applyAlignment="1">
      <alignment horizontal="center" vertical="center"/>
    </xf>
    <xf numFmtId="0" fontId="0" fillId="66" borderId="15" xfId="0" applyFill="1" applyBorder="1" applyAlignment="1">
      <alignment horizontal="center" vertical="center"/>
    </xf>
    <xf numFmtId="0" fontId="0" fillId="66" borderId="16" xfId="0" applyFill="1" applyBorder="1" applyAlignment="1">
      <alignment horizontal="center" vertical="center"/>
    </xf>
    <xf numFmtId="0" fontId="0" fillId="66" borderId="117" xfId="0" applyFill="1" applyBorder="1" applyAlignment="1">
      <alignment horizontal="center" vertical="center"/>
    </xf>
    <xf numFmtId="0" fontId="0" fillId="66" borderId="10" xfId="0" applyFill="1" applyBorder="1" applyAlignment="1">
      <alignment horizontal="center" vertical="center"/>
    </xf>
    <xf numFmtId="0" fontId="0" fillId="33" borderId="121" xfId="0" applyFill="1" applyBorder="1" applyAlignment="1">
      <alignment horizontal="center" vertical="center"/>
    </xf>
    <xf numFmtId="0" fontId="0" fillId="33" borderId="159" xfId="0" applyFill="1" applyBorder="1" applyAlignment="1">
      <alignment horizontal="center" vertical="center"/>
    </xf>
    <xf numFmtId="0" fontId="0" fillId="66" borderId="9" xfId="0" applyFill="1" applyBorder="1" applyAlignment="1">
      <alignment horizontal="center" vertical="center"/>
    </xf>
    <xf numFmtId="0" fontId="120" fillId="0" borderId="0" xfId="0" applyFont="1" applyAlignment="1">
      <alignment horizontal="center" vertical="center"/>
    </xf>
    <xf numFmtId="0" fontId="123" fillId="0" borderId="0" xfId="0" applyFont="1" applyAlignment="1">
      <alignment horizontal="center" vertical="center"/>
    </xf>
    <xf numFmtId="0" fontId="98" fillId="51" borderId="45" xfId="0" applyFont="1" applyFill="1" applyBorder="1" applyAlignment="1">
      <alignment horizontal="center" vertical="center"/>
    </xf>
    <xf numFmtId="0" fontId="170" fillId="39" borderId="0" xfId="0" applyFont="1" applyFill="1" applyAlignment="1">
      <alignment horizontal="right" vertical="center" indent="1"/>
    </xf>
    <xf numFmtId="0" fontId="53" fillId="18" borderId="14" xfId="0" applyFont="1" applyFill="1" applyBorder="1" applyAlignment="1">
      <alignment horizontal="center" vertical="center"/>
    </xf>
    <xf numFmtId="0" fontId="53" fillId="18" borderId="15" xfId="0" applyFont="1" applyFill="1" applyBorder="1" applyAlignment="1">
      <alignment horizontal="center" vertical="center"/>
    </xf>
    <xf numFmtId="0" fontId="53" fillId="18" borderId="16" xfId="0" applyFont="1" applyFill="1" applyBorder="1" applyAlignment="1">
      <alignment horizontal="center" vertical="center"/>
    </xf>
    <xf numFmtId="0" fontId="90" fillId="39" borderId="0" xfId="0" applyFont="1" applyFill="1" applyAlignment="1">
      <alignment horizontal="right" vertical="center"/>
    </xf>
    <xf numFmtId="0" fontId="53" fillId="18" borderId="18" xfId="0" applyFont="1" applyFill="1" applyBorder="1" applyAlignment="1">
      <alignment horizontal="center" vertical="center"/>
    </xf>
    <xf numFmtId="0" fontId="10" fillId="62" borderId="0" xfId="0" applyFont="1" applyFill="1" applyBorder="1" applyAlignment="1" applyProtection="1">
      <alignment horizontal="center" vertical="center" wrapText="1"/>
    </xf>
    <xf numFmtId="0" fontId="73" fillId="33" borderId="145" xfId="0" applyFont="1" applyFill="1" applyBorder="1" applyAlignment="1" applyProtection="1">
      <alignment horizontal="center" vertical="center"/>
    </xf>
    <xf numFmtId="0" fontId="73" fillId="33" borderId="146" xfId="0" applyFont="1" applyFill="1" applyBorder="1" applyAlignment="1" applyProtection="1">
      <alignment horizontal="center" vertical="center"/>
    </xf>
    <xf numFmtId="0" fontId="31" fillId="58" borderId="0" xfId="0" applyFont="1" applyFill="1" applyBorder="1" applyAlignment="1" applyProtection="1">
      <alignment horizontal="left"/>
    </xf>
    <xf numFmtId="173" fontId="31" fillId="57" borderId="0" xfId="0" applyNumberFormat="1" applyFont="1" applyFill="1" applyBorder="1" applyAlignment="1" applyProtection="1">
      <alignment horizontal="center" vertical="center" wrapText="1"/>
    </xf>
    <xf numFmtId="0" fontId="10" fillId="62" borderId="100" xfId="0" applyFont="1" applyFill="1" applyBorder="1" applyAlignment="1" applyProtection="1">
      <alignment horizontal="center" vertical="center" wrapText="1"/>
    </xf>
    <xf numFmtId="0" fontId="27" fillId="19" borderId="114" xfId="0" applyFont="1" applyFill="1" applyBorder="1" applyAlignment="1" applyProtection="1">
      <alignment horizontal="center" vertical="center"/>
    </xf>
    <xf numFmtId="0" fontId="27" fillId="19" borderId="115" xfId="0" applyFont="1" applyFill="1" applyBorder="1" applyAlignment="1" applyProtection="1">
      <alignment horizontal="center" vertical="center"/>
    </xf>
    <xf numFmtId="0" fontId="84" fillId="70" borderId="0" xfId="0" applyFont="1" applyFill="1" applyBorder="1" applyAlignment="1" applyProtection="1">
      <alignment horizontal="center" vertical="center"/>
    </xf>
    <xf numFmtId="0" fontId="27" fillId="45" borderId="85" xfId="0" applyFont="1" applyFill="1" applyBorder="1" applyAlignment="1" applyProtection="1">
      <alignment horizontal="center" vertical="center"/>
    </xf>
    <xf numFmtId="0" fontId="27" fillId="45" borderId="86" xfId="0" applyFont="1" applyFill="1" applyBorder="1" applyAlignment="1" applyProtection="1">
      <alignment horizontal="center" vertical="center"/>
    </xf>
    <xf numFmtId="0" fontId="27" fillId="37" borderId="88" xfId="0" applyFont="1" applyFill="1" applyBorder="1" applyAlignment="1" applyProtection="1">
      <alignment horizontal="center" vertical="center" wrapText="1"/>
    </xf>
    <xf numFmtId="0" fontId="27" fillId="37" borderId="0" xfId="0" applyFont="1" applyFill="1" applyBorder="1" applyAlignment="1" applyProtection="1">
      <alignment horizontal="center" vertical="center" wrapText="1"/>
    </xf>
    <xf numFmtId="0" fontId="27" fillId="45" borderId="88" xfId="0" applyFont="1" applyFill="1" applyBorder="1" applyAlignment="1" applyProtection="1">
      <alignment horizontal="center" vertical="center"/>
    </xf>
    <xf numFmtId="0" fontId="27" fillId="45" borderId="0" xfId="0" applyFont="1" applyFill="1" applyBorder="1" applyAlignment="1" applyProtection="1">
      <alignment horizontal="center" vertical="center"/>
    </xf>
    <xf numFmtId="0" fontId="27" fillId="37" borderId="90" xfId="0" applyFont="1" applyFill="1" applyBorder="1" applyAlignment="1" applyProtection="1">
      <alignment horizontal="center" vertical="center" wrapText="1"/>
    </xf>
    <xf numFmtId="0" fontId="27" fillId="37" borderId="91" xfId="0" applyFont="1" applyFill="1" applyBorder="1" applyAlignment="1" applyProtection="1">
      <alignment horizontal="center" vertical="center" wrapText="1"/>
    </xf>
    <xf numFmtId="0" fontId="128" fillId="45" borderId="0" xfId="0" applyFont="1" applyFill="1" applyBorder="1" applyAlignment="1" applyProtection="1">
      <alignment horizontal="center" vertical="center"/>
    </xf>
    <xf numFmtId="0" fontId="73" fillId="33" borderId="93" xfId="0" applyFont="1" applyFill="1" applyBorder="1" applyAlignment="1" applyProtection="1">
      <alignment horizontal="center" vertical="center"/>
    </xf>
    <xf numFmtId="0" fontId="73" fillId="33" borderId="94" xfId="0" applyFont="1" applyFill="1" applyBorder="1" applyAlignment="1" applyProtection="1">
      <alignment horizontal="center" vertical="center"/>
    </xf>
    <xf numFmtId="0" fontId="132" fillId="45" borderId="0" xfId="0" applyFont="1" applyFill="1" applyBorder="1" applyAlignment="1" applyProtection="1">
      <alignment horizontal="center" vertical="center"/>
    </xf>
    <xf numFmtId="0" fontId="132" fillId="45" borderId="116" xfId="0" applyFont="1" applyFill="1" applyBorder="1" applyAlignment="1" applyProtection="1">
      <alignment horizontal="center" vertical="center"/>
    </xf>
    <xf numFmtId="0" fontId="81" fillId="70" borderId="0" xfId="0" applyFont="1" applyFill="1" applyBorder="1" applyAlignment="1" applyProtection="1">
      <alignment horizontal="center" vertical="center"/>
    </xf>
    <xf numFmtId="0" fontId="27" fillId="45" borderId="85" xfId="0" applyFont="1" applyFill="1" applyBorder="1" applyAlignment="1" applyProtection="1">
      <alignment horizontal="right" vertical="center"/>
    </xf>
    <xf numFmtId="0" fontId="27" fillId="45" borderId="86" xfId="0" applyFont="1" applyFill="1" applyBorder="1" applyAlignment="1" applyProtection="1">
      <alignment horizontal="right" vertical="center"/>
    </xf>
    <xf numFmtId="0" fontId="27" fillId="37" borderId="88" xfId="0" applyFont="1" applyFill="1" applyBorder="1" applyAlignment="1" applyProtection="1">
      <alignment horizontal="right" vertical="center" wrapText="1"/>
    </xf>
    <xf numFmtId="0" fontId="27" fillId="37" borderId="0" xfId="0" applyFont="1" applyFill="1" applyBorder="1" applyAlignment="1" applyProtection="1">
      <alignment horizontal="right" vertical="center" wrapText="1"/>
    </xf>
    <xf numFmtId="0" fontId="27" fillId="45" borderId="88" xfId="0" applyFont="1" applyFill="1" applyBorder="1" applyAlignment="1" applyProtection="1">
      <alignment horizontal="right" vertical="center"/>
    </xf>
    <xf numFmtId="0" fontId="27" fillId="45" borderId="0" xfId="0" applyFont="1" applyFill="1" applyBorder="1" applyAlignment="1" applyProtection="1">
      <alignment horizontal="right" vertical="center"/>
    </xf>
    <xf numFmtId="0" fontId="27" fillId="45" borderId="90" xfId="0" applyFont="1" applyFill="1" applyBorder="1" applyAlignment="1" applyProtection="1">
      <alignment horizontal="right" vertical="center" wrapText="1"/>
    </xf>
    <xf numFmtId="0" fontId="27" fillId="45" borderId="91" xfId="0" applyFont="1" applyFill="1" applyBorder="1" applyAlignment="1" applyProtection="1">
      <alignment horizontal="right" vertical="center" wrapText="1"/>
    </xf>
    <xf numFmtId="164" fontId="31" fillId="45" borderId="99" xfId="0" applyNumberFormat="1" applyFont="1" applyFill="1" applyBorder="1" applyAlignment="1" applyProtection="1">
      <alignment horizontal="center" vertical="top" wrapText="1"/>
    </xf>
    <xf numFmtId="164" fontId="31" fillId="45" borderId="83" xfId="0" applyNumberFormat="1" applyFont="1" applyFill="1" applyBorder="1" applyAlignment="1" applyProtection="1">
      <alignment horizontal="center" vertical="top" wrapText="1"/>
    </xf>
    <xf numFmtId="164" fontId="31" fillId="43" borderId="99" xfId="0" applyNumberFormat="1" applyFont="1" applyFill="1" applyBorder="1" applyAlignment="1" applyProtection="1">
      <alignment horizontal="center" vertical="top" wrapText="1"/>
    </xf>
    <xf numFmtId="164" fontId="31" fillId="43" borderId="83" xfId="0" applyNumberFormat="1" applyFont="1" applyFill="1" applyBorder="1" applyAlignment="1" applyProtection="1">
      <alignment horizontal="center" vertical="top" wrapText="1"/>
    </xf>
    <xf numFmtId="164" fontId="31" fillId="44" borderId="99" xfId="0" applyNumberFormat="1" applyFont="1" applyFill="1" applyBorder="1" applyAlignment="1" applyProtection="1">
      <alignment horizontal="center" vertical="top" wrapText="1"/>
    </xf>
    <xf numFmtId="164" fontId="31" fillId="44" borderId="83" xfId="0" applyNumberFormat="1" applyFont="1" applyFill="1" applyBorder="1" applyAlignment="1" applyProtection="1">
      <alignment horizontal="center" vertical="top" wrapText="1"/>
    </xf>
    <xf numFmtId="173" fontId="129" fillId="59" borderId="85" xfId="0" applyNumberFormat="1" applyFont="1" applyFill="1" applyBorder="1" applyAlignment="1" applyProtection="1">
      <alignment horizontal="center" vertical="center" wrapText="1"/>
    </xf>
    <xf numFmtId="173" fontId="129" fillId="59" borderId="87" xfId="0" applyNumberFormat="1" applyFont="1" applyFill="1" applyBorder="1" applyAlignment="1" applyProtection="1">
      <alignment horizontal="center" vertical="center" wrapText="1"/>
    </xf>
    <xf numFmtId="0" fontId="82" fillId="70" borderId="0" xfId="0" applyFont="1" applyFill="1" applyBorder="1" applyAlignment="1" applyProtection="1">
      <alignment horizontal="center" vertical="center"/>
    </xf>
    <xf numFmtId="0" fontId="127" fillId="45" borderId="0" xfId="0" applyFont="1" applyFill="1" applyBorder="1" applyAlignment="1" applyProtection="1">
      <alignment horizontal="center" vertical="center"/>
    </xf>
    <xf numFmtId="164" fontId="42" fillId="44" borderId="109" xfId="0" applyNumberFormat="1" applyFont="1" applyFill="1" applyBorder="1" applyAlignment="1" applyProtection="1">
      <alignment horizontal="center" vertical="center" wrapText="1"/>
    </xf>
    <xf numFmtId="0" fontId="135" fillId="40" borderId="0" xfId="0" applyFont="1" applyFill="1" applyBorder="1" applyAlignment="1" applyProtection="1">
      <alignment horizontal="left" vertical="center" indent="1"/>
    </xf>
    <xf numFmtId="0" fontId="130" fillId="59" borderId="98" xfId="0" applyFont="1" applyFill="1" applyBorder="1" applyAlignment="1" applyProtection="1">
      <alignment horizontal="center" vertical="center"/>
    </xf>
    <xf numFmtId="0" fontId="130" fillId="59" borderId="100" xfId="0" applyFont="1" applyFill="1" applyBorder="1" applyAlignment="1" applyProtection="1">
      <alignment horizontal="center" vertical="center"/>
    </xf>
    <xf numFmtId="0" fontId="25" fillId="62" borderId="104" xfId="0" applyFont="1" applyFill="1" applyBorder="1" applyAlignment="1" applyProtection="1">
      <alignment horizontal="center" vertical="center"/>
    </xf>
    <xf numFmtId="0" fontId="25" fillId="62" borderId="105" xfId="0" applyFont="1" applyFill="1" applyBorder="1" applyAlignment="1" applyProtection="1">
      <alignment horizontal="center" vertical="center"/>
    </xf>
    <xf numFmtId="0" fontId="129" fillId="26" borderId="74" xfId="0" applyFont="1" applyFill="1" applyBorder="1" applyAlignment="1" applyProtection="1">
      <alignment horizontal="left" vertical="center"/>
    </xf>
    <xf numFmtId="0" fontId="129" fillId="26" borderId="72" xfId="0" applyFont="1" applyFill="1" applyBorder="1" applyAlignment="1" applyProtection="1">
      <alignment horizontal="left" vertical="center"/>
    </xf>
    <xf numFmtId="0" fontId="133" fillId="36" borderId="99" xfId="0" applyFont="1" applyFill="1" applyBorder="1" applyAlignment="1" applyProtection="1">
      <alignment horizontal="center" vertical="center"/>
    </xf>
    <xf numFmtId="0" fontId="133" fillId="36" borderId="0" xfId="0" applyFont="1" applyFill="1" applyBorder="1" applyAlignment="1" applyProtection="1">
      <alignment horizontal="center" vertical="center"/>
    </xf>
    <xf numFmtId="0" fontId="152" fillId="62" borderId="90" xfId="1" applyFont="1" applyFill="1" applyBorder="1" applyAlignment="1">
      <alignment horizontal="center" vertical="center"/>
      <protection locked="0"/>
    </xf>
    <xf numFmtId="0" fontId="152" fillId="62" borderId="92" xfId="1" applyFont="1" applyFill="1" applyBorder="1" applyAlignment="1">
      <alignment horizontal="center" vertical="center"/>
      <protection locked="0"/>
    </xf>
    <xf numFmtId="0" fontId="10" fillId="61" borderId="88" xfId="0" applyFont="1" applyFill="1" applyBorder="1" applyAlignment="1" applyProtection="1">
      <alignment horizontal="center" vertical="center" wrapText="1"/>
    </xf>
    <xf numFmtId="0" fontId="10" fillId="61" borderId="89" xfId="0" applyFont="1" applyFill="1" applyBorder="1" applyAlignment="1" applyProtection="1">
      <alignment horizontal="center" vertical="center" wrapText="1"/>
    </xf>
    <xf numFmtId="0" fontId="10" fillId="39" borderId="0" xfId="0" applyFont="1" applyFill="1" applyBorder="1" applyAlignment="1" applyProtection="1">
      <alignment horizontal="center" vertical="center" wrapText="1"/>
    </xf>
    <xf numFmtId="0" fontId="42" fillId="54" borderId="137" xfId="0" applyFont="1" applyFill="1" applyBorder="1" applyAlignment="1" applyProtection="1">
      <alignment horizontal="center" vertical="center"/>
    </xf>
    <xf numFmtId="0" fontId="42" fillId="54" borderId="140" xfId="0" applyFont="1" applyFill="1" applyBorder="1" applyAlignment="1" applyProtection="1">
      <alignment horizontal="center" vertical="center"/>
    </xf>
    <xf numFmtId="0" fontId="27" fillId="45" borderId="140" xfId="0" applyNumberFormat="1" applyFont="1" applyFill="1" applyBorder="1" applyAlignment="1" applyProtection="1">
      <alignment horizontal="center" vertical="center" wrapText="1"/>
    </xf>
    <xf numFmtId="0" fontId="42" fillId="41" borderId="138" xfId="0" applyFont="1" applyFill="1" applyBorder="1" applyAlignment="1" applyProtection="1">
      <alignment horizontal="center" vertical="center"/>
    </xf>
    <xf numFmtId="0" fontId="42" fillId="41" borderId="0" xfId="0" applyFont="1" applyFill="1" applyBorder="1" applyAlignment="1" applyProtection="1">
      <alignment horizontal="center" vertical="center"/>
    </xf>
    <xf numFmtId="0" fontId="27" fillId="43" borderId="0" xfId="0" applyNumberFormat="1" applyFont="1" applyFill="1" applyBorder="1" applyAlignment="1" applyProtection="1">
      <alignment horizontal="center" vertical="center" wrapText="1"/>
    </xf>
    <xf numFmtId="0" fontId="42" fillId="34" borderId="138" xfId="0" applyFont="1" applyFill="1" applyBorder="1" applyAlignment="1" applyProtection="1">
      <alignment horizontal="center" vertical="center"/>
    </xf>
    <xf numFmtId="0" fontId="42" fillId="34" borderId="0" xfId="0" applyFont="1" applyFill="1" applyBorder="1" applyAlignment="1" applyProtection="1">
      <alignment horizontal="center" vertical="center"/>
    </xf>
    <xf numFmtId="0" fontId="27" fillId="44" borderId="0" xfId="0" applyNumberFormat="1" applyFont="1" applyFill="1" applyBorder="1" applyAlignment="1" applyProtection="1">
      <alignment horizontal="center" vertical="center" wrapText="1"/>
    </xf>
    <xf numFmtId="0" fontId="133" fillId="19" borderId="99" xfId="0" applyFont="1" applyFill="1" applyBorder="1" applyAlignment="1" applyProtection="1">
      <alignment horizontal="center" vertical="center"/>
    </xf>
    <xf numFmtId="0" fontId="133" fillId="19" borderId="0" xfId="0" applyFont="1" applyFill="1" applyBorder="1" applyAlignment="1" applyProtection="1">
      <alignment horizontal="center" vertical="center"/>
    </xf>
    <xf numFmtId="0" fontId="133" fillId="41" borderId="99" xfId="0" applyFont="1" applyFill="1" applyBorder="1" applyAlignment="1" applyProtection="1">
      <alignment horizontal="center" vertical="center"/>
    </xf>
    <xf numFmtId="0" fontId="133" fillId="41" borderId="0" xfId="0" applyFont="1" applyFill="1" applyBorder="1" applyAlignment="1" applyProtection="1">
      <alignment horizontal="center" vertical="center"/>
    </xf>
    <xf numFmtId="0" fontId="133" fillId="34" borderId="99" xfId="0" applyFont="1" applyFill="1" applyBorder="1" applyAlignment="1" applyProtection="1">
      <alignment horizontal="center" vertical="center"/>
    </xf>
    <xf numFmtId="0" fontId="133" fillId="34" borderId="0" xfId="0" applyFont="1" applyFill="1" applyBorder="1" applyAlignment="1" applyProtection="1">
      <alignment horizontal="center" vertical="center"/>
    </xf>
    <xf numFmtId="0" fontId="130" fillId="59" borderId="96" xfId="0" applyFont="1" applyFill="1" applyBorder="1" applyAlignment="1" applyProtection="1">
      <alignment horizontal="center" vertical="center"/>
    </xf>
    <xf numFmtId="0" fontId="130" fillId="59" borderId="97" xfId="0" applyFont="1" applyFill="1" applyBorder="1" applyAlignment="1" applyProtection="1">
      <alignment horizontal="center" vertical="center"/>
    </xf>
    <xf numFmtId="0" fontId="130" fillId="59" borderId="99" xfId="0" applyFont="1" applyFill="1" applyBorder="1" applyAlignment="1" applyProtection="1">
      <alignment horizontal="center" vertical="center"/>
    </xf>
    <xf numFmtId="0" fontId="130" fillId="59" borderId="0" xfId="0" applyFont="1" applyFill="1" applyBorder="1" applyAlignment="1" applyProtection="1">
      <alignment horizontal="center" vertical="center"/>
    </xf>
    <xf numFmtId="0" fontId="27" fillId="65" borderId="90" xfId="0" applyFont="1" applyFill="1" applyBorder="1" applyAlignment="1" applyProtection="1">
      <alignment horizontal="right" vertical="center" wrapText="1"/>
    </xf>
    <xf numFmtId="0" fontId="27" fillId="65" borderId="91" xfId="0" applyFont="1" applyFill="1" applyBorder="1" applyAlignment="1" applyProtection="1">
      <alignment horizontal="right" vertical="center" wrapText="1"/>
    </xf>
    <xf numFmtId="0" fontId="130" fillId="64" borderId="112" xfId="0" applyFont="1" applyFill="1" applyBorder="1" applyAlignment="1" applyProtection="1">
      <alignment horizontal="center" vertical="center"/>
    </xf>
    <xf numFmtId="0" fontId="10" fillId="62" borderId="99" xfId="0" applyFont="1" applyFill="1" applyBorder="1" applyAlignment="1" applyProtection="1">
      <alignment horizontal="center" vertical="center" wrapText="1"/>
    </xf>
    <xf numFmtId="0" fontId="76" fillId="34" borderId="99" xfId="0" applyFont="1" applyFill="1" applyBorder="1" applyAlignment="1" applyProtection="1">
      <alignment horizontal="center" vertical="top"/>
    </xf>
    <xf numFmtId="0" fontId="76" fillId="34" borderId="0" xfId="0" applyFont="1" applyFill="1" applyBorder="1" applyAlignment="1" applyProtection="1">
      <alignment horizontal="center" vertical="top"/>
    </xf>
    <xf numFmtId="0" fontId="76" fillId="41" borderId="99" xfId="0" applyFont="1" applyFill="1" applyBorder="1" applyAlignment="1" applyProtection="1">
      <alignment horizontal="center" vertical="top"/>
    </xf>
    <xf numFmtId="0" fontId="76" fillId="41" borderId="0" xfId="0" applyFont="1" applyFill="1" applyBorder="1" applyAlignment="1" applyProtection="1">
      <alignment horizontal="center" vertical="top"/>
    </xf>
    <xf numFmtId="0" fontId="76" fillId="19" borderId="99" xfId="0" applyFont="1" applyFill="1" applyBorder="1" applyAlignment="1" applyProtection="1">
      <alignment horizontal="center" vertical="top"/>
    </xf>
    <xf numFmtId="0" fontId="76" fillId="19" borderId="0" xfId="0" applyFont="1" applyFill="1" applyBorder="1" applyAlignment="1" applyProtection="1">
      <alignment horizontal="center" vertical="top"/>
    </xf>
    <xf numFmtId="0" fontId="42" fillId="62" borderId="101" xfId="0" applyFont="1" applyFill="1" applyBorder="1" applyAlignment="1" applyProtection="1">
      <alignment horizontal="right" vertical="center"/>
    </xf>
    <xf numFmtId="0" fontId="42" fillId="62" borderId="102" xfId="0" applyFont="1" applyFill="1" applyBorder="1" applyAlignment="1" applyProtection="1">
      <alignment horizontal="right" vertical="center"/>
    </xf>
    <xf numFmtId="0" fontId="31" fillId="62" borderId="102" xfId="0" applyFont="1" applyFill="1" applyBorder="1" applyAlignment="1" applyProtection="1">
      <alignment horizontal="center" vertical="center"/>
    </xf>
    <xf numFmtId="0" fontId="10" fillId="70" borderId="0" xfId="0" applyFont="1" applyFill="1" applyBorder="1" applyAlignment="1" applyProtection="1">
      <alignment horizontal="center" vertical="center" wrapText="1"/>
    </xf>
    <xf numFmtId="174" fontId="73" fillId="33" borderId="93" xfId="0" applyNumberFormat="1" applyFont="1" applyFill="1" applyBorder="1" applyAlignment="1" applyProtection="1">
      <alignment horizontal="center" vertical="center"/>
    </xf>
    <xf numFmtId="174" fontId="73" fillId="33" borderId="95" xfId="0" applyNumberFormat="1" applyFont="1" applyFill="1" applyBorder="1" applyAlignment="1" applyProtection="1">
      <alignment horizontal="center" vertical="center"/>
    </xf>
    <xf numFmtId="0" fontId="31" fillId="58" borderId="0" xfId="0" applyFont="1" applyFill="1" applyBorder="1" applyAlignment="1" applyProtection="1">
      <alignment horizontal="left" vertical="center"/>
    </xf>
    <xf numFmtId="164" fontId="133" fillId="45" borderId="99" xfId="0" applyNumberFormat="1" applyFont="1" applyFill="1" applyBorder="1" applyAlignment="1" applyProtection="1">
      <alignment horizontal="center" vertical="center" wrapText="1"/>
    </xf>
    <xf numFmtId="164" fontId="133" fillId="45" borderId="83" xfId="0" applyNumberFormat="1" applyFont="1" applyFill="1" applyBorder="1" applyAlignment="1" applyProtection="1">
      <alignment horizontal="center" vertical="center" wrapText="1"/>
    </xf>
    <xf numFmtId="164" fontId="133" fillId="43" borderId="99" xfId="0" applyNumberFormat="1" applyFont="1" applyFill="1" applyBorder="1" applyAlignment="1" applyProtection="1">
      <alignment horizontal="center" vertical="center" wrapText="1"/>
    </xf>
    <xf numFmtId="164" fontId="133" fillId="43" borderId="83" xfId="0" applyNumberFormat="1" applyFont="1" applyFill="1" applyBorder="1" applyAlignment="1" applyProtection="1">
      <alignment horizontal="center" vertical="center" wrapText="1"/>
    </xf>
    <xf numFmtId="164" fontId="133" fillId="44" borderId="99" xfId="0" applyNumberFormat="1" applyFont="1" applyFill="1" applyBorder="1" applyAlignment="1" applyProtection="1">
      <alignment horizontal="center" vertical="center" wrapText="1"/>
    </xf>
    <xf numFmtId="164" fontId="133" fillId="44" borderId="83" xfId="0" applyNumberFormat="1" applyFont="1" applyFill="1" applyBorder="1" applyAlignment="1" applyProtection="1">
      <alignment horizontal="center" vertical="center" wrapText="1"/>
    </xf>
    <xf numFmtId="0" fontId="82" fillId="70" borderId="50" xfId="0" applyFont="1" applyFill="1" applyBorder="1" applyAlignment="1" applyProtection="1">
      <alignment horizontal="center" vertical="center"/>
    </xf>
    <xf numFmtId="0" fontId="82" fillId="70" borderId="49" xfId="0" applyFont="1" applyFill="1" applyBorder="1" applyAlignment="1" applyProtection="1">
      <alignment horizontal="center" vertical="center"/>
    </xf>
    <xf numFmtId="0" fontId="131" fillId="41" borderId="114" xfId="0" applyFont="1" applyFill="1" applyBorder="1" applyAlignment="1" applyProtection="1">
      <alignment horizontal="center" vertical="center"/>
    </xf>
    <xf numFmtId="0" fontId="131" fillId="41" borderId="115" xfId="0" applyFont="1" applyFill="1" applyBorder="1" applyAlignment="1" applyProtection="1">
      <alignment horizontal="center" vertical="center"/>
    </xf>
    <xf numFmtId="0" fontId="27" fillId="34" borderId="114" xfId="0" applyFont="1" applyFill="1" applyBorder="1" applyAlignment="1" applyProtection="1">
      <alignment horizontal="center" vertical="center"/>
    </xf>
    <xf numFmtId="0" fontId="27" fillId="34" borderId="115" xfId="0" applyFont="1" applyFill="1" applyBorder="1" applyAlignment="1" applyProtection="1">
      <alignment horizontal="center" vertical="center"/>
    </xf>
    <xf numFmtId="0" fontId="170" fillId="62" borderId="100" xfId="0" applyFont="1" applyFill="1" applyBorder="1" applyAlignment="1" applyProtection="1">
      <alignment horizontal="center" vertical="top" wrapText="1"/>
    </xf>
    <xf numFmtId="0" fontId="10" fillId="58" borderId="0" xfId="0" applyFont="1" applyFill="1" applyBorder="1" applyAlignment="1" applyProtection="1">
      <alignment horizontal="center" vertical="center" wrapText="1"/>
    </xf>
    <xf numFmtId="0" fontId="10" fillId="62" borderId="82" xfId="0" applyFont="1" applyFill="1" applyBorder="1" applyAlignment="1" applyProtection="1">
      <alignment horizontal="center" vertical="center" wrapText="1"/>
    </xf>
    <xf numFmtId="0" fontId="151" fillId="36" borderId="204" xfId="0" applyFont="1" applyFill="1" applyBorder="1" applyAlignment="1">
      <alignment horizontal="center" vertical="center"/>
    </xf>
    <xf numFmtId="0" fontId="151" fillId="36" borderId="214" xfId="0" applyFont="1" applyFill="1" applyBorder="1" applyAlignment="1">
      <alignment horizontal="center" vertical="center"/>
    </xf>
    <xf numFmtId="0" fontId="135" fillId="34" borderId="0" xfId="0" applyFont="1" applyFill="1" applyBorder="1" applyAlignment="1">
      <alignment horizontal="center" vertical="center"/>
    </xf>
    <xf numFmtId="0" fontId="135" fillId="34" borderId="33" xfId="0" applyFont="1" applyFill="1" applyBorder="1" applyAlignment="1">
      <alignment horizontal="center" vertical="center"/>
    </xf>
    <xf numFmtId="0" fontId="72" fillId="37" borderId="202" xfId="0" applyFont="1" applyFill="1" applyBorder="1" applyAlignment="1">
      <alignment horizontal="center" vertical="center"/>
    </xf>
    <xf numFmtId="0" fontId="72" fillId="37" borderId="0" xfId="0" applyFont="1" applyFill="1" applyBorder="1" applyAlignment="1">
      <alignment horizontal="center" vertical="center"/>
    </xf>
    <xf numFmtId="0" fontId="150" fillId="65" borderId="202" xfId="0" applyFont="1" applyFill="1" applyBorder="1" applyAlignment="1" applyProtection="1">
      <alignment horizontal="center" vertical="center"/>
    </xf>
    <xf numFmtId="0" fontId="150" fillId="65" borderId="0" xfId="0" applyFont="1" applyFill="1" applyBorder="1" applyAlignment="1" applyProtection="1">
      <alignment horizontal="center" vertical="center"/>
    </xf>
    <xf numFmtId="9" fontId="31" fillId="35" borderId="186" xfId="0" applyNumberFormat="1" applyFont="1" applyFill="1" applyBorder="1" applyAlignment="1">
      <alignment horizontal="center" vertical="top"/>
    </xf>
    <xf numFmtId="0" fontId="135" fillId="34" borderId="0" xfId="0" applyFont="1" applyFill="1" applyBorder="1" applyAlignment="1">
      <alignment horizontal="left" vertical="center"/>
    </xf>
    <xf numFmtId="0" fontId="75" fillId="38" borderId="185" xfId="0" applyFont="1" applyFill="1" applyBorder="1" applyAlignment="1">
      <alignment horizontal="center" vertical="center"/>
    </xf>
    <xf numFmtId="0" fontId="75" fillId="38" borderId="22" xfId="0" applyFont="1" applyFill="1" applyBorder="1" applyAlignment="1">
      <alignment horizontal="center" vertical="center"/>
    </xf>
    <xf numFmtId="9" fontId="31" fillId="35" borderId="41" xfId="0" applyNumberFormat="1" applyFont="1" applyFill="1" applyBorder="1" applyAlignment="1">
      <alignment horizontal="center" vertical="top"/>
    </xf>
    <xf numFmtId="9" fontId="31" fillId="35" borderId="37" xfId="0" applyNumberFormat="1" applyFont="1" applyFill="1" applyBorder="1" applyAlignment="1">
      <alignment horizontal="center"/>
    </xf>
    <xf numFmtId="9" fontId="31" fillId="35" borderId="39" xfId="0" applyNumberFormat="1" applyFont="1" applyFill="1" applyBorder="1" applyAlignment="1">
      <alignment horizontal="center"/>
    </xf>
    <xf numFmtId="0" fontId="73" fillId="37" borderId="202" xfId="0" applyFont="1" applyFill="1" applyBorder="1" applyAlignment="1" applyProtection="1">
      <alignment horizontal="center" vertical="center" wrapText="1"/>
    </xf>
    <xf numFmtId="0" fontId="73" fillId="37" borderId="0" xfId="0" applyFont="1" applyFill="1" applyBorder="1" applyAlignment="1" applyProtection="1">
      <alignment horizontal="center" vertical="center" wrapText="1"/>
    </xf>
    <xf numFmtId="0" fontId="27" fillId="75" borderId="233" xfId="0" applyFont="1" applyFill="1" applyBorder="1" applyAlignment="1">
      <alignment horizontal="center" vertical="center"/>
    </xf>
    <xf numFmtId="0" fontId="27" fillId="33" borderId="244" xfId="0" applyFont="1" applyFill="1" applyBorder="1" applyAlignment="1">
      <alignment horizontal="center" vertical="center"/>
    </xf>
    <xf numFmtId="0" fontId="73" fillId="45" borderId="202" xfId="0" applyFont="1" applyFill="1" applyBorder="1" applyAlignment="1" applyProtection="1">
      <alignment horizontal="center" vertical="center"/>
    </xf>
    <xf numFmtId="0" fontId="73" fillId="45" borderId="0" xfId="0" applyFont="1" applyFill="1" applyBorder="1" applyAlignment="1" applyProtection="1">
      <alignment horizontal="center" vertical="center"/>
    </xf>
    <xf numFmtId="0" fontId="73" fillId="45" borderId="198" xfId="0" applyFont="1" applyFill="1" applyBorder="1" applyAlignment="1" applyProtection="1">
      <alignment horizontal="center" vertical="center"/>
    </xf>
    <xf numFmtId="0" fontId="73" fillId="45" borderId="199" xfId="0" applyFont="1" applyFill="1" applyBorder="1" applyAlignment="1" applyProtection="1">
      <alignment horizontal="center" vertical="center"/>
    </xf>
    <xf numFmtId="0" fontId="73" fillId="45" borderId="167" xfId="0" applyFont="1" applyFill="1" applyBorder="1" applyAlignment="1" applyProtection="1">
      <alignment horizontal="center" vertical="center"/>
    </xf>
    <xf numFmtId="0" fontId="73" fillId="45" borderId="168" xfId="0" applyFont="1" applyFill="1" applyBorder="1" applyAlignment="1" applyProtection="1">
      <alignment horizontal="center" vertical="center"/>
    </xf>
    <xf numFmtId="0" fontId="31" fillId="19" borderId="208" xfId="0" applyFont="1" applyFill="1" applyBorder="1" applyAlignment="1">
      <alignment horizontal="center" vertical="center"/>
    </xf>
    <xf numFmtId="0" fontId="31" fillId="19" borderId="210" xfId="0" applyFont="1" applyFill="1" applyBorder="1" applyAlignment="1">
      <alignment horizontal="center" vertical="center"/>
    </xf>
    <xf numFmtId="0" fontId="31" fillId="19" borderId="209" xfId="0" applyFont="1" applyFill="1" applyBorder="1" applyAlignment="1">
      <alignment horizontal="center" vertical="center"/>
    </xf>
    <xf numFmtId="0" fontId="31" fillId="19" borderId="211" xfId="0" applyFont="1" applyFill="1" applyBorder="1" applyAlignment="1">
      <alignment horizontal="center" vertical="center"/>
    </xf>
    <xf numFmtId="0" fontId="73" fillId="37" borderId="171" xfId="0" applyFont="1" applyFill="1" applyBorder="1" applyAlignment="1" applyProtection="1">
      <alignment horizontal="center" vertical="center" wrapText="1"/>
    </xf>
    <xf numFmtId="0" fontId="73" fillId="45" borderId="171" xfId="0" applyFont="1" applyFill="1" applyBorder="1" applyAlignment="1" applyProtection="1">
      <alignment horizontal="center" vertical="center"/>
    </xf>
    <xf numFmtId="0" fontId="73" fillId="75" borderId="0" xfId="0" applyFont="1" applyFill="1" applyBorder="1" applyAlignment="1">
      <alignment horizontal="center" vertical="center"/>
    </xf>
    <xf numFmtId="0" fontId="73" fillId="75" borderId="33" xfId="0" applyFont="1" applyFill="1" applyBorder="1" applyAlignment="1">
      <alignment horizontal="center" vertical="center"/>
    </xf>
    <xf numFmtId="0" fontId="135" fillId="34" borderId="0" xfId="0" applyFont="1" applyFill="1" applyBorder="1" applyAlignment="1" applyProtection="1">
      <alignment horizontal="left" vertical="center"/>
    </xf>
    <xf numFmtId="0" fontId="73" fillId="75" borderId="116" xfId="0" applyFont="1" applyFill="1" applyBorder="1" applyAlignment="1">
      <alignment horizontal="center" vertical="center"/>
    </xf>
    <xf numFmtId="0" fontId="73" fillId="37" borderId="173" xfId="0" applyFont="1" applyFill="1" applyBorder="1" applyAlignment="1" applyProtection="1">
      <alignment horizontal="center" vertical="center" wrapText="1"/>
    </xf>
    <xf numFmtId="0" fontId="73" fillId="37" borderId="174" xfId="0" applyFont="1" applyFill="1" applyBorder="1" applyAlignment="1" applyProtection="1">
      <alignment horizontal="center" vertical="center" wrapText="1"/>
    </xf>
    <xf numFmtId="0" fontId="73" fillId="75" borderId="0" xfId="0" applyFont="1" applyFill="1" applyBorder="1" applyAlignment="1" applyProtection="1">
      <alignment horizontal="center" vertical="center"/>
    </xf>
    <xf numFmtId="0" fontId="73" fillId="75" borderId="116" xfId="0" applyFont="1" applyFill="1" applyBorder="1" applyAlignment="1" applyProtection="1">
      <alignment horizontal="center" vertical="center"/>
    </xf>
    <xf numFmtId="0" fontId="35" fillId="0" borderId="0" xfId="0" applyFont="1" applyBorder="1" applyAlignment="1">
      <alignment horizontal="center" vertical="center"/>
    </xf>
    <xf numFmtId="0" fontId="65" fillId="0" borderId="0" xfId="0" applyFont="1" applyBorder="1" applyAlignment="1">
      <alignment vertical="top" wrapText="1"/>
    </xf>
    <xf numFmtId="0" fontId="34" fillId="0" borderId="0" xfId="0" applyFont="1" applyBorder="1" applyAlignment="1">
      <alignment horizontal="center" vertical="center"/>
    </xf>
    <xf numFmtId="0" fontId="45" fillId="10" borderId="0" xfId="0" applyFont="1" applyFill="1" applyBorder="1" applyAlignment="1">
      <alignment horizontal="center" vertical="center"/>
    </xf>
    <xf numFmtId="0" fontId="45" fillId="10" borderId="24" xfId="0" applyFont="1" applyFill="1" applyBorder="1" applyAlignment="1">
      <alignment horizontal="center" vertical="center"/>
    </xf>
    <xf numFmtId="0" fontId="37" fillId="10" borderId="0" xfId="1" applyFont="1" applyFill="1" applyBorder="1" applyAlignment="1" applyProtection="1">
      <alignment horizontal="center" vertical="center"/>
    </xf>
    <xf numFmtId="0" fontId="37" fillId="10" borderId="24" xfId="1" applyFont="1" applyFill="1" applyBorder="1" applyAlignment="1" applyProtection="1">
      <alignment horizontal="center" vertical="center"/>
    </xf>
    <xf numFmtId="0" fontId="32" fillId="0" borderId="0" xfId="0" applyFont="1" applyBorder="1" applyAlignment="1">
      <alignment horizontal="center" vertical="center"/>
    </xf>
    <xf numFmtId="0" fontId="43" fillId="19" borderId="18" xfId="0" applyFont="1" applyFill="1" applyBorder="1" applyAlignment="1">
      <alignment horizontal="center" vertical="center"/>
    </xf>
    <xf numFmtId="0" fontId="33" fillId="0" borderId="0" xfId="0" applyFont="1" applyBorder="1" applyAlignment="1">
      <alignment horizontal="center" vertical="center"/>
    </xf>
    <xf numFmtId="0" fontId="43" fillId="19" borderId="18" xfId="0" applyFont="1" applyFill="1" applyBorder="1" applyAlignment="1">
      <alignment horizontal="center" vertical="center" wrapText="1"/>
    </xf>
    <xf numFmtId="49" fontId="36" fillId="3" borderId="18" xfId="0" applyNumberFormat="1" applyFont="1" applyFill="1" applyBorder="1" applyAlignment="1">
      <alignment horizontal="center" vertical="center"/>
    </xf>
    <xf numFmtId="0" fontId="40" fillId="19" borderId="18" xfId="0" applyFont="1" applyFill="1" applyBorder="1" applyAlignment="1">
      <alignment horizontal="center" vertical="center"/>
    </xf>
    <xf numFmtId="10" fontId="43" fillId="19" borderId="18" xfId="0" applyNumberFormat="1" applyFont="1" applyFill="1" applyBorder="1" applyAlignment="1">
      <alignment horizontal="center" vertical="center"/>
    </xf>
    <xf numFmtId="0" fontId="86" fillId="26" borderId="0" xfId="0" applyFont="1" applyFill="1" applyBorder="1" applyAlignment="1">
      <alignment horizontal="right" vertical="center"/>
    </xf>
    <xf numFmtId="0" fontId="54" fillId="18" borderId="0" xfId="0" applyFont="1" applyFill="1" applyBorder="1" applyAlignment="1">
      <alignment horizontal="center" vertical="center" wrapText="1"/>
    </xf>
    <xf numFmtId="0" fontId="54" fillId="18" borderId="31" xfId="0" applyFont="1" applyFill="1" applyBorder="1" applyAlignment="1">
      <alignment horizontal="center" vertical="center" wrapText="1"/>
    </xf>
    <xf numFmtId="0" fontId="32" fillId="39" borderId="0" xfId="0" applyFont="1" applyFill="1" applyBorder="1" applyAlignment="1">
      <alignment horizontal="left" vertical="top"/>
    </xf>
    <xf numFmtId="0" fontId="97" fillId="52" borderId="45" xfId="0" applyFont="1" applyFill="1" applyBorder="1" applyAlignment="1">
      <alignment horizontal="center" vertical="center"/>
    </xf>
    <xf numFmtId="0" fontId="97" fillId="53" borderId="45" xfId="0" applyFont="1" applyFill="1" applyBorder="1" applyAlignment="1">
      <alignment horizontal="center" vertical="center"/>
    </xf>
    <xf numFmtId="0" fontId="97" fillId="50" borderId="45" xfId="0" applyFont="1" applyFill="1" applyBorder="1" applyAlignment="1">
      <alignment horizontal="center" vertical="center"/>
    </xf>
    <xf numFmtId="0" fontId="130" fillId="59" borderId="269" xfId="0" applyFont="1" applyFill="1" applyBorder="1" applyAlignment="1" applyProtection="1">
      <alignment horizontal="center" vertical="center"/>
    </xf>
    <xf numFmtId="0" fontId="130" fillId="59" borderId="270" xfId="0" applyFont="1" applyFill="1" applyBorder="1" applyAlignment="1" applyProtection="1">
      <alignment horizontal="center" vertical="center"/>
    </xf>
    <xf numFmtId="0" fontId="27" fillId="75" borderId="271" xfId="0" applyFont="1" applyFill="1" applyBorder="1" applyAlignment="1">
      <alignment horizontal="center" vertical="center"/>
    </xf>
    <xf numFmtId="0" fontId="27" fillId="33" borderId="272" xfId="0" applyFont="1" applyFill="1" applyBorder="1" applyAlignment="1">
      <alignment horizontal="center" vertical="center"/>
    </xf>
    <xf numFmtId="0" fontId="0" fillId="27" borderId="0" xfId="0" applyFill="1">
      <alignment vertical="center"/>
    </xf>
    <xf numFmtId="0" fontId="175" fillId="0" borderId="0" xfId="0" applyFont="1" applyAlignment="1">
      <alignment horizontal="center" vertical="top"/>
    </xf>
    <xf numFmtId="0" fontId="178" fillId="0" borderId="0" xfId="0" applyFont="1" applyAlignment="1">
      <alignment horizontal="center" vertical="center"/>
    </xf>
    <xf numFmtId="0" fontId="179" fillId="0" borderId="0" xfId="0" applyFont="1">
      <alignment vertical="center"/>
    </xf>
    <xf numFmtId="0" fontId="177" fillId="0" borderId="0" xfId="0" applyFont="1" applyAlignment="1">
      <alignment horizontal="center" vertical="center"/>
    </xf>
    <xf numFmtId="0" fontId="180" fillId="0" borderId="0" xfId="0" applyFont="1">
      <alignment vertical="center"/>
    </xf>
    <xf numFmtId="186" fontId="181" fillId="39" borderId="3" xfId="0" applyNumberFormat="1" applyFont="1" applyFill="1" applyBorder="1" applyAlignment="1">
      <alignment horizontal="center" vertical="top"/>
    </xf>
    <xf numFmtId="0" fontId="182" fillId="0" borderId="0" xfId="0" applyFont="1" applyAlignment="1">
      <alignment horizontal="center" vertical="top" wrapText="1"/>
    </xf>
    <xf numFmtId="0" fontId="120" fillId="0" borderId="0" xfId="0" applyFont="1">
      <alignment vertical="center"/>
    </xf>
    <xf numFmtId="0" fontId="183" fillId="0" borderId="0" xfId="0" applyFont="1">
      <alignment vertical="center"/>
    </xf>
    <xf numFmtId="0" fontId="176" fillId="0" borderId="0" xfId="0" applyFont="1" applyAlignment="1">
      <alignment horizontal="center"/>
    </xf>
    <xf numFmtId="0" fontId="184" fillId="0" borderId="0" xfId="0" applyFont="1" applyAlignment="1">
      <alignment horizontal="center"/>
    </xf>
    <xf numFmtId="0" fontId="174" fillId="0" borderId="0" xfId="0" applyFont="1" applyAlignment="1">
      <alignment horizontal="center" vertical="top"/>
    </xf>
    <xf numFmtId="0" fontId="176" fillId="39" borderId="0" xfId="0" applyNumberFormat="1" applyFont="1" applyFill="1" applyAlignment="1">
      <alignment horizontal="center"/>
    </xf>
    <xf numFmtId="0" fontId="176" fillId="39" borderId="0" xfId="0" applyNumberFormat="1" applyFont="1" applyFill="1" applyAlignment="1">
      <alignment horizontal="center" vertical="center"/>
    </xf>
    <xf numFmtId="0" fontId="176" fillId="0" borderId="0" xfId="0" applyFont="1" applyAlignment="1">
      <alignment horizontal="center" vertical="center"/>
    </xf>
    <xf numFmtId="0" fontId="174" fillId="0" borderId="0" xfId="0" applyFont="1" applyAlignment="1">
      <alignment horizontal="center"/>
    </xf>
    <xf numFmtId="0" fontId="79" fillId="0" borderId="0" xfId="0" applyFont="1" applyAlignment="1">
      <alignment vertical="top" wrapText="1"/>
    </xf>
  </cellXfs>
  <cellStyles count="7">
    <cellStyle name="Ausgabe" xfId="2" xr:uid="{00000000-0005-0000-0000-000002000000}"/>
    <cellStyle name="Day" xfId="3" xr:uid="{DF6AFD3A-7F0C-475A-9F2B-C0A3BB4F621D}"/>
    <cellStyle name="Day Detail" xfId="4" xr:uid="{CFEAF670-5FC5-4BA7-86F3-B30C1DA2975D}"/>
    <cellStyle name="Link" xfId="1" xr:uid="{00000000-0005-0000-0000-000001000000}"/>
    <cellStyle name="Notes" xfId="6" xr:uid="{1A3BBA81-9CDB-4D30-AE6E-755D02B8B6EC}"/>
    <cellStyle name="Notes Header" xfId="5" xr:uid="{3113D990-36F2-4993-B449-4151BC15EA1D}"/>
    <cellStyle name="Standard" xfId="0" builtinId="0"/>
  </cellStyles>
  <dxfs count="1498">
    <dxf>
      <fill>
        <patternFill>
          <bgColor rgb="FFFF6161"/>
        </patternFill>
      </fill>
    </dxf>
    <dxf>
      <fill>
        <patternFill>
          <bgColor rgb="FFFF6161"/>
        </patternFill>
      </fill>
    </dxf>
    <dxf>
      <fill>
        <patternFill>
          <bgColor rgb="FFFF6161"/>
        </patternFill>
      </fill>
    </dxf>
    <dxf>
      <fill>
        <patternFill>
          <bgColor rgb="FFFF6161"/>
        </patternFill>
      </fill>
    </dxf>
    <dxf>
      <fill>
        <patternFill>
          <bgColor rgb="FFFF6161"/>
        </patternFill>
      </fill>
    </dxf>
    <dxf>
      <fill>
        <patternFill>
          <bgColor rgb="FFFF616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BFBFBF"/>
        </patternFill>
      </fill>
    </dxf>
    <dxf>
      <fill>
        <patternFill>
          <bgColor rgb="FFBFBFBF"/>
        </patternFill>
      </fill>
    </dxf>
    <dxf>
      <font>
        <color theme="2" tint="-0.499984740745262"/>
      </font>
    </dxf>
    <dxf>
      <font>
        <color rgb="FFFF0000"/>
      </font>
    </dxf>
    <dxf>
      <font>
        <color theme="2" tint="-0.49998474074526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ont>
        <color theme="2"/>
      </font>
    </dxf>
    <dxf>
      <font>
        <color theme="2"/>
      </font>
    </dxf>
    <dxf>
      <font>
        <color theme="2"/>
      </font>
    </dxf>
    <dxf>
      <font>
        <color theme="2"/>
      </font>
    </dxf>
    <dxf>
      <font>
        <color theme="2" tint="-0.499984740745262"/>
      </font>
    </dxf>
    <dxf>
      <fill>
        <patternFill>
          <bgColor theme="0" tint="-0.24994659260841701"/>
        </patternFill>
      </fill>
    </dxf>
    <dxf>
      <fill>
        <patternFill>
          <bgColor rgb="FFBFBFBF"/>
        </patternFill>
      </fill>
    </dxf>
    <dxf>
      <fill>
        <patternFill>
          <bgColor rgb="FFBFBFBF"/>
        </patternFill>
      </fill>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bottom style="thin">
          <color auto="1"/>
        </bottom>
        <vertical/>
        <horizontal/>
      </border>
    </dxf>
    <dxf>
      <font>
        <color rgb="FFFF0000"/>
      </font>
      <numFmt numFmtId="189" formatCode="&quot;Nur RPE Werte 1-10&quot;"/>
    </dxf>
    <dxf>
      <font>
        <color rgb="FFB6D2EC"/>
      </font>
    </dxf>
    <dxf>
      <font>
        <color rgb="FFB6D2EC"/>
      </font>
    </dxf>
    <dxf>
      <fill>
        <patternFill>
          <bgColor rgb="FFFFFF99"/>
        </patternFill>
      </fill>
      <border>
        <left style="thin">
          <color theme="1"/>
        </left>
        <right style="thin">
          <color theme="1"/>
        </right>
        <top style="thin">
          <color theme="1"/>
        </top>
        <bottom style="thin">
          <color theme="1"/>
        </bottom>
        <vertical/>
        <horizontal/>
      </border>
    </dxf>
    <dxf>
      <font>
        <color rgb="FFB6D2EC"/>
      </font>
    </dxf>
    <dxf>
      <font>
        <color rgb="FFB6D2EC"/>
      </font>
    </dxf>
    <dxf>
      <font>
        <color rgb="FFA9E9A9"/>
      </font>
    </dxf>
    <dxf>
      <font>
        <color rgb="FFFFBDBD"/>
      </font>
    </dxf>
    <dxf>
      <font>
        <color rgb="FF99CCFF"/>
      </font>
    </dxf>
    <dxf>
      <font>
        <color rgb="FFB0F1A1"/>
      </font>
    </dxf>
    <dxf>
      <font>
        <color rgb="FFB6D2EC"/>
      </font>
    </dxf>
    <dxf>
      <font>
        <color rgb="FFB0F1A1"/>
      </font>
    </dxf>
    <dxf>
      <font>
        <color rgb="FFB6D2EC"/>
      </font>
    </dxf>
    <dxf>
      <font>
        <color rgb="FFFFBDBD"/>
      </font>
    </dxf>
    <dxf>
      <font>
        <color rgb="FFDBC1F7"/>
      </font>
    </dxf>
    <dxf>
      <font>
        <color rgb="FFB6D2EC"/>
      </font>
    </dxf>
    <dxf>
      <font>
        <color rgb="FFB6D2EC"/>
      </font>
    </dxf>
    <dxf>
      <font>
        <color rgb="FFB6D2EC"/>
      </font>
    </dxf>
    <dxf>
      <fill>
        <patternFill>
          <bgColor theme="0" tint="-0.14996795556505021"/>
        </patternFill>
      </fill>
    </dxf>
    <dxf>
      <font>
        <b/>
        <i val="0"/>
      </font>
    </dxf>
    <dxf>
      <font>
        <b/>
        <i val="0"/>
      </font>
    </dxf>
    <dxf>
      <font>
        <b/>
        <i val="0"/>
      </font>
    </dxf>
    <dxf>
      <border>
        <right style="thin">
          <color rgb="FFF85656"/>
        </right>
        <vertical/>
        <horizontal/>
      </border>
    </dxf>
    <dxf>
      <font>
        <color rgb="FFFF0000"/>
      </font>
    </dxf>
    <dxf>
      <font>
        <b/>
        <i val="0"/>
      </font>
    </dxf>
    <dxf>
      <fill>
        <patternFill>
          <bgColor theme="0" tint="-0.24994659260841701"/>
        </patternFill>
      </fill>
    </dxf>
    <dxf>
      <fill>
        <patternFill>
          <bgColor rgb="FFBFBFBF"/>
        </patternFill>
      </fill>
    </dxf>
    <dxf>
      <fill>
        <patternFill>
          <bgColor rgb="FFBFBFBF"/>
        </patternFill>
      </fill>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bottom style="thin">
          <color auto="1"/>
        </bottom>
        <vertical/>
        <horizontal/>
      </border>
    </dxf>
    <dxf>
      <font>
        <color rgb="FFFF0000"/>
      </font>
      <numFmt numFmtId="189" formatCode="&quot;Nur RPE Werte 1-10&quot;"/>
    </dxf>
    <dxf>
      <font>
        <color rgb="FFB6D2EC"/>
      </font>
    </dxf>
    <dxf>
      <font>
        <color rgb="FFB6D2EC"/>
      </font>
    </dxf>
    <dxf>
      <fill>
        <patternFill>
          <bgColor rgb="FFFFFF99"/>
        </patternFill>
      </fill>
      <border>
        <left style="thin">
          <color theme="1"/>
        </left>
        <right style="thin">
          <color theme="1"/>
        </right>
        <top style="thin">
          <color theme="1"/>
        </top>
        <bottom style="thin">
          <color theme="1"/>
        </bottom>
        <vertical/>
        <horizontal/>
      </border>
    </dxf>
    <dxf>
      <font>
        <color rgb="FFB6D2EC"/>
      </font>
    </dxf>
    <dxf>
      <font>
        <color rgb="FFB6D2EC"/>
      </font>
    </dxf>
    <dxf>
      <font>
        <color rgb="FFA9E9A9"/>
      </font>
    </dxf>
    <dxf>
      <font>
        <color rgb="FFFFBDBD"/>
      </font>
    </dxf>
    <dxf>
      <font>
        <color rgb="FF99CCFF"/>
      </font>
    </dxf>
    <dxf>
      <font>
        <color rgb="FFB0F1A1"/>
      </font>
    </dxf>
    <dxf>
      <font>
        <color rgb="FFB6D2EC"/>
      </font>
    </dxf>
    <dxf>
      <font>
        <color rgb="FFB0F1A1"/>
      </font>
    </dxf>
    <dxf>
      <font>
        <color rgb="FFB6D2EC"/>
      </font>
    </dxf>
    <dxf>
      <font>
        <color rgb="FFFFBDBD"/>
      </font>
    </dxf>
    <dxf>
      <font>
        <color rgb="FFDBC1F7"/>
      </font>
    </dxf>
    <dxf>
      <font>
        <color rgb="FFB6D2EC"/>
      </font>
    </dxf>
    <dxf>
      <font>
        <color rgb="FFB6D2EC"/>
      </font>
    </dxf>
    <dxf>
      <font>
        <color rgb="FFB6D2EC"/>
      </font>
    </dxf>
    <dxf>
      <fill>
        <patternFill>
          <bgColor theme="0" tint="-0.14996795556505021"/>
        </patternFill>
      </fill>
    </dxf>
    <dxf>
      <font>
        <b/>
        <i val="0"/>
      </font>
    </dxf>
    <dxf>
      <font>
        <b/>
        <i val="0"/>
      </font>
    </dxf>
    <dxf>
      <border>
        <right style="thin">
          <color rgb="FFF85656"/>
        </right>
        <vertical/>
        <horizontal/>
      </border>
    </dxf>
    <dxf>
      <font>
        <color rgb="FFFF0000"/>
      </font>
    </dxf>
    <dxf>
      <fill>
        <patternFill>
          <bgColor theme="0" tint="-0.24994659260841701"/>
        </patternFill>
      </fill>
    </dxf>
    <dxf>
      <fill>
        <patternFill>
          <bgColor rgb="FFBFBFBF"/>
        </patternFill>
      </fill>
    </dxf>
    <dxf>
      <fill>
        <patternFill>
          <bgColor rgb="FFBFBFBF"/>
        </patternFill>
      </fill>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bottom style="thin">
          <color auto="1"/>
        </bottom>
        <vertical/>
        <horizontal/>
      </border>
    </dxf>
    <dxf>
      <font>
        <color rgb="FFFF0000"/>
      </font>
      <numFmt numFmtId="189" formatCode="&quot;Nur RPE Werte 1-10&quot;"/>
    </dxf>
    <dxf>
      <font>
        <color rgb="FFB6D2EC"/>
      </font>
    </dxf>
    <dxf>
      <font>
        <color rgb="FFB6D2EC"/>
      </font>
    </dxf>
    <dxf>
      <fill>
        <patternFill>
          <bgColor rgb="FFFFFF99"/>
        </patternFill>
      </fill>
      <border>
        <left style="thin">
          <color theme="1"/>
        </left>
        <right style="thin">
          <color theme="1"/>
        </right>
        <top style="thin">
          <color theme="1"/>
        </top>
        <bottom style="thin">
          <color theme="1"/>
        </bottom>
        <vertical/>
        <horizontal/>
      </border>
    </dxf>
    <dxf>
      <font>
        <color rgb="FFB6D2EC"/>
      </font>
    </dxf>
    <dxf>
      <font>
        <color rgb="FFB6D2EC"/>
      </font>
    </dxf>
    <dxf>
      <font>
        <color rgb="FFA9E9A9"/>
      </font>
    </dxf>
    <dxf>
      <font>
        <color rgb="FFFFBDBD"/>
      </font>
    </dxf>
    <dxf>
      <font>
        <color rgb="FF99CCFF"/>
      </font>
    </dxf>
    <dxf>
      <font>
        <color rgb="FFB0F1A1"/>
      </font>
    </dxf>
    <dxf>
      <font>
        <color rgb="FFB6D2EC"/>
      </font>
    </dxf>
    <dxf>
      <font>
        <color rgb="FFB0F1A1"/>
      </font>
    </dxf>
    <dxf>
      <font>
        <color rgb="FFB6D2EC"/>
      </font>
    </dxf>
    <dxf>
      <font>
        <color rgb="FFFFBDBD"/>
      </font>
    </dxf>
    <dxf>
      <font>
        <color rgb="FFDBC1F7"/>
      </font>
    </dxf>
    <dxf>
      <font>
        <color rgb="FFB6D2EC"/>
      </font>
    </dxf>
    <dxf>
      <font>
        <color rgb="FFB6D2EC"/>
      </font>
    </dxf>
    <dxf>
      <font>
        <color rgb="FFB6D2EC"/>
      </font>
    </dxf>
    <dxf>
      <fill>
        <patternFill>
          <bgColor theme="0" tint="-0.14996795556505021"/>
        </patternFill>
      </fill>
    </dxf>
    <dxf>
      <font>
        <b/>
        <i val="0"/>
      </font>
    </dxf>
    <dxf>
      <font>
        <b/>
        <i val="0"/>
      </font>
    </dxf>
    <dxf>
      <font>
        <b/>
        <i val="0"/>
      </font>
    </dxf>
    <dxf>
      <border>
        <right style="thin">
          <color rgb="FFF85656"/>
        </right>
        <vertical/>
        <horizontal/>
      </border>
    </dxf>
    <dxf>
      <font>
        <color rgb="FFFF0000"/>
      </font>
    </dxf>
    <dxf>
      <fill>
        <patternFill>
          <bgColor theme="0" tint="-0.24994659260841701"/>
        </patternFill>
      </fill>
    </dxf>
    <dxf>
      <fill>
        <patternFill>
          <bgColor rgb="FFBFBFBF"/>
        </patternFill>
      </fill>
    </dxf>
    <dxf>
      <fill>
        <patternFill>
          <bgColor rgb="FFBFBFBF"/>
        </patternFill>
      </fill>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bottom style="thin">
          <color auto="1"/>
        </bottom>
        <vertical/>
        <horizontal/>
      </border>
    </dxf>
    <dxf>
      <font>
        <color rgb="FFFF0000"/>
      </font>
      <numFmt numFmtId="189" formatCode="&quot;Nur RPE Werte 1-10&quot;"/>
    </dxf>
    <dxf>
      <font>
        <color rgb="FFB6D2EC"/>
      </font>
    </dxf>
    <dxf>
      <font>
        <color rgb="FFB6D2EC"/>
      </font>
    </dxf>
    <dxf>
      <fill>
        <patternFill>
          <bgColor rgb="FFFFFF99"/>
        </patternFill>
      </fill>
      <border>
        <left style="thin">
          <color theme="1"/>
        </left>
        <right style="thin">
          <color theme="1"/>
        </right>
        <top style="thin">
          <color theme="1"/>
        </top>
        <bottom style="thin">
          <color theme="1"/>
        </bottom>
        <vertical/>
        <horizontal/>
      </border>
    </dxf>
    <dxf>
      <font>
        <color rgb="FFB6D2EC"/>
      </font>
    </dxf>
    <dxf>
      <font>
        <color rgb="FFB6D2EC"/>
      </font>
    </dxf>
    <dxf>
      <font>
        <color rgb="FFA9E9A9"/>
      </font>
    </dxf>
    <dxf>
      <font>
        <color rgb="FFFFBDBD"/>
      </font>
    </dxf>
    <dxf>
      <font>
        <color rgb="FF99CCFF"/>
      </font>
    </dxf>
    <dxf>
      <font>
        <color rgb="FFB0F1A1"/>
      </font>
    </dxf>
    <dxf>
      <font>
        <color rgb="FFB6D2EC"/>
      </font>
    </dxf>
    <dxf>
      <font>
        <color rgb="FFB0F1A1"/>
      </font>
    </dxf>
    <dxf>
      <font>
        <color rgb="FFB6D2EC"/>
      </font>
    </dxf>
    <dxf>
      <font>
        <color rgb="FFFFBDBD"/>
      </font>
    </dxf>
    <dxf>
      <font>
        <color rgb="FFDBC1F7"/>
      </font>
    </dxf>
    <dxf>
      <font>
        <color rgb="FFB6D2EC"/>
      </font>
    </dxf>
    <dxf>
      <font>
        <color rgb="FFB6D2EC"/>
      </font>
    </dxf>
    <dxf>
      <font>
        <color rgb="FFB6D2EC"/>
      </font>
    </dxf>
    <dxf>
      <fill>
        <patternFill>
          <bgColor theme="0" tint="-0.14996795556505021"/>
        </patternFill>
      </fill>
    </dxf>
    <dxf>
      <font>
        <b/>
        <i val="0"/>
      </font>
    </dxf>
    <dxf>
      <font>
        <b/>
        <i val="0"/>
      </font>
    </dxf>
    <dxf>
      <font>
        <b/>
        <i val="0"/>
      </font>
    </dxf>
    <dxf>
      <border>
        <right style="thin">
          <color rgb="FFF85656"/>
        </right>
        <vertical/>
        <horizontal/>
      </border>
    </dxf>
    <dxf>
      <font>
        <color rgb="FFFF0000"/>
      </font>
    </dxf>
    <dxf>
      <fill>
        <patternFill>
          <bgColor theme="0" tint="-0.14996795556505021"/>
        </patternFill>
      </fill>
    </dxf>
    <dxf>
      <font>
        <b/>
        <i val="0"/>
      </font>
    </dxf>
    <dxf>
      <font>
        <b/>
        <i val="0"/>
      </font>
    </dxf>
    <dxf>
      <font>
        <b/>
        <i val="0"/>
      </font>
    </dxf>
    <dxf>
      <border>
        <right style="thin">
          <color rgb="FFF85656"/>
        </right>
        <vertical/>
        <horizontal/>
      </border>
    </dxf>
    <dxf>
      <fill>
        <patternFill>
          <bgColor rgb="FFC9A6E4"/>
        </patternFill>
      </fill>
      <border>
        <left style="thin">
          <color auto="1"/>
        </left>
        <right style="thin">
          <color auto="1"/>
        </right>
        <top style="thin">
          <color auto="1"/>
        </top>
        <bottom style="thin">
          <color auto="1"/>
        </bottom>
        <vertical/>
        <horizontal/>
      </border>
    </dxf>
    <dxf>
      <fill>
        <patternFill>
          <bgColor rgb="FFC9A6E4"/>
        </patternFill>
      </fill>
      <border>
        <left style="thin">
          <color auto="1"/>
        </left>
        <right style="thin">
          <color auto="1"/>
        </right>
        <top style="thin">
          <color auto="1"/>
        </top>
        <bottom style="thin">
          <color auto="1"/>
        </bottom>
        <vertical/>
        <horizontal/>
      </border>
    </dxf>
    <dxf>
      <fill>
        <patternFill>
          <bgColor rgb="FFC9A6E4"/>
        </patternFill>
      </fill>
      <border>
        <left style="thin">
          <color auto="1"/>
        </left>
        <right style="thin">
          <color auto="1"/>
        </right>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bottom style="thin">
          <color auto="1"/>
        </bottom>
      </border>
    </dxf>
    <dxf>
      <font>
        <color rgb="FF33CC33"/>
      </font>
    </dxf>
    <dxf>
      <font>
        <color rgb="FF33CC33"/>
      </font>
    </dxf>
    <dxf>
      <font>
        <color rgb="FFB6D2EC"/>
      </font>
    </dxf>
    <dxf>
      <font>
        <strike/>
      </font>
    </dxf>
    <dxf>
      <fill>
        <patternFill>
          <bgColor theme="0" tint="-0.14996795556505021"/>
        </patternFill>
      </fill>
    </dxf>
    <dxf>
      <font>
        <b/>
        <i val="0"/>
      </font>
    </dxf>
    <dxf>
      <font>
        <b/>
        <i val="0"/>
      </font>
    </dxf>
    <dxf>
      <font>
        <b/>
        <i val="0"/>
      </font>
    </dxf>
    <dxf>
      <border>
        <right style="thin">
          <color rgb="FFF85656"/>
        </right>
        <vertical/>
        <horizontal/>
      </border>
    </dxf>
    <dxf>
      <fill>
        <patternFill>
          <bgColor rgb="FFC9A6E4"/>
        </patternFill>
      </fill>
      <border>
        <left style="thin">
          <color auto="1"/>
        </left>
        <right style="thin">
          <color auto="1"/>
        </right>
        <top style="thin">
          <color auto="1"/>
        </top>
        <bottom style="thin">
          <color auto="1"/>
        </bottom>
        <vertical/>
        <horizontal/>
      </border>
    </dxf>
    <dxf>
      <fill>
        <patternFill>
          <bgColor rgb="FFC9A6E4"/>
        </patternFill>
      </fill>
      <border>
        <left style="thin">
          <color auto="1"/>
        </left>
        <right style="thin">
          <color auto="1"/>
        </right>
        <top style="thin">
          <color auto="1"/>
        </top>
        <bottom style="thin">
          <color auto="1"/>
        </bottom>
        <vertical/>
        <horizontal/>
      </border>
    </dxf>
    <dxf>
      <fill>
        <patternFill>
          <bgColor rgb="FFC9A6E4"/>
        </patternFill>
      </fill>
      <border>
        <left style="thin">
          <color auto="1"/>
        </left>
        <right style="thin">
          <color auto="1"/>
        </right>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bottom style="thin">
          <color auto="1"/>
        </bottom>
      </border>
    </dxf>
    <dxf>
      <font>
        <color rgb="FF33CC33"/>
      </font>
    </dxf>
    <dxf>
      <font>
        <color rgb="FF33CC33"/>
      </font>
    </dxf>
    <dxf>
      <font>
        <color rgb="FFB6D2EC"/>
      </font>
    </dxf>
    <dxf>
      <font>
        <strike/>
      </font>
    </dxf>
    <dxf>
      <fill>
        <patternFill>
          <bgColor theme="0" tint="-0.14996795556505021"/>
        </patternFill>
      </fill>
    </dxf>
    <dxf>
      <font>
        <b/>
        <i val="0"/>
      </font>
    </dxf>
    <dxf>
      <font>
        <b/>
        <i val="0"/>
      </font>
    </dxf>
    <dxf>
      <font>
        <b/>
        <i val="0"/>
      </font>
    </dxf>
    <dxf>
      <border>
        <right style="thin">
          <color rgb="FFF85656"/>
        </right>
        <vertical/>
        <horizontal/>
      </border>
    </dxf>
    <dxf>
      <fill>
        <patternFill>
          <bgColor rgb="FFC9A6E4"/>
        </patternFill>
      </fill>
      <border>
        <left style="thin">
          <color auto="1"/>
        </left>
        <right style="thin">
          <color auto="1"/>
        </right>
        <top style="thin">
          <color auto="1"/>
        </top>
        <bottom style="thin">
          <color auto="1"/>
        </bottom>
        <vertical/>
        <horizontal/>
      </border>
    </dxf>
    <dxf>
      <fill>
        <patternFill>
          <bgColor rgb="FFC9A6E4"/>
        </patternFill>
      </fill>
      <border>
        <left style="thin">
          <color auto="1"/>
        </left>
        <right style="thin">
          <color auto="1"/>
        </right>
        <top style="thin">
          <color auto="1"/>
        </top>
        <bottom style="thin">
          <color auto="1"/>
        </bottom>
        <vertical/>
        <horizontal/>
      </border>
    </dxf>
    <dxf>
      <fill>
        <patternFill>
          <bgColor rgb="FFC9A6E4"/>
        </patternFill>
      </fill>
      <border>
        <left style="thin">
          <color auto="1"/>
        </left>
        <right style="thin">
          <color auto="1"/>
        </right>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bottom style="thin">
          <color auto="1"/>
        </bottom>
      </border>
    </dxf>
    <dxf>
      <font>
        <color rgb="FF33CC33"/>
      </font>
    </dxf>
    <dxf>
      <font>
        <color rgb="FF33CC33"/>
      </font>
    </dxf>
    <dxf>
      <font>
        <color rgb="FFB6D2EC"/>
      </font>
    </dxf>
    <dxf>
      <font>
        <strike/>
      </font>
    </dxf>
    <dxf>
      <fill>
        <patternFill>
          <bgColor theme="0" tint="-0.14996795556505021"/>
        </patternFill>
      </fill>
    </dxf>
    <dxf>
      <font>
        <b/>
        <i val="0"/>
      </font>
    </dxf>
    <dxf>
      <font>
        <b/>
        <i val="0"/>
      </font>
    </dxf>
    <dxf>
      <font>
        <b/>
        <i val="0"/>
      </font>
    </dxf>
    <dxf>
      <border>
        <right style="thin">
          <color rgb="FFF85656"/>
        </right>
        <vertical/>
        <horizontal/>
      </border>
    </dxf>
    <dxf>
      <fill>
        <patternFill>
          <bgColor rgb="FFC9A6E4"/>
        </patternFill>
      </fill>
      <border>
        <left style="thin">
          <color auto="1"/>
        </left>
        <right style="thin">
          <color auto="1"/>
        </right>
        <top style="thin">
          <color auto="1"/>
        </top>
        <bottom style="thin">
          <color auto="1"/>
        </bottom>
        <vertical/>
        <horizontal/>
      </border>
    </dxf>
    <dxf>
      <fill>
        <patternFill>
          <bgColor rgb="FFC9A6E4"/>
        </patternFill>
      </fill>
      <border>
        <left style="thin">
          <color auto="1"/>
        </left>
        <right style="thin">
          <color auto="1"/>
        </right>
        <top style="thin">
          <color auto="1"/>
        </top>
        <bottom style="thin">
          <color auto="1"/>
        </bottom>
        <vertical/>
        <horizontal/>
      </border>
    </dxf>
    <dxf>
      <fill>
        <patternFill>
          <bgColor rgb="FFC9A6E4"/>
        </patternFill>
      </fill>
      <border>
        <left style="thin">
          <color auto="1"/>
        </left>
        <right style="thin">
          <color auto="1"/>
        </right>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bottom style="thin">
          <color auto="1"/>
        </bottom>
      </border>
    </dxf>
    <dxf>
      <font>
        <color rgb="FF33CC33"/>
      </font>
    </dxf>
    <dxf>
      <font>
        <color rgb="FF33CC33"/>
      </font>
    </dxf>
    <dxf>
      <font>
        <color rgb="FFB6D2EC"/>
      </font>
    </dxf>
    <dxf>
      <font>
        <strike/>
      </font>
    </dxf>
    <dxf>
      <font>
        <b/>
        <i val="0"/>
        <color rgb="FF9148C8"/>
      </font>
    </dxf>
    <dxf>
      <font>
        <color rgb="FFFF0000"/>
      </font>
    </dxf>
    <dxf>
      <font>
        <b/>
        <i val="0"/>
        <color rgb="FF9148C8"/>
      </font>
    </dxf>
    <dxf>
      <font>
        <b/>
        <i val="0"/>
        <color rgb="FF9148C8"/>
      </font>
    </dxf>
    <dxf>
      <font>
        <color rgb="FF9148C8"/>
      </font>
    </dxf>
    <dxf>
      <font>
        <color rgb="FF9148C8"/>
      </font>
    </dxf>
    <dxf>
      <font>
        <color rgb="FF9148C8"/>
      </font>
    </dxf>
    <dxf>
      <font>
        <color rgb="FF9148C8"/>
      </font>
    </dxf>
    <dxf>
      <font>
        <color rgb="FF9148C8"/>
      </font>
    </dxf>
    <dxf>
      <font>
        <color rgb="FF9148C8"/>
      </font>
    </dxf>
    <dxf>
      <font>
        <b val="0"/>
        <i val="0"/>
        <color rgb="FF9148C8"/>
      </font>
    </dxf>
    <dxf>
      <font>
        <color rgb="FF9148C8"/>
      </font>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theme="8" tint="0.59996337778862885"/>
        </patternFill>
      </fill>
    </dxf>
    <dxf>
      <fill>
        <patternFill>
          <bgColor rgb="FFD4B6E8"/>
        </patternFill>
      </fill>
    </dxf>
    <dxf>
      <fill>
        <patternFill>
          <bgColor theme="8" tint="0.59996337778862885"/>
        </patternFill>
      </fill>
    </dxf>
    <dxf>
      <fill>
        <patternFill>
          <bgColor theme="7" tint="0.59996337778862885"/>
        </patternFill>
      </fill>
    </dxf>
    <dxf>
      <fill>
        <patternFill>
          <bgColor rgb="FFAFD29A"/>
        </patternFill>
      </fill>
    </dxf>
    <dxf>
      <fill>
        <patternFill>
          <bgColor theme="8" tint="0.59996337778862885"/>
        </patternFill>
      </fill>
    </dxf>
    <dxf>
      <fill>
        <patternFill>
          <bgColor rgb="FFD4B6E8"/>
        </patternFill>
      </fill>
    </dxf>
    <dxf>
      <fill>
        <patternFill>
          <bgColor theme="8" tint="0.59996337778862885"/>
        </patternFill>
      </fill>
    </dxf>
    <dxf>
      <fill>
        <patternFill>
          <bgColor theme="7" tint="0.59996337778862885"/>
        </patternFill>
      </fill>
    </dxf>
    <dxf>
      <fill>
        <patternFill>
          <bgColor rgb="FFAFD29A"/>
        </patternFill>
      </fill>
    </dxf>
    <dxf>
      <fill>
        <patternFill>
          <bgColor theme="8" tint="0.59996337778862885"/>
        </patternFill>
      </fill>
    </dxf>
    <dxf>
      <fill>
        <patternFill>
          <bgColor rgb="FFD4B6E8"/>
        </patternFill>
      </fill>
    </dxf>
    <dxf>
      <fill>
        <patternFill>
          <bgColor theme="8" tint="0.59996337778862885"/>
        </patternFill>
      </fill>
    </dxf>
    <dxf>
      <fill>
        <patternFill>
          <bgColor theme="7" tint="0.59996337778862885"/>
        </patternFill>
      </fill>
    </dxf>
    <dxf>
      <fill>
        <patternFill>
          <bgColor rgb="FFAFD29A"/>
        </patternFill>
      </fill>
    </dxf>
    <dxf>
      <fill>
        <patternFill>
          <bgColor theme="8" tint="0.59996337778862885"/>
        </patternFill>
      </fill>
    </dxf>
    <dxf>
      <fill>
        <patternFill>
          <bgColor rgb="FFD4B6E8"/>
        </patternFill>
      </fill>
    </dxf>
    <dxf>
      <fill>
        <patternFill>
          <bgColor theme="8" tint="0.59996337778862885"/>
        </patternFill>
      </fill>
    </dxf>
    <dxf>
      <fill>
        <patternFill>
          <bgColor theme="7" tint="0.59996337778862885"/>
        </patternFill>
      </fill>
    </dxf>
    <dxf>
      <fill>
        <patternFill>
          <bgColor rgb="FFAFD29A"/>
        </patternFill>
      </fill>
    </dxf>
    <dxf>
      <fill>
        <patternFill>
          <bgColor theme="8" tint="0.59996337778862885"/>
        </patternFill>
      </fill>
    </dxf>
    <dxf>
      <fill>
        <patternFill>
          <bgColor rgb="FFD4B6E8"/>
        </patternFill>
      </fill>
    </dxf>
    <dxf>
      <fill>
        <patternFill>
          <bgColor theme="8" tint="0.59996337778862885"/>
        </patternFill>
      </fill>
    </dxf>
    <dxf>
      <fill>
        <patternFill>
          <bgColor theme="7" tint="0.59996337778862885"/>
        </patternFill>
      </fill>
    </dxf>
    <dxf>
      <fill>
        <patternFill>
          <bgColor rgb="FFAFD29A"/>
        </patternFill>
      </fill>
    </dxf>
    <dxf>
      <fill>
        <patternFill>
          <bgColor theme="8" tint="0.59996337778862885"/>
        </patternFill>
      </fill>
    </dxf>
    <dxf>
      <fill>
        <patternFill>
          <bgColor rgb="FFD4B6E8"/>
        </patternFill>
      </fill>
    </dxf>
    <dxf>
      <fill>
        <patternFill>
          <bgColor theme="8" tint="0.59996337778862885"/>
        </patternFill>
      </fill>
    </dxf>
    <dxf>
      <fill>
        <patternFill>
          <bgColor theme="7" tint="0.59996337778862885"/>
        </patternFill>
      </fill>
    </dxf>
    <dxf>
      <fill>
        <patternFill>
          <bgColor rgb="FFAFD29A"/>
        </patternFill>
      </fill>
    </dxf>
    <dxf>
      <font>
        <color rgb="FFFF0000"/>
      </font>
    </dxf>
    <dxf>
      <font>
        <color theme="8"/>
      </font>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ont>
        <color theme="2"/>
      </font>
    </dxf>
    <dxf>
      <font>
        <color rgb="FFFF0000"/>
      </font>
    </dxf>
    <dxf>
      <font>
        <color theme="2" tint="-0.499984740745262"/>
      </font>
    </dxf>
    <dxf>
      <font>
        <color rgb="FFFF0000"/>
      </font>
    </dxf>
    <dxf>
      <font>
        <color theme="8"/>
      </font>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ont>
        <color theme="2"/>
      </font>
    </dxf>
    <dxf>
      <font>
        <color rgb="FFFF0000"/>
      </font>
    </dxf>
    <dxf>
      <font>
        <color theme="2" tint="-0.499984740745262"/>
      </font>
    </dxf>
    <dxf>
      <font>
        <color rgb="FFFF0000"/>
      </font>
    </dxf>
    <dxf>
      <font>
        <color theme="8"/>
      </font>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theme="1"/>
        </left>
        <right style="thin">
          <color theme="1"/>
        </right>
        <top style="thin">
          <color theme="1"/>
        </top>
        <bottom style="thin">
          <color theme="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theme="1"/>
        </left>
        <right style="thin">
          <color theme="1"/>
        </right>
        <top style="thin">
          <color theme="1"/>
        </top>
        <bottom style="thin">
          <color theme="1"/>
        </bottom>
        <vertical/>
        <horizontal/>
      </border>
    </dxf>
    <dxf>
      <fill>
        <patternFill>
          <bgColor rgb="FFFFFF99"/>
        </patternFill>
      </fill>
      <border>
        <left style="thin">
          <color theme="1"/>
        </left>
        <right style="thin">
          <color theme="1"/>
        </right>
        <top style="thin">
          <color theme="1"/>
        </top>
        <bottom style="thin">
          <color theme="1"/>
        </bottom>
      </border>
    </dxf>
    <dxf>
      <fill>
        <patternFill>
          <bgColor rgb="FF92D050"/>
        </patternFill>
      </fill>
    </dxf>
    <dxf>
      <fill>
        <patternFill>
          <bgColor rgb="FF92D050"/>
        </patternFill>
      </fill>
    </dxf>
    <dxf>
      <fill>
        <patternFill>
          <bgColor rgb="FF92D050"/>
        </patternFill>
      </fill>
    </dxf>
    <dxf>
      <fill>
        <patternFill>
          <bgColor rgb="FF92D050"/>
        </patternFill>
      </fill>
    </dxf>
    <dxf>
      <font>
        <b/>
        <i val="0"/>
        <color rgb="FF9148C8"/>
      </font>
    </dxf>
    <dxf>
      <font>
        <b/>
        <i val="0"/>
        <color rgb="FF9148C8"/>
      </font>
    </dxf>
    <dxf>
      <font>
        <color rgb="FFFF0000"/>
      </font>
    </dxf>
    <dxf>
      <font>
        <b/>
        <i val="0"/>
        <color rgb="FF9148C8"/>
      </font>
    </dxf>
    <dxf>
      <font>
        <b/>
        <i val="0"/>
        <color rgb="FF9148C8"/>
      </font>
    </dxf>
    <dxf>
      <font>
        <color rgb="FF9148C8"/>
      </font>
    </dxf>
    <dxf>
      <font>
        <color rgb="FF9148C8"/>
      </font>
    </dxf>
    <dxf>
      <font>
        <color rgb="FF9148C8"/>
      </font>
    </dxf>
    <dxf>
      <font>
        <color rgb="FF9148C8"/>
      </font>
    </dxf>
    <dxf>
      <font>
        <color rgb="FF9148C8"/>
      </font>
    </dxf>
    <dxf>
      <font>
        <color rgb="FF9148C8"/>
      </font>
    </dxf>
    <dxf>
      <font>
        <color rgb="FF9148C8"/>
      </font>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theme="8" tint="0.59996337778862885"/>
        </patternFill>
      </fill>
    </dxf>
    <dxf>
      <fill>
        <patternFill>
          <bgColor rgb="FFD4B6E8"/>
        </patternFill>
      </fill>
    </dxf>
    <dxf>
      <fill>
        <patternFill>
          <bgColor theme="8" tint="0.59996337778862885"/>
        </patternFill>
      </fill>
    </dxf>
    <dxf>
      <fill>
        <patternFill>
          <bgColor theme="7" tint="0.59996337778862885"/>
        </patternFill>
      </fill>
    </dxf>
    <dxf>
      <fill>
        <patternFill>
          <bgColor rgb="FFAFD29A"/>
        </patternFill>
      </fill>
    </dxf>
    <dxf>
      <fill>
        <patternFill>
          <bgColor theme="8" tint="0.59996337778862885"/>
        </patternFill>
      </fill>
    </dxf>
    <dxf>
      <fill>
        <patternFill>
          <bgColor rgb="FFD4B6E8"/>
        </patternFill>
      </fill>
    </dxf>
    <dxf>
      <fill>
        <patternFill>
          <bgColor theme="8" tint="0.59996337778862885"/>
        </patternFill>
      </fill>
    </dxf>
    <dxf>
      <fill>
        <patternFill>
          <bgColor theme="7" tint="0.59996337778862885"/>
        </patternFill>
      </fill>
    </dxf>
    <dxf>
      <fill>
        <patternFill>
          <bgColor rgb="FFAFD29A"/>
        </patternFill>
      </fill>
    </dxf>
    <dxf>
      <fill>
        <patternFill>
          <bgColor theme="8" tint="0.59996337778862885"/>
        </patternFill>
      </fill>
    </dxf>
    <dxf>
      <fill>
        <patternFill>
          <bgColor rgb="FFD4B6E8"/>
        </patternFill>
      </fill>
    </dxf>
    <dxf>
      <fill>
        <patternFill>
          <bgColor theme="8" tint="0.59996337778862885"/>
        </patternFill>
      </fill>
    </dxf>
    <dxf>
      <fill>
        <patternFill>
          <bgColor theme="7" tint="0.59996337778862885"/>
        </patternFill>
      </fill>
    </dxf>
    <dxf>
      <fill>
        <patternFill>
          <bgColor rgb="FFAFD29A"/>
        </patternFill>
      </fill>
    </dxf>
    <dxf>
      <fill>
        <patternFill>
          <bgColor theme="8" tint="0.59996337778862885"/>
        </patternFill>
      </fill>
    </dxf>
    <dxf>
      <fill>
        <patternFill>
          <bgColor rgb="FFD4B6E8"/>
        </patternFill>
      </fill>
    </dxf>
    <dxf>
      <fill>
        <patternFill>
          <bgColor theme="8" tint="0.59996337778862885"/>
        </patternFill>
      </fill>
    </dxf>
    <dxf>
      <fill>
        <patternFill>
          <bgColor theme="7" tint="0.59996337778862885"/>
        </patternFill>
      </fill>
    </dxf>
    <dxf>
      <fill>
        <patternFill>
          <bgColor rgb="FFAFD29A"/>
        </patternFill>
      </fill>
    </dxf>
    <dxf>
      <fill>
        <patternFill>
          <bgColor theme="8" tint="0.59996337778862885"/>
        </patternFill>
      </fill>
    </dxf>
    <dxf>
      <fill>
        <patternFill>
          <bgColor rgb="FFD4B6E8"/>
        </patternFill>
      </fill>
    </dxf>
    <dxf>
      <fill>
        <patternFill>
          <bgColor theme="8" tint="0.59996337778862885"/>
        </patternFill>
      </fill>
    </dxf>
    <dxf>
      <fill>
        <patternFill>
          <bgColor theme="7" tint="0.59996337778862885"/>
        </patternFill>
      </fill>
    </dxf>
    <dxf>
      <fill>
        <patternFill>
          <bgColor rgb="FFAFD29A"/>
        </patternFill>
      </fill>
    </dxf>
    <dxf>
      <fill>
        <patternFill>
          <bgColor theme="8" tint="0.59996337778862885"/>
        </patternFill>
      </fill>
    </dxf>
    <dxf>
      <fill>
        <patternFill>
          <bgColor rgb="FFD4B6E8"/>
        </patternFill>
      </fill>
    </dxf>
    <dxf>
      <fill>
        <patternFill>
          <bgColor theme="8" tint="0.59996337778862885"/>
        </patternFill>
      </fill>
    </dxf>
    <dxf>
      <fill>
        <patternFill>
          <bgColor theme="7" tint="0.59996337778862885"/>
        </patternFill>
      </fill>
    </dxf>
    <dxf>
      <fill>
        <patternFill>
          <bgColor rgb="FFAFD29A"/>
        </patternFill>
      </fill>
    </dxf>
    <dxf>
      <font>
        <color rgb="FFFF0000"/>
      </font>
    </dxf>
    <dxf>
      <font>
        <color theme="8"/>
      </font>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ont>
        <color theme="2"/>
      </font>
    </dxf>
    <dxf>
      <font>
        <color rgb="FFFF0000"/>
      </font>
    </dxf>
    <dxf>
      <font>
        <color theme="2" tint="-0.499984740745262"/>
      </font>
    </dxf>
    <dxf>
      <font>
        <color rgb="FFFF0000"/>
      </font>
    </dxf>
    <dxf>
      <font>
        <color theme="8"/>
      </font>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ont>
        <color theme="2"/>
      </font>
    </dxf>
    <dxf>
      <font>
        <color rgb="FFFF0000"/>
      </font>
    </dxf>
    <dxf>
      <font>
        <color theme="2" tint="-0.499984740745262"/>
      </font>
    </dxf>
    <dxf>
      <font>
        <color rgb="FFFF0000"/>
      </font>
    </dxf>
    <dxf>
      <font>
        <color theme="8"/>
      </font>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theme="1"/>
        </left>
        <right style="thin">
          <color theme="1"/>
        </right>
        <top style="thin">
          <color theme="1"/>
        </top>
        <bottom style="thin">
          <color theme="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theme="1"/>
        </left>
        <right style="thin">
          <color theme="1"/>
        </right>
        <top style="thin">
          <color theme="1"/>
        </top>
        <bottom style="thin">
          <color theme="1"/>
        </bottom>
        <vertical/>
        <horizontal/>
      </border>
    </dxf>
    <dxf>
      <fill>
        <patternFill>
          <bgColor rgb="FFFFFF99"/>
        </patternFill>
      </fill>
      <border>
        <left style="thin">
          <color theme="1"/>
        </left>
        <right style="thin">
          <color theme="1"/>
        </right>
        <top style="thin">
          <color theme="1"/>
        </top>
        <bottom style="thin">
          <color theme="1"/>
        </bottom>
      </border>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616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BFBFBF"/>
        </patternFill>
      </fill>
    </dxf>
    <dxf>
      <fill>
        <patternFill>
          <bgColor rgb="FFBFBFBF"/>
        </patternFill>
      </fill>
    </dxf>
    <dxf>
      <font>
        <color theme="2" tint="-0.499984740745262"/>
      </font>
    </dxf>
    <dxf>
      <font>
        <color rgb="FFFF0000"/>
      </font>
    </dxf>
    <dxf>
      <font>
        <color theme="2" tint="-0.49998474074526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ont>
        <color theme="2"/>
      </font>
    </dxf>
    <dxf>
      <font>
        <color theme="2"/>
      </font>
    </dxf>
    <dxf>
      <font>
        <color theme="2"/>
      </font>
    </dxf>
    <dxf>
      <font>
        <color theme="2"/>
      </font>
    </dxf>
    <dxf>
      <font>
        <color theme="2" tint="-0.499984740745262"/>
      </font>
    </dxf>
    <dxf>
      <fill>
        <patternFill>
          <bgColor rgb="FFFF616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BFBFBF"/>
        </patternFill>
      </fill>
    </dxf>
    <dxf>
      <fill>
        <patternFill>
          <bgColor rgb="FFBFBFBF"/>
        </patternFill>
      </fill>
    </dxf>
    <dxf>
      <font>
        <color theme="2" tint="-0.499984740745262"/>
      </font>
    </dxf>
    <dxf>
      <font>
        <color rgb="FFFF0000"/>
      </font>
    </dxf>
    <dxf>
      <font>
        <color theme="2" tint="-0.49998474074526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ont>
        <color theme="2"/>
      </font>
    </dxf>
    <dxf>
      <font>
        <color theme="2"/>
      </font>
    </dxf>
    <dxf>
      <font>
        <color theme="2"/>
      </font>
    </dxf>
    <dxf>
      <font>
        <color theme="2"/>
      </font>
    </dxf>
    <dxf>
      <font>
        <color theme="2" tint="-0.499984740745262"/>
      </font>
    </dxf>
    <dxf>
      <fill>
        <patternFill>
          <bgColor rgb="FFFF616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BFBFBF"/>
        </patternFill>
      </fill>
    </dxf>
    <dxf>
      <fill>
        <patternFill>
          <bgColor rgb="FFBFBFBF"/>
        </patternFill>
      </fill>
    </dxf>
    <dxf>
      <font>
        <color theme="2" tint="-0.499984740745262"/>
      </font>
    </dxf>
    <dxf>
      <font>
        <color rgb="FFFF0000"/>
      </font>
    </dxf>
    <dxf>
      <font>
        <color theme="2" tint="-0.49998474074526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ont>
        <color theme="2"/>
      </font>
    </dxf>
    <dxf>
      <font>
        <color theme="2"/>
      </font>
    </dxf>
    <dxf>
      <font>
        <color theme="2"/>
      </font>
    </dxf>
    <dxf>
      <font>
        <color theme="2"/>
      </font>
    </dxf>
    <dxf>
      <font>
        <color theme="2" tint="-0.499984740745262"/>
      </font>
    </dxf>
    <dxf>
      <fill>
        <patternFill>
          <bgColor rgb="FFFF616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BFBFBF"/>
        </patternFill>
      </fill>
    </dxf>
    <dxf>
      <fill>
        <patternFill>
          <bgColor rgb="FFBFBFBF"/>
        </patternFill>
      </fill>
    </dxf>
    <dxf>
      <font>
        <color theme="2" tint="-0.499984740745262"/>
      </font>
    </dxf>
    <dxf>
      <font>
        <color rgb="FFFF0000"/>
      </font>
    </dxf>
    <dxf>
      <font>
        <color theme="2" tint="-0.49998474074526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ont>
        <color theme="2"/>
      </font>
    </dxf>
    <dxf>
      <font>
        <color theme="2"/>
      </font>
    </dxf>
    <dxf>
      <font>
        <color theme="2"/>
      </font>
    </dxf>
    <dxf>
      <font>
        <color theme="2"/>
      </font>
    </dxf>
    <dxf>
      <font>
        <color theme="2" tint="-0.499984740745262"/>
      </font>
    </dxf>
    <dxf>
      <fill>
        <patternFill>
          <bgColor rgb="FFFF616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BFBFBF"/>
        </patternFill>
      </fill>
    </dxf>
    <dxf>
      <fill>
        <patternFill>
          <bgColor rgb="FFBFBFBF"/>
        </patternFill>
      </fill>
    </dxf>
    <dxf>
      <font>
        <color theme="2" tint="-0.499984740745262"/>
      </font>
    </dxf>
    <dxf>
      <font>
        <color rgb="FFFF0000"/>
      </font>
    </dxf>
    <dxf>
      <font>
        <color theme="2" tint="-0.49998474074526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ont>
        <color theme="2"/>
      </font>
    </dxf>
    <dxf>
      <font>
        <color theme="2"/>
      </font>
    </dxf>
    <dxf>
      <font>
        <color theme="2"/>
      </font>
    </dxf>
    <dxf>
      <font>
        <color theme="2"/>
      </font>
    </dxf>
    <dxf>
      <font>
        <color theme="2" tint="-0.499984740745262"/>
      </font>
    </dxf>
    <dxf>
      <fill>
        <patternFill>
          <bgColor rgb="FFFF616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BFBFBF"/>
        </patternFill>
      </fill>
    </dxf>
    <dxf>
      <fill>
        <patternFill>
          <bgColor rgb="FFBFBFBF"/>
        </patternFill>
      </fill>
    </dxf>
    <dxf>
      <font>
        <color theme="2" tint="-0.499984740745262"/>
      </font>
    </dxf>
    <dxf>
      <font>
        <color rgb="FFFF0000"/>
      </font>
    </dxf>
    <dxf>
      <font>
        <color theme="2" tint="-0.49998474074526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ont>
        <color theme="2"/>
      </font>
    </dxf>
    <dxf>
      <font>
        <color theme="2"/>
      </font>
    </dxf>
    <dxf>
      <font>
        <color theme="2"/>
      </font>
    </dxf>
    <dxf>
      <font>
        <color theme="2"/>
      </font>
    </dxf>
    <dxf>
      <font>
        <color theme="2" tint="-0.499984740745262"/>
      </font>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FF8181"/>
        </patternFill>
      </fill>
    </dxf>
    <dxf>
      <fill>
        <patternFill>
          <bgColor rgb="FFBFBFBF"/>
        </patternFill>
      </fill>
    </dxf>
    <dxf>
      <fill>
        <patternFill>
          <bgColor rgb="FFBFBFBF"/>
        </patternFill>
      </fill>
    </dxf>
    <dxf>
      <font>
        <color theme="2" tint="-0.499984740745262"/>
      </font>
    </dxf>
    <dxf>
      <font>
        <color rgb="FFFF0000"/>
      </font>
    </dxf>
    <dxf>
      <font>
        <color theme="2" tint="-0.49998474074526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ont>
        <color theme="2"/>
      </font>
    </dxf>
    <dxf>
      <font>
        <color theme="2"/>
      </font>
    </dxf>
    <dxf>
      <font>
        <color theme="2"/>
      </font>
    </dxf>
    <dxf>
      <font>
        <color theme="2"/>
      </font>
    </dxf>
    <dxf>
      <font>
        <color theme="2" tint="-0.499984740745262"/>
      </font>
    </dxf>
    <dxf>
      <font>
        <color rgb="FFFF0000"/>
      </font>
    </dxf>
    <dxf>
      <font>
        <color theme="8"/>
      </font>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ont>
        <color theme="2"/>
      </font>
    </dxf>
    <dxf>
      <font>
        <color rgb="FFFF0000"/>
      </font>
    </dxf>
    <dxf>
      <font>
        <color theme="2" tint="-0.499984740745262"/>
      </font>
    </dxf>
    <dxf>
      <font>
        <color rgb="FFFF0000"/>
      </font>
    </dxf>
    <dxf>
      <font>
        <color theme="8"/>
      </font>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ont>
        <color theme="2"/>
      </font>
    </dxf>
    <dxf>
      <font>
        <color rgb="FFFF0000"/>
      </font>
    </dxf>
    <dxf>
      <font>
        <color theme="2" tint="-0.499984740745262"/>
      </font>
    </dxf>
    <dxf>
      <fill>
        <patternFill>
          <bgColor rgb="FFC2D69B"/>
        </patternFill>
      </fill>
    </dxf>
    <dxf>
      <fill>
        <patternFill>
          <bgColor rgb="FFE6B9B8"/>
        </patternFill>
      </fill>
    </dxf>
    <dxf>
      <fill>
        <patternFill>
          <bgColor rgb="FFC2D69B"/>
        </patternFill>
      </fill>
    </dxf>
    <dxf>
      <fill>
        <patternFill>
          <bgColor rgb="FFE6B9B8"/>
        </patternFill>
      </fill>
    </dxf>
    <dxf>
      <fill>
        <patternFill>
          <bgColor rgb="FFE6B9B8"/>
        </patternFill>
      </fill>
    </dxf>
    <dxf>
      <fill>
        <patternFill>
          <bgColor rgb="FFC2D69B"/>
        </patternFill>
      </fill>
    </dxf>
    <dxf>
      <fill>
        <patternFill>
          <bgColor rgb="FFBFBFBF"/>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14996795556505021"/>
        </patternFill>
      </fill>
    </dxf>
    <dxf>
      <fill>
        <patternFill>
          <bgColor theme="0" tint="-0.14996795556505021"/>
        </patternFill>
      </fill>
    </dxf>
    <dxf>
      <fill>
        <patternFill patternType="solid">
          <bgColor rgb="FF92D050"/>
        </patternFill>
      </fill>
      <border>
        <left/>
        <right style="thin">
          <color theme="9" tint="-0.499984740745262"/>
        </right>
        <top/>
        <bottom/>
      </border>
    </dxf>
    <dxf>
      <font>
        <color rgb="FFFF0000"/>
      </font>
    </dxf>
    <dxf>
      <font>
        <color rgb="FFFF0000"/>
      </font>
    </dxf>
    <dxf>
      <font>
        <color rgb="FFFF0000"/>
      </font>
    </dxf>
    <dxf>
      <font>
        <color rgb="FFFF0000"/>
      </font>
    </dxf>
    <dxf>
      <numFmt numFmtId="0" formatCode="General"/>
    </dxf>
    <dxf>
      <numFmt numFmtId="0" formatCode="General"/>
    </dxf>
    <dxf>
      <fill>
        <patternFill patternType="solid">
          <fgColor indexed="64"/>
          <bgColor theme="7" tint="0.59999389629810485"/>
        </patternFill>
      </fill>
    </dxf>
    <dxf>
      <font>
        <b val="0"/>
        <i val="0"/>
        <strike val="0"/>
        <condense val="0"/>
        <extend val="0"/>
        <outline val="0"/>
        <shadow val="0"/>
        <u val="none"/>
        <vertAlign val="baseline"/>
        <sz val="11"/>
        <color rgb="FF000000"/>
        <name val="Helvetica Neue"/>
        <scheme val="none"/>
      </font>
      <numFmt numFmtId="0" formatCode="General"/>
      <fill>
        <patternFill patternType="solid">
          <fgColor indexed="64"/>
          <bgColor rgb="FFD0D8E8"/>
        </patternFill>
      </fill>
      <alignment horizontal="center" vertical="center" textRotation="0" wrapText="1" indent="0" justifyLastLine="0" shrinkToFit="0" readingOrder="0"/>
      <border diagonalUp="0" diagonalDown="0">
        <left style="thin">
          <color theme="0"/>
        </left>
        <right/>
        <top style="thin">
          <color theme="0"/>
        </top>
        <bottom style="thin">
          <color theme="0"/>
        </bottom>
        <vertical style="thin">
          <color theme="0"/>
        </vertical>
        <horizontal style="thin">
          <color theme="0"/>
        </horizontal>
      </border>
    </dxf>
    <dxf>
      <font>
        <b val="0"/>
        <i val="0"/>
        <strike val="0"/>
        <condense val="0"/>
        <extend val="0"/>
        <outline val="0"/>
        <shadow val="0"/>
        <u val="none"/>
        <vertAlign val="baseline"/>
        <sz val="11"/>
        <color rgb="FF000000"/>
        <name val="Helvetica Neue"/>
        <scheme val="none"/>
      </font>
      <numFmt numFmtId="168" formatCode="General;&quot;0&quot;"/>
      <fill>
        <patternFill patternType="solid">
          <fgColor indexed="64"/>
          <bgColor rgb="FFD0D8E8"/>
        </patternFill>
      </fill>
      <alignment horizontal="center"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val="0"/>
        <i val="0"/>
        <strike val="0"/>
        <condense val="0"/>
        <extend val="0"/>
        <outline val="0"/>
        <shadow val="0"/>
        <u val="none"/>
        <vertAlign val="baseline"/>
        <sz val="11"/>
        <color rgb="FF000000"/>
        <name val="Helvetica Neue"/>
        <scheme val="none"/>
      </font>
      <numFmt numFmtId="167" formatCode="0;&quot;0&quot;"/>
      <fill>
        <patternFill patternType="solid">
          <fgColor indexed="64"/>
          <bgColor rgb="FFE9EDF4"/>
        </patternFill>
      </fill>
      <alignment horizontal="center"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val="0"/>
        <i val="0"/>
        <strike val="0"/>
        <condense val="0"/>
        <extend val="0"/>
        <outline val="0"/>
        <shadow val="0"/>
        <u val="none"/>
        <vertAlign val="baseline"/>
        <sz val="11"/>
        <color rgb="FF000000"/>
        <name val="Helvetica Neue"/>
        <scheme val="none"/>
      </font>
      <numFmt numFmtId="168" formatCode="General;&quot;0&quot;"/>
      <fill>
        <patternFill patternType="solid">
          <fgColor indexed="64"/>
          <bgColor rgb="FFE9EDF4"/>
        </patternFill>
      </fill>
      <alignment horizontal="center"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val="0"/>
        <i val="0"/>
        <strike val="0"/>
        <condense val="0"/>
        <extend val="0"/>
        <outline val="0"/>
        <shadow val="0"/>
        <u val="none"/>
        <vertAlign val="baseline"/>
        <sz val="11"/>
        <color rgb="FF000000"/>
        <name val="Helvetica Neue"/>
        <scheme val="none"/>
      </font>
      <numFmt numFmtId="164" formatCode="0.0"/>
      <fill>
        <patternFill patternType="solid">
          <fgColor indexed="64"/>
          <bgColor rgb="FFE9EDF4"/>
        </patternFill>
      </fill>
      <alignment horizontal="center"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i val="0"/>
        <strike val="0"/>
        <condense val="0"/>
        <extend val="0"/>
        <outline val="0"/>
        <shadow val="0"/>
        <u val="none"/>
        <vertAlign val="baseline"/>
        <sz val="12"/>
        <color rgb="FF000000"/>
        <name val="Helvetica Neue"/>
        <scheme val="none"/>
      </font>
      <numFmt numFmtId="30" formatCode="@"/>
      <fill>
        <patternFill patternType="solid">
          <fgColor rgb="FFFEFEFE"/>
          <bgColor rgb="FFE9EDF4"/>
        </patternFill>
      </fill>
      <alignment horizontal="center" vertical="center" textRotation="0" wrapText="1" indent="0" justifyLastLine="0" shrinkToFit="0" readingOrder="0"/>
      <border diagonalUp="0" diagonalDown="0">
        <left/>
        <right style="thin">
          <color theme="0"/>
        </right>
        <top style="thin">
          <color theme="0"/>
        </top>
        <bottom style="thin">
          <color theme="0"/>
        </bottom>
        <vertical style="thin">
          <color theme="0"/>
        </vertical>
        <horizontal style="thin">
          <color theme="0"/>
        </horizontal>
      </border>
    </dxf>
    <dxf>
      <border>
        <top style="thin">
          <color theme="0"/>
        </top>
      </border>
    </dxf>
    <dxf>
      <border diagonalUp="0" diagonalDown="0">
        <left style="thin">
          <color theme="1"/>
        </left>
        <right style="thin">
          <color theme="1"/>
        </right>
        <top style="thin">
          <color theme="1"/>
        </top>
        <bottom style="thin">
          <color theme="1"/>
        </bottom>
      </border>
    </dxf>
    <dxf>
      <border>
        <bottom style="thin">
          <color theme="0"/>
        </bottom>
      </border>
    </dxf>
    <dxf>
      <font>
        <b/>
        <i val="0"/>
        <strike val="0"/>
        <condense val="0"/>
        <extend val="0"/>
        <outline val="0"/>
        <shadow val="0"/>
        <u val="none"/>
        <vertAlign val="baseline"/>
        <sz val="11"/>
        <color rgb="FFFFFFFF"/>
        <name val="Helvetica Neue"/>
        <scheme val="none"/>
      </font>
      <numFmt numFmtId="30" formatCode="@"/>
      <fill>
        <patternFill patternType="solid">
          <fgColor rgb="FF3D85C6"/>
          <bgColor rgb="FF3D85C6"/>
        </patternFill>
      </fill>
      <alignment horizontal="center" vertical="center" textRotation="0" wrapText="1" indent="0" justifyLastLine="0" shrinkToFit="0" readingOrder="0"/>
      <border diagonalUp="0" diagonalDown="0">
        <left style="thin">
          <color theme="0"/>
        </left>
        <right style="thin">
          <color theme="0"/>
        </right>
        <top/>
        <bottom/>
        <vertical style="thin">
          <color theme="0"/>
        </vertical>
        <horizontal style="thin">
          <color theme="0"/>
        </horizontal>
      </border>
    </dxf>
    <dxf>
      <font>
        <b val="0"/>
        <i val="0"/>
        <strike val="0"/>
        <condense val="0"/>
        <extend val="0"/>
        <outline val="0"/>
        <shadow val="0"/>
        <u val="none"/>
        <vertAlign val="baseline"/>
        <sz val="12"/>
        <color rgb="FF000000"/>
        <name val="Helvetica Neue"/>
        <scheme val="none"/>
      </font>
      <numFmt numFmtId="0" formatCode="General"/>
      <fill>
        <patternFill patternType="solid">
          <fgColor rgb="FFFEFEFE"/>
          <bgColor rgb="FFD0E3EA"/>
        </patternFill>
      </fill>
      <alignment horizontal="center" vertical="center" textRotation="0" wrapText="1" indent="0" justifyLastLine="0" shrinkToFit="0" readingOrder="0"/>
      <border diagonalUp="0" diagonalDown="0">
        <left style="thin">
          <color theme="0"/>
        </left>
        <right/>
        <top/>
        <bottom style="thin">
          <color rgb="FFFFFFFF"/>
        </bottom>
      </border>
    </dxf>
    <dxf>
      <font>
        <b val="0"/>
        <i val="0"/>
        <strike val="0"/>
        <condense val="0"/>
        <extend val="0"/>
        <outline val="0"/>
        <shadow val="0"/>
        <u val="none"/>
        <vertAlign val="baseline"/>
        <sz val="12"/>
        <color rgb="FF000000"/>
        <name val="Helvetica Neue"/>
        <scheme val="none"/>
      </font>
      <numFmt numFmtId="0" formatCode="General"/>
      <fill>
        <patternFill patternType="solid">
          <fgColor rgb="FFFEFEFE"/>
          <bgColor rgb="FFD0E3EA"/>
        </patternFill>
      </fill>
      <alignment horizontal="center" vertical="center" textRotation="0" wrapText="1" indent="0" justifyLastLine="0" shrinkToFit="0" readingOrder="0"/>
      <border diagonalUp="0" diagonalDown="0">
        <left style="thin">
          <color rgb="FFFFFFFF"/>
        </left>
        <right/>
        <top/>
        <bottom style="thin">
          <color rgb="FFFFFFFF"/>
        </bottom>
        <vertical/>
        <horizontal/>
      </border>
    </dxf>
    <dxf>
      <font>
        <b val="0"/>
        <i val="0"/>
        <strike val="0"/>
        <condense val="0"/>
        <extend val="0"/>
        <outline val="0"/>
        <shadow val="0"/>
        <u val="none"/>
        <vertAlign val="baseline"/>
        <sz val="12"/>
        <color rgb="FF000000"/>
        <name val="Helvetica Neue"/>
        <scheme val="none"/>
      </font>
      <numFmt numFmtId="167" formatCode="0;&quot;0&quot;"/>
      <fill>
        <patternFill patternType="solid">
          <fgColor rgb="FFFEFEFE"/>
          <bgColor rgb="FFD0E3EA"/>
        </patternFill>
      </fill>
      <alignment horizontal="center" vertical="center" textRotation="0" wrapText="1" indent="0" justifyLastLine="0" shrinkToFit="0" readingOrder="0"/>
      <border diagonalUp="0" diagonalDown="0">
        <left style="thin">
          <color rgb="FFFFFFFF"/>
        </left>
        <right/>
        <top/>
        <bottom style="thin">
          <color rgb="FFFFFFFF"/>
        </bottom>
        <vertical/>
        <horizontal/>
      </border>
    </dxf>
    <dxf>
      <font>
        <b val="0"/>
        <i val="0"/>
        <strike val="0"/>
        <condense val="0"/>
        <extend val="0"/>
        <outline val="0"/>
        <shadow val="0"/>
        <u val="none"/>
        <vertAlign val="baseline"/>
        <sz val="12"/>
        <color rgb="FF000000"/>
        <name val="Helvetica Neue"/>
        <scheme val="none"/>
      </font>
      <numFmt numFmtId="167" formatCode="0;&quot;0&quot;"/>
      <fill>
        <patternFill patternType="solid">
          <fgColor rgb="FFFEFEFE"/>
          <bgColor rgb="FFD0E3EA"/>
        </patternFill>
      </fill>
      <alignment horizontal="center" vertical="center" textRotation="0" wrapText="1" indent="0" justifyLastLine="0" shrinkToFit="0" readingOrder="0"/>
      <border diagonalUp="0" diagonalDown="0">
        <left style="thin">
          <color rgb="FFFFFFFF"/>
        </left>
        <right style="thin">
          <color rgb="FFFFFFFF"/>
        </right>
        <top/>
        <bottom style="thin">
          <color rgb="FFFFFFFF"/>
        </bottom>
        <vertical/>
        <horizontal/>
      </border>
    </dxf>
    <dxf>
      <font>
        <b val="0"/>
        <i val="0"/>
        <strike val="0"/>
        <condense val="0"/>
        <extend val="0"/>
        <outline val="0"/>
        <shadow val="0"/>
        <u val="none"/>
        <vertAlign val="baseline"/>
        <sz val="12"/>
        <color rgb="FF000000"/>
        <name val="Helvetica Neue"/>
        <scheme val="none"/>
      </font>
      <numFmt numFmtId="168" formatCode="General;&quot;0&quot;"/>
      <fill>
        <patternFill patternType="solid">
          <fgColor rgb="FFFEFEFE"/>
          <bgColor rgb="FFD0E3EA"/>
        </patternFill>
      </fill>
      <alignment horizontal="center" vertical="center" textRotation="0" wrapText="1" indent="0" justifyLastLine="0" shrinkToFit="0" readingOrder="0"/>
      <border diagonalUp="0" diagonalDown="0">
        <left style="thin">
          <color rgb="FFFFFFFF"/>
        </left>
        <right style="thin">
          <color rgb="FFFFFFFF"/>
        </right>
        <top/>
        <bottom style="thin">
          <color rgb="FFFFFFFF"/>
        </bottom>
        <vertical/>
        <horizontal/>
      </border>
    </dxf>
    <dxf>
      <font>
        <b val="0"/>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left" vertical="center" textRotation="0" wrapText="1" indent="0" justifyLastLine="0" shrinkToFit="0" readingOrder="0"/>
      <border diagonalUp="0" diagonalDown="0">
        <left style="thin">
          <color rgb="FFFFFFFF"/>
        </left>
        <right style="thin">
          <color rgb="FFFFFFFF"/>
        </right>
        <top/>
        <bottom style="thin">
          <color rgb="FFFFFFFF"/>
        </bottom>
        <vertical/>
        <horizontal/>
      </border>
    </dxf>
    <dxf>
      <font>
        <b/>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left" vertical="center" textRotation="0" wrapText="1" indent="0" justifyLastLine="0" shrinkToFit="0" readingOrder="0"/>
      <border diagonalUp="0" diagonalDown="0">
        <left/>
        <right style="thin">
          <color rgb="FFFFFFFF"/>
        </right>
        <top/>
        <bottom style="thin">
          <color rgb="FFFFFFFF"/>
        </bottom>
        <vertical/>
        <horizontal/>
      </border>
    </dxf>
    <dxf>
      <border diagonalUp="0" diagonalDown="0">
        <left style="thin">
          <color theme="1"/>
        </left>
        <right style="thin">
          <color theme="1"/>
        </right>
        <top style="thin">
          <color theme="1"/>
        </top>
        <bottom style="thin">
          <color theme="1"/>
        </bottom>
      </border>
    </dxf>
    <dxf>
      <border outline="0">
        <bottom style="thin">
          <color indexed="9"/>
        </bottom>
      </border>
    </dxf>
    <dxf>
      <font>
        <b/>
        <i val="0"/>
        <strike val="0"/>
        <condense val="0"/>
        <extend val="0"/>
        <outline val="0"/>
        <shadow val="0"/>
        <u val="none"/>
        <vertAlign val="baseline"/>
        <sz val="14"/>
        <color rgb="FFFFFFFF"/>
        <name val="Helvetica Neue"/>
        <scheme val="none"/>
      </font>
      <numFmt numFmtId="0" formatCode="General"/>
      <fill>
        <patternFill patternType="solid">
          <fgColor rgb="FF3D85C6"/>
          <bgColor rgb="FF3D85C6"/>
        </patternFill>
      </fill>
      <alignment horizontal="center" vertical="center" textRotation="0" wrapText="1" indent="0" justifyLastLine="0" shrinkToFit="0" readingOrder="0"/>
    </dxf>
    <dxf>
      <fill>
        <patternFill>
          <bgColor theme="6" tint="0.59996337778862885"/>
        </patternFill>
      </fill>
    </dxf>
  </dxfs>
  <tableStyles count="1" defaultTableStyle="TableStyleMedium2" defaultPivotStyle="PivotStyleLight16">
    <tableStyle name="Tabellenformat 1" pivot="0" count="1" xr9:uid="{4E4E24AA-5BE0-4A89-B0B6-517C073D89FC}">
      <tableStyleElement type="wholeTable" dxfId="1497"/>
    </tableStyle>
  </tableStyles>
  <colors>
    <mruColors>
      <color rgb="FFFF6161"/>
      <color rgb="FFFF8181"/>
      <color rgb="FF9148C8"/>
      <color rgb="FFBFBFBF"/>
      <color rgb="FFFFFF99"/>
      <color rgb="FFFFFFCC"/>
      <color rgb="FFD4B6E8"/>
      <color rgb="FFAFD29A"/>
      <color rgb="FFF1B3FF"/>
      <color rgb="FF25767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de-AT"/>
              <a:t>Volumen</a:t>
            </a:r>
          </a:p>
          <a:p>
            <a:pPr>
              <a:defRPr sz="1800" b="1" i="0" u="none" strike="noStrike" kern="1200" baseline="0">
                <a:solidFill>
                  <a:schemeClr val="tx1"/>
                </a:solidFill>
                <a:latin typeface="+mn-lt"/>
                <a:ea typeface="+mn-ea"/>
                <a:cs typeface="+mn-cs"/>
              </a:defRPr>
            </a:pPr>
            <a:r>
              <a:rPr lang="de-AT"/>
              <a:t> Graph</a:t>
            </a:r>
          </a:p>
        </c:rich>
      </c:tx>
      <c:overlay val="0"/>
      <c:spPr>
        <a:noFill/>
        <a:ln>
          <a:noFill/>
        </a:ln>
        <a:effectLst/>
      </c:spPr>
    </c:title>
    <c:autoTitleDeleted val="0"/>
    <c:plotArea>
      <c:layout>
        <c:manualLayout>
          <c:layoutTarget val="inner"/>
          <c:xMode val="edge"/>
          <c:yMode val="edge"/>
          <c:x val="3.5906532328747055E-2"/>
          <c:y val="8.9386917814119893E-2"/>
          <c:w val="0.9450277306353394"/>
          <c:h val="0.82098510572932837"/>
        </c:manualLayout>
      </c:layout>
      <c:barChart>
        <c:barDir val="col"/>
        <c:grouping val="clustered"/>
        <c:varyColors val="1"/>
        <c:ser>
          <c:idx val="0"/>
          <c:order val="0"/>
          <c:tx>
            <c:strRef>
              <c:f>Zyklus!$C$10</c:f>
              <c:strCache>
                <c:ptCount val="1"/>
                <c:pt idx="0">
                  <c:v>WOCHE 1: MEV</c:v>
                </c:pt>
              </c:strCache>
            </c:strRef>
          </c:tx>
          <c:spPr>
            <a:solidFill>
              <a:srgbClr val="558ED5"/>
            </a:solidFill>
          </c:spPr>
          <c:invertIfNegative val="1"/>
          <c:cat>
            <c:strRef>
              <c:extLst>
                <c:ext xmlns:c15="http://schemas.microsoft.com/office/drawing/2012/chart" uri="{02D57815-91ED-43cb-92C2-25804820EDAC}">
                  <c15:fullRef>
                    <c15:sqref>Zyklus!$H$72:$R$72</c15:sqref>
                  </c15:fullRef>
                </c:ext>
              </c:extLst>
              <c:f>(Zyklus!$H$72:$K$72,Zyklus!$M$72:$P$72)</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Zyklus!$H$73:$R$73</c15:sqref>
                  </c15:fullRef>
                </c:ext>
              </c:extLst>
              <c:f>(Zyklus!$H$73:$K$73,Zyklus!$M$73:$P$73)</c:f>
              <c:numCache>
                <c:formatCode>General</c:formatCode>
                <c:ptCount val="8"/>
                <c:pt idx="0">
                  <c:v>12</c:v>
                </c:pt>
                <c:pt idx="1">
                  <c:v>13</c:v>
                </c:pt>
                <c:pt idx="2">
                  <c:v>9</c:v>
                </c:pt>
                <c:pt idx="3">
                  <c:v>6</c:v>
                </c:pt>
                <c:pt idx="4">
                  <c:v>9</c:v>
                </c:pt>
                <c:pt idx="5">
                  <c:v>8</c:v>
                </c:pt>
                <c:pt idx="6">
                  <c:v>8</c:v>
                </c:pt>
                <c:pt idx="7">
                  <c:v>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0B55-40B1-9049-F3E895732B5E}"/>
            </c:ext>
          </c:extLst>
        </c:ser>
        <c:ser>
          <c:idx val="1"/>
          <c:order val="1"/>
          <c:tx>
            <c:strRef>
              <c:f>Zyklus!$G$10</c:f>
              <c:strCache>
                <c:ptCount val="1"/>
                <c:pt idx="0">
                  <c:v>WOCHE 2: MAV</c:v>
                </c:pt>
              </c:strCache>
            </c:strRef>
          </c:tx>
          <c:spPr>
            <a:solidFill>
              <a:srgbClr val="DC3912"/>
            </a:solidFill>
          </c:spPr>
          <c:invertIfNegative val="1"/>
          <c:cat>
            <c:strRef>
              <c:extLst>
                <c:ext xmlns:c15="http://schemas.microsoft.com/office/drawing/2012/chart" uri="{02D57815-91ED-43cb-92C2-25804820EDAC}">
                  <c15:fullRef>
                    <c15:sqref>Zyklus!$H$72:$R$72</c15:sqref>
                  </c15:fullRef>
                </c:ext>
              </c:extLst>
              <c:f>(Zyklus!$H$72:$K$72,Zyklus!$M$72:$P$72)</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Zyklus!$H$74:$R$74</c15:sqref>
                  </c15:fullRef>
                </c:ext>
              </c:extLst>
              <c:f>(Zyklus!$H$74:$K$74,Zyklus!$M$74:$P$74)</c:f>
              <c:numCache>
                <c:formatCode>General</c:formatCode>
                <c:ptCount val="8"/>
                <c:pt idx="0">
                  <c:v>15</c:v>
                </c:pt>
                <c:pt idx="1">
                  <c:v>16</c:v>
                </c:pt>
                <c:pt idx="2">
                  <c:v>13</c:v>
                </c:pt>
                <c:pt idx="3">
                  <c:v>10</c:v>
                </c:pt>
                <c:pt idx="4">
                  <c:v>13</c:v>
                </c:pt>
                <c:pt idx="5">
                  <c:v>12</c:v>
                </c:pt>
                <c:pt idx="6">
                  <c:v>9</c:v>
                </c:pt>
                <c:pt idx="7">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0B55-40B1-9049-F3E895732B5E}"/>
            </c:ext>
          </c:extLst>
        </c:ser>
        <c:ser>
          <c:idx val="2"/>
          <c:order val="2"/>
          <c:tx>
            <c:strRef>
              <c:f>Zyklus!$K$10</c:f>
              <c:strCache>
                <c:ptCount val="1"/>
                <c:pt idx="0">
                  <c:v>WOCHE 3: MAV</c:v>
                </c:pt>
              </c:strCache>
            </c:strRef>
          </c:tx>
          <c:spPr>
            <a:solidFill>
              <a:srgbClr val="FF9900"/>
            </a:solidFill>
          </c:spPr>
          <c:invertIfNegative val="1"/>
          <c:cat>
            <c:strRef>
              <c:extLst>
                <c:ext xmlns:c15="http://schemas.microsoft.com/office/drawing/2012/chart" uri="{02D57815-91ED-43cb-92C2-25804820EDAC}">
                  <c15:fullRef>
                    <c15:sqref>Zyklus!$H$72:$R$72</c15:sqref>
                  </c15:fullRef>
                </c:ext>
              </c:extLst>
              <c:f>(Zyklus!$H$72:$K$72,Zyklus!$M$72:$P$72)</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Zyklus!$H$75:$R$75</c15:sqref>
                  </c15:fullRef>
                </c:ext>
              </c:extLst>
              <c:f>(Zyklus!$H$75:$K$75,Zyklus!$M$75:$P$75)</c:f>
              <c:numCache>
                <c:formatCode>General</c:formatCode>
                <c:ptCount val="8"/>
                <c:pt idx="0">
                  <c:v>15</c:v>
                </c:pt>
                <c:pt idx="1">
                  <c:v>16</c:v>
                </c:pt>
                <c:pt idx="2">
                  <c:v>14</c:v>
                </c:pt>
                <c:pt idx="3">
                  <c:v>10</c:v>
                </c:pt>
                <c:pt idx="4">
                  <c:v>13</c:v>
                </c:pt>
                <c:pt idx="5">
                  <c:v>12</c:v>
                </c:pt>
                <c:pt idx="6">
                  <c:v>9</c:v>
                </c:pt>
                <c:pt idx="7">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0B55-40B1-9049-F3E895732B5E}"/>
            </c:ext>
          </c:extLst>
        </c:ser>
        <c:ser>
          <c:idx val="3"/>
          <c:order val="3"/>
          <c:tx>
            <c:strRef>
              <c:f>Zyklus!$O$10</c:f>
              <c:strCache>
                <c:ptCount val="1"/>
                <c:pt idx="0">
                  <c:v>WOCHE 4: MRV</c:v>
                </c:pt>
              </c:strCache>
            </c:strRef>
          </c:tx>
          <c:spPr>
            <a:solidFill>
              <a:srgbClr val="00B050"/>
            </a:solidFill>
          </c:spPr>
          <c:invertIfNegative val="1"/>
          <c:cat>
            <c:strRef>
              <c:extLst>
                <c:ext xmlns:c15="http://schemas.microsoft.com/office/drawing/2012/chart" uri="{02D57815-91ED-43cb-92C2-25804820EDAC}">
                  <c15:fullRef>
                    <c15:sqref>Zyklus!$H$72:$R$72</c15:sqref>
                  </c15:fullRef>
                </c:ext>
              </c:extLst>
              <c:f>(Zyklus!$H$72:$K$72,Zyklus!$M$72:$P$72)</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Zyklus!$H$76:$R$76</c15:sqref>
                  </c15:fullRef>
                </c:ext>
              </c:extLst>
              <c:f>(Zyklus!$H$76:$K$76,Zyklus!$M$76:$P$76)</c:f>
              <c:numCache>
                <c:formatCode>General</c:formatCode>
                <c:ptCount val="8"/>
                <c:pt idx="0">
                  <c:v>18</c:v>
                </c:pt>
                <c:pt idx="1">
                  <c:v>19</c:v>
                </c:pt>
                <c:pt idx="2">
                  <c:v>17</c:v>
                </c:pt>
                <c:pt idx="3">
                  <c:v>12</c:v>
                </c:pt>
                <c:pt idx="4">
                  <c:v>16</c:v>
                </c:pt>
                <c:pt idx="5">
                  <c:v>14</c:v>
                </c:pt>
                <c:pt idx="6">
                  <c:v>13</c:v>
                </c:pt>
                <c:pt idx="7">
                  <c:v>12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0B55-40B1-9049-F3E895732B5E}"/>
            </c:ext>
          </c:extLst>
        </c:ser>
        <c:ser>
          <c:idx val="4"/>
          <c:order val="4"/>
          <c:tx>
            <c:strRef>
              <c:f>Zyklus!$S$10</c:f>
              <c:strCache>
                <c:ptCount val="1"/>
                <c:pt idx="0">
                  <c:v>WOCHE 5: MV</c:v>
                </c:pt>
              </c:strCache>
            </c:strRef>
          </c:tx>
          <c:spPr>
            <a:solidFill>
              <a:srgbClr val="FFB9FF"/>
            </a:solidFill>
          </c:spPr>
          <c:invertIfNegative val="0"/>
          <c:cat>
            <c:strRef>
              <c:extLst>
                <c:ext xmlns:c15="http://schemas.microsoft.com/office/drawing/2012/chart" uri="{02D57815-91ED-43cb-92C2-25804820EDAC}">
                  <c15:fullRef>
                    <c15:sqref>Zyklus!$H$72:$R$72</c15:sqref>
                  </c15:fullRef>
                </c:ext>
              </c:extLst>
              <c:f>(Zyklus!$H$72:$K$72,Zyklus!$M$72:$P$72)</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Zyklus!$H$77:$R$77</c15:sqref>
                  </c15:fullRef>
                </c:ext>
              </c:extLst>
              <c:f>(Zyklus!$H$77:$K$77,Zyklus!$M$77:$P$77)</c:f>
              <c:numCache>
                <c:formatCode>General</c:formatCode>
                <c:ptCount val="8"/>
                <c:pt idx="0">
                  <c:v>10</c:v>
                </c:pt>
                <c:pt idx="1">
                  <c:v>10</c:v>
                </c:pt>
                <c:pt idx="2">
                  <c:v>6</c:v>
                </c:pt>
                <c:pt idx="3">
                  <c:v>5</c:v>
                </c:pt>
                <c:pt idx="4">
                  <c:v>5</c:v>
                </c:pt>
                <c:pt idx="5">
                  <c:v>5</c:v>
                </c:pt>
                <c:pt idx="6">
                  <c:v>7</c:v>
                </c:pt>
                <c:pt idx="7">
                  <c:v>6</c:v>
                </c:pt>
              </c:numCache>
            </c:numRef>
          </c:val>
          <c:extLst>
            <c:ext xmlns:c16="http://schemas.microsoft.com/office/drawing/2014/chart" uri="{C3380CC4-5D6E-409C-BE32-E72D297353CC}">
              <c16:uniqueId val="{00000004-0B55-40B1-9049-F3E895732B5E}"/>
            </c:ext>
          </c:extLst>
        </c:ser>
        <c:dLbls>
          <c:showLegendKey val="0"/>
          <c:showVal val="0"/>
          <c:showCatName val="0"/>
          <c:showSerName val="0"/>
          <c:showPercent val="0"/>
          <c:showBubbleSize val="0"/>
        </c:dLbls>
        <c:gapWidth val="150"/>
        <c:axId val="154886218"/>
        <c:axId val="1410113911"/>
      </c:barChart>
      <c:catAx>
        <c:axId val="154886218"/>
        <c:scaling>
          <c:orientation val="minMax"/>
        </c:scaling>
        <c:delete val="0"/>
        <c:axPos val="b"/>
        <c:numFmt formatCode="General" sourceLinked="0"/>
        <c:majorTickMark val="cross"/>
        <c:minorTickMark val="cross"/>
        <c:tickLblPos val="nextTo"/>
        <c:txPr>
          <a:bodyPr/>
          <a:lstStyle/>
          <a:p>
            <a:pPr lvl="0">
              <a:defRPr sz="1200" b="0"/>
            </a:pPr>
            <a:endParaRPr lang="de-DE"/>
          </a:p>
        </c:txPr>
        <c:crossAx val="1410113911"/>
        <c:crosses val="autoZero"/>
        <c:auto val="1"/>
        <c:lblAlgn val="ctr"/>
        <c:lblOffset val="100"/>
        <c:noMultiLvlLbl val="1"/>
      </c:catAx>
      <c:valAx>
        <c:axId val="1410113911"/>
        <c:scaling>
          <c:orientation val="minMax"/>
          <c:max val="25"/>
          <c:min val="1"/>
        </c:scaling>
        <c:delete val="0"/>
        <c:axPos val="l"/>
        <c:majorGridlines>
          <c:spPr>
            <a:ln w="9525" cap="flat" cmpd="sng" algn="ctr">
              <a:solidFill>
                <a:schemeClr val="tx1">
                  <a:tint val="75000"/>
                  <a:shade val="95000"/>
                  <a:satMod val="105000"/>
                </a:schemeClr>
              </a:solidFill>
              <a:prstDash val="solid"/>
              <a:round/>
            </a:ln>
            <a:effectLst/>
          </c:spPr>
        </c:majorGridlines>
        <c:numFmt formatCode="General" sourceLinked="1"/>
        <c:majorTickMark val="cross"/>
        <c:minorTickMark val="cross"/>
        <c:tickLblPos val="nextTo"/>
        <c:spPr>
          <a:ln w="47625">
            <a:noFill/>
          </a:ln>
        </c:spPr>
        <c:txPr>
          <a:bodyPr/>
          <a:lstStyle/>
          <a:p>
            <a:pPr lvl="0">
              <a:defRPr sz="1200" b="0"/>
            </a:pPr>
            <a:endParaRPr lang="de-DE"/>
          </a:p>
        </c:txPr>
        <c:crossAx val="154886218"/>
        <c:crosses val="autoZero"/>
        <c:crossBetween val="between"/>
        <c:majorUnit val="2"/>
      </c:valAx>
    </c:plotArea>
    <c:legend>
      <c:legendPos val="r"/>
      <c:layout>
        <c:manualLayout>
          <c:xMode val="edge"/>
          <c:yMode val="edge"/>
          <c:x val="0.80953043363449462"/>
          <c:y val="4.6668884684333174E-2"/>
          <c:w val="0.17453456147030255"/>
          <c:h val="0.27747995377135676"/>
        </c:manualLayout>
      </c:layout>
      <c:overlay val="0"/>
      <c:spPr>
        <a:solidFill>
          <a:schemeClr val="bg1">
            <a:lumMod val="95000"/>
          </a:schemeClr>
        </a:solidFill>
        <a:ln>
          <a:solidFill>
            <a:srgbClr val="0070C0"/>
          </a:solid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de-DE"/>
        </a:p>
      </c:txPr>
    </c:legend>
    <c:plotVisOnly val="1"/>
    <c:dispBlanksAs val="zero"/>
    <c:showDLblsOverMax val="1"/>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62834591956846"/>
          <c:y val="5.2186779579761228E-2"/>
          <c:w val="0.779125174513977"/>
          <c:h val="0.83680179220084261"/>
        </c:manualLayout>
      </c:layout>
      <c:scatterChart>
        <c:scatterStyle val="smoothMarker"/>
        <c:varyColors val="0"/>
        <c:ser>
          <c:idx val="0"/>
          <c:order val="0"/>
          <c:tx>
            <c:v>Brzcky</c:v>
          </c:tx>
          <c:spPr>
            <a:ln w="28575" cap="rnd">
              <a:solidFill>
                <a:srgbClr val="FF0000"/>
              </a:solidFill>
              <a:round/>
            </a:ln>
            <a:effectLst/>
          </c:spPr>
          <c:marker>
            <c:symbol val="none"/>
          </c:marker>
          <c:xVal>
            <c:numRef>
              <c:f>'Funktions-Tabelle'!$D$22:$D$57</c:f>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f>'Funktions-Tabelle'!$E$22:$E$57</c:f>
              <c:numCache>
                <c:formatCode>#,##0.0;""</c:formatCode>
                <c:ptCount val="36"/>
                <c:pt idx="0">
                  <c:v>116.12903225806453</c:v>
                </c:pt>
                <c:pt idx="1">
                  <c:v>112.90322580645163</c:v>
                </c:pt>
                <c:pt idx="2">
                  <c:v>109.67741935483872</c:v>
                </c:pt>
                <c:pt idx="3">
                  <c:v>106.45161290322582</c:v>
                </c:pt>
                <c:pt idx="4">
                  <c:v>103.22580645161291</c:v>
                </c:pt>
                <c:pt idx="5">
                  <c:v>100</c:v>
                </c:pt>
                <c:pt idx="6">
                  <c:v>96.774193548387103</c:v>
                </c:pt>
                <c:pt idx="7">
                  <c:v>93.548387096774192</c:v>
                </c:pt>
                <c:pt idx="8">
                  <c:v>90.322580645161295</c:v>
                </c:pt>
                <c:pt idx="9">
                  <c:v>87.096774193548399</c:v>
                </c:pt>
                <c:pt idx="10">
                  <c:v>83.870967741935488</c:v>
                </c:pt>
                <c:pt idx="11">
                  <c:v>80.645161290322591</c:v>
                </c:pt>
                <c:pt idx="12">
                  <c:v>77.41935483870968</c:v>
                </c:pt>
                <c:pt idx="13">
                  <c:v>74.193548387096783</c:v>
                </c:pt>
                <c:pt idx="14">
                  <c:v>70.967741935483872</c:v>
                </c:pt>
                <c:pt idx="15">
                  <c:v>67.741935483870975</c:v>
                </c:pt>
                <c:pt idx="16">
                  <c:v>64.516129032258064</c:v>
                </c:pt>
                <c:pt idx="17">
                  <c:v>61.290322580645167</c:v>
                </c:pt>
                <c:pt idx="18">
                  <c:v>58.064516129032263</c:v>
                </c:pt>
                <c:pt idx="19">
                  <c:v>54.838709677419359</c:v>
                </c:pt>
                <c:pt idx="20">
                  <c:v>51.612903225806456</c:v>
                </c:pt>
                <c:pt idx="21">
                  <c:v>48.387096774193552</c:v>
                </c:pt>
                <c:pt idx="22">
                  <c:v>45.161290322580648</c:v>
                </c:pt>
                <c:pt idx="23">
                  <c:v>41.935483870967744</c:v>
                </c:pt>
                <c:pt idx="24">
                  <c:v>38.70967741935484</c:v>
                </c:pt>
                <c:pt idx="25">
                  <c:v>35.483870967741936</c:v>
                </c:pt>
                <c:pt idx="26">
                  <c:v>32.258064516129032</c:v>
                </c:pt>
                <c:pt idx="27">
                  <c:v>29.032258064516132</c:v>
                </c:pt>
                <c:pt idx="28">
                  <c:v>25.806451612903228</c:v>
                </c:pt>
                <c:pt idx="29">
                  <c:v>22.580645161290324</c:v>
                </c:pt>
                <c:pt idx="30">
                  <c:v>19.35483870967742</c:v>
                </c:pt>
                <c:pt idx="31">
                  <c:v>16.129032258064516</c:v>
                </c:pt>
                <c:pt idx="32">
                  <c:v>12.903225806451614</c:v>
                </c:pt>
                <c:pt idx="33">
                  <c:v>9.67741935483871</c:v>
                </c:pt>
                <c:pt idx="34">
                  <c:v>6.4516129032258069</c:v>
                </c:pt>
                <c:pt idx="35">
                  <c:v>3.2258064516129035</c:v>
                </c:pt>
              </c:numCache>
            </c:numRef>
          </c:yVal>
          <c:smooth val="1"/>
          <c:extLst>
            <c:ext xmlns:c16="http://schemas.microsoft.com/office/drawing/2014/chart" uri="{C3380CC4-5D6E-409C-BE32-E72D297353CC}">
              <c16:uniqueId val="{00000006-6722-412D-A658-F9417FABF2DC}"/>
            </c:ext>
          </c:extLst>
        </c:ser>
        <c:ser>
          <c:idx val="4"/>
          <c:order val="4"/>
          <c:tx>
            <c:v>Epley</c:v>
          </c:tx>
          <c:spPr>
            <a:ln w="28575" cap="rnd">
              <a:solidFill>
                <a:srgbClr val="00B050"/>
              </a:solidFill>
              <a:round/>
            </a:ln>
            <a:effectLst/>
          </c:spPr>
          <c:marker>
            <c:symbol val="none"/>
          </c:marker>
          <c:xVal>
            <c:numRef>
              <c:f>'Funktions-Tabelle'!$D$22:$D$57</c:f>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f>'Funktions-Tabelle'!$I$22:$I$57</c:f>
              <c:numCache>
                <c:formatCode>#,##0.0;""</c:formatCode>
                <c:ptCount val="36"/>
                <c:pt idx="0">
                  <c:v>120</c:v>
                </c:pt>
                <c:pt idx="1">
                  <c:v>112.5</c:v>
                </c:pt>
                <c:pt idx="2">
                  <c:v>109.09090909090908</c:v>
                </c:pt>
                <c:pt idx="3">
                  <c:v>105.88235294117648</c:v>
                </c:pt>
                <c:pt idx="4">
                  <c:v>102.85714285714285</c:v>
                </c:pt>
                <c:pt idx="5">
                  <c:v>100</c:v>
                </c:pt>
                <c:pt idx="6">
                  <c:v>97.297297297297291</c:v>
                </c:pt>
                <c:pt idx="7">
                  <c:v>94.736842105263165</c:v>
                </c:pt>
                <c:pt idx="8">
                  <c:v>92.307692307692307</c:v>
                </c:pt>
                <c:pt idx="9">
                  <c:v>90</c:v>
                </c:pt>
                <c:pt idx="10">
                  <c:v>87.804878048780481</c:v>
                </c:pt>
                <c:pt idx="11">
                  <c:v>85.714285714285722</c:v>
                </c:pt>
                <c:pt idx="12">
                  <c:v>83.720930232558132</c:v>
                </c:pt>
                <c:pt idx="13">
                  <c:v>81.818181818181813</c:v>
                </c:pt>
                <c:pt idx="14">
                  <c:v>80</c:v>
                </c:pt>
                <c:pt idx="15">
                  <c:v>78.260869565217391</c:v>
                </c:pt>
                <c:pt idx="16">
                  <c:v>76.59574468085107</c:v>
                </c:pt>
                <c:pt idx="17">
                  <c:v>75</c:v>
                </c:pt>
                <c:pt idx="18">
                  <c:v>73.469387755102048</c:v>
                </c:pt>
                <c:pt idx="19">
                  <c:v>72</c:v>
                </c:pt>
                <c:pt idx="20">
                  <c:v>70.588235294117652</c:v>
                </c:pt>
                <c:pt idx="21">
                  <c:v>69.230769230769226</c:v>
                </c:pt>
                <c:pt idx="22">
                  <c:v>67.924528301886795</c:v>
                </c:pt>
                <c:pt idx="23">
                  <c:v>66.666666666666671</c:v>
                </c:pt>
                <c:pt idx="24">
                  <c:v>65.454545454545453</c:v>
                </c:pt>
                <c:pt idx="25">
                  <c:v>64.285714285714278</c:v>
                </c:pt>
                <c:pt idx="26">
                  <c:v>63.15789473684211</c:v>
                </c:pt>
                <c:pt idx="27">
                  <c:v>62.068965517241381</c:v>
                </c:pt>
                <c:pt idx="28">
                  <c:v>61.016949152542367</c:v>
                </c:pt>
                <c:pt idx="29">
                  <c:v>60</c:v>
                </c:pt>
                <c:pt idx="30">
                  <c:v>59.016393442622956</c:v>
                </c:pt>
                <c:pt idx="31">
                  <c:v>58.064516129032263</c:v>
                </c:pt>
                <c:pt idx="32">
                  <c:v>57.142857142857139</c:v>
                </c:pt>
                <c:pt idx="33">
                  <c:v>56.25</c:v>
                </c:pt>
                <c:pt idx="34">
                  <c:v>55.38461538461538</c:v>
                </c:pt>
                <c:pt idx="35">
                  <c:v>54.54545454545454</c:v>
                </c:pt>
              </c:numCache>
            </c:numRef>
          </c:yVal>
          <c:smooth val="1"/>
          <c:extLst>
            <c:ext xmlns:c16="http://schemas.microsoft.com/office/drawing/2014/chart" uri="{C3380CC4-5D6E-409C-BE32-E72D297353CC}">
              <c16:uniqueId val="{0000000A-6722-412D-A658-F9417FABF2DC}"/>
            </c:ext>
          </c:extLst>
        </c:ser>
        <c:dLbls>
          <c:showLegendKey val="0"/>
          <c:showVal val="0"/>
          <c:showCatName val="0"/>
          <c:showSerName val="0"/>
          <c:showPercent val="0"/>
          <c:showBubbleSize val="0"/>
        </c:dLbls>
        <c:axId val="702553864"/>
        <c:axId val="702553536"/>
        <c:extLst>
          <c:ext xmlns:c15="http://schemas.microsoft.com/office/drawing/2012/chart" uri="{02D57815-91ED-43cb-92C2-25804820EDAC}">
            <c15:filteredScatterSeries>
              <c15:ser>
                <c:idx val="1"/>
                <c:order val="1"/>
                <c:tx>
                  <c:strRef>
                    <c:extLst>
                      <c:ext uri="{02D57815-91ED-43cb-92C2-25804820EDAC}">
                        <c15:formulaRef>
                          <c15:sqref>'Funktions-Tabelle'!$F$21</c15:sqref>
                        </c15:formulaRef>
                      </c:ext>
                    </c:extLst>
                    <c:strCache>
                      <c:ptCount val="1"/>
                      <c:pt idx="0">
                        <c:v>% des 1RM</c:v>
                      </c:pt>
                    </c:strCache>
                  </c:strRef>
                </c:tx>
                <c:spPr>
                  <a:ln w="19050" cap="rnd">
                    <a:solidFill>
                      <a:schemeClr val="accent2"/>
                    </a:solidFill>
                    <a:round/>
                  </a:ln>
                  <a:effectLst/>
                </c:spPr>
                <c:marker>
                  <c:symbol val="none"/>
                </c:marker>
                <c:xVal>
                  <c:numRef>
                    <c:extLst>
                      <c:ext uri="{02D57815-91ED-43cb-92C2-25804820EDAC}">
                        <c15:formulaRef>
                          <c15:sqref>'Funktions-Tabelle'!$D$22:$D$57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c:ext uri="{02D57815-91ED-43cb-92C2-25804820EDAC}">
                        <c15:formulaRef>
                          <c15:sqref>'Funktions-Tabelle'!$F$22:$F$57</c15:sqref>
                        </c15:formulaRef>
                      </c:ext>
                    </c:extLst>
                    <c:numCache>
                      <c:formatCode>0.0%</c:formatCode>
                      <c:ptCount val="36"/>
                      <c:pt idx="0">
                        <c:v>1</c:v>
                      </c:pt>
                      <c:pt idx="1">
                        <c:v>0.97222222222222232</c:v>
                      </c:pt>
                      <c:pt idx="2">
                        <c:v>0.94444444444444442</c:v>
                      </c:pt>
                      <c:pt idx="3">
                        <c:v>0.91666666666666674</c:v>
                      </c:pt>
                      <c:pt idx="4">
                        <c:v>0.88888888888888884</c:v>
                      </c:pt>
                      <c:pt idx="5">
                        <c:v>0.86111111111111105</c:v>
                      </c:pt>
                      <c:pt idx="6">
                        <c:v>0.83333333333333326</c:v>
                      </c:pt>
                      <c:pt idx="7">
                        <c:v>0.80555555555555547</c:v>
                      </c:pt>
                      <c:pt idx="8">
                        <c:v>0.77777777777777779</c:v>
                      </c:pt>
                      <c:pt idx="9">
                        <c:v>0.75</c:v>
                      </c:pt>
                      <c:pt idx="10">
                        <c:v>0.72222222222222221</c:v>
                      </c:pt>
                      <c:pt idx="11">
                        <c:v>0.69444444444444442</c:v>
                      </c:pt>
                      <c:pt idx="12">
                        <c:v>0.66666666666666663</c:v>
                      </c:pt>
                      <c:pt idx="13">
                        <c:v>0.63888888888888895</c:v>
                      </c:pt>
                      <c:pt idx="14">
                        <c:v>0.61111111111111105</c:v>
                      </c:pt>
                      <c:pt idx="15">
                        <c:v>0.58333333333333337</c:v>
                      </c:pt>
                      <c:pt idx="16">
                        <c:v>0.55555555555555547</c:v>
                      </c:pt>
                      <c:pt idx="17">
                        <c:v>0.52777777777777779</c:v>
                      </c:pt>
                      <c:pt idx="18">
                        <c:v>0.5</c:v>
                      </c:pt>
                      <c:pt idx="19">
                        <c:v>0.47222222222222221</c:v>
                      </c:pt>
                      <c:pt idx="20">
                        <c:v>0.44444444444444442</c:v>
                      </c:pt>
                      <c:pt idx="21">
                        <c:v>0.41666666666666663</c:v>
                      </c:pt>
                      <c:pt idx="22">
                        <c:v>0.3888888888888889</c:v>
                      </c:pt>
                      <c:pt idx="23">
                        <c:v>0.3611111111111111</c:v>
                      </c:pt>
                      <c:pt idx="24">
                        <c:v>0.33333333333333331</c:v>
                      </c:pt>
                      <c:pt idx="25">
                        <c:v>0.30555555555555552</c:v>
                      </c:pt>
                      <c:pt idx="26">
                        <c:v>0.27777777777777773</c:v>
                      </c:pt>
                      <c:pt idx="27">
                        <c:v>0.25</c:v>
                      </c:pt>
                      <c:pt idx="28">
                        <c:v>0.22222222222222221</c:v>
                      </c:pt>
                      <c:pt idx="29">
                        <c:v>0.19444444444444445</c:v>
                      </c:pt>
                      <c:pt idx="30">
                        <c:v>0.16666666666666666</c:v>
                      </c:pt>
                      <c:pt idx="31">
                        <c:v>0.13888888888888887</c:v>
                      </c:pt>
                      <c:pt idx="32">
                        <c:v>0.1111111111111111</c:v>
                      </c:pt>
                      <c:pt idx="33">
                        <c:v>8.3333333333333329E-2</c:v>
                      </c:pt>
                      <c:pt idx="34">
                        <c:v>5.5555555555555552E-2</c:v>
                      </c:pt>
                      <c:pt idx="35">
                        <c:v>2.7777777777777776E-2</c:v>
                      </c:pt>
                    </c:numCache>
                  </c:numRef>
                </c:yVal>
                <c:smooth val="1"/>
                <c:extLst>
                  <c:ext xmlns:c16="http://schemas.microsoft.com/office/drawing/2014/chart" uri="{C3380CC4-5D6E-409C-BE32-E72D297353CC}">
                    <c16:uniqueId val="{00000007-6722-412D-A658-F9417FABF2DC}"/>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'Funktions-Tabelle'!$G$21</c15:sqref>
                        </c15:formulaRef>
                      </c:ext>
                    </c:extLst>
                    <c:strCache>
                      <c:ptCount val="1"/>
                    </c:strCache>
                  </c:strRef>
                </c:tx>
                <c:spPr>
                  <a:ln w="19050" cap="rnd">
                    <a:solidFill>
                      <a:schemeClr val="accent3"/>
                    </a:solidFill>
                    <a:round/>
                  </a:ln>
                  <a:effectLst/>
                </c:spPr>
                <c:marker>
                  <c:symbol val="none"/>
                </c:marker>
                <c:xVal>
                  <c:numRef>
                    <c:extLst xmlns:c15="http://schemas.microsoft.com/office/drawing/2012/chart">
                      <c:ext xmlns:c15="http://schemas.microsoft.com/office/drawing/2012/chart" uri="{02D57815-91ED-43cb-92C2-25804820EDAC}">
                        <c15:formulaRef>
                          <c15:sqref>'Funktions-Tabelle'!$D$22:$D$57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xmlns:c15="http://schemas.microsoft.com/office/drawing/2012/chart">
                      <c:ext xmlns:c15="http://schemas.microsoft.com/office/drawing/2012/chart" uri="{02D57815-91ED-43cb-92C2-25804820EDAC}">
                        <c15:formulaRef>
                          <c15:sqref>'Funktions-Tabelle'!$G$22:$G$57</c15:sqref>
                        </c15:formulaRef>
                      </c:ext>
                    </c:extLst>
                    <c:numCache>
                      <c:formatCode>General</c:formatCode>
                      <c:ptCount val="36"/>
                    </c:numCache>
                  </c:numRef>
                </c:yVal>
                <c:smooth val="1"/>
                <c:extLst xmlns:c15="http://schemas.microsoft.com/office/drawing/2012/chart">
                  <c:ext xmlns:c16="http://schemas.microsoft.com/office/drawing/2014/chart" uri="{C3380CC4-5D6E-409C-BE32-E72D297353CC}">
                    <c16:uniqueId val="{00000008-6722-412D-A658-F9417FABF2DC}"/>
                  </c:ext>
                </c:extLst>
              </c15:ser>
            </c15:filteredScatterSeries>
            <c15:filteredScatterSeries>
              <c15:ser>
                <c:idx val="3"/>
                <c:order val="3"/>
                <c:tx>
                  <c:strRef>
                    <c:extLst xmlns:c15="http://schemas.microsoft.com/office/drawing/2012/chart">
                      <c:ext xmlns:c15="http://schemas.microsoft.com/office/drawing/2012/chart" uri="{02D57815-91ED-43cb-92C2-25804820EDAC}">
                        <c15:formulaRef>
                          <c15:sqref>'Funktions-Tabelle'!$H$21</c15:sqref>
                        </c15:formulaRef>
                      </c:ext>
                    </c:extLst>
                    <c:strCache>
                      <c:ptCount val="1"/>
                      <c:pt idx="0">
                        <c:v>Wdh.</c:v>
                      </c:pt>
                    </c:strCache>
                  </c:strRef>
                </c:tx>
                <c:spPr>
                  <a:ln w="19050" cap="rnd">
                    <a:solidFill>
                      <a:schemeClr val="accent4"/>
                    </a:solidFill>
                    <a:round/>
                  </a:ln>
                  <a:effectLst/>
                </c:spPr>
                <c:marker>
                  <c:symbol val="none"/>
                </c:marker>
                <c:xVal>
                  <c:numRef>
                    <c:extLst xmlns:c15="http://schemas.microsoft.com/office/drawing/2012/chart">
                      <c:ext xmlns:c15="http://schemas.microsoft.com/office/drawing/2012/chart" uri="{02D57815-91ED-43cb-92C2-25804820EDAC}">
                        <c15:formulaRef>
                          <c15:sqref>'Funktions-Tabelle'!$D$22:$D$57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xmlns:c15="http://schemas.microsoft.com/office/drawing/2012/chart">
                      <c:ext xmlns:c15="http://schemas.microsoft.com/office/drawing/2012/chart" uri="{02D57815-91ED-43cb-92C2-25804820EDAC}">
                        <c15:formulaRef>
                          <c15:sqref>'Funktions-Tabelle'!$H$22:$H$57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yVal>
                <c:smooth val="1"/>
                <c:extLst xmlns:c15="http://schemas.microsoft.com/office/drawing/2012/chart">
                  <c:ext xmlns:c16="http://schemas.microsoft.com/office/drawing/2014/chart" uri="{C3380CC4-5D6E-409C-BE32-E72D297353CC}">
                    <c16:uniqueId val="{00000009-6722-412D-A658-F9417FABF2DC}"/>
                  </c:ext>
                </c:extLst>
              </c15:ser>
            </c15:filteredScatterSeries>
            <c15:filteredScatterSeries>
              <c15:ser>
                <c:idx val="5"/>
                <c:order val="5"/>
                <c:tx>
                  <c:strRef>
                    <c:extLst xmlns:c15="http://schemas.microsoft.com/office/drawing/2012/chart">
                      <c:ext xmlns:c15="http://schemas.microsoft.com/office/drawing/2012/chart" uri="{02D57815-91ED-43cb-92C2-25804820EDAC}">
                        <c15:formulaRef>
                          <c15:sqref>'Funktions-Tabelle'!$J$21</c15:sqref>
                        </c15:formulaRef>
                      </c:ext>
                    </c:extLst>
                    <c:strCache>
                      <c:ptCount val="1"/>
                      <c:pt idx="0">
                        <c:v>% des 1RM</c:v>
                      </c:pt>
                    </c:strCache>
                  </c:strRef>
                </c:tx>
                <c:spPr>
                  <a:ln w="19050" cap="rnd">
                    <a:solidFill>
                      <a:schemeClr val="accent6"/>
                    </a:solidFill>
                    <a:round/>
                  </a:ln>
                  <a:effectLst/>
                </c:spPr>
                <c:marker>
                  <c:symbol val="none"/>
                </c:marker>
                <c:xVal>
                  <c:numRef>
                    <c:extLst xmlns:c15="http://schemas.microsoft.com/office/drawing/2012/chart">
                      <c:ext xmlns:c15="http://schemas.microsoft.com/office/drawing/2012/chart" uri="{02D57815-91ED-43cb-92C2-25804820EDAC}">
                        <c15:formulaRef>
                          <c15:sqref>'Funktions-Tabelle'!$D$22:$D$57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xmlns:c15="http://schemas.microsoft.com/office/drawing/2012/chart">
                      <c:ext xmlns:c15="http://schemas.microsoft.com/office/drawing/2012/chart" uri="{02D57815-91ED-43cb-92C2-25804820EDAC}">
                        <c15:formulaRef>
                          <c15:sqref>'Funktions-Tabelle'!$J$22:$J$57</c15:sqref>
                        </c15:formulaRef>
                      </c:ext>
                    </c:extLst>
                    <c:numCache>
                      <c:formatCode>0.0%</c:formatCode>
                      <c:ptCount val="36"/>
                      <c:pt idx="0">
                        <c:v>1</c:v>
                      </c:pt>
                      <c:pt idx="1">
                        <c:v>0.9375</c:v>
                      </c:pt>
                      <c:pt idx="2">
                        <c:v>0.90909090909090895</c:v>
                      </c:pt>
                      <c:pt idx="3">
                        <c:v>0.88235294117647067</c:v>
                      </c:pt>
                      <c:pt idx="4">
                        <c:v>0.8571428571428571</c:v>
                      </c:pt>
                      <c:pt idx="5">
                        <c:v>0.83333333333333337</c:v>
                      </c:pt>
                      <c:pt idx="6">
                        <c:v>0.81081081081081074</c:v>
                      </c:pt>
                      <c:pt idx="7">
                        <c:v>0.78947368421052633</c:v>
                      </c:pt>
                      <c:pt idx="8">
                        <c:v>0.76923076923076927</c:v>
                      </c:pt>
                      <c:pt idx="9">
                        <c:v>0.75</c:v>
                      </c:pt>
                      <c:pt idx="10">
                        <c:v>0.73170731707317072</c:v>
                      </c:pt>
                      <c:pt idx="11">
                        <c:v>0.7142857142857143</c:v>
                      </c:pt>
                      <c:pt idx="12">
                        <c:v>0.69767441860465107</c:v>
                      </c:pt>
                      <c:pt idx="13">
                        <c:v>0.68181818181818177</c:v>
                      </c:pt>
                      <c:pt idx="14">
                        <c:v>0.66666666666666663</c:v>
                      </c:pt>
                      <c:pt idx="15">
                        <c:v>0.65217391304347827</c:v>
                      </c:pt>
                      <c:pt idx="16">
                        <c:v>0.63829787234042556</c:v>
                      </c:pt>
                      <c:pt idx="17">
                        <c:v>0.625</c:v>
                      </c:pt>
                      <c:pt idx="18">
                        <c:v>0.61224489795918369</c:v>
                      </c:pt>
                      <c:pt idx="19">
                        <c:v>0.6</c:v>
                      </c:pt>
                      <c:pt idx="20">
                        <c:v>0.58823529411764708</c:v>
                      </c:pt>
                      <c:pt idx="21">
                        <c:v>0.57692307692307687</c:v>
                      </c:pt>
                      <c:pt idx="22">
                        <c:v>0.56603773584905659</c:v>
                      </c:pt>
                      <c:pt idx="23">
                        <c:v>0.55555555555555558</c:v>
                      </c:pt>
                      <c:pt idx="24">
                        <c:v>0.54545454545454541</c:v>
                      </c:pt>
                      <c:pt idx="25">
                        <c:v>0.5357142857142857</c:v>
                      </c:pt>
                      <c:pt idx="26">
                        <c:v>0.52631578947368429</c:v>
                      </c:pt>
                      <c:pt idx="27">
                        <c:v>0.51724137931034486</c:v>
                      </c:pt>
                      <c:pt idx="28">
                        <c:v>0.50847457627118642</c:v>
                      </c:pt>
                      <c:pt idx="29">
                        <c:v>0.5</c:v>
                      </c:pt>
                      <c:pt idx="30">
                        <c:v>0.49180327868852464</c:v>
                      </c:pt>
                      <c:pt idx="31">
                        <c:v>0.48387096774193555</c:v>
                      </c:pt>
                      <c:pt idx="32">
                        <c:v>0.47619047619047616</c:v>
                      </c:pt>
                      <c:pt idx="33">
                        <c:v>0.46875</c:v>
                      </c:pt>
                      <c:pt idx="34">
                        <c:v>0.46153846153846151</c:v>
                      </c:pt>
                      <c:pt idx="35">
                        <c:v>0.45454545454545447</c:v>
                      </c:pt>
                    </c:numCache>
                  </c:numRef>
                </c:yVal>
                <c:smooth val="1"/>
                <c:extLst xmlns:c15="http://schemas.microsoft.com/office/drawing/2012/chart">
                  <c:ext xmlns:c16="http://schemas.microsoft.com/office/drawing/2014/chart" uri="{C3380CC4-5D6E-409C-BE32-E72D297353CC}">
                    <c16:uniqueId val="{0000000B-6722-412D-A658-F9417FABF2DC}"/>
                  </c:ext>
                </c:extLst>
              </c15:ser>
            </c15:filteredScatterSeries>
          </c:ext>
        </c:extLst>
      </c:scatterChart>
      <c:valAx>
        <c:axId val="702553864"/>
        <c:scaling>
          <c:orientation val="minMax"/>
          <c:max val="35"/>
          <c:min val="1"/>
        </c:scaling>
        <c:delete val="0"/>
        <c:axPos val="b"/>
        <c:title>
          <c:tx>
            <c:rich>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r>
                  <a:rPr lang="en-US" sz="1800">
                    <a:solidFill>
                      <a:srgbClr val="7030A0"/>
                    </a:solidFill>
                  </a:rPr>
                  <a:t>Wiederholungen</a:t>
                </a:r>
              </a:p>
            </c:rich>
          </c:tx>
          <c:overlay val="0"/>
          <c:spPr>
            <a:noFill/>
            <a:ln>
              <a:noFill/>
            </a:ln>
            <a:effectLst/>
          </c:spPr>
          <c:txPr>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General"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702553536"/>
        <c:crosses val="autoZero"/>
        <c:crossBetween val="midCat"/>
        <c:majorUnit val="1"/>
      </c:valAx>
      <c:valAx>
        <c:axId val="702553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rgbClr val="7030A0"/>
                    </a:solidFill>
                    <a:latin typeface="+mn-lt"/>
                    <a:ea typeface="+mn-ea"/>
                    <a:cs typeface="+mn-cs"/>
                  </a:defRPr>
                </a:pPr>
                <a:r>
                  <a:rPr lang="en-US" sz="1800">
                    <a:solidFill>
                      <a:srgbClr val="7030A0"/>
                    </a:solidFill>
                  </a:rPr>
                  <a:t>Gewicht </a:t>
                </a:r>
              </a:p>
            </c:rich>
          </c:tx>
          <c:overlay val="0"/>
          <c:spPr>
            <a:noFill/>
            <a:ln>
              <a:noFill/>
            </a:ln>
            <a:effectLst/>
          </c:spPr>
          <c:txPr>
            <a:bodyPr rot="-540000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0.0;&quot;&quot;"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702553864"/>
        <c:crosses val="autoZero"/>
        <c:crossBetween val="midCat"/>
        <c:majorUnit val="10"/>
      </c:valAx>
      <c:spPr>
        <a:solidFill>
          <a:schemeClr val="bg1"/>
        </a:solidFill>
        <a:ln>
          <a:noFill/>
        </a:ln>
        <a:effectLst/>
      </c:spPr>
    </c:plotArea>
    <c:legend>
      <c:legendPos val="r"/>
      <c:layout>
        <c:manualLayout>
          <c:xMode val="edge"/>
          <c:yMode val="edge"/>
          <c:x val="0.89073701092770174"/>
          <c:y val="9.9357061385233883E-2"/>
          <c:w val="9.7484225325431828E-2"/>
          <c:h val="0.1500420689222473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10891279922001"/>
          <c:y val="6.7720465395931989E-2"/>
          <c:w val="0.779125174513977"/>
          <c:h val="0.83680179220084261"/>
        </c:manualLayout>
      </c:layout>
      <c:scatterChart>
        <c:scatterStyle val="smoothMarker"/>
        <c:varyColors val="0"/>
        <c:ser>
          <c:idx val="0"/>
          <c:order val="0"/>
          <c:tx>
            <c:v>Brzcky</c:v>
          </c:tx>
          <c:spPr>
            <a:ln w="28575" cap="rnd">
              <a:solidFill>
                <a:srgbClr val="FF0000"/>
              </a:solidFill>
              <a:round/>
            </a:ln>
            <a:effectLst/>
          </c:spPr>
          <c:marker>
            <c:symbol val="none"/>
          </c:marker>
          <c:xVal>
            <c:numRef>
              <c:f>'Funktions-Tabelle'!$D$22:$D$57</c:f>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f>'Funktions-Tabelle'!$F$22:$F$57</c:f>
              <c:numCache>
                <c:formatCode>0.0%</c:formatCode>
                <c:ptCount val="36"/>
                <c:pt idx="0">
                  <c:v>1</c:v>
                </c:pt>
                <c:pt idx="1">
                  <c:v>0.97222222222222232</c:v>
                </c:pt>
                <c:pt idx="2">
                  <c:v>0.94444444444444442</c:v>
                </c:pt>
                <c:pt idx="3">
                  <c:v>0.91666666666666674</c:v>
                </c:pt>
                <c:pt idx="4">
                  <c:v>0.88888888888888884</c:v>
                </c:pt>
                <c:pt idx="5">
                  <c:v>0.86111111111111105</c:v>
                </c:pt>
                <c:pt idx="6">
                  <c:v>0.83333333333333326</c:v>
                </c:pt>
                <c:pt idx="7">
                  <c:v>0.80555555555555547</c:v>
                </c:pt>
                <c:pt idx="8">
                  <c:v>0.77777777777777779</c:v>
                </c:pt>
                <c:pt idx="9">
                  <c:v>0.75</c:v>
                </c:pt>
                <c:pt idx="10">
                  <c:v>0.72222222222222221</c:v>
                </c:pt>
                <c:pt idx="11">
                  <c:v>0.69444444444444442</c:v>
                </c:pt>
                <c:pt idx="12">
                  <c:v>0.66666666666666663</c:v>
                </c:pt>
                <c:pt idx="13">
                  <c:v>0.63888888888888895</c:v>
                </c:pt>
                <c:pt idx="14">
                  <c:v>0.61111111111111105</c:v>
                </c:pt>
                <c:pt idx="15">
                  <c:v>0.58333333333333337</c:v>
                </c:pt>
                <c:pt idx="16">
                  <c:v>0.55555555555555547</c:v>
                </c:pt>
                <c:pt idx="17">
                  <c:v>0.52777777777777779</c:v>
                </c:pt>
                <c:pt idx="18">
                  <c:v>0.5</c:v>
                </c:pt>
                <c:pt idx="19">
                  <c:v>0.47222222222222221</c:v>
                </c:pt>
                <c:pt idx="20">
                  <c:v>0.44444444444444442</c:v>
                </c:pt>
                <c:pt idx="21">
                  <c:v>0.41666666666666663</c:v>
                </c:pt>
                <c:pt idx="22">
                  <c:v>0.3888888888888889</c:v>
                </c:pt>
                <c:pt idx="23">
                  <c:v>0.3611111111111111</c:v>
                </c:pt>
                <c:pt idx="24">
                  <c:v>0.33333333333333331</c:v>
                </c:pt>
                <c:pt idx="25">
                  <c:v>0.30555555555555552</c:v>
                </c:pt>
                <c:pt idx="26">
                  <c:v>0.27777777777777773</c:v>
                </c:pt>
                <c:pt idx="27">
                  <c:v>0.25</c:v>
                </c:pt>
                <c:pt idx="28">
                  <c:v>0.22222222222222221</c:v>
                </c:pt>
                <c:pt idx="29">
                  <c:v>0.19444444444444445</c:v>
                </c:pt>
                <c:pt idx="30">
                  <c:v>0.16666666666666666</c:v>
                </c:pt>
                <c:pt idx="31">
                  <c:v>0.13888888888888887</c:v>
                </c:pt>
                <c:pt idx="32">
                  <c:v>0.1111111111111111</c:v>
                </c:pt>
                <c:pt idx="33">
                  <c:v>8.3333333333333329E-2</c:v>
                </c:pt>
                <c:pt idx="34">
                  <c:v>5.5555555555555552E-2</c:v>
                </c:pt>
                <c:pt idx="35">
                  <c:v>2.7777777777777776E-2</c:v>
                </c:pt>
              </c:numCache>
            </c:numRef>
          </c:yVal>
          <c:smooth val="1"/>
          <c:extLst>
            <c:ext xmlns:c16="http://schemas.microsoft.com/office/drawing/2014/chart" uri="{C3380CC4-5D6E-409C-BE32-E72D297353CC}">
              <c16:uniqueId val="{00000006-0DF5-40DF-A470-F0FBB3C53D5E}"/>
            </c:ext>
          </c:extLst>
        </c:ser>
        <c:ser>
          <c:idx val="1"/>
          <c:order val="1"/>
          <c:tx>
            <c:v>Epley</c:v>
          </c:tx>
          <c:spPr>
            <a:ln w="28575" cap="rnd">
              <a:solidFill>
                <a:srgbClr val="00B050"/>
              </a:solidFill>
              <a:round/>
            </a:ln>
            <a:effectLst/>
          </c:spPr>
          <c:marker>
            <c:symbol val="none"/>
          </c:marker>
          <c:xVal>
            <c:numRef>
              <c:f>'Funktions-Tabelle'!$H$22:$H$120</c:f>
              <c:numCache>
                <c:formatCode>General" Wdh."</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89</c:v>
                </c:pt>
                <c:pt idx="88">
                  <c:v>90</c:v>
                </c:pt>
                <c:pt idx="89">
                  <c:v>91</c:v>
                </c:pt>
                <c:pt idx="90">
                  <c:v>92</c:v>
                </c:pt>
                <c:pt idx="91">
                  <c:v>93</c:v>
                </c:pt>
                <c:pt idx="92">
                  <c:v>94</c:v>
                </c:pt>
                <c:pt idx="93">
                  <c:v>95</c:v>
                </c:pt>
                <c:pt idx="94">
                  <c:v>96</c:v>
                </c:pt>
                <c:pt idx="95">
                  <c:v>97</c:v>
                </c:pt>
                <c:pt idx="96">
                  <c:v>98</c:v>
                </c:pt>
                <c:pt idx="97">
                  <c:v>99</c:v>
                </c:pt>
                <c:pt idx="98">
                  <c:v>100</c:v>
                </c:pt>
              </c:numCache>
            </c:numRef>
          </c:xVal>
          <c:yVal>
            <c:numRef>
              <c:f>'Funktions-Tabelle'!$J$22:$J$120</c:f>
              <c:numCache>
                <c:formatCode>0.0%</c:formatCode>
                <c:ptCount val="99"/>
                <c:pt idx="0">
                  <c:v>1</c:v>
                </c:pt>
                <c:pt idx="1">
                  <c:v>0.9375</c:v>
                </c:pt>
                <c:pt idx="2">
                  <c:v>0.90909090909090895</c:v>
                </c:pt>
                <c:pt idx="3">
                  <c:v>0.88235294117647067</c:v>
                </c:pt>
                <c:pt idx="4">
                  <c:v>0.8571428571428571</c:v>
                </c:pt>
                <c:pt idx="5">
                  <c:v>0.83333333333333337</c:v>
                </c:pt>
                <c:pt idx="6">
                  <c:v>0.81081081081081074</c:v>
                </c:pt>
                <c:pt idx="7">
                  <c:v>0.78947368421052633</c:v>
                </c:pt>
                <c:pt idx="8">
                  <c:v>0.76923076923076927</c:v>
                </c:pt>
                <c:pt idx="9">
                  <c:v>0.75</c:v>
                </c:pt>
                <c:pt idx="10">
                  <c:v>0.73170731707317072</c:v>
                </c:pt>
                <c:pt idx="11">
                  <c:v>0.7142857142857143</c:v>
                </c:pt>
                <c:pt idx="12">
                  <c:v>0.69767441860465107</c:v>
                </c:pt>
                <c:pt idx="13">
                  <c:v>0.68181818181818177</c:v>
                </c:pt>
                <c:pt idx="14">
                  <c:v>0.66666666666666663</c:v>
                </c:pt>
                <c:pt idx="15">
                  <c:v>0.65217391304347827</c:v>
                </c:pt>
                <c:pt idx="16">
                  <c:v>0.63829787234042556</c:v>
                </c:pt>
                <c:pt idx="17">
                  <c:v>0.625</c:v>
                </c:pt>
                <c:pt idx="18">
                  <c:v>0.61224489795918369</c:v>
                </c:pt>
                <c:pt idx="19">
                  <c:v>0.6</c:v>
                </c:pt>
                <c:pt idx="20">
                  <c:v>0.58823529411764708</c:v>
                </c:pt>
                <c:pt idx="21">
                  <c:v>0.57692307692307687</c:v>
                </c:pt>
                <c:pt idx="22">
                  <c:v>0.56603773584905659</c:v>
                </c:pt>
                <c:pt idx="23">
                  <c:v>0.55555555555555558</c:v>
                </c:pt>
                <c:pt idx="24">
                  <c:v>0.54545454545454541</c:v>
                </c:pt>
                <c:pt idx="25">
                  <c:v>0.5357142857142857</c:v>
                </c:pt>
                <c:pt idx="26">
                  <c:v>0.52631578947368429</c:v>
                </c:pt>
                <c:pt idx="27">
                  <c:v>0.51724137931034486</c:v>
                </c:pt>
                <c:pt idx="28">
                  <c:v>0.50847457627118642</c:v>
                </c:pt>
                <c:pt idx="29">
                  <c:v>0.5</c:v>
                </c:pt>
                <c:pt idx="30">
                  <c:v>0.49180327868852464</c:v>
                </c:pt>
                <c:pt idx="31">
                  <c:v>0.48387096774193555</c:v>
                </c:pt>
                <c:pt idx="32">
                  <c:v>0.47619047619047616</c:v>
                </c:pt>
                <c:pt idx="33">
                  <c:v>0.46875</c:v>
                </c:pt>
                <c:pt idx="34">
                  <c:v>0.46153846153846151</c:v>
                </c:pt>
                <c:pt idx="35">
                  <c:v>0.45454545454545447</c:v>
                </c:pt>
                <c:pt idx="36">
                  <c:v>0.44776119402985071</c:v>
                </c:pt>
                <c:pt idx="37">
                  <c:v>0.44117647058823534</c:v>
                </c:pt>
                <c:pt idx="38">
                  <c:v>0.43478260869565222</c:v>
                </c:pt>
                <c:pt idx="39">
                  <c:v>0.42857142857142866</c:v>
                </c:pt>
                <c:pt idx="40">
                  <c:v>0.42253521126760563</c:v>
                </c:pt>
                <c:pt idx="41">
                  <c:v>0.41666666666666669</c:v>
                </c:pt>
                <c:pt idx="42">
                  <c:v>0.41095890410958902</c:v>
                </c:pt>
                <c:pt idx="43">
                  <c:v>0.40540540540540537</c:v>
                </c:pt>
                <c:pt idx="44">
                  <c:v>0.4</c:v>
                </c:pt>
                <c:pt idx="45">
                  <c:v>0.39473684210526316</c:v>
                </c:pt>
                <c:pt idx="46">
                  <c:v>0.38961038961038963</c:v>
                </c:pt>
                <c:pt idx="47">
                  <c:v>0.38461538461538464</c:v>
                </c:pt>
                <c:pt idx="48">
                  <c:v>0.379746835443038</c:v>
                </c:pt>
                <c:pt idx="49">
                  <c:v>0.37499999999999994</c:v>
                </c:pt>
                <c:pt idx="50">
                  <c:v>0.37037037037037035</c:v>
                </c:pt>
                <c:pt idx="51">
                  <c:v>0.36585365853658536</c:v>
                </c:pt>
                <c:pt idx="52">
                  <c:v>0.36144578313253012</c:v>
                </c:pt>
                <c:pt idx="53">
                  <c:v>0.35714285714285715</c:v>
                </c:pt>
                <c:pt idx="54">
                  <c:v>0.35294117647058826</c:v>
                </c:pt>
                <c:pt idx="55">
                  <c:v>0.34883720930232553</c:v>
                </c:pt>
                <c:pt idx="56">
                  <c:v>0.34482758620689657</c:v>
                </c:pt>
                <c:pt idx="57">
                  <c:v>0.34090909090909088</c:v>
                </c:pt>
                <c:pt idx="58">
                  <c:v>0.33707865168539325</c:v>
                </c:pt>
                <c:pt idx="59">
                  <c:v>0.33333333333333331</c:v>
                </c:pt>
                <c:pt idx="60">
                  <c:v>0.32967032967032966</c:v>
                </c:pt>
                <c:pt idx="61">
                  <c:v>0.32608695652173914</c:v>
                </c:pt>
                <c:pt idx="62">
                  <c:v>0.32258064516129031</c:v>
                </c:pt>
                <c:pt idx="63">
                  <c:v>0.31914893617021278</c:v>
                </c:pt>
                <c:pt idx="64">
                  <c:v>0.31578947368421056</c:v>
                </c:pt>
                <c:pt idx="65">
                  <c:v>0.3125</c:v>
                </c:pt>
                <c:pt idx="66">
                  <c:v>0.30927835051546387</c:v>
                </c:pt>
                <c:pt idx="67">
                  <c:v>0.30612244897959184</c:v>
                </c:pt>
                <c:pt idx="68">
                  <c:v>0.30303030303030304</c:v>
                </c:pt>
                <c:pt idx="69">
                  <c:v>0.3</c:v>
                </c:pt>
                <c:pt idx="70">
                  <c:v>0.29702970297029707</c:v>
                </c:pt>
                <c:pt idx="71">
                  <c:v>0.29411764705882354</c:v>
                </c:pt>
                <c:pt idx="72">
                  <c:v>0.29126213592233008</c:v>
                </c:pt>
                <c:pt idx="73">
                  <c:v>0.28846153846153844</c:v>
                </c:pt>
                <c:pt idx="74">
                  <c:v>0.2857142857142857</c:v>
                </c:pt>
                <c:pt idx="75">
                  <c:v>0.28301886792452829</c:v>
                </c:pt>
                <c:pt idx="76">
                  <c:v>0.28037383177570091</c:v>
                </c:pt>
                <c:pt idx="77">
                  <c:v>0.27777777777777779</c:v>
                </c:pt>
                <c:pt idx="78">
                  <c:v>0.2752293577981651</c:v>
                </c:pt>
                <c:pt idx="79">
                  <c:v>0.27272727272727271</c:v>
                </c:pt>
                <c:pt idx="80">
                  <c:v>0.27027027027027023</c:v>
                </c:pt>
                <c:pt idx="81">
                  <c:v>0.26785714285714285</c:v>
                </c:pt>
                <c:pt idx="82">
                  <c:v>0.26548672566371684</c:v>
                </c:pt>
                <c:pt idx="83">
                  <c:v>0.26315789473684215</c:v>
                </c:pt>
                <c:pt idx="84">
                  <c:v>0.2608695652173913</c:v>
                </c:pt>
                <c:pt idx="85">
                  <c:v>0.25862068965517243</c:v>
                </c:pt>
                <c:pt idx="86">
                  <c:v>0.25641025641025644</c:v>
                </c:pt>
                <c:pt idx="87">
                  <c:v>0.25210084033613445</c:v>
                </c:pt>
                <c:pt idx="88">
                  <c:v>0.25</c:v>
                </c:pt>
                <c:pt idx="89">
                  <c:v>0.24793388429752067</c:v>
                </c:pt>
                <c:pt idx="90">
                  <c:v>0.24590163934426232</c:v>
                </c:pt>
                <c:pt idx="91">
                  <c:v>0.24390243902439027</c:v>
                </c:pt>
                <c:pt idx="92">
                  <c:v>0.24193548387096778</c:v>
                </c:pt>
                <c:pt idx="93">
                  <c:v>0.24000000000000005</c:v>
                </c:pt>
                <c:pt idx="94">
                  <c:v>0.23809523809523808</c:v>
                </c:pt>
                <c:pt idx="95">
                  <c:v>0.23622047244094488</c:v>
                </c:pt>
                <c:pt idx="96">
                  <c:v>0.234375</c:v>
                </c:pt>
                <c:pt idx="97">
                  <c:v>0.23255813953488372</c:v>
                </c:pt>
                <c:pt idx="98">
                  <c:v>0.23076923076923075</c:v>
                </c:pt>
              </c:numCache>
            </c:numRef>
          </c:yVal>
          <c:smooth val="1"/>
          <c:extLst>
            <c:ext xmlns:c16="http://schemas.microsoft.com/office/drawing/2014/chart" uri="{C3380CC4-5D6E-409C-BE32-E72D297353CC}">
              <c16:uniqueId val="{00000007-0DF5-40DF-A470-F0FBB3C53D5E}"/>
            </c:ext>
          </c:extLst>
        </c:ser>
        <c:dLbls>
          <c:showLegendKey val="0"/>
          <c:showVal val="0"/>
          <c:showCatName val="0"/>
          <c:showSerName val="0"/>
          <c:showPercent val="0"/>
          <c:showBubbleSize val="0"/>
        </c:dLbls>
        <c:axId val="702553864"/>
        <c:axId val="702553536"/>
        <c:extLst/>
      </c:scatterChart>
      <c:valAx>
        <c:axId val="702553864"/>
        <c:scaling>
          <c:orientation val="minMax"/>
          <c:max val="100"/>
          <c:min val="0"/>
        </c:scaling>
        <c:delete val="0"/>
        <c:axPos val="b"/>
        <c:title>
          <c:tx>
            <c:rich>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r>
                  <a:rPr lang="en-US" sz="1800">
                    <a:solidFill>
                      <a:srgbClr val="7030A0"/>
                    </a:solidFill>
                  </a:rPr>
                  <a:t>Wiederholungen</a:t>
                </a:r>
              </a:p>
            </c:rich>
          </c:tx>
          <c:overlay val="0"/>
          <c:spPr>
            <a:noFill/>
            <a:ln>
              <a:noFill/>
            </a:ln>
            <a:effectLst/>
          </c:spPr>
          <c:txPr>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General"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702553536"/>
        <c:crosses val="autoZero"/>
        <c:crossBetween val="midCat"/>
        <c:majorUnit val="5"/>
      </c:valAx>
      <c:valAx>
        <c:axId val="702553536"/>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rgbClr val="7030A0"/>
                    </a:solidFill>
                    <a:latin typeface="+mn-lt"/>
                    <a:ea typeface="+mn-ea"/>
                    <a:cs typeface="+mn-cs"/>
                  </a:defRPr>
                </a:pPr>
                <a:r>
                  <a:rPr lang="en-US" sz="1800">
                    <a:solidFill>
                      <a:srgbClr val="7030A0"/>
                    </a:solidFill>
                  </a:rPr>
                  <a:t>Last</a:t>
                </a:r>
                <a:r>
                  <a:rPr lang="en-US" sz="1800" baseline="0">
                    <a:solidFill>
                      <a:srgbClr val="7030A0"/>
                    </a:solidFill>
                  </a:rPr>
                  <a:t> in % des 1 RM</a:t>
                </a:r>
                <a:endParaRPr lang="en-US" sz="1800">
                  <a:solidFill>
                    <a:srgbClr val="7030A0"/>
                  </a:solidFill>
                </a:endParaRPr>
              </a:p>
            </c:rich>
          </c:tx>
          <c:layout>
            <c:manualLayout>
              <c:xMode val="edge"/>
              <c:yMode val="edge"/>
              <c:x val="8.8466006414598137E-3"/>
              <c:y val="0.32901459206739919"/>
            </c:manualLayout>
          </c:layout>
          <c:overlay val="0"/>
          <c:spPr>
            <a:noFill/>
            <a:ln>
              <a:noFill/>
            </a:ln>
            <a:effectLst/>
          </c:spPr>
          <c:txPr>
            <a:bodyPr rot="-540000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702553864"/>
        <c:crosses val="autoZero"/>
        <c:crossBetween val="midCat"/>
        <c:majorUnit val="0.1"/>
      </c:valAx>
      <c:spPr>
        <a:solidFill>
          <a:schemeClr val="bg1"/>
        </a:solidFill>
        <a:ln>
          <a:noFill/>
        </a:ln>
        <a:effectLst/>
      </c:spPr>
    </c:plotArea>
    <c:legend>
      <c:legendPos val="r"/>
      <c:layout>
        <c:manualLayout>
          <c:xMode val="edge"/>
          <c:yMode val="edge"/>
          <c:x val="0.88045861367246014"/>
          <c:y val="9.490305350338353E-2"/>
          <c:w val="0.10926297551090582"/>
          <c:h val="0.1500420689222473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5.sv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4.png"/><Relationship Id="rId5" Type="http://schemas.openxmlformats.org/officeDocument/2006/relationships/hyperlink" Target="#Zyklus!A1"/><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3" Type="http://schemas.openxmlformats.org/officeDocument/2006/relationships/hyperlink" Target="#Zyklus!A1"/><Relationship Id="rId7" Type="http://schemas.openxmlformats.org/officeDocument/2006/relationships/image" Target="../media/image10.svg"/><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image" Target="../media/image9.png"/><Relationship Id="rId5" Type="http://schemas.openxmlformats.org/officeDocument/2006/relationships/image" Target="../media/image8.sv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hyperlink" Target="#Zyklus!A1"/><Relationship Id="rId2" Type="http://schemas.microsoft.com/office/2007/relationships/hdphoto" Target="../media/hdphoto1.wdp"/><Relationship Id="rId1" Type="http://schemas.openxmlformats.org/officeDocument/2006/relationships/image" Target="../media/image11.png"/><Relationship Id="rId6" Type="http://schemas.openxmlformats.org/officeDocument/2006/relationships/image" Target="../media/image10.svg"/><Relationship Id="rId5"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6.svg"/><Relationship Id="rId3" Type="http://schemas.microsoft.com/office/2007/relationships/hdphoto" Target="../media/hdphoto1.wdp"/><Relationship Id="rId7" Type="http://schemas.openxmlformats.org/officeDocument/2006/relationships/image" Target="../media/image15.png"/><Relationship Id="rId12" Type="http://schemas.openxmlformats.org/officeDocument/2006/relationships/image" Target="../media/image20.svg"/><Relationship Id="rId2" Type="http://schemas.openxmlformats.org/officeDocument/2006/relationships/image" Target="../media/image11.png"/><Relationship Id="rId1" Type="http://schemas.openxmlformats.org/officeDocument/2006/relationships/chart" Target="../charts/chart1.xml"/><Relationship Id="rId6" Type="http://schemas.openxmlformats.org/officeDocument/2006/relationships/image" Target="../media/image14.sv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svg"/><Relationship Id="rId4" Type="http://schemas.openxmlformats.org/officeDocument/2006/relationships/hyperlink" Target="#Kalender!A1"/><Relationship Id="rId9"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svg"/><Relationship Id="rId3" Type="http://schemas.openxmlformats.org/officeDocument/2006/relationships/hyperlink" Target="#Zyklus!A1"/><Relationship Id="rId7" Type="http://schemas.openxmlformats.org/officeDocument/2006/relationships/image" Target="../media/image21.svg"/><Relationship Id="rId2" Type="http://schemas.microsoft.com/office/2007/relationships/hdphoto" Target="../media/hdphoto1.wdp"/><Relationship Id="rId1" Type="http://schemas.openxmlformats.org/officeDocument/2006/relationships/image" Target="../media/image11.png"/><Relationship Id="rId6" Type="http://schemas.openxmlformats.org/officeDocument/2006/relationships/image" Target="../media/image9.png"/><Relationship Id="rId5" Type="http://schemas.openxmlformats.org/officeDocument/2006/relationships/image" Target="../media/image14.sv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hyperlink" Target="#Zyklus!A1"/><Relationship Id="rId2" Type="http://schemas.microsoft.com/office/2007/relationships/hdphoto" Target="../media/hdphoto1.wdp"/><Relationship Id="rId1" Type="http://schemas.openxmlformats.org/officeDocument/2006/relationships/image" Target="../media/image11.png"/><Relationship Id="rId5" Type="http://schemas.openxmlformats.org/officeDocument/2006/relationships/image" Target="../media/image23.svg"/><Relationship Id="rId4"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28.emf"/><Relationship Id="rId13" Type="http://schemas.openxmlformats.org/officeDocument/2006/relationships/chart" Target="../charts/chart3.xml"/><Relationship Id="rId3" Type="http://schemas.openxmlformats.org/officeDocument/2006/relationships/chart" Target="../charts/chart2.xml"/><Relationship Id="rId7" Type="http://schemas.openxmlformats.org/officeDocument/2006/relationships/image" Target="../media/image27.svg"/><Relationship Id="rId12" Type="http://schemas.openxmlformats.org/officeDocument/2006/relationships/image" Target="../media/image31.svg"/><Relationship Id="rId17" Type="http://schemas.openxmlformats.org/officeDocument/2006/relationships/image" Target="../media/image34.svg"/><Relationship Id="rId2" Type="http://schemas.microsoft.com/office/2007/relationships/hdphoto" Target="../media/hdphoto2.wdp"/><Relationship Id="rId16" Type="http://schemas.openxmlformats.org/officeDocument/2006/relationships/image" Target="../media/image33.png"/><Relationship Id="rId1" Type="http://schemas.openxmlformats.org/officeDocument/2006/relationships/image" Target="../media/image24.png"/><Relationship Id="rId6" Type="http://schemas.openxmlformats.org/officeDocument/2006/relationships/image" Target="../media/image26.png"/><Relationship Id="rId11" Type="http://schemas.openxmlformats.org/officeDocument/2006/relationships/image" Target="../media/image30.png"/><Relationship Id="rId5" Type="http://schemas.microsoft.com/office/2007/relationships/hdphoto" Target="../media/hdphoto1.wdp"/><Relationship Id="rId15" Type="http://schemas.openxmlformats.org/officeDocument/2006/relationships/image" Target="../media/image32.svg"/><Relationship Id="rId10" Type="http://schemas.openxmlformats.org/officeDocument/2006/relationships/hyperlink" Target="#Zyklus!A1"/><Relationship Id="rId4" Type="http://schemas.openxmlformats.org/officeDocument/2006/relationships/image" Target="../media/image25.png"/><Relationship Id="rId9" Type="http://schemas.openxmlformats.org/officeDocument/2006/relationships/image" Target="../media/image29.png"/><Relationship Id="rId1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7.svg"/><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36.png"/><Relationship Id="rId5" Type="http://schemas.openxmlformats.org/officeDocument/2006/relationships/hyperlink" Target="#Zyklus!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3" Type="http://schemas.openxmlformats.org/officeDocument/2006/relationships/image" Target="../media/image38.png"/><Relationship Id="rId2" Type="http://schemas.microsoft.com/office/2007/relationships/hdphoto" Target="../media/hdphoto1.wdp"/><Relationship Id="rId1" Type="http://schemas.openxmlformats.org/officeDocument/2006/relationships/image" Target="../media/image11.png"/><Relationship Id="rId4" Type="http://schemas.openxmlformats.org/officeDocument/2006/relationships/image" Target="../media/image39.svg"/></Relationships>
</file>

<file path=xl/drawings/drawing1.xml><?xml version="1.0" encoding="utf-8"?>
<xdr:wsDr xmlns:xdr="http://schemas.openxmlformats.org/drawingml/2006/spreadsheetDrawing" xmlns:a="http://schemas.openxmlformats.org/drawingml/2006/main">
  <xdr:twoCellAnchor>
    <xdr:from>
      <xdr:col>0</xdr:col>
      <xdr:colOff>9525</xdr:colOff>
      <xdr:row>1</xdr:row>
      <xdr:rowOff>1</xdr:rowOff>
    </xdr:from>
    <xdr:to>
      <xdr:col>6</xdr:col>
      <xdr:colOff>546100</xdr:colOff>
      <xdr:row>4</xdr:row>
      <xdr:rowOff>25401</xdr:rowOff>
    </xdr:to>
    <xdr:grpSp>
      <xdr:nvGrpSpPr>
        <xdr:cNvPr id="3" name="Gruppieren 2">
          <a:extLst>
            <a:ext uri="{FF2B5EF4-FFF2-40B4-BE49-F238E27FC236}">
              <a16:creationId xmlns:a16="http://schemas.microsoft.com/office/drawing/2014/main" id="{ED83B624-C088-444F-8C17-0BECE1663734}"/>
            </a:ext>
          </a:extLst>
        </xdr:cNvPr>
        <xdr:cNvGrpSpPr/>
      </xdr:nvGrpSpPr>
      <xdr:grpSpPr>
        <a:xfrm>
          <a:off x="9525" y="381001"/>
          <a:ext cx="10823575" cy="1168400"/>
          <a:chOff x="-6823448" y="-500597"/>
          <a:chExt cx="14261404" cy="1330890"/>
        </a:xfrm>
      </xdr:grpSpPr>
      <xdr:grpSp>
        <xdr:nvGrpSpPr>
          <xdr:cNvPr id="4" name="Gruppieren 3">
            <a:extLst>
              <a:ext uri="{FF2B5EF4-FFF2-40B4-BE49-F238E27FC236}">
                <a16:creationId xmlns:a16="http://schemas.microsoft.com/office/drawing/2014/main" id="{E47A988A-DC6C-4A50-B94E-AD11E46C346B}"/>
              </a:ext>
            </a:extLst>
          </xdr:cNvPr>
          <xdr:cNvGrpSpPr/>
        </xdr:nvGrpSpPr>
        <xdr:grpSpPr>
          <a:xfrm>
            <a:off x="-6823448" y="-500597"/>
            <a:ext cx="14261404" cy="1330890"/>
            <a:chOff x="-6823448" y="-500597"/>
            <a:chExt cx="14261404" cy="1330890"/>
          </a:xfrm>
        </xdr:grpSpPr>
        <xdr:pic>
          <xdr:nvPicPr>
            <xdr:cNvPr id="6" name="img">
              <a:extLst>
                <a:ext uri="{FF2B5EF4-FFF2-40B4-BE49-F238E27FC236}">
                  <a16:creationId xmlns:a16="http://schemas.microsoft.com/office/drawing/2014/main" id="{140CF1FB-FB33-4CCB-9FF3-A54E9F58A535}"/>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23448" y="-500597"/>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7" name="Textfeld 6">
              <a:extLst>
                <a:ext uri="{FF2B5EF4-FFF2-40B4-BE49-F238E27FC236}">
                  <a16:creationId xmlns:a16="http://schemas.microsoft.com/office/drawing/2014/main" id="{683B82EA-D92E-4159-A034-89D96B25D5E7}"/>
                </a:ext>
              </a:extLst>
            </xdr:cNvPr>
            <xdr:cNvSpPr txBox="1"/>
          </xdr:nvSpPr>
          <xdr:spPr>
            <a:xfrm>
              <a:off x="1164927" y="-242558"/>
              <a:ext cx="5746989" cy="7770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de-AT" sz="4000">
                  <a:solidFill>
                    <a:schemeClr val="bg1"/>
                  </a:solidFill>
                  <a:latin typeface="Helve"/>
                </a:rPr>
                <a:t>Dashboard Start</a:t>
              </a:r>
            </a:p>
          </xdr:txBody>
        </xdr:sp>
      </xdr:grpSp>
      <xdr:sp macro="" textlink="">
        <xdr:nvSpPr>
          <xdr:cNvPr id="5" name="Rechteck: obere Ecken abgerundet 4">
            <a:extLst>
              <a:ext uri="{FF2B5EF4-FFF2-40B4-BE49-F238E27FC236}">
                <a16:creationId xmlns:a16="http://schemas.microsoft.com/office/drawing/2014/main" id="{BF859CFB-936F-4DE0-B176-3EB7B5C7FB73}"/>
              </a:ext>
            </a:extLst>
          </xdr:cNvPr>
          <xdr:cNvSpPr/>
        </xdr:nvSpPr>
        <xdr:spPr>
          <a:xfrm rot="10800000">
            <a:off x="-6084292" y="-400982"/>
            <a:ext cx="1155949" cy="1069271"/>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clientData/>
  </xdr:twoCellAnchor>
  <xdr:twoCellAnchor editAs="oneCell">
    <xdr:from>
      <xdr:col>1</xdr:col>
      <xdr:colOff>736600</xdr:colOff>
      <xdr:row>15</xdr:row>
      <xdr:rowOff>0</xdr:rowOff>
    </xdr:from>
    <xdr:to>
      <xdr:col>1</xdr:col>
      <xdr:colOff>1129839</xdr:colOff>
      <xdr:row>16</xdr:row>
      <xdr:rowOff>12239</xdr:rowOff>
    </xdr:to>
    <xdr:pic>
      <xdr:nvPicPr>
        <xdr:cNvPr id="13" name="Grafik 12" descr="Zahnrad">
          <a:extLst>
            <a:ext uri="{FF2B5EF4-FFF2-40B4-BE49-F238E27FC236}">
              <a16:creationId xmlns:a16="http://schemas.microsoft.com/office/drawing/2014/main" id="{62979874-19C9-4AF1-9DC3-2C6033D33C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451100" y="5715000"/>
          <a:ext cx="393239" cy="393239"/>
        </a:xfrm>
        <a:prstGeom prst="rect">
          <a:avLst/>
        </a:prstGeom>
      </xdr:spPr>
    </xdr:pic>
    <xdr:clientData/>
  </xdr:twoCellAnchor>
  <xdr:twoCellAnchor editAs="oneCell">
    <xdr:from>
      <xdr:col>1</xdr:col>
      <xdr:colOff>1219200</xdr:colOff>
      <xdr:row>29</xdr:row>
      <xdr:rowOff>0</xdr:rowOff>
    </xdr:from>
    <xdr:to>
      <xdr:col>1</xdr:col>
      <xdr:colOff>1612439</xdr:colOff>
      <xdr:row>30</xdr:row>
      <xdr:rowOff>12239</xdr:rowOff>
    </xdr:to>
    <xdr:pic>
      <xdr:nvPicPr>
        <xdr:cNvPr id="14" name="Grafik 13" descr="Zahnrad">
          <a:extLst>
            <a:ext uri="{FF2B5EF4-FFF2-40B4-BE49-F238E27FC236}">
              <a16:creationId xmlns:a16="http://schemas.microsoft.com/office/drawing/2014/main" id="{8DD150F6-09EE-439D-BDF0-233E4D94559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33700" y="9563100"/>
          <a:ext cx="393239" cy="393239"/>
        </a:xfrm>
        <a:prstGeom prst="rect">
          <a:avLst/>
        </a:prstGeom>
      </xdr:spPr>
    </xdr:pic>
    <xdr:clientData/>
  </xdr:twoCellAnchor>
  <xdr:twoCellAnchor editAs="oneCell">
    <xdr:from>
      <xdr:col>0</xdr:col>
      <xdr:colOff>558800</xdr:colOff>
      <xdr:row>1</xdr:row>
      <xdr:rowOff>75740</xdr:rowOff>
    </xdr:from>
    <xdr:to>
      <xdr:col>0</xdr:col>
      <xdr:colOff>1473200</xdr:colOff>
      <xdr:row>3</xdr:row>
      <xdr:rowOff>228140</xdr:rowOff>
    </xdr:to>
    <xdr:pic>
      <xdr:nvPicPr>
        <xdr:cNvPr id="16" name="Grafik 15" descr="Zahnrad">
          <a:hlinkClick xmlns:r="http://schemas.openxmlformats.org/officeDocument/2006/relationships" r:id="rId5"/>
          <a:extLst>
            <a:ext uri="{FF2B5EF4-FFF2-40B4-BE49-F238E27FC236}">
              <a16:creationId xmlns:a16="http://schemas.microsoft.com/office/drawing/2014/main" id="{907BB259-6A4E-4811-A302-7985398CEAD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58800" y="456740"/>
          <a:ext cx="914400" cy="914400"/>
        </a:xfrm>
        <a:prstGeom prst="rect">
          <a:avLst/>
        </a:prstGeom>
      </xdr:spPr>
    </xdr:pic>
    <xdr:clientData/>
  </xdr:twoCellAnchor>
  <xdr:oneCellAnchor>
    <xdr:from>
      <xdr:col>1</xdr:col>
      <xdr:colOff>1219200</xdr:colOff>
      <xdr:row>44</xdr:row>
      <xdr:rowOff>0</xdr:rowOff>
    </xdr:from>
    <xdr:ext cx="393239" cy="393239"/>
    <xdr:pic>
      <xdr:nvPicPr>
        <xdr:cNvPr id="10" name="Grafik 9" descr="Zahnrad">
          <a:extLst>
            <a:ext uri="{FF2B5EF4-FFF2-40B4-BE49-F238E27FC236}">
              <a16:creationId xmlns:a16="http://schemas.microsoft.com/office/drawing/2014/main" id="{092A4279-EA27-4204-8C69-689D042435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33700" y="11049000"/>
          <a:ext cx="393239" cy="393239"/>
        </a:xfrm>
        <a:prstGeom prst="rect">
          <a:avLst/>
        </a:prstGeom>
      </xdr:spPr>
    </xdr:pic>
    <xdr:clientData/>
  </xdr:oneCellAnchor>
  <xdr:oneCellAnchor>
    <xdr:from>
      <xdr:col>1</xdr:col>
      <xdr:colOff>1219200</xdr:colOff>
      <xdr:row>46</xdr:row>
      <xdr:rowOff>0</xdr:rowOff>
    </xdr:from>
    <xdr:ext cx="393239" cy="393239"/>
    <xdr:pic>
      <xdr:nvPicPr>
        <xdr:cNvPr id="11" name="Grafik 10" descr="Zahnrad">
          <a:extLst>
            <a:ext uri="{FF2B5EF4-FFF2-40B4-BE49-F238E27FC236}">
              <a16:creationId xmlns:a16="http://schemas.microsoft.com/office/drawing/2014/main" id="{8B91E9F4-EA8E-43B1-9EF6-D15CCDD2A87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33700" y="16764000"/>
          <a:ext cx="393239" cy="393239"/>
        </a:xfrm>
        <a:prstGeom prst="rect">
          <a:avLst/>
        </a:prstGeom>
      </xdr:spPr>
    </xdr:pic>
    <xdr:clientData/>
  </xdr:oneCellAnchor>
  <xdr:twoCellAnchor editAs="oneCell">
    <xdr:from>
      <xdr:col>1</xdr:col>
      <xdr:colOff>114300</xdr:colOff>
      <xdr:row>28</xdr:row>
      <xdr:rowOff>0</xdr:rowOff>
    </xdr:from>
    <xdr:to>
      <xdr:col>1</xdr:col>
      <xdr:colOff>507539</xdr:colOff>
      <xdr:row>29</xdr:row>
      <xdr:rowOff>12239</xdr:rowOff>
    </xdr:to>
    <xdr:pic>
      <xdr:nvPicPr>
        <xdr:cNvPr id="12" name="Grafik 11" descr="Zahnrad">
          <a:extLst>
            <a:ext uri="{FF2B5EF4-FFF2-40B4-BE49-F238E27FC236}">
              <a16:creationId xmlns:a16="http://schemas.microsoft.com/office/drawing/2014/main" id="{2DAE17AE-4010-44AF-B765-FF1BF613FB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28800" y="10668000"/>
          <a:ext cx="393239" cy="393239"/>
        </a:xfrm>
        <a:prstGeom prst="rect">
          <a:avLst/>
        </a:prstGeom>
      </xdr:spPr>
    </xdr:pic>
    <xdr:clientData/>
  </xdr:twoCellAnchor>
  <xdr:twoCellAnchor editAs="oneCell">
    <xdr:from>
      <xdr:col>1</xdr:col>
      <xdr:colOff>1346200</xdr:colOff>
      <xdr:row>43</xdr:row>
      <xdr:rowOff>0</xdr:rowOff>
    </xdr:from>
    <xdr:to>
      <xdr:col>2</xdr:col>
      <xdr:colOff>24939</xdr:colOff>
      <xdr:row>44</xdr:row>
      <xdr:rowOff>12239</xdr:rowOff>
    </xdr:to>
    <xdr:pic>
      <xdr:nvPicPr>
        <xdr:cNvPr id="15" name="Grafik 14" descr="Zahnrad">
          <a:extLst>
            <a:ext uri="{FF2B5EF4-FFF2-40B4-BE49-F238E27FC236}">
              <a16:creationId xmlns:a16="http://schemas.microsoft.com/office/drawing/2014/main" id="{42C4EFD8-7289-470D-A52D-5A21817411E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060700" y="16383000"/>
          <a:ext cx="393239" cy="3932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13047</xdr:colOff>
      <xdr:row>1</xdr:row>
      <xdr:rowOff>391438</xdr:rowOff>
    </xdr:from>
    <xdr:to>
      <xdr:col>8</xdr:col>
      <xdr:colOff>743732</xdr:colOff>
      <xdr:row>4</xdr:row>
      <xdr:rowOff>26095</xdr:rowOff>
    </xdr:to>
    <xdr:grpSp>
      <xdr:nvGrpSpPr>
        <xdr:cNvPr id="12" name="Gruppieren 11">
          <a:extLst>
            <a:ext uri="{FF2B5EF4-FFF2-40B4-BE49-F238E27FC236}">
              <a16:creationId xmlns:a16="http://schemas.microsoft.com/office/drawing/2014/main" id="{94D05290-71A8-4BB5-B703-DF1A502E88C5}"/>
            </a:ext>
          </a:extLst>
        </xdr:cNvPr>
        <xdr:cNvGrpSpPr/>
      </xdr:nvGrpSpPr>
      <xdr:grpSpPr>
        <a:xfrm>
          <a:off x="13047" y="874212"/>
          <a:ext cx="11103801" cy="1161267"/>
          <a:chOff x="-6823448" y="-500597"/>
          <a:chExt cx="14261404" cy="1330890"/>
        </a:xfrm>
      </xdr:grpSpPr>
      <xdr:grpSp>
        <xdr:nvGrpSpPr>
          <xdr:cNvPr id="13" name="Gruppieren 12">
            <a:extLst>
              <a:ext uri="{FF2B5EF4-FFF2-40B4-BE49-F238E27FC236}">
                <a16:creationId xmlns:a16="http://schemas.microsoft.com/office/drawing/2014/main" id="{2BE1DA7D-ADD2-4504-87A6-5A11DB3A90A2}"/>
              </a:ext>
            </a:extLst>
          </xdr:cNvPr>
          <xdr:cNvGrpSpPr/>
        </xdr:nvGrpSpPr>
        <xdr:grpSpPr>
          <a:xfrm>
            <a:off x="-6823448" y="-500597"/>
            <a:ext cx="14261404" cy="1330890"/>
            <a:chOff x="-6823448" y="-500597"/>
            <a:chExt cx="14261404" cy="1330890"/>
          </a:xfrm>
        </xdr:grpSpPr>
        <xdr:pic>
          <xdr:nvPicPr>
            <xdr:cNvPr id="15" name="img">
              <a:extLst>
                <a:ext uri="{FF2B5EF4-FFF2-40B4-BE49-F238E27FC236}">
                  <a16:creationId xmlns:a16="http://schemas.microsoft.com/office/drawing/2014/main" id="{0B80DC01-3496-4332-B057-AC363D9C019A}"/>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3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23448" y="-500597"/>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16" name="Textfeld 15">
              <a:extLst>
                <a:ext uri="{FF2B5EF4-FFF2-40B4-BE49-F238E27FC236}">
                  <a16:creationId xmlns:a16="http://schemas.microsoft.com/office/drawing/2014/main" id="{E613B103-2B4F-43D6-82C2-CCDA7951FF5D}"/>
                </a:ext>
              </a:extLst>
            </xdr:cNvPr>
            <xdr:cNvSpPr txBox="1"/>
          </xdr:nvSpPr>
          <xdr:spPr>
            <a:xfrm>
              <a:off x="1145730" y="-261209"/>
              <a:ext cx="5746989" cy="9733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de-AT" sz="4000">
                  <a:solidFill>
                    <a:schemeClr val="bg1"/>
                  </a:solidFill>
                  <a:latin typeface="Helve"/>
                </a:rPr>
                <a:t>Übungsübersicht</a:t>
              </a:r>
            </a:p>
          </xdr:txBody>
        </xdr:sp>
      </xdr:grpSp>
      <xdr:sp macro="" textlink="">
        <xdr:nvSpPr>
          <xdr:cNvPr id="14" name="Rechteck: obere Ecken abgerundet 13">
            <a:extLst>
              <a:ext uri="{FF2B5EF4-FFF2-40B4-BE49-F238E27FC236}">
                <a16:creationId xmlns:a16="http://schemas.microsoft.com/office/drawing/2014/main" id="{F22DB7FA-407D-4356-9869-FF3670A9C51E}"/>
              </a:ext>
            </a:extLst>
          </xdr:cNvPr>
          <xdr:cNvSpPr/>
        </xdr:nvSpPr>
        <xdr:spPr>
          <a:xfrm rot="10800000">
            <a:off x="-6089472" y="-431972"/>
            <a:ext cx="1176483" cy="1069272"/>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clientData/>
  </xdr:twoCellAnchor>
  <xdr:twoCellAnchor editAs="oneCell">
    <xdr:from>
      <xdr:col>1</xdr:col>
      <xdr:colOff>13047</xdr:colOff>
      <xdr:row>1</xdr:row>
      <xdr:rowOff>496870</xdr:rowOff>
    </xdr:from>
    <xdr:to>
      <xdr:col>2</xdr:col>
      <xdr:colOff>287054</xdr:colOff>
      <xdr:row>2</xdr:row>
      <xdr:rowOff>640398</xdr:rowOff>
    </xdr:to>
    <xdr:pic>
      <xdr:nvPicPr>
        <xdr:cNvPr id="18" name="Grafik 17" descr="Liste RNL">
          <a:hlinkClick xmlns:r="http://schemas.openxmlformats.org/officeDocument/2006/relationships" r:id="rId3"/>
          <a:extLst>
            <a:ext uri="{FF2B5EF4-FFF2-40B4-BE49-F238E27FC236}">
              <a16:creationId xmlns:a16="http://schemas.microsoft.com/office/drawing/2014/main" id="{55090491-1454-4DD2-ACC9-93D1B59651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13252" y="979644"/>
          <a:ext cx="874213" cy="756781"/>
        </a:xfrm>
        <a:prstGeom prst="rect">
          <a:avLst/>
        </a:prstGeom>
      </xdr:spPr>
    </xdr:pic>
    <xdr:clientData/>
  </xdr:twoCellAnchor>
  <xdr:twoCellAnchor editAs="oneCell">
    <xdr:from>
      <xdr:col>9</xdr:col>
      <xdr:colOff>613253</xdr:colOff>
      <xdr:row>4</xdr:row>
      <xdr:rowOff>208767</xdr:rowOff>
    </xdr:from>
    <xdr:to>
      <xdr:col>9</xdr:col>
      <xdr:colOff>1206136</xdr:colOff>
      <xdr:row>5</xdr:row>
      <xdr:rowOff>5726</xdr:rowOff>
    </xdr:to>
    <xdr:pic>
      <xdr:nvPicPr>
        <xdr:cNvPr id="8" name="Grafik 7" descr="Warnung">
          <a:extLst>
            <a:ext uri="{FF2B5EF4-FFF2-40B4-BE49-F238E27FC236}">
              <a16:creationId xmlns:a16="http://schemas.microsoft.com/office/drawing/2014/main" id="{20B650A8-3954-4A8A-B5F1-22F80826A77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695650" y="2218151"/>
          <a:ext cx="592883" cy="5928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201705</xdr:rowOff>
    </xdr:from>
    <xdr:to>
      <xdr:col>7</xdr:col>
      <xdr:colOff>1378323</xdr:colOff>
      <xdr:row>3</xdr:row>
      <xdr:rowOff>168082</xdr:rowOff>
    </xdr:to>
    <xdr:grpSp>
      <xdr:nvGrpSpPr>
        <xdr:cNvPr id="11" name="Gruppieren 10">
          <a:extLst>
            <a:ext uri="{FF2B5EF4-FFF2-40B4-BE49-F238E27FC236}">
              <a16:creationId xmlns:a16="http://schemas.microsoft.com/office/drawing/2014/main" id="{91C5289D-34A8-47D7-9A4D-0BB077E8B42D}"/>
            </a:ext>
          </a:extLst>
        </xdr:cNvPr>
        <xdr:cNvGrpSpPr/>
      </xdr:nvGrpSpPr>
      <xdr:grpSpPr>
        <a:xfrm>
          <a:off x="0" y="717643"/>
          <a:ext cx="9980589" cy="968486"/>
          <a:chOff x="-6859343" y="-515895"/>
          <a:chExt cx="15380859" cy="1330890"/>
        </a:xfrm>
      </xdr:grpSpPr>
      <xdr:grpSp>
        <xdr:nvGrpSpPr>
          <xdr:cNvPr id="12" name="Gruppieren 11">
            <a:extLst>
              <a:ext uri="{FF2B5EF4-FFF2-40B4-BE49-F238E27FC236}">
                <a16:creationId xmlns:a16="http://schemas.microsoft.com/office/drawing/2014/main" id="{AD85DF73-0E78-45EB-AC5C-A04488EBE80C}"/>
              </a:ext>
            </a:extLst>
          </xdr:cNvPr>
          <xdr:cNvGrpSpPr/>
        </xdr:nvGrpSpPr>
        <xdr:grpSpPr>
          <a:xfrm>
            <a:off x="-6859343" y="-515895"/>
            <a:ext cx="15380859" cy="1330890"/>
            <a:chOff x="-6859343" y="-515895"/>
            <a:chExt cx="15380859" cy="1330890"/>
          </a:xfrm>
        </xdr:grpSpPr>
        <xdr:pic>
          <xdr:nvPicPr>
            <xdr:cNvPr id="16" name="img">
              <a:extLst>
                <a:ext uri="{FF2B5EF4-FFF2-40B4-BE49-F238E27FC236}">
                  <a16:creationId xmlns:a16="http://schemas.microsoft.com/office/drawing/2014/main" id="{C03D70D7-2910-422F-901E-552FAC17A8F0}"/>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59343" y="-515895"/>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17" name="Textfeld 16">
              <a:extLst>
                <a:ext uri="{FF2B5EF4-FFF2-40B4-BE49-F238E27FC236}">
                  <a16:creationId xmlns:a16="http://schemas.microsoft.com/office/drawing/2014/main" id="{C800B16F-C703-4D05-B10F-8AA87863E237}"/>
                </a:ext>
              </a:extLst>
            </xdr:cNvPr>
            <xdr:cNvSpPr txBox="1"/>
          </xdr:nvSpPr>
          <xdr:spPr>
            <a:xfrm>
              <a:off x="-651189" y="-377604"/>
              <a:ext cx="9172705" cy="11886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de-AT" sz="4000">
                  <a:solidFill>
                    <a:schemeClr val="bg1"/>
                  </a:solidFill>
                  <a:latin typeface="Helve"/>
                </a:rPr>
                <a:t>Maximalkraftwerte</a:t>
              </a:r>
            </a:p>
          </xdr:txBody>
        </xdr:sp>
      </xdr:grpSp>
      <xdr:sp macro="" textlink="">
        <xdr:nvSpPr>
          <xdr:cNvPr id="14" name="Rechteck: obere Ecken abgerundet 13">
            <a:extLst>
              <a:ext uri="{FF2B5EF4-FFF2-40B4-BE49-F238E27FC236}">
                <a16:creationId xmlns:a16="http://schemas.microsoft.com/office/drawing/2014/main" id="{F4EDE249-CFB2-4703-B8FA-7FD27F2FA9C4}"/>
              </a:ext>
            </a:extLst>
          </xdr:cNvPr>
          <xdr:cNvSpPr/>
        </xdr:nvSpPr>
        <xdr:spPr>
          <a:xfrm rot="10800000">
            <a:off x="-6149912" y="-432758"/>
            <a:ext cx="1192984" cy="1069270"/>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clientData/>
  </xdr:twoCellAnchor>
  <xdr:twoCellAnchor editAs="oneCell">
    <xdr:from>
      <xdr:col>0</xdr:col>
      <xdr:colOff>547805</xdr:colOff>
      <xdr:row>1</xdr:row>
      <xdr:rowOff>286947</xdr:rowOff>
    </xdr:from>
    <xdr:to>
      <xdr:col>1</xdr:col>
      <xdr:colOff>570217</xdr:colOff>
      <xdr:row>2</xdr:row>
      <xdr:rowOff>443830</xdr:rowOff>
    </xdr:to>
    <xdr:pic>
      <xdr:nvPicPr>
        <xdr:cNvPr id="26" name="Grafik 25">
          <a:hlinkClick xmlns:r="http://schemas.openxmlformats.org/officeDocument/2006/relationships" r:id="rId3"/>
          <a:extLst>
            <a:ext uri="{FF2B5EF4-FFF2-40B4-BE49-F238E27FC236}">
              <a16:creationId xmlns:a16="http://schemas.microsoft.com/office/drawing/2014/main" id="{3A427BFB-7D2A-4A85-A1C0-2EED869F4376}"/>
            </a:ext>
          </a:extLst>
        </xdr:cNvPr>
        <xdr:cNvPicPr>
          <a:picLocks noChangeAspect="1"/>
        </xdr:cNvPicPr>
      </xdr:nvPicPr>
      <xdr:blipFill>
        <a:blip xmlns:r="http://schemas.openxmlformats.org/officeDocument/2006/relationships" r:embed="rId4">
          <a:duotone>
            <a:schemeClr val="accent1">
              <a:shade val="45000"/>
              <a:satMod val="135000"/>
            </a:schemeClr>
            <a:prstClr val="white"/>
          </a:duotone>
        </a:blip>
        <a:stretch>
          <a:fillRect/>
        </a:stretch>
      </xdr:blipFill>
      <xdr:spPr>
        <a:xfrm>
          <a:off x="547805" y="802885"/>
          <a:ext cx="617725" cy="623211"/>
        </a:xfrm>
        <a:prstGeom prst="rect">
          <a:avLst/>
        </a:prstGeom>
      </xdr:spPr>
    </xdr:pic>
    <xdr:clientData/>
  </xdr:twoCellAnchor>
  <xdr:twoCellAnchor editAs="oneCell">
    <xdr:from>
      <xdr:col>7</xdr:col>
      <xdr:colOff>545704</xdr:colOff>
      <xdr:row>5</xdr:row>
      <xdr:rowOff>79375</xdr:rowOff>
    </xdr:from>
    <xdr:to>
      <xdr:col>7</xdr:col>
      <xdr:colOff>1009603</xdr:colOff>
      <xdr:row>6</xdr:row>
      <xdr:rowOff>7492</xdr:rowOff>
    </xdr:to>
    <xdr:pic>
      <xdr:nvPicPr>
        <xdr:cNvPr id="8" name="Grafik 7" descr="Warnung">
          <a:extLst>
            <a:ext uri="{FF2B5EF4-FFF2-40B4-BE49-F238E27FC236}">
              <a16:creationId xmlns:a16="http://schemas.microsoft.com/office/drawing/2014/main" id="{65073C2A-1D40-41E5-B10F-DBE794A4B71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47970" y="2837656"/>
          <a:ext cx="463899" cy="4638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92</xdr:row>
      <xdr:rowOff>0</xdr:rowOff>
    </xdr:from>
    <xdr:to>
      <xdr:col>14</xdr:col>
      <xdr:colOff>1046409</xdr:colOff>
      <xdr:row>111</xdr:row>
      <xdr:rowOff>53662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392753</xdr:colOff>
      <xdr:row>68</xdr:row>
      <xdr:rowOff>0</xdr:rowOff>
    </xdr:from>
    <xdr:to>
      <xdr:col>0</xdr:col>
      <xdr:colOff>1175054</xdr:colOff>
      <xdr:row>68</xdr:row>
      <xdr:rowOff>0</xdr:rowOff>
    </xdr:to>
    <xdr:sp macro="" textlink="">
      <xdr:nvSpPr>
        <xdr:cNvPr id="3" name="homePlate">
          <a:extLst>
            <a:ext uri="{FF2B5EF4-FFF2-40B4-BE49-F238E27FC236}">
              <a16:creationId xmlns:a16="http://schemas.microsoft.com/office/drawing/2014/main" id="{00000000-0008-0000-0100-000003000000}"/>
            </a:ext>
          </a:extLst>
        </xdr:cNvPr>
        <xdr:cNvSpPr/>
      </xdr:nvSpPr>
      <xdr:spPr>
        <a:xfrm>
          <a:off x="0" y="0"/>
          <a:ext cx="0" cy="0"/>
        </a:xfrm>
        <a:prstGeom prst="homePlate">
          <a:avLst/>
        </a:prstGeom>
        <a:solidFill>
          <a:srgbClr val="006EC0"/>
        </a:solidFill>
        <a:ln w="25400" cap="flat" cmpd="sng">
          <a:no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xdr:from>
      <xdr:col>0</xdr:col>
      <xdr:colOff>44140</xdr:colOff>
      <xdr:row>0</xdr:row>
      <xdr:rowOff>520175</xdr:rowOff>
    </xdr:from>
    <xdr:to>
      <xdr:col>9</xdr:col>
      <xdr:colOff>500267</xdr:colOff>
      <xdr:row>4</xdr:row>
      <xdr:rowOff>104416</xdr:rowOff>
    </xdr:to>
    <xdr:grpSp>
      <xdr:nvGrpSpPr>
        <xdr:cNvPr id="4" name="Gruppieren 3">
          <a:extLst>
            <a:ext uri="{FF2B5EF4-FFF2-40B4-BE49-F238E27FC236}">
              <a16:creationId xmlns:a16="http://schemas.microsoft.com/office/drawing/2014/main" id="{E3D604EC-1567-42AE-B1AC-337E3CCC2847}"/>
            </a:ext>
          </a:extLst>
        </xdr:cNvPr>
        <xdr:cNvGrpSpPr/>
      </xdr:nvGrpSpPr>
      <xdr:grpSpPr>
        <a:xfrm>
          <a:off x="44140" y="520175"/>
          <a:ext cx="13415900" cy="1373786"/>
          <a:chOff x="-6823448" y="-500597"/>
          <a:chExt cx="14261404" cy="1398297"/>
        </a:xfrm>
      </xdr:grpSpPr>
      <xdr:grpSp>
        <xdr:nvGrpSpPr>
          <xdr:cNvPr id="5" name="Gruppieren 4">
            <a:extLst>
              <a:ext uri="{FF2B5EF4-FFF2-40B4-BE49-F238E27FC236}">
                <a16:creationId xmlns:a16="http://schemas.microsoft.com/office/drawing/2014/main" id="{E63FDFD5-A879-478B-B926-6CF7EE527143}"/>
              </a:ext>
            </a:extLst>
          </xdr:cNvPr>
          <xdr:cNvGrpSpPr/>
        </xdr:nvGrpSpPr>
        <xdr:grpSpPr>
          <a:xfrm>
            <a:off x="-6823448" y="-500597"/>
            <a:ext cx="14261404" cy="1398297"/>
            <a:chOff x="-6823448" y="-500597"/>
            <a:chExt cx="14261404" cy="1398297"/>
          </a:xfrm>
        </xdr:grpSpPr>
        <xdr:pic>
          <xdr:nvPicPr>
            <xdr:cNvPr id="7" name="img">
              <a:extLst>
                <a:ext uri="{FF2B5EF4-FFF2-40B4-BE49-F238E27FC236}">
                  <a16:creationId xmlns:a16="http://schemas.microsoft.com/office/drawing/2014/main" id="{88039536-EF7D-4C22-8FE3-54070E429BE0}"/>
                </a:ext>
              </a:extLst>
            </xdr:cNvPr>
            <xdr:cNvPicPr>
              <a:picLocks noChangeAspect="1" noChangeArrowheads="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23448" y="-500597"/>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8" name="Textfeld 7">
              <a:extLst>
                <a:ext uri="{FF2B5EF4-FFF2-40B4-BE49-F238E27FC236}">
                  <a16:creationId xmlns:a16="http://schemas.microsoft.com/office/drawing/2014/main" id="{85F08D47-C9E4-4B7D-B468-73D4763733F4}"/>
                </a:ext>
              </a:extLst>
            </xdr:cNvPr>
            <xdr:cNvSpPr txBox="1"/>
          </xdr:nvSpPr>
          <xdr:spPr>
            <a:xfrm>
              <a:off x="-23702" y="-435494"/>
              <a:ext cx="7050615" cy="1333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de-AT" sz="6600">
                  <a:solidFill>
                    <a:schemeClr val="bg1"/>
                  </a:solidFill>
                  <a:latin typeface="Helve"/>
                </a:rPr>
                <a:t>Trainings</a:t>
              </a:r>
              <a:r>
                <a:rPr lang="de-AT" sz="6600" baseline="0">
                  <a:solidFill>
                    <a:schemeClr val="bg1"/>
                  </a:solidFill>
                  <a:latin typeface="Helve"/>
                </a:rPr>
                <a:t> </a:t>
              </a:r>
              <a:r>
                <a:rPr lang="de-AT" sz="6000">
                  <a:solidFill>
                    <a:schemeClr val="bg1"/>
                  </a:solidFill>
                  <a:latin typeface="Helve"/>
                </a:rPr>
                <a:t>Zyklus</a:t>
              </a:r>
              <a:endParaRPr lang="de-AT" sz="5400">
                <a:solidFill>
                  <a:schemeClr val="bg1"/>
                </a:solidFill>
                <a:latin typeface="Helve"/>
              </a:endParaRPr>
            </a:p>
          </xdr:txBody>
        </xdr:sp>
      </xdr:grpSp>
      <xdr:sp macro="" textlink="">
        <xdr:nvSpPr>
          <xdr:cNvPr id="6" name="Rechteck: obere Ecken abgerundet 5">
            <a:extLst>
              <a:ext uri="{FF2B5EF4-FFF2-40B4-BE49-F238E27FC236}">
                <a16:creationId xmlns:a16="http://schemas.microsoft.com/office/drawing/2014/main" id="{FC7DD142-AFAD-43F5-A15D-A2A67FAFECF8}"/>
              </a:ext>
            </a:extLst>
          </xdr:cNvPr>
          <xdr:cNvSpPr/>
        </xdr:nvSpPr>
        <xdr:spPr>
          <a:xfrm rot="10800000">
            <a:off x="-6009390" y="-434336"/>
            <a:ext cx="1137940" cy="1069271"/>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clientData/>
  </xdr:twoCellAnchor>
  <xdr:twoCellAnchor editAs="oneCell">
    <xdr:from>
      <xdr:col>20</xdr:col>
      <xdr:colOff>194459</xdr:colOff>
      <xdr:row>1</xdr:row>
      <xdr:rowOff>428306</xdr:rowOff>
    </xdr:from>
    <xdr:to>
      <xdr:col>20</xdr:col>
      <xdr:colOff>1025874</xdr:colOff>
      <xdr:row>4</xdr:row>
      <xdr:rowOff>30062</xdr:rowOff>
    </xdr:to>
    <xdr:pic>
      <xdr:nvPicPr>
        <xdr:cNvPr id="10" name="Grafik 9" descr="Tageskalender">
          <a:hlinkClick xmlns:r="http://schemas.openxmlformats.org/officeDocument/2006/relationships" r:id="rId4"/>
          <a:extLst>
            <a:ext uri="{FF2B5EF4-FFF2-40B4-BE49-F238E27FC236}">
              <a16:creationId xmlns:a16="http://schemas.microsoft.com/office/drawing/2014/main" id="{7426ABFF-A27C-407F-BB50-DE8C3F83AE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6806732" y="1005579"/>
          <a:ext cx="831415" cy="814028"/>
        </a:xfrm>
        <a:prstGeom prst="rect">
          <a:avLst/>
        </a:prstGeom>
      </xdr:spPr>
    </xdr:pic>
    <xdr:clientData/>
  </xdr:twoCellAnchor>
  <xdr:twoCellAnchor editAs="oneCell">
    <xdr:from>
      <xdr:col>0</xdr:col>
      <xdr:colOff>845890</xdr:colOff>
      <xdr:row>0</xdr:row>
      <xdr:rowOff>520086</xdr:rowOff>
    </xdr:from>
    <xdr:to>
      <xdr:col>0</xdr:col>
      <xdr:colOff>1948295</xdr:colOff>
      <xdr:row>3</xdr:row>
      <xdr:rowOff>92718</xdr:rowOff>
    </xdr:to>
    <xdr:pic>
      <xdr:nvPicPr>
        <xdr:cNvPr id="18" name="Grafik 17" descr="Periodische Grafik">
          <a:extLst>
            <a:ext uri="{FF2B5EF4-FFF2-40B4-BE49-F238E27FC236}">
              <a16:creationId xmlns:a16="http://schemas.microsoft.com/office/drawing/2014/main" id="{FEA7D328-8F72-4F6B-B5C7-910915BDD8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45890" y="520086"/>
          <a:ext cx="1102405" cy="1102405"/>
        </a:xfrm>
        <a:prstGeom prst="rect">
          <a:avLst/>
        </a:prstGeom>
      </xdr:spPr>
    </xdr:pic>
    <xdr:clientData/>
  </xdr:twoCellAnchor>
  <xdr:twoCellAnchor editAs="oneCell">
    <xdr:from>
      <xdr:col>22</xdr:col>
      <xdr:colOff>86592</xdr:colOff>
      <xdr:row>31</xdr:row>
      <xdr:rowOff>274205</xdr:rowOff>
    </xdr:from>
    <xdr:to>
      <xdr:col>22</xdr:col>
      <xdr:colOff>736024</xdr:colOff>
      <xdr:row>33</xdr:row>
      <xdr:rowOff>166911</xdr:rowOff>
    </xdr:to>
    <xdr:pic>
      <xdr:nvPicPr>
        <xdr:cNvPr id="16" name="Grafik 15" descr="Kurzhantel">
          <a:extLst>
            <a:ext uri="{FF2B5EF4-FFF2-40B4-BE49-F238E27FC236}">
              <a16:creationId xmlns:a16="http://schemas.microsoft.com/office/drawing/2014/main" id="{3DACFDD2-C502-4124-8D1C-408D3C21126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022387" y="11126932"/>
          <a:ext cx="649432" cy="643161"/>
        </a:xfrm>
        <a:prstGeom prst="rect">
          <a:avLst/>
        </a:prstGeom>
      </xdr:spPr>
    </xdr:pic>
    <xdr:clientData/>
  </xdr:twoCellAnchor>
  <xdr:twoCellAnchor editAs="oneCell">
    <xdr:from>
      <xdr:col>21</xdr:col>
      <xdr:colOff>288636</xdr:colOff>
      <xdr:row>34</xdr:row>
      <xdr:rowOff>178377</xdr:rowOff>
    </xdr:from>
    <xdr:to>
      <xdr:col>21</xdr:col>
      <xdr:colOff>808182</xdr:colOff>
      <xdr:row>36</xdr:row>
      <xdr:rowOff>62923</xdr:rowOff>
    </xdr:to>
    <xdr:pic>
      <xdr:nvPicPr>
        <xdr:cNvPr id="17" name="Grafik 16" descr="Symbol für Hamburger-Menü">
          <a:extLst>
            <a:ext uri="{FF2B5EF4-FFF2-40B4-BE49-F238E27FC236}">
              <a16:creationId xmlns:a16="http://schemas.microsoft.com/office/drawing/2014/main" id="{7D94439E-7A31-4C6C-B821-AD1287B86E9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8142045" y="12099059"/>
          <a:ext cx="519546" cy="519546"/>
        </a:xfrm>
        <a:prstGeom prst="rect">
          <a:avLst/>
        </a:prstGeom>
      </xdr:spPr>
    </xdr:pic>
    <xdr:clientData/>
  </xdr:twoCellAnchor>
  <xdr:twoCellAnchor editAs="oneCell">
    <xdr:from>
      <xdr:col>15</xdr:col>
      <xdr:colOff>216477</xdr:colOff>
      <xdr:row>1</xdr:row>
      <xdr:rowOff>437260</xdr:rowOff>
    </xdr:from>
    <xdr:to>
      <xdr:col>15</xdr:col>
      <xdr:colOff>1096818</xdr:colOff>
      <xdr:row>4</xdr:row>
      <xdr:rowOff>7179</xdr:rowOff>
    </xdr:to>
    <xdr:pic>
      <xdr:nvPicPr>
        <xdr:cNvPr id="19" name="Grafik 18" descr="Tageskalender">
          <a:hlinkClick xmlns:r="http://schemas.openxmlformats.org/officeDocument/2006/relationships" r:id="rId4"/>
          <a:extLst>
            <a:ext uri="{FF2B5EF4-FFF2-40B4-BE49-F238E27FC236}">
              <a16:creationId xmlns:a16="http://schemas.microsoft.com/office/drawing/2014/main" id="{C76C6421-E0B7-4AD5-937B-24C54E1C21A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0623068" y="1014533"/>
          <a:ext cx="880341" cy="7821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38100</xdr:rowOff>
    </xdr:from>
    <xdr:to>
      <xdr:col>7</xdr:col>
      <xdr:colOff>1347861</xdr:colOff>
      <xdr:row>2</xdr:row>
      <xdr:rowOff>377936</xdr:rowOff>
    </xdr:to>
    <xdr:grpSp>
      <xdr:nvGrpSpPr>
        <xdr:cNvPr id="2" name="Gruppieren 1">
          <a:extLst>
            <a:ext uri="{FF2B5EF4-FFF2-40B4-BE49-F238E27FC236}">
              <a16:creationId xmlns:a16="http://schemas.microsoft.com/office/drawing/2014/main" id="{CFB6362A-5B84-4A9F-AA86-22338807035B}"/>
            </a:ext>
          </a:extLst>
        </xdr:cNvPr>
        <xdr:cNvGrpSpPr/>
      </xdr:nvGrpSpPr>
      <xdr:grpSpPr>
        <a:xfrm>
          <a:off x="0" y="203330"/>
          <a:ext cx="9832887" cy="971596"/>
          <a:chOff x="-6859343" y="-542074"/>
          <a:chExt cx="14261404" cy="1330890"/>
        </a:xfrm>
      </xdr:grpSpPr>
      <xdr:grpSp>
        <xdr:nvGrpSpPr>
          <xdr:cNvPr id="3" name="Gruppieren 2">
            <a:extLst>
              <a:ext uri="{FF2B5EF4-FFF2-40B4-BE49-F238E27FC236}">
                <a16:creationId xmlns:a16="http://schemas.microsoft.com/office/drawing/2014/main" id="{8FF0EEE8-6F68-490C-8E18-BD2AE2947FFC}"/>
              </a:ext>
            </a:extLst>
          </xdr:cNvPr>
          <xdr:cNvGrpSpPr/>
        </xdr:nvGrpSpPr>
        <xdr:grpSpPr>
          <a:xfrm>
            <a:off x="-6859343" y="-542074"/>
            <a:ext cx="14261404" cy="1330890"/>
            <a:chOff x="-6859343" y="-542074"/>
            <a:chExt cx="14261404" cy="1330890"/>
          </a:xfrm>
        </xdr:grpSpPr>
        <xdr:pic>
          <xdr:nvPicPr>
            <xdr:cNvPr id="5" name="img">
              <a:extLst>
                <a:ext uri="{FF2B5EF4-FFF2-40B4-BE49-F238E27FC236}">
                  <a16:creationId xmlns:a16="http://schemas.microsoft.com/office/drawing/2014/main" id="{6FC415C0-20EA-4AC1-9E70-85BE381A8F32}"/>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59343" y="-542074"/>
              <a:ext cx="14261404" cy="1330890"/>
            </a:xfrm>
            <a:prstGeom prst="round1Rect">
              <a:avLst>
                <a:gd name="adj" fmla="val 50000"/>
              </a:avLst>
            </a:prstGeom>
            <a:solidFill>
              <a:srgbClr val="257670"/>
            </a:solidFill>
            <a:effectLst>
              <a:outerShdw blurRad="50800" dist="38100" dir="2700000" algn="tl" rotWithShape="0">
                <a:prstClr val="black">
                  <a:alpha val="40000"/>
                </a:prstClr>
              </a:outerShdw>
            </a:effectLst>
          </xdr:spPr>
        </xdr:pic>
        <xdr:sp macro="" textlink="">
          <xdr:nvSpPr>
            <xdr:cNvPr id="6" name="Textfeld 5">
              <a:extLst>
                <a:ext uri="{FF2B5EF4-FFF2-40B4-BE49-F238E27FC236}">
                  <a16:creationId xmlns:a16="http://schemas.microsoft.com/office/drawing/2014/main" id="{5DA411C0-7432-4835-AE37-8DB5BE6D2B05}"/>
                </a:ext>
              </a:extLst>
            </xdr:cNvPr>
            <xdr:cNvSpPr txBox="1"/>
          </xdr:nvSpPr>
          <xdr:spPr>
            <a:xfrm>
              <a:off x="330602" y="-364515"/>
              <a:ext cx="6843448" cy="10920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de-AT" sz="4000">
                  <a:solidFill>
                    <a:schemeClr val="bg1"/>
                  </a:solidFill>
                  <a:latin typeface="Helve"/>
                </a:rPr>
                <a:t>Tranings-Kalender</a:t>
              </a:r>
            </a:p>
            <a:p>
              <a:endParaRPr lang="de-AT" sz="4000">
                <a:solidFill>
                  <a:schemeClr val="bg1"/>
                </a:solidFill>
                <a:latin typeface="Helve"/>
              </a:endParaRPr>
            </a:p>
          </xdr:txBody>
        </xdr:sp>
      </xdr:grpSp>
      <xdr:sp macro="" textlink="">
        <xdr:nvSpPr>
          <xdr:cNvPr id="4" name="Rechteck: obere Ecken abgerundet 3">
            <a:extLst>
              <a:ext uri="{FF2B5EF4-FFF2-40B4-BE49-F238E27FC236}">
                <a16:creationId xmlns:a16="http://schemas.microsoft.com/office/drawing/2014/main" id="{BB12DEEE-A2B7-4085-A342-CBFC94680291}"/>
              </a:ext>
            </a:extLst>
          </xdr:cNvPr>
          <xdr:cNvSpPr/>
        </xdr:nvSpPr>
        <xdr:spPr>
          <a:xfrm rot="10800000">
            <a:off x="-6355415" y="-485115"/>
            <a:ext cx="1192983" cy="1069270"/>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clientData/>
  </xdr:twoCellAnchor>
  <xdr:twoCellAnchor editAs="oneCell">
    <xdr:from>
      <xdr:col>1</xdr:col>
      <xdr:colOff>228600</xdr:colOff>
      <xdr:row>1</xdr:row>
      <xdr:rowOff>104775</xdr:rowOff>
    </xdr:from>
    <xdr:to>
      <xdr:col>1</xdr:col>
      <xdr:colOff>894915</xdr:colOff>
      <xdr:row>2</xdr:row>
      <xdr:rowOff>129626</xdr:rowOff>
    </xdr:to>
    <xdr:pic>
      <xdr:nvPicPr>
        <xdr:cNvPr id="7" name="Grafik 6" descr="Tageskalender">
          <a:hlinkClick xmlns:r="http://schemas.openxmlformats.org/officeDocument/2006/relationships" r:id="rId3"/>
          <a:extLst>
            <a:ext uri="{FF2B5EF4-FFF2-40B4-BE49-F238E27FC236}">
              <a16:creationId xmlns:a16="http://schemas.microsoft.com/office/drawing/2014/main" id="{2E5DDDE2-DC30-4888-962F-E67A051204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28625" y="266700"/>
          <a:ext cx="666315" cy="653501"/>
        </a:xfrm>
        <a:prstGeom prst="rect">
          <a:avLst/>
        </a:prstGeom>
      </xdr:spPr>
    </xdr:pic>
    <xdr:clientData/>
  </xdr:twoCellAnchor>
  <xdr:twoCellAnchor editAs="oneCell">
    <xdr:from>
      <xdr:col>9</xdr:col>
      <xdr:colOff>29158</xdr:colOff>
      <xdr:row>9</xdr:row>
      <xdr:rowOff>136065</xdr:rowOff>
    </xdr:from>
    <xdr:to>
      <xdr:col>9</xdr:col>
      <xdr:colOff>622041</xdr:colOff>
      <xdr:row>9</xdr:row>
      <xdr:rowOff>728948</xdr:rowOff>
    </xdr:to>
    <xdr:pic>
      <xdr:nvPicPr>
        <xdr:cNvPr id="11" name="Grafik 10" descr="Warnung">
          <a:extLst>
            <a:ext uri="{FF2B5EF4-FFF2-40B4-BE49-F238E27FC236}">
              <a16:creationId xmlns:a16="http://schemas.microsoft.com/office/drawing/2014/main" id="{21C69152-612C-44D3-9B0D-D7FB7F836C8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27398" y="4665300"/>
          <a:ext cx="592883" cy="592883"/>
        </a:xfrm>
        <a:prstGeom prst="rect">
          <a:avLst/>
        </a:prstGeom>
      </xdr:spPr>
    </xdr:pic>
    <xdr:clientData/>
  </xdr:twoCellAnchor>
  <xdr:twoCellAnchor editAs="oneCell">
    <xdr:from>
      <xdr:col>9</xdr:col>
      <xdr:colOff>38878</xdr:colOff>
      <xdr:row>25</xdr:row>
      <xdr:rowOff>136071</xdr:rowOff>
    </xdr:from>
    <xdr:to>
      <xdr:col>9</xdr:col>
      <xdr:colOff>631761</xdr:colOff>
      <xdr:row>25</xdr:row>
      <xdr:rowOff>728954</xdr:rowOff>
    </xdr:to>
    <xdr:pic>
      <xdr:nvPicPr>
        <xdr:cNvPr id="14" name="Grafik 13" descr="Warnung">
          <a:extLst>
            <a:ext uri="{FF2B5EF4-FFF2-40B4-BE49-F238E27FC236}">
              <a16:creationId xmlns:a16="http://schemas.microsoft.com/office/drawing/2014/main" id="{673C0FED-88BD-4DCF-9623-A3E3E47EE8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837118" y="13500229"/>
          <a:ext cx="592883" cy="5928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21896</xdr:colOff>
      <xdr:row>1</xdr:row>
      <xdr:rowOff>240863</xdr:rowOff>
    </xdr:from>
    <xdr:to>
      <xdr:col>5</xdr:col>
      <xdr:colOff>875862</xdr:colOff>
      <xdr:row>3</xdr:row>
      <xdr:rowOff>277886</xdr:rowOff>
    </xdr:to>
    <xdr:grpSp>
      <xdr:nvGrpSpPr>
        <xdr:cNvPr id="2" name="Gruppieren 1">
          <a:extLst>
            <a:ext uri="{FF2B5EF4-FFF2-40B4-BE49-F238E27FC236}">
              <a16:creationId xmlns:a16="http://schemas.microsoft.com/office/drawing/2014/main" id="{A3F301DF-5C0D-4FF3-A66F-3ABE32D95CFC}"/>
            </a:ext>
          </a:extLst>
        </xdr:cNvPr>
        <xdr:cNvGrpSpPr/>
      </xdr:nvGrpSpPr>
      <xdr:grpSpPr>
        <a:xfrm>
          <a:off x="21896" y="645949"/>
          <a:ext cx="8408276" cy="978575"/>
          <a:chOff x="-6823448" y="-500597"/>
          <a:chExt cx="14261404" cy="1383556"/>
        </a:xfrm>
      </xdr:grpSpPr>
      <xdr:grpSp>
        <xdr:nvGrpSpPr>
          <xdr:cNvPr id="3" name="Gruppieren 2">
            <a:extLst>
              <a:ext uri="{FF2B5EF4-FFF2-40B4-BE49-F238E27FC236}">
                <a16:creationId xmlns:a16="http://schemas.microsoft.com/office/drawing/2014/main" id="{94F42952-CE8E-40EA-88B8-6A653EE7BF22}"/>
              </a:ext>
            </a:extLst>
          </xdr:cNvPr>
          <xdr:cNvGrpSpPr/>
        </xdr:nvGrpSpPr>
        <xdr:grpSpPr>
          <a:xfrm>
            <a:off x="-6823448" y="-500597"/>
            <a:ext cx="14261404" cy="1383556"/>
            <a:chOff x="-6823448" y="-500597"/>
            <a:chExt cx="14261404" cy="1383556"/>
          </a:xfrm>
        </xdr:grpSpPr>
        <xdr:pic>
          <xdr:nvPicPr>
            <xdr:cNvPr id="5" name="img">
              <a:extLst>
                <a:ext uri="{FF2B5EF4-FFF2-40B4-BE49-F238E27FC236}">
                  <a16:creationId xmlns:a16="http://schemas.microsoft.com/office/drawing/2014/main" id="{01456474-A760-40BA-90A4-A04EB1DFE6D5}"/>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23448" y="-500597"/>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6" name="Textfeld 5">
              <a:extLst>
                <a:ext uri="{FF2B5EF4-FFF2-40B4-BE49-F238E27FC236}">
                  <a16:creationId xmlns:a16="http://schemas.microsoft.com/office/drawing/2014/main" id="{E8120380-590A-40EE-B5EE-A11219D0F135}"/>
                </a:ext>
              </a:extLst>
            </xdr:cNvPr>
            <xdr:cNvSpPr txBox="1"/>
          </xdr:nvSpPr>
          <xdr:spPr>
            <a:xfrm>
              <a:off x="1660282" y="-344631"/>
              <a:ext cx="4796171" cy="1227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de-AT" sz="4000">
                  <a:solidFill>
                    <a:schemeClr val="bg1"/>
                  </a:solidFill>
                  <a:latin typeface="Helve"/>
                </a:rPr>
                <a:t>Warm Ups</a:t>
              </a:r>
            </a:p>
          </xdr:txBody>
        </xdr:sp>
      </xdr:grpSp>
      <xdr:sp macro="" textlink="">
        <xdr:nvSpPr>
          <xdr:cNvPr id="4" name="Rechteck: obere Ecken abgerundet 3">
            <a:extLst>
              <a:ext uri="{FF2B5EF4-FFF2-40B4-BE49-F238E27FC236}">
                <a16:creationId xmlns:a16="http://schemas.microsoft.com/office/drawing/2014/main" id="{EBFE5175-9BC2-41F1-AFCF-C40D0DB01B0F}"/>
              </a:ext>
            </a:extLst>
          </xdr:cNvPr>
          <xdr:cNvSpPr/>
        </xdr:nvSpPr>
        <xdr:spPr>
          <a:xfrm rot="10800000">
            <a:off x="-6172370" y="-434433"/>
            <a:ext cx="1131597" cy="1069272"/>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clientData/>
  </xdr:twoCellAnchor>
  <xdr:twoCellAnchor editAs="oneCell">
    <xdr:from>
      <xdr:col>0</xdr:col>
      <xdr:colOff>416035</xdr:colOff>
      <xdr:row>1</xdr:row>
      <xdr:rowOff>323192</xdr:rowOff>
    </xdr:from>
    <xdr:to>
      <xdr:col>0</xdr:col>
      <xdr:colOff>1083879</xdr:colOff>
      <xdr:row>3</xdr:row>
      <xdr:rowOff>49484</xdr:rowOff>
    </xdr:to>
    <xdr:pic>
      <xdr:nvPicPr>
        <xdr:cNvPr id="8" name="Grafik 7" descr="Turner: Ringe">
          <a:hlinkClick xmlns:r="http://schemas.openxmlformats.org/officeDocument/2006/relationships" r:id="rId3"/>
          <a:extLst>
            <a:ext uri="{FF2B5EF4-FFF2-40B4-BE49-F238E27FC236}">
              <a16:creationId xmlns:a16="http://schemas.microsoft.com/office/drawing/2014/main" id="{F92A2AA9-BCBD-4769-8FAF-E4C2255FB8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16035" y="728278"/>
          <a:ext cx="667844" cy="66784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1360712</xdr:colOff>
      <xdr:row>0</xdr:row>
      <xdr:rowOff>1</xdr:rowOff>
    </xdr:from>
    <xdr:to>
      <xdr:col>18</xdr:col>
      <xdr:colOff>665446</xdr:colOff>
      <xdr:row>2</xdr:row>
      <xdr:rowOff>176893</xdr:rowOff>
    </xdr:to>
    <xdr:pic>
      <xdr:nvPicPr>
        <xdr:cNvPr id="20" name="Grafik 19">
          <a:extLst>
            <a:ext uri="{FF2B5EF4-FFF2-40B4-BE49-F238E27FC236}">
              <a16:creationId xmlns:a16="http://schemas.microsoft.com/office/drawing/2014/main" id="{7C6066C9-071F-44D2-8FA6-9D483B174D48}"/>
            </a:ext>
          </a:extLst>
        </xdr:cNvPr>
        <xdr:cNvPicPr>
          <a:picLocks noChangeAspect="1"/>
        </xdr:cNvPicPr>
      </xdr:nvPicPr>
      <xdr:blipFill>
        <a:blip xmlns:r="http://schemas.openxmlformats.org/officeDocument/2006/relationships" r:embed="rId1">
          <a:duotone>
            <a:prstClr val="black"/>
            <a:srgbClr val="9900FF">
              <a:tint val="45000"/>
              <a:satMod val="400000"/>
            </a:srgbClr>
          </a:duotone>
          <a:extLst>
            <a:ext uri="{BEBA8EAE-BF5A-486C-A8C5-ECC9F3942E4B}">
              <a14:imgProps xmlns:a14="http://schemas.microsoft.com/office/drawing/2010/main">
                <a14:imgLayer r:embed="rId2">
                  <a14:imgEffect>
                    <a14:colorTemperature colorTemp="11200"/>
                  </a14:imgEffect>
                  <a14:imgEffect>
                    <a14:saturation sat="0"/>
                  </a14:imgEffect>
                  <a14:imgEffect>
                    <a14:brightnessContrast bright="20000" contrast="20000"/>
                  </a14:imgEffect>
                </a14:imgLayer>
              </a14:imgProps>
            </a:ext>
          </a:extLst>
        </a:blip>
        <a:stretch>
          <a:fillRect/>
        </a:stretch>
      </xdr:blipFill>
      <xdr:spPr>
        <a:xfrm>
          <a:off x="11616397" y="1"/>
          <a:ext cx="16593261" cy="998913"/>
        </a:xfrm>
        <a:prstGeom prst="rect">
          <a:avLst/>
        </a:prstGeom>
      </xdr:spPr>
    </xdr:pic>
    <xdr:clientData/>
  </xdr:twoCellAnchor>
  <xdr:oneCellAnchor>
    <xdr:from>
      <xdr:col>11</xdr:col>
      <xdr:colOff>830687</xdr:colOff>
      <xdr:row>74</xdr:row>
      <xdr:rowOff>99542</xdr:rowOff>
    </xdr:from>
    <xdr:ext cx="65" cy="172227"/>
    <xdr:sp macro="" textlink="">
      <xdr:nvSpPr>
        <xdr:cNvPr id="2" name="Textfeld 1">
          <a:extLst>
            <a:ext uri="{FF2B5EF4-FFF2-40B4-BE49-F238E27FC236}">
              <a16:creationId xmlns:a16="http://schemas.microsoft.com/office/drawing/2014/main" id="{A68A5752-5AD7-47F8-A5F4-B5D2113780FC}"/>
            </a:ext>
          </a:extLst>
        </xdr:cNvPr>
        <xdr:cNvSpPr txBox="1"/>
      </xdr:nvSpPr>
      <xdr:spPr>
        <a:xfrm>
          <a:off x="18579384" y="2444866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AT" sz="1100"/>
        </a:p>
      </xdr:txBody>
    </xdr:sp>
    <xdr:clientData/>
  </xdr:oneCellAnchor>
  <xdr:twoCellAnchor>
    <xdr:from>
      <xdr:col>10</xdr:col>
      <xdr:colOff>503462</xdr:colOff>
      <xdr:row>33</xdr:row>
      <xdr:rowOff>222662</xdr:rowOff>
    </xdr:from>
    <xdr:to>
      <xdr:col>17</xdr:col>
      <xdr:colOff>49480</xdr:colOff>
      <xdr:row>48</xdr:row>
      <xdr:rowOff>210292</xdr:rowOff>
    </xdr:to>
    <xdr:graphicFrame macro="">
      <xdr:nvGraphicFramePr>
        <xdr:cNvPr id="6" name="Diagramm 5">
          <a:extLst>
            <a:ext uri="{FF2B5EF4-FFF2-40B4-BE49-F238E27FC236}">
              <a16:creationId xmlns:a16="http://schemas.microsoft.com/office/drawing/2014/main" id="{BC6A1F51-9371-4A68-AA97-378C1D84E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1272549</xdr:colOff>
      <xdr:row>42</xdr:row>
      <xdr:rowOff>231323</xdr:rowOff>
    </xdr:from>
    <xdr:to>
      <xdr:col>2</xdr:col>
      <xdr:colOff>314830</xdr:colOff>
      <xdr:row>44</xdr:row>
      <xdr:rowOff>232812</xdr:rowOff>
    </xdr:to>
    <xdr:sp macro="" textlink="">
      <xdr:nvSpPr>
        <xdr:cNvPr id="3" name="Pfeil: gestreift nach rechts 2">
          <a:extLst>
            <a:ext uri="{FF2B5EF4-FFF2-40B4-BE49-F238E27FC236}">
              <a16:creationId xmlns:a16="http://schemas.microsoft.com/office/drawing/2014/main" id="{F6BEB304-507D-4B6C-BBF6-BBF363466435}"/>
            </a:ext>
          </a:extLst>
        </xdr:cNvPr>
        <xdr:cNvSpPr/>
      </xdr:nvSpPr>
      <xdr:spPr>
        <a:xfrm rot="5400000">
          <a:off x="2983695" y="14875963"/>
          <a:ext cx="763489" cy="756781"/>
        </a:xfrm>
        <a:prstGeom prst="stripedRightArrow">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0</xdr:col>
      <xdr:colOff>0</xdr:colOff>
      <xdr:row>0</xdr:row>
      <xdr:rowOff>0</xdr:rowOff>
    </xdr:from>
    <xdr:to>
      <xdr:col>9</xdr:col>
      <xdr:colOff>482773</xdr:colOff>
      <xdr:row>2</xdr:row>
      <xdr:rowOff>391437</xdr:rowOff>
    </xdr:to>
    <xdr:grpSp>
      <xdr:nvGrpSpPr>
        <xdr:cNvPr id="12" name="Gruppieren 11">
          <a:extLst>
            <a:ext uri="{FF2B5EF4-FFF2-40B4-BE49-F238E27FC236}">
              <a16:creationId xmlns:a16="http://schemas.microsoft.com/office/drawing/2014/main" id="{56C03951-2B99-47F0-9339-168AB74B2D48}"/>
            </a:ext>
          </a:extLst>
        </xdr:cNvPr>
        <xdr:cNvGrpSpPr/>
      </xdr:nvGrpSpPr>
      <xdr:grpSpPr>
        <a:xfrm>
          <a:off x="0" y="0"/>
          <a:ext cx="15866300" cy="1213458"/>
          <a:chOff x="0" y="-14827"/>
          <a:chExt cx="14261404" cy="1330890"/>
        </a:xfrm>
      </xdr:grpSpPr>
      <xdr:grpSp>
        <xdr:nvGrpSpPr>
          <xdr:cNvPr id="9" name="Gruppieren 8">
            <a:extLst>
              <a:ext uri="{FF2B5EF4-FFF2-40B4-BE49-F238E27FC236}">
                <a16:creationId xmlns:a16="http://schemas.microsoft.com/office/drawing/2014/main" id="{0A586967-7D06-446F-8851-BF6C22BE61AB}"/>
              </a:ext>
            </a:extLst>
          </xdr:cNvPr>
          <xdr:cNvGrpSpPr/>
        </xdr:nvGrpSpPr>
        <xdr:grpSpPr>
          <a:xfrm>
            <a:off x="0" y="-14827"/>
            <a:ext cx="14261404" cy="1330890"/>
            <a:chOff x="0" y="-14827"/>
            <a:chExt cx="14261404" cy="1330890"/>
          </a:xfrm>
        </xdr:grpSpPr>
        <xdr:pic>
          <xdr:nvPicPr>
            <xdr:cNvPr id="7" name="img">
              <a:extLst>
                <a:ext uri="{FF2B5EF4-FFF2-40B4-BE49-F238E27FC236}">
                  <a16:creationId xmlns:a16="http://schemas.microsoft.com/office/drawing/2014/main" id="{B151C5D7-621D-4311-9799-B65F343C87FE}"/>
                </a:ext>
              </a:extLst>
            </xdr:cNvPr>
            <xdr:cNvPicPr>
              <a:picLocks noChangeAspect="1" noChangeArrowheads="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saturation sat="200000"/>
                      </a14:imgEffect>
                    </a14:imgLayer>
                  </a14:imgProps>
                </a:ext>
                <a:ext uri="{28A0092B-C50C-407E-A947-70E740481C1C}">
                  <a14:useLocalDpi xmlns:a14="http://schemas.microsoft.com/office/drawing/2010/main" val="0"/>
                </a:ext>
              </a:extLst>
            </a:blip>
            <a:srcRect b="83453"/>
            <a:stretch/>
          </xdr:blipFill>
          <xdr:spPr bwMode="auto">
            <a:xfrm flipV="1">
              <a:off x="0" y="-14827"/>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8" name="Textfeld 7">
              <a:extLst>
                <a:ext uri="{FF2B5EF4-FFF2-40B4-BE49-F238E27FC236}">
                  <a16:creationId xmlns:a16="http://schemas.microsoft.com/office/drawing/2014/main" id="{12DECCE4-4398-41A0-B868-363C1A6F7578}"/>
                </a:ext>
              </a:extLst>
            </xdr:cNvPr>
            <xdr:cNvSpPr txBox="1"/>
          </xdr:nvSpPr>
          <xdr:spPr>
            <a:xfrm>
              <a:off x="1539657" y="209369"/>
              <a:ext cx="9172705" cy="950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de-AT" sz="4000">
                  <a:solidFill>
                    <a:schemeClr val="bg1"/>
                  </a:solidFill>
                  <a:latin typeface="HGSGothicE" panose="020B0400000000000000" pitchFamily="34" charset="-128"/>
                  <a:ea typeface="HGSGothicE" panose="020B0400000000000000" pitchFamily="34" charset="-128"/>
                </a:rPr>
                <a:t>Autonomer</a:t>
              </a:r>
              <a:r>
                <a:rPr lang="de-AT" sz="4000">
                  <a:solidFill>
                    <a:schemeClr val="bg1"/>
                  </a:solidFill>
                  <a:latin typeface="Helve"/>
                </a:rPr>
                <a:t> Gewichtscalculator</a:t>
              </a:r>
            </a:p>
          </xdr:txBody>
        </xdr:sp>
      </xdr:grpSp>
      <xdr:sp macro="" textlink="">
        <xdr:nvSpPr>
          <xdr:cNvPr id="10" name="Rechteck: obere Ecken abgerundet 9">
            <a:extLst>
              <a:ext uri="{FF2B5EF4-FFF2-40B4-BE49-F238E27FC236}">
                <a16:creationId xmlns:a16="http://schemas.microsoft.com/office/drawing/2014/main" id="{754EC7F3-B426-4CA7-8241-E1D269D0A101}"/>
              </a:ext>
            </a:extLst>
          </xdr:cNvPr>
          <xdr:cNvSpPr/>
        </xdr:nvSpPr>
        <xdr:spPr>
          <a:xfrm rot="10800000">
            <a:off x="351844" y="0"/>
            <a:ext cx="926853" cy="1069270"/>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clientData/>
  </xdr:twoCellAnchor>
  <xdr:twoCellAnchor>
    <xdr:from>
      <xdr:col>6</xdr:col>
      <xdr:colOff>902249</xdr:colOff>
      <xdr:row>38</xdr:row>
      <xdr:rowOff>136497</xdr:rowOff>
    </xdr:from>
    <xdr:to>
      <xdr:col>7</xdr:col>
      <xdr:colOff>835722</xdr:colOff>
      <xdr:row>42</xdr:row>
      <xdr:rowOff>150026</xdr:rowOff>
    </xdr:to>
    <xdr:pic>
      <xdr:nvPicPr>
        <xdr:cNvPr id="14" name="Grafik 13" descr="Bodybuilder">
          <a:extLst>
            <a:ext uri="{FF2B5EF4-FFF2-40B4-BE49-F238E27FC236}">
              <a16:creationId xmlns:a16="http://schemas.microsoft.com/office/drawing/2014/main" id="{AFF19715-3DAB-4443-AD9C-9B82761D497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157934" y="13745504"/>
          <a:ext cx="1642754" cy="1527090"/>
        </a:xfrm>
        <a:prstGeom prst="rect">
          <a:avLst/>
        </a:prstGeom>
      </xdr:spPr>
    </xdr:pic>
    <xdr:clientData/>
  </xdr:twoCellAnchor>
  <xdr:twoCellAnchor editAs="oneCell">
    <xdr:from>
      <xdr:col>7</xdr:col>
      <xdr:colOff>0</xdr:colOff>
      <xdr:row>81</xdr:row>
      <xdr:rowOff>0</xdr:rowOff>
    </xdr:from>
    <xdr:to>
      <xdr:col>8</xdr:col>
      <xdr:colOff>9525</xdr:colOff>
      <xdr:row>82</xdr:row>
      <xdr:rowOff>9526</xdr:rowOff>
    </xdr:to>
    <xdr:pic>
      <xdr:nvPicPr>
        <xdr:cNvPr id="17" name="Grafik 16">
          <a:extLst>
            <a:ext uri="{FF2B5EF4-FFF2-40B4-BE49-F238E27FC236}">
              <a16:creationId xmlns:a16="http://schemas.microsoft.com/office/drawing/2014/main" id="{F94FAF55-0D9B-457B-B976-855B725DF71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001500" y="29308425"/>
          <a:ext cx="172402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80</xdr:row>
      <xdr:rowOff>0</xdr:rowOff>
    </xdr:from>
    <xdr:to>
      <xdr:col>5</xdr:col>
      <xdr:colOff>9525</xdr:colOff>
      <xdr:row>81</xdr:row>
      <xdr:rowOff>9524</xdr:rowOff>
    </xdr:to>
    <xdr:pic>
      <xdr:nvPicPr>
        <xdr:cNvPr id="18" name="Grafik 17">
          <a:extLst>
            <a:ext uri="{FF2B5EF4-FFF2-40B4-BE49-F238E27FC236}">
              <a16:creationId xmlns:a16="http://schemas.microsoft.com/office/drawing/2014/main" id="{3273EE62-ADD5-4670-8B98-42C9AF4D760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0" y="28927425"/>
          <a:ext cx="172402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887867</xdr:colOff>
      <xdr:row>80</xdr:row>
      <xdr:rowOff>136072</xdr:rowOff>
    </xdr:from>
    <xdr:to>
      <xdr:col>8</xdr:col>
      <xdr:colOff>818775</xdr:colOff>
      <xdr:row>84</xdr:row>
      <xdr:rowOff>142874</xdr:rowOff>
    </xdr:to>
    <xdr:pic>
      <xdr:nvPicPr>
        <xdr:cNvPr id="16" name="Grafik 15">
          <a:extLst>
            <a:ext uri="{FF2B5EF4-FFF2-40B4-BE49-F238E27FC236}">
              <a16:creationId xmlns:a16="http://schemas.microsoft.com/office/drawing/2014/main" id="{9F79630D-B8A9-4745-B317-97D03B985024}"/>
            </a:ext>
          </a:extLst>
        </xdr:cNvPr>
        <xdr:cNvPicPr>
          <a:picLocks noChangeAspect="1"/>
        </xdr:cNvPicPr>
      </xdr:nvPicPr>
      <xdr:blipFill>
        <a:blip xmlns:r="http://schemas.openxmlformats.org/officeDocument/2006/relationships" r:embed="rId9">
          <a:grayscl/>
        </a:blip>
        <a:stretch>
          <a:fillRect/>
        </a:stretch>
      </xdr:blipFill>
      <xdr:spPr>
        <a:xfrm>
          <a:off x="12889367" y="29437353"/>
          <a:ext cx="1645408" cy="1530803"/>
        </a:xfrm>
        <a:prstGeom prst="rect">
          <a:avLst/>
        </a:prstGeom>
      </xdr:spPr>
    </xdr:pic>
    <xdr:clientData/>
  </xdr:twoCellAnchor>
  <xdr:twoCellAnchor editAs="oneCell">
    <xdr:from>
      <xdr:col>0</xdr:col>
      <xdr:colOff>444002</xdr:colOff>
      <xdr:row>0</xdr:row>
      <xdr:rowOff>28894</xdr:rowOff>
    </xdr:from>
    <xdr:to>
      <xdr:col>0</xdr:col>
      <xdr:colOff>1370034</xdr:colOff>
      <xdr:row>2</xdr:row>
      <xdr:rowOff>123963</xdr:rowOff>
    </xdr:to>
    <xdr:pic>
      <xdr:nvPicPr>
        <xdr:cNvPr id="23" name="Grafik 22" descr="Kurzhantel">
          <a:hlinkClick xmlns:r="http://schemas.openxmlformats.org/officeDocument/2006/relationships" r:id="rId10"/>
          <a:extLst>
            <a:ext uri="{FF2B5EF4-FFF2-40B4-BE49-F238E27FC236}">
              <a16:creationId xmlns:a16="http://schemas.microsoft.com/office/drawing/2014/main" id="{093FD30B-BCDF-426B-B77B-73FE20C5796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4002" y="28894"/>
          <a:ext cx="926032" cy="917090"/>
        </a:xfrm>
        <a:prstGeom prst="rect">
          <a:avLst/>
        </a:prstGeom>
      </xdr:spPr>
    </xdr:pic>
    <xdr:clientData/>
  </xdr:twoCellAnchor>
  <xdr:twoCellAnchor>
    <xdr:from>
      <xdr:col>9</xdr:col>
      <xdr:colOff>1260432</xdr:colOff>
      <xdr:row>0</xdr:row>
      <xdr:rowOff>162725</xdr:rowOff>
    </xdr:from>
    <xdr:to>
      <xdr:col>13</xdr:col>
      <xdr:colOff>715773</xdr:colOff>
      <xdr:row>1</xdr:row>
      <xdr:rowOff>298797</xdr:rowOff>
    </xdr:to>
    <xdr:sp macro="" textlink="">
      <xdr:nvSpPr>
        <xdr:cNvPr id="24" name="Textfeld 23">
          <a:extLst>
            <a:ext uri="{FF2B5EF4-FFF2-40B4-BE49-F238E27FC236}">
              <a16:creationId xmlns:a16="http://schemas.microsoft.com/office/drawing/2014/main" id="{225D8CDD-A5BB-4542-A366-73556D528873}"/>
            </a:ext>
          </a:extLst>
        </xdr:cNvPr>
        <xdr:cNvSpPr txBox="1"/>
      </xdr:nvSpPr>
      <xdr:spPr>
        <a:xfrm>
          <a:off x="16643959" y="162725"/>
          <a:ext cx="4700615" cy="644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AT" sz="3600">
              <a:solidFill>
                <a:schemeClr val="bg1"/>
              </a:solidFill>
            </a:rPr>
            <a:t>Tabellen &amp; Diagramme</a:t>
          </a:r>
        </a:p>
      </xdr:txBody>
    </xdr:sp>
    <xdr:clientData/>
  </xdr:twoCellAnchor>
  <xdr:twoCellAnchor>
    <xdr:from>
      <xdr:col>1</xdr:col>
      <xdr:colOff>938893</xdr:colOff>
      <xdr:row>82</xdr:row>
      <xdr:rowOff>272143</xdr:rowOff>
    </xdr:from>
    <xdr:to>
      <xdr:col>1</xdr:col>
      <xdr:colOff>1695674</xdr:colOff>
      <xdr:row>84</xdr:row>
      <xdr:rowOff>273632</xdr:rowOff>
    </xdr:to>
    <xdr:sp macro="" textlink="">
      <xdr:nvSpPr>
        <xdr:cNvPr id="28" name="Pfeil: gestreift nach rechts 27">
          <a:extLst>
            <a:ext uri="{FF2B5EF4-FFF2-40B4-BE49-F238E27FC236}">
              <a16:creationId xmlns:a16="http://schemas.microsoft.com/office/drawing/2014/main" id="{9CF9B85C-B376-4ACC-83CB-EE2CD2CC07B4}"/>
            </a:ext>
          </a:extLst>
        </xdr:cNvPr>
        <xdr:cNvSpPr/>
      </xdr:nvSpPr>
      <xdr:spPr>
        <a:xfrm rot="5400000">
          <a:off x="2650039" y="30360890"/>
          <a:ext cx="763489" cy="756781"/>
        </a:xfrm>
        <a:prstGeom prst="stripedRightArrow">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oneCellAnchor>
    <xdr:from>
      <xdr:col>11</xdr:col>
      <xdr:colOff>1184473</xdr:colOff>
      <xdr:row>73</xdr:row>
      <xdr:rowOff>249220</xdr:rowOff>
    </xdr:from>
    <xdr:ext cx="65" cy="172227"/>
    <xdr:sp macro="" textlink="">
      <xdr:nvSpPr>
        <xdr:cNvPr id="29" name="Textfeld 28">
          <a:extLst>
            <a:ext uri="{FF2B5EF4-FFF2-40B4-BE49-F238E27FC236}">
              <a16:creationId xmlns:a16="http://schemas.microsoft.com/office/drawing/2014/main" id="{58769A21-0ABB-45FB-A854-DFDCE4FC7D66}"/>
            </a:ext>
          </a:extLst>
        </xdr:cNvPr>
        <xdr:cNvSpPr txBox="1"/>
      </xdr:nvSpPr>
      <xdr:spPr>
        <a:xfrm>
          <a:off x="18914580" y="2690561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AT" sz="1100"/>
        </a:p>
      </xdr:txBody>
    </xdr:sp>
    <xdr:clientData/>
  </xdr:oneCellAnchor>
  <xdr:twoCellAnchor>
    <xdr:from>
      <xdr:col>11</xdr:col>
      <xdr:colOff>45923</xdr:colOff>
      <xdr:row>86</xdr:row>
      <xdr:rowOff>205808</xdr:rowOff>
    </xdr:from>
    <xdr:to>
      <xdr:col>17</xdr:col>
      <xdr:colOff>182151</xdr:colOff>
      <xdr:row>102</xdr:row>
      <xdr:rowOff>356724</xdr:rowOff>
    </xdr:to>
    <xdr:grpSp>
      <xdr:nvGrpSpPr>
        <xdr:cNvPr id="11" name="Gruppieren 10">
          <a:extLst>
            <a:ext uri="{FF2B5EF4-FFF2-40B4-BE49-F238E27FC236}">
              <a16:creationId xmlns:a16="http://schemas.microsoft.com/office/drawing/2014/main" id="{F6F0B37D-CCC7-4D92-95E2-C33ADE4AD770}"/>
            </a:ext>
          </a:extLst>
        </xdr:cNvPr>
        <xdr:cNvGrpSpPr/>
      </xdr:nvGrpSpPr>
      <xdr:grpSpPr>
        <a:xfrm>
          <a:off x="17725889" y="31977555"/>
          <a:ext cx="8617392" cy="5683244"/>
          <a:chOff x="17725889" y="31599164"/>
          <a:chExt cx="8617392" cy="5683245"/>
        </a:xfrm>
      </xdr:grpSpPr>
      <xdr:graphicFrame macro="">
        <xdr:nvGraphicFramePr>
          <xdr:cNvPr id="31" name="Diagramm 30">
            <a:extLst>
              <a:ext uri="{FF2B5EF4-FFF2-40B4-BE49-F238E27FC236}">
                <a16:creationId xmlns:a16="http://schemas.microsoft.com/office/drawing/2014/main" id="{BD39897C-37DD-42DB-B31B-EF4EC9C79EE4}"/>
              </a:ext>
            </a:extLst>
          </xdr:cNvPr>
          <xdr:cNvGraphicFramePr>
            <a:graphicFrameLocks/>
          </xdr:cNvGraphicFramePr>
        </xdr:nvGraphicFramePr>
        <xdr:xfrm>
          <a:off x="17725889" y="31599164"/>
          <a:ext cx="8617392" cy="5683245"/>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26" name="Textfeld 25">
            <a:extLst>
              <a:ext uri="{FF2B5EF4-FFF2-40B4-BE49-F238E27FC236}">
                <a16:creationId xmlns:a16="http://schemas.microsoft.com/office/drawing/2014/main" id="{088B8CD5-C9B7-42E3-B864-5B2CF2E4A5FE}"/>
              </a:ext>
            </a:extLst>
          </xdr:cNvPr>
          <xdr:cNvSpPr txBox="1"/>
        </xdr:nvSpPr>
        <xdr:spPr>
          <a:xfrm>
            <a:off x="18736850" y="34355241"/>
            <a:ext cx="5110554" cy="963264"/>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r"/>
            <a:r>
              <a:rPr lang="de-AT" sz="1800">
                <a:solidFill>
                  <a:schemeClr val="tx1">
                    <a:lumMod val="85000"/>
                    <a:lumOff val="15000"/>
                  </a:schemeClr>
                </a:solidFill>
              </a:rPr>
              <a:t>Kraftausdauer</a:t>
            </a:r>
          </a:p>
        </xdr:txBody>
      </xdr:sp>
    </xdr:grpSp>
    <xdr:clientData/>
  </xdr:twoCellAnchor>
  <xdr:twoCellAnchor>
    <xdr:from>
      <xdr:col>11</xdr:col>
      <xdr:colOff>1056883</xdr:colOff>
      <xdr:row>97</xdr:row>
      <xdr:rowOff>23812</xdr:rowOff>
    </xdr:from>
    <xdr:to>
      <xdr:col>15</xdr:col>
      <xdr:colOff>452438</xdr:colOff>
      <xdr:row>99</xdr:row>
      <xdr:rowOff>238125</xdr:rowOff>
    </xdr:to>
    <xdr:sp macro="" textlink="">
      <xdr:nvSpPr>
        <xdr:cNvPr id="27" name="Textfeld 26">
          <a:extLst>
            <a:ext uri="{FF2B5EF4-FFF2-40B4-BE49-F238E27FC236}">
              <a16:creationId xmlns:a16="http://schemas.microsoft.com/office/drawing/2014/main" id="{968DF825-1520-40A6-A430-11FAEDFC958A}"/>
            </a:ext>
          </a:extLst>
        </xdr:cNvPr>
        <xdr:cNvSpPr txBox="1"/>
      </xdr:nvSpPr>
      <xdr:spPr>
        <a:xfrm>
          <a:off x="18736849" y="35318504"/>
          <a:ext cx="5110555" cy="710135"/>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r"/>
          <a:r>
            <a:rPr lang="de-AT" sz="1800">
              <a:solidFill>
                <a:schemeClr val="tx1">
                  <a:lumMod val="85000"/>
                  <a:lumOff val="15000"/>
                </a:schemeClr>
              </a:solidFill>
            </a:rPr>
            <a:t>Ausdauer</a:t>
          </a:r>
        </a:p>
      </xdr:txBody>
    </xdr:sp>
    <xdr:clientData/>
  </xdr:twoCellAnchor>
  <xdr:twoCellAnchor>
    <xdr:from>
      <xdr:col>11</xdr:col>
      <xdr:colOff>1083471</xdr:colOff>
      <xdr:row>87</xdr:row>
      <xdr:rowOff>208767</xdr:rowOff>
    </xdr:from>
    <xdr:to>
      <xdr:col>15</xdr:col>
      <xdr:colOff>440531</xdr:colOff>
      <xdr:row>88</xdr:row>
      <xdr:rowOff>300103</xdr:rowOff>
    </xdr:to>
    <xdr:sp macro="" textlink="">
      <xdr:nvSpPr>
        <xdr:cNvPr id="32" name="Textfeld 31">
          <a:extLst>
            <a:ext uri="{FF2B5EF4-FFF2-40B4-BE49-F238E27FC236}">
              <a16:creationId xmlns:a16="http://schemas.microsoft.com/office/drawing/2014/main" id="{59DE9412-020F-4FD7-A7B1-1E6713B8D23A}"/>
            </a:ext>
          </a:extLst>
        </xdr:cNvPr>
        <xdr:cNvSpPr txBox="1"/>
      </xdr:nvSpPr>
      <xdr:spPr>
        <a:xfrm>
          <a:off x="18763437" y="31980514"/>
          <a:ext cx="5072060" cy="469726"/>
        </a:xfrm>
        <a:prstGeom prst="rect">
          <a:avLst/>
        </a:prstGeom>
        <a:noFill/>
        <a:ln w="12700"/>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r"/>
          <a:r>
            <a:rPr lang="de-AT" sz="1800">
              <a:solidFill>
                <a:schemeClr val="tx1">
                  <a:lumMod val="85000"/>
                  <a:lumOff val="15000"/>
                </a:schemeClr>
              </a:solidFill>
            </a:rPr>
            <a:t>Intramuskuläre</a:t>
          </a:r>
          <a:r>
            <a:rPr lang="de-AT" sz="1800" baseline="0">
              <a:solidFill>
                <a:schemeClr val="tx1">
                  <a:lumMod val="85000"/>
                  <a:lumOff val="15000"/>
                </a:schemeClr>
              </a:solidFill>
            </a:rPr>
            <a:t> Koordination</a:t>
          </a:r>
          <a:endParaRPr lang="de-AT" sz="1800">
            <a:solidFill>
              <a:schemeClr val="tx1">
                <a:lumMod val="85000"/>
                <a:lumOff val="15000"/>
              </a:schemeClr>
            </a:solidFill>
          </a:endParaRPr>
        </a:p>
      </xdr:txBody>
    </xdr:sp>
    <xdr:clientData/>
  </xdr:twoCellAnchor>
  <xdr:twoCellAnchor>
    <xdr:from>
      <xdr:col>15</xdr:col>
      <xdr:colOff>964406</xdr:colOff>
      <xdr:row>87</xdr:row>
      <xdr:rowOff>202407</xdr:rowOff>
    </xdr:from>
    <xdr:to>
      <xdr:col>16</xdr:col>
      <xdr:colOff>654844</xdr:colOff>
      <xdr:row>88</xdr:row>
      <xdr:rowOff>297657</xdr:rowOff>
    </xdr:to>
    <xdr:sp macro="" textlink="">
      <xdr:nvSpPr>
        <xdr:cNvPr id="30" name="Textfeld 29">
          <a:extLst>
            <a:ext uri="{FF2B5EF4-FFF2-40B4-BE49-F238E27FC236}">
              <a16:creationId xmlns:a16="http://schemas.microsoft.com/office/drawing/2014/main" id="{7C028296-6DE2-4EDA-829B-1F274B32C0C4}"/>
            </a:ext>
          </a:extLst>
        </xdr:cNvPr>
        <xdr:cNvSpPr txBox="1"/>
      </xdr:nvSpPr>
      <xdr:spPr>
        <a:xfrm>
          <a:off x="24359372" y="31974154"/>
          <a:ext cx="1073520" cy="473640"/>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r"/>
          <a:r>
            <a:rPr lang="de-AT" sz="1800" baseline="0">
              <a:solidFill>
                <a:schemeClr val="tx1">
                  <a:lumMod val="85000"/>
                  <a:lumOff val="15000"/>
                </a:schemeClr>
              </a:solidFill>
            </a:rPr>
            <a:t>90-100%</a:t>
          </a:r>
          <a:endParaRPr lang="de-AT" sz="1800">
            <a:solidFill>
              <a:schemeClr val="tx1">
                <a:lumMod val="85000"/>
                <a:lumOff val="15000"/>
              </a:schemeClr>
            </a:solidFill>
          </a:endParaRPr>
        </a:p>
      </xdr:txBody>
    </xdr:sp>
    <xdr:clientData/>
  </xdr:twoCellAnchor>
  <xdr:twoCellAnchor>
    <xdr:from>
      <xdr:col>11</xdr:col>
      <xdr:colOff>1083470</xdr:colOff>
      <xdr:row>89</xdr:row>
      <xdr:rowOff>221815</xdr:rowOff>
    </xdr:from>
    <xdr:to>
      <xdr:col>16</xdr:col>
      <xdr:colOff>654843</xdr:colOff>
      <xdr:row>93</xdr:row>
      <xdr:rowOff>107157</xdr:rowOff>
    </xdr:to>
    <xdr:grpSp>
      <xdr:nvGrpSpPr>
        <xdr:cNvPr id="5" name="Gruppieren 4">
          <a:extLst>
            <a:ext uri="{FF2B5EF4-FFF2-40B4-BE49-F238E27FC236}">
              <a16:creationId xmlns:a16="http://schemas.microsoft.com/office/drawing/2014/main" id="{5A348505-1C88-4649-93C3-3AB4C7B555AD}"/>
            </a:ext>
          </a:extLst>
        </xdr:cNvPr>
        <xdr:cNvGrpSpPr/>
      </xdr:nvGrpSpPr>
      <xdr:grpSpPr>
        <a:xfrm>
          <a:off x="18763436" y="33128733"/>
          <a:ext cx="6669455" cy="1137945"/>
          <a:chOff x="18763436" y="32750342"/>
          <a:chExt cx="6669455" cy="1137945"/>
        </a:xfrm>
      </xdr:grpSpPr>
      <xdr:sp macro="" textlink="">
        <xdr:nvSpPr>
          <xdr:cNvPr id="21" name="Textfeld 20">
            <a:extLst>
              <a:ext uri="{FF2B5EF4-FFF2-40B4-BE49-F238E27FC236}">
                <a16:creationId xmlns:a16="http://schemas.microsoft.com/office/drawing/2014/main" id="{28EA31D7-9085-4854-9E66-8A9701379D50}"/>
              </a:ext>
            </a:extLst>
          </xdr:cNvPr>
          <xdr:cNvSpPr txBox="1"/>
        </xdr:nvSpPr>
        <xdr:spPr>
          <a:xfrm>
            <a:off x="18763436" y="32750342"/>
            <a:ext cx="5083968" cy="1135172"/>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r"/>
            <a:r>
              <a:rPr lang="de-AT" sz="1800">
                <a:solidFill>
                  <a:schemeClr val="tx1">
                    <a:lumMod val="85000"/>
                    <a:lumOff val="15000"/>
                  </a:schemeClr>
                </a:solidFill>
              </a:rPr>
              <a:t>Muskelaufbau</a:t>
            </a:r>
          </a:p>
        </xdr:txBody>
      </xdr:sp>
      <xdr:sp macro="" textlink="">
        <xdr:nvSpPr>
          <xdr:cNvPr id="33" name="Textfeld 32">
            <a:extLst>
              <a:ext uri="{FF2B5EF4-FFF2-40B4-BE49-F238E27FC236}">
                <a16:creationId xmlns:a16="http://schemas.microsoft.com/office/drawing/2014/main" id="{D4B7DA05-209E-4B89-B9FD-1ECC76DAA4A4}"/>
              </a:ext>
            </a:extLst>
          </xdr:cNvPr>
          <xdr:cNvSpPr txBox="1"/>
        </xdr:nvSpPr>
        <xdr:spPr>
          <a:xfrm>
            <a:off x="24347467" y="32750343"/>
            <a:ext cx="1085424" cy="1137944"/>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de-AT" sz="1800">
                <a:solidFill>
                  <a:schemeClr val="tx1">
                    <a:lumMod val="85000"/>
                    <a:lumOff val="15000"/>
                  </a:schemeClr>
                </a:solidFill>
              </a:rPr>
              <a:t>60-85%</a:t>
            </a:r>
          </a:p>
        </xdr:txBody>
      </xdr:sp>
    </xdr:grpSp>
    <xdr:clientData/>
  </xdr:twoCellAnchor>
  <xdr:twoCellAnchor>
    <xdr:from>
      <xdr:col>15</xdr:col>
      <xdr:colOff>928688</xdr:colOff>
      <xdr:row>94</xdr:row>
      <xdr:rowOff>214312</xdr:rowOff>
    </xdr:from>
    <xdr:to>
      <xdr:col>16</xdr:col>
      <xdr:colOff>678656</xdr:colOff>
      <xdr:row>97</xdr:row>
      <xdr:rowOff>13048</xdr:rowOff>
    </xdr:to>
    <xdr:sp macro="" textlink="">
      <xdr:nvSpPr>
        <xdr:cNvPr id="34" name="Textfeld 33">
          <a:extLst>
            <a:ext uri="{FF2B5EF4-FFF2-40B4-BE49-F238E27FC236}">
              <a16:creationId xmlns:a16="http://schemas.microsoft.com/office/drawing/2014/main" id="{EB51A131-4EAD-45E3-A48B-F2137D08F130}"/>
            </a:ext>
          </a:extLst>
        </xdr:cNvPr>
        <xdr:cNvSpPr txBox="1"/>
      </xdr:nvSpPr>
      <xdr:spPr>
        <a:xfrm>
          <a:off x="24323654" y="34373833"/>
          <a:ext cx="1133050" cy="933907"/>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de-AT" sz="1800">
              <a:solidFill>
                <a:schemeClr val="tx1">
                  <a:lumMod val="85000"/>
                  <a:lumOff val="15000"/>
                </a:schemeClr>
              </a:solidFill>
            </a:rPr>
            <a:t>30-50%</a:t>
          </a:r>
        </a:p>
      </xdr:txBody>
    </xdr:sp>
    <xdr:clientData/>
  </xdr:twoCellAnchor>
  <xdr:twoCellAnchor>
    <xdr:from>
      <xdr:col>15</xdr:col>
      <xdr:colOff>928687</xdr:colOff>
      <xdr:row>97</xdr:row>
      <xdr:rowOff>13048</xdr:rowOff>
    </xdr:from>
    <xdr:to>
      <xdr:col>16</xdr:col>
      <xdr:colOff>678656</xdr:colOff>
      <xdr:row>99</xdr:row>
      <xdr:rowOff>221815</xdr:rowOff>
    </xdr:to>
    <xdr:sp macro="" textlink="">
      <xdr:nvSpPr>
        <xdr:cNvPr id="35" name="Textfeld 34">
          <a:extLst>
            <a:ext uri="{FF2B5EF4-FFF2-40B4-BE49-F238E27FC236}">
              <a16:creationId xmlns:a16="http://schemas.microsoft.com/office/drawing/2014/main" id="{A1D1C6A3-4745-48A5-AD3A-C8DCE6E1366A}"/>
            </a:ext>
          </a:extLst>
        </xdr:cNvPr>
        <xdr:cNvSpPr txBox="1"/>
      </xdr:nvSpPr>
      <xdr:spPr>
        <a:xfrm>
          <a:off x="24323653" y="35307740"/>
          <a:ext cx="1133051" cy="704589"/>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de-AT" sz="1800">
              <a:solidFill>
                <a:schemeClr val="tx1">
                  <a:lumMod val="85000"/>
                  <a:lumOff val="15000"/>
                </a:schemeClr>
              </a:solidFill>
            </a:rPr>
            <a:t>15-30%</a:t>
          </a:r>
        </a:p>
      </xdr:txBody>
    </xdr:sp>
    <xdr:clientData/>
  </xdr:twoCellAnchor>
  <xdr:twoCellAnchor>
    <xdr:from>
      <xdr:col>1</xdr:col>
      <xdr:colOff>508870</xdr:colOff>
      <xdr:row>120</xdr:row>
      <xdr:rowOff>13048</xdr:rowOff>
    </xdr:from>
    <xdr:to>
      <xdr:col>1</xdr:col>
      <xdr:colOff>1265651</xdr:colOff>
      <xdr:row>122</xdr:row>
      <xdr:rowOff>14537</xdr:rowOff>
    </xdr:to>
    <xdr:sp macro="" textlink="">
      <xdr:nvSpPr>
        <xdr:cNvPr id="36" name="Pfeil: gestreift nach rechts 35">
          <a:extLst>
            <a:ext uri="{FF2B5EF4-FFF2-40B4-BE49-F238E27FC236}">
              <a16:creationId xmlns:a16="http://schemas.microsoft.com/office/drawing/2014/main" id="{F39064E7-1D2D-4E3D-AE0A-D75F0A1F0571}"/>
            </a:ext>
          </a:extLst>
        </xdr:cNvPr>
        <xdr:cNvSpPr/>
      </xdr:nvSpPr>
      <xdr:spPr>
        <a:xfrm rot="5400000">
          <a:off x="2217407" y="43215539"/>
          <a:ext cx="758269" cy="756781"/>
        </a:xfrm>
        <a:prstGeom prst="stripedRightArrow">
          <a:avLst/>
        </a:prstGeom>
        <a:solidFill>
          <a:srgbClr val="99C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3</xdr:col>
      <xdr:colOff>443630</xdr:colOff>
      <xdr:row>120</xdr:row>
      <xdr:rowOff>26096</xdr:rowOff>
    </xdr:from>
    <xdr:to>
      <xdr:col>3</xdr:col>
      <xdr:colOff>1200411</xdr:colOff>
      <xdr:row>122</xdr:row>
      <xdr:rowOff>27585</xdr:rowOff>
    </xdr:to>
    <xdr:sp macro="" textlink="">
      <xdr:nvSpPr>
        <xdr:cNvPr id="37" name="Pfeil: gestreift nach rechts 36">
          <a:extLst>
            <a:ext uri="{FF2B5EF4-FFF2-40B4-BE49-F238E27FC236}">
              <a16:creationId xmlns:a16="http://schemas.microsoft.com/office/drawing/2014/main" id="{3D3F586E-DB73-4DCE-A4C3-99F60CCDF9AF}"/>
            </a:ext>
          </a:extLst>
        </xdr:cNvPr>
        <xdr:cNvSpPr/>
      </xdr:nvSpPr>
      <xdr:spPr>
        <a:xfrm rot="5400000">
          <a:off x="5570728" y="43228587"/>
          <a:ext cx="758269" cy="756781"/>
        </a:xfrm>
        <a:prstGeom prst="stripedRightArrow">
          <a:avLst/>
        </a:prstGeom>
        <a:solidFill>
          <a:srgbClr val="FF43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5</xdr:col>
      <xdr:colOff>443629</xdr:colOff>
      <xdr:row>120</xdr:row>
      <xdr:rowOff>0</xdr:rowOff>
    </xdr:from>
    <xdr:to>
      <xdr:col>5</xdr:col>
      <xdr:colOff>1200410</xdr:colOff>
      <xdr:row>122</xdr:row>
      <xdr:rowOff>1489</xdr:rowOff>
    </xdr:to>
    <xdr:sp macro="" textlink="">
      <xdr:nvSpPr>
        <xdr:cNvPr id="38" name="Pfeil: gestreift nach rechts 37">
          <a:extLst>
            <a:ext uri="{FF2B5EF4-FFF2-40B4-BE49-F238E27FC236}">
              <a16:creationId xmlns:a16="http://schemas.microsoft.com/office/drawing/2014/main" id="{4CF6817E-54D9-4895-B3DF-D8176030AEF6}"/>
            </a:ext>
          </a:extLst>
        </xdr:cNvPr>
        <xdr:cNvSpPr/>
      </xdr:nvSpPr>
      <xdr:spPr>
        <a:xfrm rot="5400000">
          <a:off x="8989289" y="43202491"/>
          <a:ext cx="758269" cy="756781"/>
        </a:xfrm>
        <a:prstGeom prst="stripedRightArrow">
          <a:avLst/>
        </a:prstGeom>
        <a:solidFill>
          <a:srgbClr val="33CC3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13</xdr:col>
      <xdr:colOff>313151</xdr:colOff>
      <xdr:row>23</xdr:row>
      <xdr:rowOff>78287</xdr:rowOff>
    </xdr:from>
    <xdr:to>
      <xdr:col>13</xdr:col>
      <xdr:colOff>1069932</xdr:colOff>
      <xdr:row>23</xdr:row>
      <xdr:rowOff>326198</xdr:rowOff>
    </xdr:to>
    <xdr:sp macro="" textlink="">
      <xdr:nvSpPr>
        <xdr:cNvPr id="4" name="Pfeil: nach rechts 3">
          <a:extLst>
            <a:ext uri="{FF2B5EF4-FFF2-40B4-BE49-F238E27FC236}">
              <a16:creationId xmlns:a16="http://schemas.microsoft.com/office/drawing/2014/main" id="{A6DDEBE5-F43A-44FD-9EAF-8715000D921E}"/>
            </a:ext>
          </a:extLst>
        </xdr:cNvPr>
        <xdr:cNvSpPr/>
      </xdr:nvSpPr>
      <xdr:spPr>
        <a:xfrm>
          <a:off x="20941952" y="8924794"/>
          <a:ext cx="756781" cy="247911"/>
        </a:xfrm>
        <a:prstGeom prst="rightArrow">
          <a:avLst/>
        </a:prstGeom>
        <a:solidFill>
          <a:schemeClr val="bg1"/>
        </a:solidFill>
        <a:ln>
          <a:solidFill>
            <a:srgbClr val="7030A0"/>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de-AT" sz="1100"/>
        </a:p>
      </xdr:txBody>
    </xdr:sp>
    <xdr:clientData/>
  </xdr:twoCellAnchor>
  <xdr:twoCellAnchor editAs="oneCell">
    <xdr:from>
      <xdr:col>1</xdr:col>
      <xdr:colOff>1148220</xdr:colOff>
      <xdr:row>4</xdr:row>
      <xdr:rowOff>313151</xdr:rowOff>
    </xdr:from>
    <xdr:to>
      <xdr:col>1</xdr:col>
      <xdr:colOff>1618989</xdr:colOff>
      <xdr:row>6</xdr:row>
      <xdr:rowOff>53235</xdr:rowOff>
    </xdr:to>
    <xdr:pic>
      <xdr:nvPicPr>
        <xdr:cNvPr id="15" name="Grafik 14" descr="Zahnrad">
          <a:extLst>
            <a:ext uri="{FF2B5EF4-FFF2-40B4-BE49-F238E27FC236}">
              <a16:creationId xmlns:a16="http://schemas.microsoft.com/office/drawing/2014/main" id="{ADF9EB8A-BBDC-4B27-BBB9-0ADCA8EBAA9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857501" y="1996336"/>
          <a:ext cx="470769" cy="470769"/>
        </a:xfrm>
        <a:prstGeom prst="rect">
          <a:avLst/>
        </a:prstGeom>
      </xdr:spPr>
    </xdr:pic>
    <xdr:clientData/>
  </xdr:twoCellAnchor>
  <xdr:twoCellAnchor>
    <xdr:from>
      <xdr:col>2</xdr:col>
      <xdr:colOff>1304794</xdr:colOff>
      <xdr:row>41</xdr:row>
      <xdr:rowOff>143528</xdr:rowOff>
    </xdr:from>
    <xdr:to>
      <xdr:col>2</xdr:col>
      <xdr:colOff>1648136</xdr:colOff>
      <xdr:row>41</xdr:row>
      <xdr:rowOff>243207</xdr:rowOff>
    </xdr:to>
    <xdr:sp macro="" textlink="">
      <xdr:nvSpPr>
        <xdr:cNvPr id="39" name="Pfeil: nach rechts 38">
          <a:extLst>
            <a:ext uri="{FF2B5EF4-FFF2-40B4-BE49-F238E27FC236}">
              <a16:creationId xmlns:a16="http://schemas.microsoft.com/office/drawing/2014/main" id="{10D8DB7B-55B4-4666-96DF-739283B6E52D}"/>
            </a:ext>
          </a:extLst>
        </xdr:cNvPr>
        <xdr:cNvSpPr/>
      </xdr:nvSpPr>
      <xdr:spPr>
        <a:xfrm>
          <a:off x="4723356" y="15266096"/>
          <a:ext cx="343342" cy="99679"/>
        </a:xfrm>
        <a:prstGeom prst="rightArrow">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7</xdr:col>
      <xdr:colOff>376571</xdr:colOff>
      <xdr:row>23</xdr:row>
      <xdr:rowOff>110757</xdr:rowOff>
    </xdr:from>
    <xdr:to>
      <xdr:col>7</xdr:col>
      <xdr:colOff>719913</xdr:colOff>
      <xdr:row>23</xdr:row>
      <xdr:rowOff>210436</xdr:rowOff>
    </xdr:to>
    <xdr:sp macro="" textlink="">
      <xdr:nvSpPr>
        <xdr:cNvPr id="40" name="Pfeil: nach rechts 39">
          <a:extLst>
            <a:ext uri="{FF2B5EF4-FFF2-40B4-BE49-F238E27FC236}">
              <a16:creationId xmlns:a16="http://schemas.microsoft.com/office/drawing/2014/main" id="{959B9801-DA14-44DD-8E7A-DD055BBF7F93}"/>
            </a:ext>
          </a:extLst>
        </xdr:cNvPr>
        <xdr:cNvSpPr/>
      </xdr:nvSpPr>
      <xdr:spPr>
        <a:xfrm>
          <a:off x="10168271" y="8340357"/>
          <a:ext cx="343342" cy="99679"/>
        </a:xfrm>
        <a:prstGeom prst="rightArrow">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editAs="oneCell">
    <xdr:from>
      <xdr:col>6</xdr:col>
      <xdr:colOff>1056884</xdr:colOff>
      <xdr:row>93</xdr:row>
      <xdr:rowOff>39145</xdr:rowOff>
    </xdr:from>
    <xdr:to>
      <xdr:col>6</xdr:col>
      <xdr:colOff>1649767</xdr:colOff>
      <xdr:row>94</xdr:row>
      <xdr:rowOff>253638</xdr:rowOff>
    </xdr:to>
    <xdr:pic>
      <xdr:nvPicPr>
        <xdr:cNvPr id="41" name="Grafik 40" descr="Warnung">
          <a:extLst>
            <a:ext uri="{FF2B5EF4-FFF2-40B4-BE49-F238E27FC236}">
              <a16:creationId xmlns:a16="http://schemas.microsoft.com/office/drawing/2014/main" id="{AF60F603-8529-49AF-B682-B6EEDD88CBF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1312569" y="34198666"/>
          <a:ext cx="592883" cy="592883"/>
        </a:xfrm>
        <a:prstGeom prst="rect">
          <a:avLst/>
        </a:prstGeom>
      </xdr:spPr>
    </xdr:pic>
    <xdr:clientData/>
  </xdr:twoCellAnchor>
  <xdr:twoCellAnchor editAs="oneCell">
    <xdr:from>
      <xdr:col>6</xdr:col>
      <xdr:colOff>1043836</xdr:colOff>
      <xdr:row>98</xdr:row>
      <xdr:rowOff>104384</xdr:rowOff>
    </xdr:from>
    <xdr:to>
      <xdr:col>6</xdr:col>
      <xdr:colOff>1636719</xdr:colOff>
      <xdr:row>100</xdr:row>
      <xdr:rowOff>201445</xdr:rowOff>
    </xdr:to>
    <xdr:pic>
      <xdr:nvPicPr>
        <xdr:cNvPr id="44" name="Grafik 43" descr="Warnung">
          <a:extLst>
            <a:ext uri="{FF2B5EF4-FFF2-40B4-BE49-F238E27FC236}">
              <a16:creationId xmlns:a16="http://schemas.microsoft.com/office/drawing/2014/main" id="{63E9D3C4-DFA2-4487-B472-4E7292B934A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1299521" y="36155857"/>
          <a:ext cx="592883" cy="592883"/>
        </a:xfrm>
        <a:prstGeom prst="rect">
          <a:avLst/>
        </a:prstGeom>
      </xdr:spPr>
    </xdr:pic>
    <xdr:clientData/>
  </xdr:twoCellAnchor>
  <xdr:twoCellAnchor editAs="oneCell">
    <xdr:from>
      <xdr:col>6</xdr:col>
      <xdr:colOff>1056884</xdr:colOff>
      <xdr:row>105</xdr:row>
      <xdr:rowOff>26096</xdr:rowOff>
    </xdr:from>
    <xdr:to>
      <xdr:col>6</xdr:col>
      <xdr:colOff>1649767</xdr:colOff>
      <xdr:row>107</xdr:row>
      <xdr:rowOff>136205</xdr:rowOff>
    </xdr:to>
    <xdr:pic>
      <xdr:nvPicPr>
        <xdr:cNvPr id="45" name="Grafik 44" descr="Warnung">
          <a:extLst>
            <a:ext uri="{FF2B5EF4-FFF2-40B4-BE49-F238E27FC236}">
              <a16:creationId xmlns:a16="http://schemas.microsoft.com/office/drawing/2014/main" id="{FD58EEA8-7D71-4A3A-99BD-DE9C3444E8A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1312569" y="38204384"/>
          <a:ext cx="592883" cy="59288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1185088</xdr:colOff>
      <xdr:row>5</xdr:row>
      <xdr:rowOff>265815</xdr:rowOff>
    </xdr:from>
    <xdr:to>
      <xdr:col>1</xdr:col>
      <xdr:colOff>1578327</xdr:colOff>
      <xdr:row>7</xdr:row>
      <xdr:rowOff>38821</xdr:rowOff>
    </xdr:to>
    <xdr:pic>
      <xdr:nvPicPr>
        <xdr:cNvPr id="8" name="Grafik 7" descr="Zahnrad">
          <a:extLst>
            <a:ext uri="{FF2B5EF4-FFF2-40B4-BE49-F238E27FC236}">
              <a16:creationId xmlns:a16="http://schemas.microsoft.com/office/drawing/2014/main" id="{44A09CCF-34F5-43AF-BF48-FB0CA8F013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47385" y="1816396"/>
          <a:ext cx="393239" cy="393239"/>
        </a:xfrm>
        <a:prstGeom prst="rect">
          <a:avLst/>
        </a:prstGeom>
      </xdr:spPr>
    </xdr:pic>
    <xdr:clientData/>
  </xdr:twoCellAnchor>
  <xdr:twoCellAnchor>
    <xdr:from>
      <xdr:col>7</xdr:col>
      <xdr:colOff>376571</xdr:colOff>
      <xdr:row>26</xdr:row>
      <xdr:rowOff>110757</xdr:rowOff>
    </xdr:from>
    <xdr:to>
      <xdr:col>7</xdr:col>
      <xdr:colOff>719913</xdr:colOff>
      <xdr:row>26</xdr:row>
      <xdr:rowOff>210436</xdr:rowOff>
    </xdr:to>
    <xdr:sp macro="" textlink="">
      <xdr:nvSpPr>
        <xdr:cNvPr id="9" name="Pfeil: nach rechts 8">
          <a:extLst>
            <a:ext uri="{FF2B5EF4-FFF2-40B4-BE49-F238E27FC236}">
              <a16:creationId xmlns:a16="http://schemas.microsoft.com/office/drawing/2014/main" id="{EE40A070-63E6-40A1-841E-3C55B3EE992F}"/>
            </a:ext>
          </a:extLst>
        </xdr:cNvPr>
        <xdr:cNvSpPr/>
      </xdr:nvSpPr>
      <xdr:spPr>
        <a:xfrm>
          <a:off x="10167385" y="8240234"/>
          <a:ext cx="343342" cy="99679"/>
        </a:xfrm>
        <a:prstGeom prst="rightArrow">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0</xdr:col>
      <xdr:colOff>0</xdr:colOff>
      <xdr:row>0</xdr:row>
      <xdr:rowOff>0</xdr:rowOff>
    </xdr:from>
    <xdr:to>
      <xdr:col>11</xdr:col>
      <xdr:colOff>515544</xdr:colOff>
      <xdr:row>3</xdr:row>
      <xdr:rowOff>135432</xdr:rowOff>
    </xdr:to>
    <xdr:pic>
      <xdr:nvPicPr>
        <xdr:cNvPr id="14" name="img">
          <a:extLst>
            <a:ext uri="{FF2B5EF4-FFF2-40B4-BE49-F238E27FC236}">
              <a16:creationId xmlns:a16="http://schemas.microsoft.com/office/drawing/2014/main" id="{526906A0-6FAB-4236-AF9B-06B12CB2CEB5}"/>
            </a:ext>
          </a:extLst>
        </xdr:cNvPr>
        <xdr:cNvPicPr>
          <a:picLocks noChangeAspect="1" noChangeArrowheads="1"/>
        </xdr:cNvPicPr>
      </xdr:nvPicPr>
      <xdr:blipFill rotWithShape="1">
        <a:blip xmlns:r="http://schemas.openxmlformats.org/officeDocument/2006/relationships" r:embed="rId3">
          <a:duotone>
            <a:schemeClr val="accent6">
              <a:shade val="45000"/>
              <a:satMod val="135000"/>
            </a:schemeClr>
            <a:prstClr val="white"/>
          </a:duotone>
          <a:extLst>
            <a:ext uri="{BEBA8EAE-BF5A-486C-A8C5-ECC9F3942E4B}">
              <a14:imgProps xmlns:a14="http://schemas.microsoft.com/office/drawing/2010/main">
                <a14:imgLayer r:embed="rId4">
                  <a14:imgEffect>
                    <a14:colorTemperature colorTemp="4700"/>
                  </a14:imgEffect>
                  <a14:imgEffect>
                    <a14:saturation sat="400000"/>
                  </a14:imgEffect>
                  <a14:imgEffect>
                    <a14:brightnessContrast bright="20000" contrast="40000"/>
                  </a14:imgEffect>
                </a14:imgLayer>
              </a14:imgProps>
            </a:ext>
            <a:ext uri="{28A0092B-C50C-407E-A947-70E740481C1C}">
              <a14:useLocalDpi xmlns:a14="http://schemas.microsoft.com/office/drawing/2010/main" val="0"/>
            </a:ext>
          </a:extLst>
        </a:blip>
        <a:srcRect b="83453"/>
        <a:stretch/>
      </xdr:blipFill>
      <xdr:spPr bwMode="auto">
        <a:xfrm flipV="1">
          <a:off x="0" y="0"/>
          <a:ext cx="15866300" cy="1065781"/>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1350435</xdr:colOff>
      <xdr:row>0</xdr:row>
      <xdr:rowOff>27086</xdr:rowOff>
    </xdr:from>
    <xdr:to>
      <xdr:col>8</xdr:col>
      <xdr:colOff>664909</xdr:colOff>
      <xdr:row>2</xdr:row>
      <xdr:rowOff>297468</xdr:rowOff>
    </xdr:to>
    <xdr:sp macro="" textlink="">
      <xdr:nvSpPr>
        <xdr:cNvPr id="3" name="Textfeld 2">
          <a:extLst>
            <a:ext uri="{FF2B5EF4-FFF2-40B4-BE49-F238E27FC236}">
              <a16:creationId xmlns:a16="http://schemas.microsoft.com/office/drawing/2014/main" id="{1F7BDE39-B94D-4126-A089-07D6C9D3DD81}"/>
            </a:ext>
          </a:extLst>
        </xdr:cNvPr>
        <xdr:cNvSpPr txBox="1"/>
      </xdr:nvSpPr>
      <xdr:spPr>
        <a:xfrm>
          <a:off x="1350435" y="27086"/>
          <a:ext cx="10467584" cy="8906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de-AT" sz="4400">
              <a:solidFill>
                <a:schemeClr val="bg1"/>
              </a:solidFill>
              <a:latin typeface="HGSGothicE" panose="020B0900000000000000" pitchFamily="34" charset="-128"/>
              <a:ea typeface="HGSGothicE" panose="020B0900000000000000" pitchFamily="34" charset="-128"/>
            </a:rPr>
            <a:t>Top Sets </a:t>
          </a:r>
          <a:r>
            <a:rPr lang="de-AT" sz="4800">
              <a:solidFill>
                <a:schemeClr val="bg1"/>
              </a:solidFill>
            </a:rPr>
            <a:t>Strength Calculator</a:t>
          </a:r>
        </a:p>
      </xdr:txBody>
    </xdr:sp>
    <xdr:clientData/>
  </xdr:twoCellAnchor>
  <xdr:twoCellAnchor>
    <xdr:from>
      <xdr:col>0</xdr:col>
      <xdr:colOff>192765</xdr:colOff>
      <xdr:row>0</xdr:row>
      <xdr:rowOff>22677</xdr:rowOff>
    </xdr:from>
    <xdr:to>
      <xdr:col>0</xdr:col>
      <xdr:colOff>1030028</xdr:colOff>
      <xdr:row>2</xdr:row>
      <xdr:rowOff>188284</xdr:rowOff>
    </xdr:to>
    <xdr:sp macro="" textlink="">
      <xdr:nvSpPr>
        <xdr:cNvPr id="7" name="Rechteck: obere Ecken abgerundet 6">
          <a:extLst>
            <a:ext uri="{FF2B5EF4-FFF2-40B4-BE49-F238E27FC236}">
              <a16:creationId xmlns:a16="http://schemas.microsoft.com/office/drawing/2014/main" id="{9A760AC8-BB68-46C4-905E-E985977E695C}"/>
            </a:ext>
          </a:extLst>
        </xdr:cNvPr>
        <xdr:cNvSpPr/>
      </xdr:nvSpPr>
      <xdr:spPr>
        <a:xfrm rot="10800000">
          <a:off x="192765" y="22677"/>
          <a:ext cx="837263" cy="785840"/>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0</xdr:col>
      <xdr:colOff>166133</xdr:colOff>
      <xdr:row>0</xdr:row>
      <xdr:rowOff>0</xdr:rowOff>
    </xdr:from>
    <xdr:to>
      <xdr:col>0</xdr:col>
      <xdr:colOff>1069847</xdr:colOff>
      <xdr:row>2</xdr:row>
      <xdr:rowOff>205610</xdr:rowOff>
    </xdr:to>
    <xdr:pic>
      <xdr:nvPicPr>
        <xdr:cNvPr id="13" name="Grafik 12" descr="Bodybuilder">
          <a:hlinkClick xmlns:r="http://schemas.openxmlformats.org/officeDocument/2006/relationships" r:id="rId5"/>
          <a:extLst>
            <a:ext uri="{FF2B5EF4-FFF2-40B4-BE49-F238E27FC236}">
              <a16:creationId xmlns:a16="http://schemas.microsoft.com/office/drawing/2014/main" id="{CEE3B577-52BA-41E7-8877-EC8264D680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6133" y="0"/>
          <a:ext cx="903714" cy="82584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xdr:row>
      <xdr:rowOff>228064</xdr:rowOff>
    </xdr:from>
    <xdr:to>
      <xdr:col>7</xdr:col>
      <xdr:colOff>1503527</xdr:colOff>
      <xdr:row>5</xdr:row>
      <xdr:rowOff>83715</xdr:rowOff>
    </xdr:to>
    <xdr:grpSp>
      <xdr:nvGrpSpPr>
        <xdr:cNvPr id="2" name="Gruppieren 1">
          <a:extLst>
            <a:ext uri="{FF2B5EF4-FFF2-40B4-BE49-F238E27FC236}">
              <a16:creationId xmlns:a16="http://schemas.microsoft.com/office/drawing/2014/main" id="{C4EF8200-65A9-448C-AC61-C0958457EF32}"/>
            </a:ext>
          </a:extLst>
        </xdr:cNvPr>
        <xdr:cNvGrpSpPr/>
      </xdr:nvGrpSpPr>
      <xdr:grpSpPr>
        <a:xfrm>
          <a:off x="0" y="670775"/>
          <a:ext cx="9673562" cy="1143539"/>
          <a:chOff x="-6823448" y="-500597"/>
          <a:chExt cx="15748128" cy="1433683"/>
        </a:xfrm>
      </xdr:grpSpPr>
      <xdr:grpSp>
        <xdr:nvGrpSpPr>
          <xdr:cNvPr id="3" name="Gruppieren 2">
            <a:extLst>
              <a:ext uri="{FF2B5EF4-FFF2-40B4-BE49-F238E27FC236}">
                <a16:creationId xmlns:a16="http://schemas.microsoft.com/office/drawing/2014/main" id="{BAC49555-DD49-483C-9072-D55FC6FB7B65}"/>
              </a:ext>
            </a:extLst>
          </xdr:cNvPr>
          <xdr:cNvGrpSpPr/>
        </xdr:nvGrpSpPr>
        <xdr:grpSpPr>
          <a:xfrm>
            <a:off x="-6823448" y="-500597"/>
            <a:ext cx="15748128" cy="1433683"/>
            <a:chOff x="-6823448" y="-500597"/>
            <a:chExt cx="15748128" cy="1433683"/>
          </a:xfrm>
        </xdr:grpSpPr>
        <xdr:pic>
          <xdr:nvPicPr>
            <xdr:cNvPr id="5" name="img">
              <a:extLst>
                <a:ext uri="{FF2B5EF4-FFF2-40B4-BE49-F238E27FC236}">
                  <a16:creationId xmlns:a16="http://schemas.microsoft.com/office/drawing/2014/main" id="{A41258B8-8551-4E37-9BAB-2754450410F6}"/>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23448" y="-500597"/>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6" name="Textfeld 5">
              <a:extLst>
                <a:ext uri="{FF2B5EF4-FFF2-40B4-BE49-F238E27FC236}">
                  <a16:creationId xmlns:a16="http://schemas.microsoft.com/office/drawing/2014/main" id="{74282974-47A8-4F93-9FE5-85C0804FAF84}"/>
                </a:ext>
              </a:extLst>
            </xdr:cNvPr>
            <xdr:cNvSpPr txBox="1"/>
          </xdr:nvSpPr>
          <xdr:spPr>
            <a:xfrm>
              <a:off x="-248027" y="-294505"/>
              <a:ext cx="9172707" cy="12275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de-AT" sz="4000">
                  <a:solidFill>
                    <a:schemeClr val="bg1"/>
                  </a:solidFill>
                  <a:latin typeface="Helve"/>
                </a:rPr>
                <a:t>Ziele</a:t>
              </a:r>
              <a:r>
                <a:rPr lang="de-AT" sz="4000" baseline="0">
                  <a:solidFill>
                    <a:schemeClr val="bg1"/>
                  </a:solidFill>
                  <a:latin typeface="Helve"/>
                </a:rPr>
                <a:t> Mesozyklus</a:t>
              </a:r>
              <a:endParaRPr lang="de-AT" sz="4000">
                <a:solidFill>
                  <a:schemeClr val="bg1"/>
                </a:solidFill>
                <a:latin typeface="Helve"/>
              </a:endParaRPr>
            </a:p>
          </xdr:txBody>
        </xdr:sp>
      </xdr:grpSp>
      <xdr:sp macro="" textlink="">
        <xdr:nvSpPr>
          <xdr:cNvPr id="4" name="Rechteck: obere Ecken abgerundet 3">
            <a:extLst>
              <a:ext uri="{FF2B5EF4-FFF2-40B4-BE49-F238E27FC236}">
                <a16:creationId xmlns:a16="http://schemas.microsoft.com/office/drawing/2014/main" id="{33569AB8-CF55-4846-B2B5-2ACE34C44F82}"/>
              </a:ext>
            </a:extLst>
          </xdr:cNvPr>
          <xdr:cNvSpPr/>
        </xdr:nvSpPr>
        <xdr:spPr>
          <a:xfrm rot="10800000">
            <a:off x="-6020596" y="-414418"/>
            <a:ext cx="1250089" cy="1069270"/>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clientData/>
  </xdr:twoCellAnchor>
  <xdr:twoCellAnchor editAs="oneCell">
    <xdr:from>
      <xdr:col>0</xdr:col>
      <xdr:colOff>563452</xdr:colOff>
      <xdr:row>2</xdr:row>
      <xdr:rowOff>1</xdr:rowOff>
    </xdr:from>
    <xdr:to>
      <xdr:col>1</xdr:col>
      <xdr:colOff>579013</xdr:colOff>
      <xdr:row>4</xdr:row>
      <xdr:rowOff>42393</xdr:rowOff>
    </xdr:to>
    <xdr:pic>
      <xdr:nvPicPr>
        <xdr:cNvPr id="8" name="Grafik 7" descr="Balkendiagramm mit Aufwärtstrend">
          <a:extLst>
            <a:ext uri="{FF2B5EF4-FFF2-40B4-BE49-F238E27FC236}">
              <a16:creationId xmlns:a16="http://schemas.microsoft.com/office/drawing/2014/main" id="{55621BAE-E842-416F-9479-E85B7E21C9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63452" y="845177"/>
          <a:ext cx="619258" cy="61925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28</xdr:col>
      <xdr:colOff>179133</xdr:colOff>
      <xdr:row>2</xdr:row>
      <xdr:rowOff>0</xdr:rowOff>
    </xdr:from>
    <xdr:to>
      <xdr:col>28</xdr:col>
      <xdr:colOff>774517</xdr:colOff>
      <xdr:row>2</xdr:row>
      <xdr:rowOff>187816</xdr:rowOff>
    </xdr:to>
    <xdr:sp macro="" textlink="">
      <xdr:nvSpPr>
        <xdr:cNvPr id="2" name="rightArrow">
          <a:extLst>
            <a:ext uri="{FF2B5EF4-FFF2-40B4-BE49-F238E27FC236}">
              <a16:creationId xmlns:a16="http://schemas.microsoft.com/office/drawing/2014/main" id="{00000000-0008-0000-0200-000002000000}"/>
            </a:ext>
          </a:extLst>
        </xdr:cNvPr>
        <xdr:cNvSpPr/>
      </xdr:nvSpPr>
      <xdr:spPr>
        <a:xfrm>
          <a:off x="30390823" y="804930"/>
          <a:ext cx="595384" cy="187816"/>
        </a:xfrm>
        <a:prstGeom prst="rightArrow">
          <a:avLst/>
        </a:prstGeom>
        <a:solidFill>
          <a:srgbClr val="FFCB00"/>
        </a:solidFill>
        <a:ln w="12700" cap="flat" cmpd="sng">
          <a:solidFill>
            <a:srgbClr val="666666"/>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xdr:from>
      <xdr:col>1</xdr:col>
      <xdr:colOff>926916</xdr:colOff>
      <xdr:row>1</xdr:row>
      <xdr:rowOff>0</xdr:rowOff>
    </xdr:from>
    <xdr:to>
      <xdr:col>2</xdr:col>
      <xdr:colOff>220910</xdr:colOff>
      <xdr:row>2</xdr:row>
      <xdr:rowOff>0</xdr:rowOff>
    </xdr:to>
    <xdr:sp macro="" textlink="">
      <xdr:nvSpPr>
        <xdr:cNvPr id="3" name="chevron">
          <a:extLst>
            <a:ext uri="{FF2B5EF4-FFF2-40B4-BE49-F238E27FC236}">
              <a16:creationId xmlns:a16="http://schemas.microsoft.com/office/drawing/2014/main" id="{00000000-0008-0000-0200-000003000000}"/>
            </a:ext>
          </a:extLst>
        </xdr:cNvPr>
        <xdr:cNvSpPr/>
      </xdr:nvSpPr>
      <xdr:spPr>
        <a:xfrm rot="5385780">
          <a:off x="2925302" y="364391"/>
          <a:ext cx="228821" cy="488173"/>
        </a:xfrm>
        <a:prstGeom prst="chevron">
          <a:avLst/>
        </a:prstGeom>
        <a:solidFill>
          <a:srgbClr val="FFCB00"/>
        </a:solidFill>
        <a:ln w="12700" cap="flat" cmpd="sng">
          <a:solidFill>
            <a:srgbClr val="666666"/>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13</xdr:col>
      <xdr:colOff>342902</xdr:colOff>
      <xdr:row>3</xdr:row>
      <xdr:rowOff>76201</xdr:rowOff>
    </xdr:from>
    <xdr:to>
      <xdr:col>18</xdr:col>
      <xdr:colOff>219075</xdr:colOff>
      <xdr:row>22</xdr:row>
      <xdr:rowOff>28575</xdr:rowOff>
    </xdr:to>
    <xdr:grpSp>
      <xdr:nvGrpSpPr>
        <xdr:cNvPr id="9" name="Gruppieren 8">
          <a:extLst>
            <a:ext uri="{FF2B5EF4-FFF2-40B4-BE49-F238E27FC236}">
              <a16:creationId xmlns:a16="http://schemas.microsoft.com/office/drawing/2014/main" id="{0C1BB1BF-AC38-48C2-A247-F2A9F9877422}"/>
            </a:ext>
          </a:extLst>
        </xdr:cNvPr>
        <xdr:cNvGrpSpPr/>
      </xdr:nvGrpSpPr>
      <xdr:grpSpPr>
        <a:xfrm>
          <a:off x="10248902" y="561976"/>
          <a:ext cx="4724398" cy="3028949"/>
          <a:chOff x="10248902" y="647701"/>
          <a:chExt cx="4724398" cy="3028949"/>
        </a:xfrm>
      </xdr:grpSpPr>
      <xdr:grpSp>
        <xdr:nvGrpSpPr>
          <xdr:cNvPr id="7" name="Gruppieren 6">
            <a:extLst>
              <a:ext uri="{FF2B5EF4-FFF2-40B4-BE49-F238E27FC236}">
                <a16:creationId xmlns:a16="http://schemas.microsoft.com/office/drawing/2014/main" id="{9B3C829B-7D12-4EAE-8CC6-1DD79825079D}"/>
              </a:ext>
            </a:extLst>
          </xdr:cNvPr>
          <xdr:cNvGrpSpPr/>
        </xdr:nvGrpSpPr>
        <xdr:grpSpPr>
          <a:xfrm>
            <a:off x="10248902" y="704850"/>
            <a:ext cx="4724398" cy="2971800"/>
            <a:chOff x="10248902" y="704850"/>
            <a:chExt cx="4724398" cy="2971800"/>
          </a:xfrm>
        </xdr:grpSpPr>
        <xdr:grpSp>
          <xdr:nvGrpSpPr>
            <xdr:cNvPr id="6" name="Gruppieren 5">
              <a:extLst>
                <a:ext uri="{FF2B5EF4-FFF2-40B4-BE49-F238E27FC236}">
                  <a16:creationId xmlns:a16="http://schemas.microsoft.com/office/drawing/2014/main" id="{CD5DA607-5C7B-44F3-889E-B1B2EA8655C2}"/>
                </a:ext>
              </a:extLst>
            </xdr:cNvPr>
            <xdr:cNvGrpSpPr/>
          </xdr:nvGrpSpPr>
          <xdr:grpSpPr>
            <a:xfrm>
              <a:off x="10248902" y="704850"/>
              <a:ext cx="4724398" cy="2971800"/>
              <a:chOff x="10248902" y="704850"/>
              <a:chExt cx="4724398" cy="2971800"/>
            </a:xfrm>
          </xdr:grpSpPr>
          <xdr:grpSp>
            <xdr:nvGrpSpPr>
              <xdr:cNvPr id="3" name="Gruppieren 2">
                <a:extLst>
                  <a:ext uri="{FF2B5EF4-FFF2-40B4-BE49-F238E27FC236}">
                    <a16:creationId xmlns:a16="http://schemas.microsoft.com/office/drawing/2014/main" id="{2E34D1A2-DD5E-4515-8D17-D1697A287C96}"/>
                  </a:ext>
                </a:extLst>
              </xdr:cNvPr>
              <xdr:cNvGrpSpPr/>
            </xdr:nvGrpSpPr>
            <xdr:grpSpPr>
              <a:xfrm>
                <a:off x="10248902" y="704850"/>
                <a:ext cx="4724398" cy="2971800"/>
                <a:chOff x="10248902" y="628650"/>
                <a:chExt cx="4724398" cy="2971800"/>
              </a:xfrm>
            </xdr:grpSpPr>
            <xdr:grpSp>
              <xdr:nvGrpSpPr>
                <xdr:cNvPr id="31" name="Gruppieren 30">
                  <a:extLst>
                    <a:ext uri="{FF2B5EF4-FFF2-40B4-BE49-F238E27FC236}">
                      <a16:creationId xmlns:a16="http://schemas.microsoft.com/office/drawing/2014/main" id="{F84C34B2-D9C5-4352-B04C-BC5EE2D93EF5}"/>
                    </a:ext>
                  </a:extLst>
                </xdr:cNvPr>
                <xdr:cNvGrpSpPr/>
              </xdr:nvGrpSpPr>
              <xdr:grpSpPr>
                <a:xfrm>
                  <a:off x="10248902" y="628650"/>
                  <a:ext cx="4724398" cy="2971800"/>
                  <a:chOff x="10248902" y="514350"/>
                  <a:chExt cx="4724398" cy="2971800"/>
                </a:xfrm>
              </xdr:grpSpPr>
              <xdr:sp macro="" textlink="">
                <xdr:nvSpPr>
                  <xdr:cNvPr id="8" name="Textfeld 7">
                    <a:extLst>
                      <a:ext uri="{FF2B5EF4-FFF2-40B4-BE49-F238E27FC236}">
                        <a16:creationId xmlns:a16="http://schemas.microsoft.com/office/drawing/2014/main" id="{79084BE3-A9D2-4D88-85F6-38E9FD7AC396}"/>
                      </a:ext>
                    </a:extLst>
                  </xdr:cNvPr>
                  <xdr:cNvSpPr txBox="1"/>
                </xdr:nvSpPr>
                <xdr:spPr>
                  <a:xfrm>
                    <a:off x="14001750" y="2800351"/>
                    <a:ext cx="742949" cy="361950"/>
                  </a:xfrm>
                  <a:prstGeom prst="rect">
                    <a:avLst/>
                  </a:prstGeom>
                  <a:solidFill>
                    <a:srgbClr val="CF6B9D"/>
                  </a:solidFill>
                  <a:ln w="9525" cmpd="sng">
                    <a:solidFill>
                      <a:srgbClr val="CF6B9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AT" sz="2000" b="0">
                        <a:latin typeface="AlternateGothic2 BT" panose="020B0608020202050204" pitchFamily="34" charset="0"/>
                        <a:cs typeface="Aharoni" panose="020B0604020202020204" pitchFamily="2" charset="-79"/>
                      </a:rPr>
                      <a:t>ZEIT</a:t>
                    </a:r>
                  </a:p>
                </xdr:txBody>
              </xdr:sp>
              <xdr:grpSp>
                <xdr:nvGrpSpPr>
                  <xdr:cNvPr id="30" name="Gruppieren 29">
                    <a:extLst>
                      <a:ext uri="{FF2B5EF4-FFF2-40B4-BE49-F238E27FC236}">
                        <a16:creationId xmlns:a16="http://schemas.microsoft.com/office/drawing/2014/main" id="{762C4C5B-B53D-45A6-BF38-73AEB4518F16}"/>
                      </a:ext>
                    </a:extLst>
                  </xdr:cNvPr>
                  <xdr:cNvGrpSpPr/>
                </xdr:nvGrpSpPr>
                <xdr:grpSpPr>
                  <a:xfrm>
                    <a:off x="10248902" y="514350"/>
                    <a:ext cx="4724398" cy="2971800"/>
                    <a:chOff x="10248902" y="514350"/>
                    <a:chExt cx="4724398" cy="2971800"/>
                  </a:xfrm>
                </xdr:grpSpPr>
                <xdr:grpSp>
                  <xdr:nvGrpSpPr>
                    <xdr:cNvPr id="25" name="Gruppieren 24">
                      <a:extLst>
                        <a:ext uri="{FF2B5EF4-FFF2-40B4-BE49-F238E27FC236}">
                          <a16:creationId xmlns:a16="http://schemas.microsoft.com/office/drawing/2014/main" id="{0F7BCC2C-5D6C-4D22-9BA6-169B549613E4}"/>
                        </a:ext>
                      </a:extLst>
                    </xdr:cNvPr>
                    <xdr:cNvGrpSpPr/>
                  </xdr:nvGrpSpPr>
                  <xdr:grpSpPr>
                    <a:xfrm>
                      <a:off x="10525128" y="514350"/>
                      <a:ext cx="4448172" cy="2971800"/>
                      <a:chOff x="10525128" y="514350"/>
                      <a:chExt cx="4448172" cy="2971800"/>
                    </a:xfrm>
                  </xdr:grpSpPr>
                  <xdr:sp macro="" textlink="">
                    <xdr:nvSpPr>
                      <xdr:cNvPr id="2" name="Pfeil: nach rechts 1">
                        <a:extLst>
                          <a:ext uri="{FF2B5EF4-FFF2-40B4-BE49-F238E27FC236}">
                            <a16:creationId xmlns:a16="http://schemas.microsoft.com/office/drawing/2014/main" id="{855B5373-E289-40ED-8EEF-F9DDC0A271FF}"/>
                          </a:ext>
                        </a:extLst>
                      </xdr:cNvPr>
                      <xdr:cNvSpPr/>
                    </xdr:nvSpPr>
                    <xdr:spPr>
                      <a:xfrm>
                        <a:off x="10706099" y="3076575"/>
                        <a:ext cx="4267201"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de-AT" sz="1100"/>
                      </a:p>
                    </xdr:txBody>
                  </xdr:sp>
                  <xdr:sp macro="" textlink="">
                    <xdr:nvSpPr>
                      <xdr:cNvPr id="4" name="Pfeil: nach rechts 3">
                        <a:extLst>
                          <a:ext uri="{FF2B5EF4-FFF2-40B4-BE49-F238E27FC236}">
                            <a16:creationId xmlns:a16="http://schemas.microsoft.com/office/drawing/2014/main" id="{3051ED6A-D2CF-4DBB-B661-C9EA95992B65}"/>
                          </a:ext>
                        </a:extLst>
                      </xdr:cNvPr>
                      <xdr:cNvSpPr/>
                    </xdr:nvSpPr>
                    <xdr:spPr>
                      <a:xfrm rot="16200000">
                        <a:off x="9296404" y="1743074"/>
                        <a:ext cx="2867024"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de-AT" sz="1100"/>
                      </a:p>
                    </xdr:txBody>
                  </xdr:sp>
                </xdr:grpSp>
                <xdr:sp macro="" textlink="">
                  <xdr:nvSpPr>
                    <xdr:cNvPr id="10" name="Textfeld 9">
                      <a:extLst>
                        <a:ext uri="{FF2B5EF4-FFF2-40B4-BE49-F238E27FC236}">
                          <a16:creationId xmlns:a16="http://schemas.microsoft.com/office/drawing/2014/main" id="{F84CCA51-779A-442B-B0BD-119BCCCAC799}"/>
                        </a:ext>
                      </a:extLst>
                    </xdr:cNvPr>
                    <xdr:cNvSpPr txBox="1"/>
                  </xdr:nvSpPr>
                  <xdr:spPr>
                    <a:xfrm rot="16200000">
                      <a:off x="9977439" y="1090611"/>
                      <a:ext cx="904875" cy="3619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AT" sz="2000" b="0">
                          <a:latin typeface="AlternateGothic2 BT" panose="020B0608020202050204" pitchFamily="34" charset="0"/>
                          <a:cs typeface="Aharoni" panose="020B0604020202020204" pitchFamily="2" charset="-79"/>
                        </a:rPr>
                        <a:t>Volumen</a:t>
                      </a:r>
                    </a:p>
                  </xdr:txBody>
                </xdr:sp>
              </xdr:grpSp>
            </xdr:grpSp>
            <xdr:grpSp>
              <xdr:nvGrpSpPr>
                <xdr:cNvPr id="26" name="Gruppieren 25">
                  <a:extLst>
                    <a:ext uri="{FF2B5EF4-FFF2-40B4-BE49-F238E27FC236}">
                      <a16:creationId xmlns:a16="http://schemas.microsoft.com/office/drawing/2014/main" id="{F4546638-4E80-47D4-847E-E160E620FE1E}"/>
                    </a:ext>
                  </a:extLst>
                </xdr:cNvPr>
                <xdr:cNvGrpSpPr/>
              </xdr:nvGrpSpPr>
              <xdr:grpSpPr>
                <a:xfrm>
                  <a:off x="10906125" y="2333625"/>
                  <a:ext cx="638175" cy="581025"/>
                  <a:chOff x="10906125" y="2333625"/>
                  <a:chExt cx="638175" cy="581025"/>
                </a:xfrm>
              </xdr:grpSpPr>
              <xdr:sp macro="" textlink="">
                <xdr:nvSpPr>
                  <xdr:cNvPr id="14" name="Flussdiagramm: Verbinder 13">
                    <a:extLst>
                      <a:ext uri="{FF2B5EF4-FFF2-40B4-BE49-F238E27FC236}">
                        <a16:creationId xmlns:a16="http://schemas.microsoft.com/office/drawing/2014/main" id="{E1D83D3E-29B1-4829-8816-DD83CDB5B949}"/>
                      </a:ext>
                    </a:extLst>
                  </xdr:cNvPr>
                  <xdr:cNvSpPr/>
                </xdr:nvSpPr>
                <xdr:spPr>
                  <a:xfrm>
                    <a:off x="10906125" y="2333625"/>
                    <a:ext cx="638175" cy="581025"/>
                  </a:xfrm>
                  <a:prstGeom prst="flowChartConnector">
                    <a:avLst/>
                  </a:prstGeom>
                  <a:solidFill>
                    <a:schemeClr val="accent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sp macro="" textlink="">
                <xdr:nvSpPr>
                  <xdr:cNvPr id="15" name="Textfeld 14">
                    <a:extLst>
                      <a:ext uri="{FF2B5EF4-FFF2-40B4-BE49-F238E27FC236}">
                        <a16:creationId xmlns:a16="http://schemas.microsoft.com/office/drawing/2014/main" id="{16573F48-6E64-4DEC-A5FC-335D5CA6B175}"/>
                      </a:ext>
                    </a:extLst>
                  </xdr:cNvPr>
                  <xdr:cNvSpPr txBox="1"/>
                </xdr:nvSpPr>
                <xdr:spPr>
                  <a:xfrm>
                    <a:off x="11020425" y="2476501"/>
                    <a:ext cx="457200" cy="27622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AT" sz="1600" b="0">
                        <a:solidFill>
                          <a:schemeClr val="bg1"/>
                        </a:solidFill>
                        <a:latin typeface="Arial Narrow" panose="020B0606020202030204" pitchFamily="34" charset="0"/>
                      </a:rPr>
                      <a:t>MV</a:t>
                    </a:r>
                  </a:p>
                </xdr:txBody>
              </xdr:sp>
            </xdr:grpSp>
          </xdr:grpSp>
          <xdr:grpSp>
            <xdr:nvGrpSpPr>
              <xdr:cNvPr id="27" name="Gruppieren 26">
                <a:extLst>
                  <a:ext uri="{FF2B5EF4-FFF2-40B4-BE49-F238E27FC236}">
                    <a16:creationId xmlns:a16="http://schemas.microsoft.com/office/drawing/2014/main" id="{9F1D180A-69AE-4D9B-A40E-2C8A73AE6D5D}"/>
                  </a:ext>
                </a:extLst>
              </xdr:cNvPr>
              <xdr:cNvGrpSpPr/>
            </xdr:nvGrpSpPr>
            <xdr:grpSpPr>
              <a:xfrm>
                <a:off x="11753850" y="1838325"/>
                <a:ext cx="666750" cy="600075"/>
                <a:chOff x="11753850" y="1838325"/>
                <a:chExt cx="666750" cy="600075"/>
              </a:xfrm>
            </xdr:grpSpPr>
            <xdr:sp macro="" textlink="">
              <xdr:nvSpPr>
                <xdr:cNvPr id="13" name="Flussdiagramm: Verbinder 12">
                  <a:extLst>
                    <a:ext uri="{FF2B5EF4-FFF2-40B4-BE49-F238E27FC236}">
                      <a16:creationId xmlns:a16="http://schemas.microsoft.com/office/drawing/2014/main" id="{EE057CC7-B143-4314-A7BA-5A5C444149FF}"/>
                    </a:ext>
                  </a:extLst>
                </xdr:cNvPr>
                <xdr:cNvSpPr/>
              </xdr:nvSpPr>
              <xdr:spPr>
                <a:xfrm>
                  <a:off x="11753850" y="1838325"/>
                  <a:ext cx="666750" cy="600075"/>
                </a:xfrm>
                <a:prstGeom prst="flowChartConnector">
                  <a:avLst/>
                </a:prstGeom>
                <a:solidFill>
                  <a:schemeClr val="accent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sp macro="" textlink="">
              <xdr:nvSpPr>
                <xdr:cNvPr id="16" name="Textfeld 15">
                  <a:extLst>
                    <a:ext uri="{FF2B5EF4-FFF2-40B4-BE49-F238E27FC236}">
                      <a16:creationId xmlns:a16="http://schemas.microsoft.com/office/drawing/2014/main" id="{63838C42-F36F-43EE-BA59-146B32C6803A}"/>
                    </a:ext>
                  </a:extLst>
                </xdr:cNvPr>
                <xdr:cNvSpPr txBox="1"/>
              </xdr:nvSpPr>
              <xdr:spPr>
                <a:xfrm>
                  <a:off x="11820527" y="2000250"/>
                  <a:ext cx="523874" cy="285750"/>
                </a:xfrm>
                <a:prstGeom prst="rect">
                  <a:avLst/>
                </a:prstGeom>
                <a:solidFill>
                  <a:schemeClr val="accent1">
                    <a:lumMod val="75000"/>
                  </a:schemeClr>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AT" sz="1500" b="0">
                      <a:solidFill>
                        <a:schemeClr val="bg1"/>
                      </a:solidFill>
                      <a:latin typeface="Arial Narrow" panose="020B0606020202030204" pitchFamily="34" charset="0"/>
                    </a:rPr>
                    <a:t>MEV</a:t>
                  </a:r>
                </a:p>
              </xdr:txBody>
            </xdr:sp>
          </xdr:grpSp>
        </xdr:grpSp>
        <xdr:grpSp>
          <xdr:nvGrpSpPr>
            <xdr:cNvPr id="28" name="Gruppieren 27">
              <a:extLst>
                <a:ext uri="{FF2B5EF4-FFF2-40B4-BE49-F238E27FC236}">
                  <a16:creationId xmlns:a16="http://schemas.microsoft.com/office/drawing/2014/main" id="{5B823302-DFAC-4091-89ED-B93A772AB3B4}"/>
                </a:ext>
              </a:extLst>
            </xdr:cNvPr>
            <xdr:cNvGrpSpPr/>
          </xdr:nvGrpSpPr>
          <xdr:grpSpPr>
            <a:xfrm>
              <a:off x="12858750" y="1285876"/>
              <a:ext cx="685800" cy="609600"/>
              <a:chOff x="12887325" y="1285876"/>
              <a:chExt cx="685800" cy="609600"/>
            </a:xfrm>
          </xdr:grpSpPr>
          <xdr:sp macro="" textlink="">
            <xdr:nvSpPr>
              <xdr:cNvPr id="12" name="Flussdiagramm: Verbinder 11">
                <a:extLst>
                  <a:ext uri="{FF2B5EF4-FFF2-40B4-BE49-F238E27FC236}">
                    <a16:creationId xmlns:a16="http://schemas.microsoft.com/office/drawing/2014/main" id="{D4E361E1-6FBB-4369-AFDE-30CAD368B952}"/>
                  </a:ext>
                </a:extLst>
              </xdr:cNvPr>
              <xdr:cNvSpPr/>
            </xdr:nvSpPr>
            <xdr:spPr>
              <a:xfrm>
                <a:off x="12887325" y="1285876"/>
                <a:ext cx="685800" cy="609600"/>
              </a:xfrm>
              <a:prstGeom prst="flowChartConnector">
                <a:avLst/>
              </a:prstGeom>
              <a:solidFill>
                <a:srgbClr val="CF6B9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sp macro="" textlink="">
            <xdr:nvSpPr>
              <xdr:cNvPr id="22" name="Textfeld 21">
                <a:extLst>
                  <a:ext uri="{FF2B5EF4-FFF2-40B4-BE49-F238E27FC236}">
                    <a16:creationId xmlns:a16="http://schemas.microsoft.com/office/drawing/2014/main" id="{1C2B980E-F629-498A-BFB3-DC8C139EF03A}"/>
                  </a:ext>
                </a:extLst>
              </xdr:cNvPr>
              <xdr:cNvSpPr txBox="1"/>
            </xdr:nvSpPr>
            <xdr:spPr>
              <a:xfrm>
                <a:off x="12973050" y="1447800"/>
                <a:ext cx="523874" cy="285750"/>
              </a:xfrm>
              <a:prstGeom prst="rect">
                <a:avLst/>
              </a:prstGeom>
              <a:solidFill>
                <a:srgbClr val="CF6B9D"/>
              </a:solidFill>
              <a:ln w="9525" cmpd="sng">
                <a:solidFill>
                  <a:srgbClr val="CF6B9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AT" sz="1500" b="0">
                    <a:solidFill>
                      <a:schemeClr val="bg1"/>
                    </a:solidFill>
                    <a:latin typeface="Arial Narrow" panose="020B0606020202030204" pitchFamily="34" charset="0"/>
                  </a:rPr>
                  <a:t>MAV</a:t>
                </a:r>
              </a:p>
            </xdr:txBody>
          </xdr:sp>
        </xdr:grpSp>
      </xdr:grpSp>
      <xdr:grpSp>
        <xdr:nvGrpSpPr>
          <xdr:cNvPr id="29" name="Gruppieren 28">
            <a:extLst>
              <a:ext uri="{FF2B5EF4-FFF2-40B4-BE49-F238E27FC236}">
                <a16:creationId xmlns:a16="http://schemas.microsoft.com/office/drawing/2014/main" id="{5806F89D-D217-468D-B0DB-6E80899A4828}"/>
              </a:ext>
            </a:extLst>
          </xdr:cNvPr>
          <xdr:cNvGrpSpPr/>
        </xdr:nvGrpSpPr>
        <xdr:grpSpPr>
          <a:xfrm>
            <a:off x="14039850" y="647701"/>
            <a:ext cx="666750" cy="609600"/>
            <a:chOff x="14020800" y="657226"/>
            <a:chExt cx="666750" cy="609600"/>
          </a:xfrm>
        </xdr:grpSpPr>
        <xdr:sp macro="" textlink="">
          <xdr:nvSpPr>
            <xdr:cNvPr id="11" name="Flussdiagramm: Verbinder 10">
              <a:extLst>
                <a:ext uri="{FF2B5EF4-FFF2-40B4-BE49-F238E27FC236}">
                  <a16:creationId xmlns:a16="http://schemas.microsoft.com/office/drawing/2014/main" id="{C437E477-5B3E-4C56-AD98-22CC55B75F3F}"/>
                </a:ext>
              </a:extLst>
            </xdr:cNvPr>
            <xdr:cNvSpPr/>
          </xdr:nvSpPr>
          <xdr:spPr>
            <a:xfrm>
              <a:off x="14020800" y="657226"/>
              <a:ext cx="666750" cy="609600"/>
            </a:xfrm>
            <a:prstGeom prst="flowChartConnector">
              <a:avLst/>
            </a:prstGeom>
            <a:solidFill>
              <a:srgbClr val="7030A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sp macro="" textlink="">
          <xdr:nvSpPr>
            <xdr:cNvPr id="23" name="Textfeld 22">
              <a:extLst>
                <a:ext uri="{FF2B5EF4-FFF2-40B4-BE49-F238E27FC236}">
                  <a16:creationId xmlns:a16="http://schemas.microsoft.com/office/drawing/2014/main" id="{A4207E68-8779-4537-B89D-6E9098A7D79F}"/>
                </a:ext>
              </a:extLst>
            </xdr:cNvPr>
            <xdr:cNvSpPr txBox="1"/>
          </xdr:nvSpPr>
          <xdr:spPr>
            <a:xfrm>
              <a:off x="14097000" y="800100"/>
              <a:ext cx="533400" cy="285750"/>
            </a:xfrm>
            <a:prstGeom prst="rect">
              <a:avLst/>
            </a:prstGeom>
            <a:solidFill>
              <a:srgbClr val="7030A0"/>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AT" sz="1500" b="0">
                  <a:solidFill>
                    <a:schemeClr val="bg1"/>
                  </a:solidFill>
                  <a:latin typeface="Arial Narrow" panose="020B0606020202030204" pitchFamily="34" charset="0"/>
                </a:rPr>
                <a:t>MRV</a:t>
              </a:r>
            </a:p>
          </xdr:txBody>
        </xdr:sp>
      </xdr:grpSp>
    </xdr:grpSp>
    <xdr:clientData/>
  </xdr:twoCellAnchor>
  <xdr:twoCellAnchor>
    <xdr:from>
      <xdr:col>10</xdr:col>
      <xdr:colOff>133350</xdr:colOff>
      <xdr:row>16</xdr:row>
      <xdr:rowOff>57150</xdr:rowOff>
    </xdr:from>
    <xdr:to>
      <xdr:col>11</xdr:col>
      <xdr:colOff>257175</xdr:colOff>
      <xdr:row>17</xdr:row>
      <xdr:rowOff>57150</xdr:rowOff>
    </xdr:to>
    <xdr:sp macro="" textlink="">
      <xdr:nvSpPr>
        <xdr:cNvPr id="24" name="Textfeld 23">
          <a:extLst>
            <a:ext uri="{FF2B5EF4-FFF2-40B4-BE49-F238E27FC236}">
              <a16:creationId xmlns:a16="http://schemas.microsoft.com/office/drawing/2014/main" id="{94925151-5E23-4A63-94F6-883CBB53C7EA}"/>
            </a:ext>
          </a:extLst>
        </xdr:cNvPr>
        <xdr:cNvSpPr txBox="1"/>
      </xdr:nvSpPr>
      <xdr:spPr>
        <a:xfrm>
          <a:off x="7753350" y="2647950"/>
          <a:ext cx="885825" cy="161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e-AT"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EE22A12-2B60-4A22-856C-20C70AC57D70}" name="Tabelle3" displayName="Tabelle3" ref="E7:K50" totalsRowShown="0" headerRowDxfId="1496" headerRowBorderDxfId="1495" tableBorderDxfId="1494">
  <autoFilter ref="E7:K50" xr:uid="{61F80265-9913-4BA8-9595-7190CD00A988}">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2F16FC0B-157D-4A1E-A0B9-38C3A88540BE}" name="Übung" dataDxfId="1493"/>
    <tableColumn id="2" xr3:uid="{0B12E8BD-9DBB-4197-B0BF-7BDE688FE0C5}" name="Muskelgruppe" dataDxfId="1492"/>
    <tableColumn id="3" xr3:uid="{59950C19-B553-4D09-97F5-741B2978F20D}" name="Gewichtsschritte" dataDxfId="1491"/>
    <tableColumn id="4" xr3:uid="{FFA99B2C-D224-456E-8BE3-0D99053D132E}" name="Wiederholungen" dataDxfId="1490"/>
    <tableColumn id="5" xr3:uid="{6503E9B6-01A6-4673-AA60-C319D6FEA525}" name="Wdh. im Overload" dataDxfId="1489"/>
    <tableColumn id="6" xr3:uid="{8D5E82E0-725C-4327-B7EC-EE7D0232C620}" name="Grundübungen" dataDxfId="1488"/>
    <tableColumn id="7" xr3:uid="{B051673F-4CC8-49A2-9447-C093B30230A3}" name="OK/UK" dataDxfId="1487"/>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8E3D645-3F49-4B2F-A44E-FFB76EBC90EC}" name="Tabelle12" displayName="Tabelle12" ref="D8:I23" totalsRowShown="0" headerRowDxfId="1486" headerRowBorderDxfId="1485" tableBorderDxfId="1484" totalsRowBorderDxfId="1483">
  <autoFilter ref="D8:I23" xr:uid="{BE72EFE8-27D4-4782-AC0C-1D03110C68B1}">
    <filterColumn colId="0" hiddenButton="1"/>
    <filterColumn colId="1" hiddenButton="1"/>
    <filterColumn colId="2" hiddenButton="1"/>
    <filterColumn colId="3" hiddenButton="1"/>
    <filterColumn colId="4" hiddenButton="1"/>
    <filterColumn colId="5" hiddenButton="1"/>
  </autoFilter>
  <tableColumns count="6">
    <tableColumn id="1" xr3:uid="{5DB94D45-1199-400C-B65C-5D033D473E73}" name="Übung" dataDxfId="1482">
      <calculatedColumnFormula array="1">_xlfn.IFNA(INDEX(Übungsübersicht!$E$8:$E$50,Maximalkraftwerte!#REF!),"")</calculatedColumnFormula>
    </tableColumn>
    <tableColumn id="2" xr3:uid="{78E76699-3A12-4E9D-AADF-493BD3F09A94}" name="Maximalkraftwert [kg]" dataDxfId="1481">
      <calculatedColumnFormula>IF(G9&lt;1,"",IF(G9&gt;20,"",IF(G9=0,"",IF(F9=0,"",IF(H9&gt;10,"ERROR",IF(H9&lt;0,"ERROR",IF(AND(I9="Epley",H9=0),(F9*(1+(G9/30))),IF(I9="Ep",(F9*(1+((G9+(10-H9))/30))),IF(H9=0,F9*36/(37-G9),(F9*36/(37-(G9+(10-H9)))))))))))))</calculatedColumnFormula>
    </tableColumn>
    <tableColumn id="3" xr3:uid="{9CBAFD4B-D9A5-4355-A89D-82383DCF1875}" name="Gewicht" dataDxfId="1480"/>
    <tableColumn id="4" xr3:uid="{57A11AA9-D2A2-486F-9BE4-C77ABAB567E9}" name=" Wiederholungen" dataDxfId="1479"/>
    <tableColumn id="5" xr3:uid="{44D17E43-26AD-4249-A018-068814BF459F}" name="RPE" dataDxfId="1478"/>
    <tableColumn id="6" xr3:uid="{80C6F8EA-31C2-4771-B653-B035C871B9F5}" name="1 RM Formel" dataDxfId="1477"/>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260C3A-DE47-4373-A87B-B5A7167E6556}" name="Tabelle1" displayName="Tabelle1" ref="D4:E14" totalsRowShown="0" headerRowDxfId="1476">
  <autoFilter ref="D4:E14" xr:uid="{92DB1E17-93CB-4ACA-8FAA-27C6570D65AF}">
    <filterColumn colId="0" hiddenButton="1"/>
    <filterColumn colId="1" hiddenButton="1"/>
  </autoFilter>
  <tableColumns count="2">
    <tableColumn id="1" xr3:uid="{56464ADE-2981-4427-B129-5C83D9857BCF}" name="Sätze" dataDxfId="1475">
      <calculatedColumnFormula>IF('Gewichts- Calculator'!$C$39="2 Sätze","2 Sätze",IF('Gewichts- Calculator'!$C$39="3 Sätze","3 Sätze",IF('Gewichts- Calculator'!$C$39="4 Sätze","4 Sätze",IF('Gewichts- Calculator'!$C$39="5 Sätze","5 Sätze","Sätze?"))))</calculatedColumnFormula>
    </tableColumn>
    <tableColumn id="2" xr3:uid="{89602ADA-DDDD-4EFC-A320-F2A9A6151932}" name="Spalte1" dataDxfId="1474"/>
  </tableColumns>
  <tableStyleInfo name="TableStyleMedium2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8D4201-E2F8-4DE3-9B9B-AC2F9B901FED}" name="Tabelle2" displayName="Tabelle2" ref="A4:B8" totalsRowShown="0">
  <autoFilter ref="A4:B8" xr:uid="{BD65806E-1B90-401B-AA58-78B2FE23E86F}"/>
  <tableColumns count="2">
    <tableColumn id="1" xr3:uid="{4E9DC191-063A-4B52-B213-CE892DF61329}" name="Spalte1"/>
    <tableColumn id="2" xr3:uid="{42BFD302-9CD9-4A4C-ACC8-E18001FC318C}" name="Spalte2"/>
  </tableColumns>
  <tableStyleInfo name="TableStyleLight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Mattiertes Glas">
      <a:fillStyleLst>
        <a:solidFill>
          <a:schemeClr val="phClr"/>
        </a:solidFill>
        <a:gradFill rotWithShape="1">
          <a:gsLst>
            <a:gs pos="0">
              <a:schemeClr val="phClr">
                <a:tint val="1000"/>
                <a:satMod val="100000"/>
              </a:schemeClr>
            </a:gs>
            <a:gs pos="68000">
              <a:schemeClr val="phClr">
                <a:tint val="77000"/>
                <a:satMod val="100000"/>
              </a:schemeClr>
            </a:gs>
            <a:gs pos="81000">
              <a:schemeClr val="phClr">
                <a:tint val="79000"/>
                <a:satMod val="100000"/>
              </a:schemeClr>
            </a:gs>
            <a:gs pos="86000">
              <a:schemeClr val="phClr">
                <a:tint val="73000"/>
                <a:satMod val="100000"/>
              </a:schemeClr>
            </a:gs>
            <a:gs pos="100000">
              <a:schemeClr val="phClr">
                <a:tint val="35000"/>
                <a:satMod val="100000"/>
              </a:schemeClr>
            </a:gs>
          </a:gsLst>
          <a:lin ang="5400000" scaled="0"/>
        </a:gradFill>
        <a:gradFill rotWithShape="1">
          <a:gsLst>
            <a:gs pos="0">
              <a:schemeClr val="phClr">
                <a:tint val="73000"/>
                <a:shade val="100000"/>
                <a:satMod val="150000"/>
              </a:schemeClr>
            </a:gs>
            <a:gs pos="25000">
              <a:schemeClr val="phClr">
                <a:tint val="96000"/>
                <a:shade val="80000"/>
                <a:satMod val="105000"/>
              </a:schemeClr>
            </a:gs>
            <a:gs pos="38000">
              <a:schemeClr val="phClr">
                <a:tint val="96000"/>
                <a:shade val="59000"/>
                <a:satMod val="120000"/>
              </a:schemeClr>
            </a:gs>
            <a:gs pos="55000">
              <a:schemeClr val="phClr">
                <a:tint val="100000"/>
                <a:shade val="57000"/>
                <a:satMod val="120000"/>
              </a:schemeClr>
            </a:gs>
            <a:gs pos="80000">
              <a:schemeClr val="phClr">
                <a:tint val="100000"/>
                <a:shade val="56000"/>
                <a:satMod val="145000"/>
              </a:schemeClr>
            </a:gs>
            <a:gs pos="88000">
              <a:schemeClr val="phClr">
                <a:tint val="100000"/>
                <a:shade val="63000"/>
                <a:satMod val="160000"/>
              </a:schemeClr>
            </a:gs>
            <a:gs pos="100000">
              <a:schemeClr val="phClr">
                <a:tint val="99000"/>
                <a:shade val="100000"/>
                <a:satMod val="155000"/>
              </a:schemeClr>
            </a:gs>
          </a:gsLst>
          <a:lin ang="54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scene3d>
            <a:camera prst="orthographicFront">
              <a:rot lat="0" lon="0" rev="0"/>
            </a:camera>
            <a:lightRig rig="glow" dir="tl">
              <a:rot lat="0" lon="0" rev="1800000"/>
            </a:lightRig>
          </a:scene3d>
          <a:sp3d contourW="10160" prstMaterial="dkEdge">
            <a:bevelT w="0" h="0" prst="angle"/>
            <a:contourClr>
              <a:schemeClr val="phClr">
                <a:shade val="30000"/>
                <a:satMod val="150000"/>
              </a:schemeClr>
            </a:contourClr>
          </a:sp3d>
        </a:effectStyle>
        <a:effectStyle>
          <a:effectLst>
            <a:glow rad="50800">
              <a:schemeClr val="phClr">
                <a:tint val="68000"/>
                <a:shade val="93000"/>
                <a:alpha val="37000"/>
                <a:satMod val="250000"/>
              </a:schemeClr>
            </a:glow>
          </a:effectLst>
          <a:scene3d>
            <a:camera prst="orthographicFront">
              <a:rot lat="0" lon="0" rev="0"/>
            </a:camera>
            <a:lightRig rig="glow" dir="t">
              <a:rot lat="0" lon="0" rev="1800000"/>
            </a:lightRig>
          </a:scene3d>
          <a:sp3d contourW="10160" prstMaterial="dkEdge">
            <a:bevelT w="20320" h="19050" prst="angle"/>
            <a:contourClr>
              <a:schemeClr val="phClr">
                <a:shade val="30000"/>
                <a:satMod val="15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omments" Target="../comments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www.sjardfitness.de/maximalkraftrechner/" TargetMode="External"/><Relationship Id="rId7" Type="http://schemas.openxmlformats.org/officeDocument/2006/relationships/comments" Target="../comments5.xml"/><Relationship Id="rId2" Type="http://schemas.openxmlformats.org/officeDocument/2006/relationships/hyperlink" Target="https://www.sjardfitness.de/maximalkraftrechner/" TargetMode="External"/><Relationship Id="rId1" Type="http://schemas.openxmlformats.org/officeDocument/2006/relationships/hyperlink" Target="https://www.sjardfitness.de/maximalkraftrechner/" TargetMode="External"/><Relationship Id="rId6" Type="http://schemas.openxmlformats.org/officeDocument/2006/relationships/vmlDrawing" Target="../drawings/vmlDrawing5.v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sjardfitness.de/maximalkraftrechner/" TargetMode="External"/><Relationship Id="rId1" Type="http://schemas.openxmlformats.org/officeDocument/2006/relationships/hyperlink" Target="https://www.sjardfitness.de/maximalkraftrechner/" TargetMode="External"/><Relationship Id="rId5" Type="http://schemas.openxmlformats.org/officeDocument/2006/relationships/table" Target="../tables/table4.xml"/><Relationship Id="rId4"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sjardfitness.de/maximalkraftrechner/" TargetMode="External"/><Relationship Id="rId2" Type="http://schemas.openxmlformats.org/officeDocument/2006/relationships/hyperlink" Target="https://www.sjardfitness.de/maximalkraftrechner/" TargetMode="External"/><Relationship Id="rId1" Type="http://schemas.openxmlformats.org/officeDocument/2006/relationships/hyperlink" Target="https://fitness-experts.de/kraftwerte"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sjardfitness.de/maximalkraftrechner/" TargetMode="External"/><Relationship Id="rId2" Type="http://schemas.openxmlformats.org/officeDocument/2006/relationships/hyperlink" Target="https://www.sjardfitness.de/maximalkraftrechner/" TargetMode="External"/><Relationship Id="rId1" Type="http://schemas.openxmlformats.org/officeDocument/2006/relationships/hyperlink" Target="https://www.sjardfitness.de/maximalkraftrechner/" TargetMode="External"/><Relationship Id="rId5" Type="http://schemas.openxmlformats.org/officeDocument/2006/relationships/hyperlink" Target="https://www.sjardfitness.de/maximalkraftrechner/" TargetMode="External"/><Relationship Id="rId4" Type="http://schemas.openxmlformats.org/officeDocument/2006/relationships/hyperlink" Target="https://www.sjardfitness.de/maximalkraftrechner/"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35F3-E3F4-463E-8305-F44D8C862DAA}">
  <dimension ref="A1:I102"/>
  <sheetViews>
    <sheetView showGridLines="0" zoomScale="75" zoomScaleNormal="75" workbookViewId="0">
      <selection activeCell="E9" sqref="E9"/>
    </sheetView>
  </sheetViews>
  <sheetFormatPr baseColWidth="10" defaultRowHeight="12.75"/>
  <cols>
    <col min="1" max="26" width="25.7109375" customWidth="1"/>
  </cols>
  <sheetData>
    <row r="1" spans="1:9" ht="30" customHeight="1"/>
    <row r="2" spans="1:9" ht="30" customHeight="1"/>
    <row r="3" spans="1:9" ht="30" customHeight="1"/>
    <row r="4" spans="1:9" ht="30" customHeight="1"/>
    <row r="5" spans="1:9" ht="30" customHeight="1"/>
    <row r="6" spans="1:9" ht="30" customHeight="1">
      <c r="A6" s="948"/>
      <c r="B6" s="949"/>
      <c r="C6" s="661"/>
    </row>
    <row r="7" spans="1:9" ht="30" customHeight="1">
      <c r="A7" s="950" t="s">
        <v>380</v>
      </c>
      <c r="B7" s="950"/>
      <c r="C7" s="611"/>
      <c r="D7" s="612"/>
      <c r="E7" s="613"/>
    </row>
    <row r="8" spans="1:9" ht="30" customHeight="1"/>
    <row r="9" spans="1:9" ht="30" customHeight="1">
      <c r="B9" s="810" t="s">
        <v>383</v>
      </c>
      <c r="C9" s="810"/>
    </row>
    <row r="10" spans="1:9" ht="30" customHeight="1">
      <c r="B10" s="810" t="s">
        <v>384</v>
      </c>
      <c r="C10" s="810"/>
    </row>
    <row r="11" spans="1:9" ht="30" customHeight="1">
      <c r="B11" s="810" t="s">
        <v>385</v>
      </c>
      <c r="C11" s="810"/>
    </row>
    <row r="12" spans="1:9" ht="30" customHeight="1">
      <c r="B12" s="952" t="s">
        <v>387</v>
      </c>
      <c r="C12" s="952"/>
    </row>
    <row r="13" spans="1:9" ht="30" customHeight="1">
      <c r="B13" s="952"/>
      <c r="C13" s="952"/>
      <c r="E13" s="951"/>
      <c r="F13" s="951"/>
      <c r="G13" s="609"/>
      <c r="H13" s="610"/>
      <c r="I13" s="289"/>
    </row>
    <row r="14" spans="1:9" ht="30" customHeight="1">
      <c r="E14" s="245"/>
      <c r="F14" s="245"/>
      <c r="G14" s="245"/>
      <c r="H14" s="245"/>
      <c r="I14" s="245"/>
    </row>
    <row r="15" spans="1:9" ht="30" customHeight="1"/>
    <row r="16" spans="1:9" ht="30" customHeight="1">
      <c r="A16" s="947" t="s">
        <v>386</v>
      </c>
      <c r="B16" s="947"/>
      <c r="C16" s="611"/>
      <c r="D16" s="612"/>
      <c r="E16" s="613"/>
      <c r="F16" s="290"/>
    </row>
    <row r="17" spans="1:6" ht="30" customHeight="1">
      <c r="A17" s="615"/>
      <c r="B17" s="615"/>
      <c r="C17" s="609"/>
      <c r="D17" s="610"/>
      <c r="E17" s="289"/>
      <c r="F17" s="290"/>
    </row>
    <row r="18" spans="1:6" ht="30" customHeight="1">
      <c r="B18" s="663" t="s">
        <v>337</v>
      </c>
      <c r="C18" s="614" t="s">
        <v>343</v>
      </c>
    </row>
    <row r="19" spans="1:6" ht="30" customHeight="1"/>
    <row r="20" spans="1:6" ht="30" customHeight="1">
      <c r="B20" s="614" t="s">
        <v>311</v>
      </c>
      <c r="C20" s="616">
        <v>78</v>
      </c>
    </row>
    <row r="21" spans="1:6" ht="30" customHeight="1">
      <c r="B21" s="599" t="s">
        <v>338</v>
      </c>
      <c r="C21" s="617">
        <v>1.74</v>
      </c>
    </row>
    <row r="22" spans="1:6" ht="30" customHeight="1">
      <c r="B22" s="614" t="s">
        <v>339</v>
      </c>
      <c r="C22" s="600" t="s">
        <v>340</v>
      </c>
    </row>
    <row r="23" spans="1:6" ht="30" customHeight="1"/>
    <row r="24" spans="1:6" ht="30" customHeight="1">
      <c r="B24" s="599" t="s">
        <v>341</v>
      </c>
      <c r="C24" s="599" t="s">
        <v>342</v>
      </c>
    </row>
    <row r="25" spans="1:6" ht="30" customHeight="1"/>
    <row r="26" spans="1:6" ht="30" customHeight="1">
      <c r="B26" s="661"/>
      <c r="C26" s="809"/>
    </row>
    <row r="27" spans="1:6" ht="30" customHeight="1"/>
    <row r="28" spans="1:6" ht="30" customHeight="1"/>
    <row r="29" spans="1:6" ht="30" customHeight="1">
      <c r="A29" s="623" t="s">
        <v>372</v>
      </c>
      <c r="B29" s="623"/>
      <c r="C29" s="611"/>
      <c r="D29" s="612"/>
      <c r="E29" s="613"/>
    </row>
    <row r="30" spans="1:6" ht="30" customHeight="1"/>
    <row r="31" spans="1:6" ht="30" customHeight="1">
      <c r="B31" s="686" t="s">
        <v>381</v>
      </c>
      <c r="C31" s="662" t="s">
        <v>412</v>
      </c>
    </row>
    <row r="32" spans="1:6" ht="30" customHeight="1"/>
    <row r="33" spans="1:6" ht="30" customHeight="1">
      <c r="B33" s="614" t="s">
        <v>364</v>
      </c>
      <c r="C33" s="622">
        <v>43949</v>
      </c>
    </row>
    <row r="34" spans="1:6" ht="30" customHeight="1"/>
    <row r="35" spans="1:6" ht="30" customHeight="1">
      <c r="B35" s="614" t="s">
        <v>428</v>
      </c>
      <c r="C35" s="855" t="s">
        <v>416</v>
      </c>
    </row>
    <row r="36" spans="1:6" ht="30" customHeight="1"/>
    <row r="37" spans="1:6" ht="30" customHeight="1">
      <c r="B37" s="686" t="s">
        <v>382</v>
      </c>
      <c r="C37" s="662">
        <v>0.84</v>
      </c>
      <c r="E37" s="847"/>
      <c r="F37" s="848"/>
    </row>
    <row r="38" spans="1:6" ht="30" customHeight="1"/>
    <row r="39" spans="1:6" ht="30" customHeight="1">
      <c r="B39" s="849" t="s">
        <v>403</v>
      </c>
      <c r="C39" s="846" t="s">
        <v>404</v>
      </c>
    </row>
    <row r="40" spans="1:6" ht="30" customHeight="1"/>
    <row r="41" spans="1:6" ht="30" customHeight="1">
      <c r="B41" s="849" t="s">
        <v>405</v>
      </c>
      <c r="C41" s="846" t="s">
        <v>404</v>
      </c>
    </row>
    <row r="42" spans="1:6" ht="30" customHeight="1"/>
    <row r="43" spans="1:6" ht="30" customHeight="1"/>
    <row r="44" spans="1:6" ht="30" customHeight="1">
      <c r="A44" s="946" t="s">
        <v>433</v>
      </c>
      <c r="B44" s="946"/>
      <c r="C44" s="611"/>
      <c r="D44" s="612"/>
      <c r="E44" s="613"/>
    </row>
    <row r="45" spans="1:6" ht="30" customHeight="1"/>
    <row r="46" spans="1:6" ht="30" customHeight="1">
      <c r="B46" s="686" t="s">
        <v>432</v>
      </c>
      <c r="C46" s="662" t="s">
        <v>425</v>
      </c>
    </row>
    <row r="47" spans="1:6" ht="30" customHeight="1"/>
    <row r="48" spans="1:6" ht="30" customHeight="1">
      <c r="B48" s="686" t="s">
        <v>427</v>
      </c>
      <c r="C48" s="662" t="s">
        <v>426</v>
      </c>
    </row>
    <row r="49" ht="30" customHeight="1"/>
    <row r="50" ht="30" customHeight="1"/>
    <row r="51" ht="30" customHeight="1"/>
    <row r="52" ht="30" customHeight="1"/>
    <row r="53" ht="30" customHeight="1"/>
    <row r="54" ht="30" customHeight="1"/>
    <row r="55" ht="30" customHeight="1"/>
    <row r="56" ht="30" customHeight="1"/>
    <row r="57" ht="30" customHeight="1"/>
    <row r="58" ht="30" customHeight="1"/>
    <row r="59" ht="30" customHeight="1"/>
    <row r="60" ht="30" customHeight="1"/>
    <row r="61" ht="30" customHeight="1"/>
    <row r="62" ht="30" customHeight="1"/>
    <row r="63" ht="30" customHeight="1"/>
    <row r="64"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ht="30" customHeight="1"/>
    <row r="101" ht="30" customHeight="1"/>
    <row r="102" ht="30" customHeight="1"/>
  </sheetData>
  <mergeCells count="6">
    <mergeCell ref="A44:B44"/>
    <mergeCell ref="A16:B16"/>
    <mergeCell ref="A6:B6"/>
    <mergeCell ref="A7:B7"/>
    <mergeCell ref="E13:F13"/>
    <mergeCell ref="B12:C13"/>
  </mergeCells>
  <dataValidations count="5">
    <dataValidation type="list" allowBlank="1" showInputMessage="1" showErrorMessage="1" sqref="C22" xr:uid="{26EAE1F5-9C37-4C8C-A325-4CE0696B94FD}">
      <formula1>"Männlich,Weiblich"</formula1>
    </dataValidation>
    <dataValidation type="list" allowBlank="1" showInputMessage="1" showErrorMessage="1" sqref="C24" xr:uid="{BF8242FA-86D1-420D-893F-2F13FC801C7B}">
      <formula1>"[Kg],[lbs]"</formula1>
    </dataValidation>
    <dataValidation type="list" allowBlank="1" showInputMessage="1" showErrorMessage="1" sqref="C31" xr:uid="{85CD0081-2179-4B69-99AE-A20E7BEA2A8D}">
      <formula1>"4 Wochen,5 Wochen,6 Wochen,7 Wochen,8 Wochen"</formula1>
    </dataValidation>
    <dataValidation type="list" allowBlank="1" showInputMessage="1" showErrorMessage="1" sqref="C39 C41" xr:uid="{5B992F54-0319-42ED-989F-4743EC61C840}">
      <formula1>"EIN,AUS"</formula1>
    </dataValidation>
    <dataValidation type="list" allowBlank="1" showInputMessage="1" showErrorMessage="1" sqref="C46" xr:uid="{89BBA329-8B65-4F4F-8B7B-FED3A2BE5EC6}">
      <formula1>"OK/UK,OK/UK/OK+,PUSH/PULL/BEINE,PUSH/PULL,GK"</formula1>
    </dataValidation>
  </dataValidations>
  <pageMargins left="0.7" right="0.7" top="0.78740157499999996" bottom="0.78740157499999996" header="0.3" footer="0.3"/>
  <pageSetup paperSize="9"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2">
        <x14:dataValidation type="list" showInputMessage="1" showErrorMessage="1" xr:uid="{B0D99A64-2E68-4F20-82D3-ABA6936E5D6B}">
          <x14:formula1>
            <xm:f>'Funktions-Tabelle'!$B$26:$B$34</xm:f>
          </x14:formula1>
          <xm:sqref>C35</xm:sqref>
        </x14:dataValidation>
        <x14:dataValidation type="list" allowBlank="1" showInputMessage="1" showErrorMessage="1" xr:uid="{44646E64-772A-41F7-B10F-01316D0F1A4A}">
          <x14:formula1>
            <xm:f>'Funktions-Tabelle'!$Q$60:$Q$63</xm:f>
          </x14:formula1>
          <xm:sqref>C48</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Z99"/>
  <sheetViews>
    <sheetView showGridLines="0" zoomScale="73" zoomScaleNormal="73" workbookViewId="0">
      <selection activeCell="L8" sqref="L8:O8"/>
    </sheetView>
  </sheetViews>
  <sheetFormatPr baseColWidth="10" defaultColWidth="9" defaultRowHeight="12.75"/>
  <cols>
    <col min="5" max="5" width="41.140625" customWidth="1"/>
    <col min="6" max="6" width="25.7109375" style="9" customWidth="1"/>
    <col min="7" max="7" width="26.5703125" style="9" customWidth="1"/>
    <col min="8" max="8" width="26.28515625" customWidth="1"/>
    <col min="9" max="11" width="25.7109375" customWidth="1"/>
    <col min="12" max="260" width="10" customWidth="1"/>
  </cols>
  <sheetData>
    <row r="1" spans="1:15" ht="37.5" customHeight="1"/>
    <row r="2" spans="1:15" ht="49.35" customHeight="1"/>
    <row r="3" spans="1:15" ht="51.75" customHeight="1">
      <c r="A3" s="245"/>
      <c r="B3" s="955"/>
      <c r="C3" s="955"/>
      <c r="D3" s="955"/>
      <c r="E3" s="955"/>
      <c r="F3" s="955"/>
      <c r="G3" s="955"/>
      <c r="H3" s="248"/>
    </row>
    <row r="4" spans="1:15" s="245" customFormat="1" ht="21" customHeight="1">
      <c r="B4" s="249"/>
      <c r="C4" s="249"/>
      <c r="D4" s="249"/>
      <c r="E4" s="249"/>
      <c r="F4" s="249"/>
      <c r="G4" s="249"/>
      <c r="H4" s="248"/>
    </row>
    <row r="5" spans="1:15" s="245" customFormat="1" ht="63" customHeight="1">
      <c r="B5" s="249"/>
      <c r="C5" s="249"/>
      <c r="D5" s="249"/>
      <c r="E5" s="249"/>
      <c r="F5" s="249"/>
      <c r="G5" s="249"/>
      <c r="H5" s="248"/>
      <c r="J5" s="918"/>
    </row>
    <row r="6" spans="1:15" ht="60" customHeight="1">
      <c r="J6" s="918" t="str">
        <f>IF(COUNTIF(J8:J50,"GB+")&gt;15,"Achtung Maximum GB+ erreicht! (15)","")</f>
        <v/>
      </c>
    </row>
    <row r="7" spans="1:15" ht="30" customHeight="1">
      <c r="E7" s="374" t="s">
        <v>0</v>
      </c>
      <c r="F7" s="375" t="s">
        <v>1</v>
      </c>
      <c r="G7" s="375" t="s">
        <v>176</v>
      </c>
      <c r="H7" s="375" t="s">
        <v>48</v>
      </c>
      <c r="I7" s="376" t="s">
        <v>309</v>
      </c>
      <c r="J7" s="376" t="s">
        <v>232</v>
      </c>
      <c r="K7" s="377" t="s">
        <v>251</v>
      </c>
    </row>
    <row r="8" spans="1:15" ht="30" customHeight="1">
      <c r="E8" s="370" t="s">
        <v>25</v>
      </c>
      <c r="F8" s="251" t="s">
        <v>20</v>
      </c>
      <c r="G8" s="310">
        <v>5</v>
      </c>
      <c r="H8" s="306">
        <v>12</v>
      </c>
      <c r="I8" s="307">
        <v>12</v>
      </c>
      <c r="J8" s="253" t="s">
        <v>234</v>
      </c>
      <c r="K8" s="372" t="s">
        <v>252</v>
      </c>
      <c r="L8" s="958" t="str">
        <f>IF('Gewichts- Calculator'!$C$136="Ja Anzeigen",(IF($E8='Gewichts- Calculator'!$C$8," &gt;"&amp;'Gewichts- Calculator'!$D$129&amp;" &gt; "&amp;LEFT( 'Gewichts- Calculator'!$F$129,2)&amp;" "&amp;Tabelle3[[#Headers],[Wdh. im Overload]],"")),"")</f>
        <v/>
      </c>
      <c r="M8" s="958"/>
      <c r="N8" s="958"/>
      <c r="O8" s="958"/>
    </row>
    <row r="9" spans="1:15" ht="30" customHeight="1">
      <c r="E9" s="371" t="s">
        <v>228</v>
      </c>
      <c r="F9" s="252" t="s">
        <v>28</v>
      </c>
      <c r="G9" s="311">
        <v>5</v>
      </c>
      <c r="H9" s="308">
        <v>10</v>
      </c>
      <c r="I9" s="309">
        <v>10</v>
      </c>
      <c r="J9" s="254" t="s">
        <v>273</v>
      </c>
      <c r="K9" s="373" t="s">
        <v>252</v>
      </c>
      <c r="L9" s="958" t="str">
        <f>IF('Gewichts- Calculator'!$C$136="Ja Anzeigen",(IF($E9='Gewichts- Calculator'!$C$8," &gt;"&amp;'Gewichts- Calculator'!$D$129&amp;" &gt; "&amp;LEFT( 'Gewichts- Calculator'!$F$129,2)&amp;" "&amp;Tabelle3[[#Headers],[Wdh. im Overload]],"")),"")</f>
        <v/>
      </c>
      <c r="M9" s="958"/>
      <c r="N9" s="958"/>
      <c r="O9" s="958"/>
    </row>
    <row r="10" spans="1:15" ht="30" customHeight="1">
      <c r="E10" s="370" t="s">
        <v>148</v>
      </c>
      <c r="F10" s="251" t="s">
        <v>28</v>
      </c>
      <c r="G10" s="310">
        <v>5</v>
      </c>
      <c r="H10" s="306">
        <v>12</v>
      </c>
      <c r="I10" s="307">
        <v>12</v>
      </c>
      <c r="J10" s="253" t="s">
        <v>234</v>
      </c>
      <c r="K10" s="372" t="s">
        <v>252</v>
      </c>
      <c r="L10" s="958" t="str">
        <f>IF('Gewichts- Calculator'!$C$136="Ja Anzeigen",(IF($E10='Gewichts- Calculator'!$C$8," &gt;"&amp;'Gewichts- Calculator'!$D$129&amp;" &gt; "&amp;LEFT( 'Gewichts- Calculator'!$F$129,2)&amp;" "&amp;Tabelle3[[#Headers],[Wdh. im Overload]],"")),"")</f>
        <v/>
      </c>
      <c r="M10" s="958"/>
      <c r="N10" s="958"/>
      <c r="O10" s="958"/>
    </row>
    <row r="11" spans="1:15" ht="30" customHeight="1">
      <c r="E11" s="371" t="s">
        <v>281</v>
      </c>
      <c r="F11" s="252" t="s">
        <v>20</v>
      </c>
      <c r="G11" s="311">
        <v>5</v>
      </c>
      <c r="H11" s="308">
        <v>12</v>
      </c>
      <c r="I11" s="309">
        <v>12</v>
      </c>
      <c r="J11" s="254" t="s">
        <v>234</v>
      </c>
      <c r="K11" s="373" t="s">
        <v>252</v>
      </c>
      <c r="L11" s="958" t="str">
        <f>IF('Gewichts- Calculator'!$C$136="Ja Anzeigen",(IF($E11='Gewichts- Calculator'!$C$8," &gt;"&amp;'Gewichts- Calculator'!$D$129&amp;" &gt; "&amp;LEFT( 'Gewichts- Calculator'!$F$129,2)&amp;" "&amp;Tabelle3[[#Headers],[Wdh. im Overload]],"")),"")</f>
        <v/>
      </c>
      <c r="M11" s="958"/>
      <c r="N11" s="958"/>
      <c r="O11" s="958"/>
    </row>
    <row r="12" spans="1:15" ht="30" customHeight="1">
      <c r="E12" s="370" t="s">
        <v>41</v>
      </c>
      <c r="F12" s="251" t="s">
        <v>42</v>
      </c>
      <c r="G12" s="310">
        <v>2</v>
      </c>
      <c r="H12" s="306">
        <v>8</v>
      </c>
      <c r="I12" s="307">
        <v>8</v>
      </c>
      <c r="J12" s="253" t="s">
        <v>234</v>
      </c>
      <c r="K12" s="372" t="s">
        <v>253</v>
      </c>
      <c r="L12" s="958" t="str">
        <f>IF('Gewichts- Calculator'!$C$136="Ja Anzeigen",(IF($E12='Gewichts- Calculator'!$C$8," &gt;"&amp;'Gewichts- Calculator'!$D$129&amp;" &gt; "&amp;LEFT( 'Gewichts- Calculator'!$F$129,2)&amp;" "&amp;Tabelle3[[#Headers],[Wdh. im Overload]],"")),"")</f>
        <v/>
      </c>
      <c r="M12" s="958"/>
      <c r="N12" s="958"/>
      <c r="O12" s="958"/>
    </row>
    <row r="13" spans="1:15" ht="30" customHeight="1">
      <c r="E13" s="371" t="s">
        <v>149</v>
      </c>
      <c r="F13" s="252" t="s">
        <v>42</v>
      </c>
      <c r="G13" s="311">
        <v>2.5</v>
      </c>
      <c r="H13" s="308">
        <v>12</v>
      </c>
      <c r="I13" s="309">
        <v>12</v>
      </c>
      <c r="J13" s="254" t="s">
        <v>234</v>
      </c>
      <c r="K13" s="373" t="s">
        <v>253</v>
      </c>
      <c r="L13" s="958" t="str">
        <f>IF('Gewichts- Calculator'!$C$136="Ja Anzeigen",(IF($E13='Gewichts- Calculator'!$C$8," &gt;"&amp;'Gewichts- Calculator'!$D$129&amp;" &gt; "&amp;LEFT( 'Gewichts- Calculator'!$F$129,2)&amp;" "&amp;Tabelle3[[#Headers],[Wdh. im Overload]],"")),"")</f>
        <v/>
      </c>
      <c r="M13" s="958"/>
      <c r="N13" s="958"/>
      <c r="O13" s="958"/>
    </row>
    <row r="14" spans="1:15" ht="30" customHeight="1">
      <c r="E14" s="370" t="s">
        <v>137</v>
      </c>
      <c r="F14" s="251" t="s">
        <v>42</v>
      </c>
      <c r="G14" s="310">
        <v>2.5</v>
      </c>
      <c r="H14" s="306">
        <v>6</v>
      </c>
      <c r="I14" s="307">
        <v>6</v>
      </c>
      <c r="J14" s="253" t="s">
        <v>234</v>
      </c>
      <c r="K14" s="372" t="s">
        <v>253</v>
      </c>
      <c r="L14" s="958" t="str">
        <f>IF('Gewichts- Calculator'!$C$136="Ja Anzeigen",(IF($E14='Gewichts- Calculator'!$C$8," &gt;"&amp;'Gewichts- Calculator'!$D$129&amp;" &gt; "&amp;LEFT( 'Gewichts- Calculator'!$F$129,2)&amp;" "&amp;Tabelle3[[#Headers],[Wdh. im Overload]],"")),"")</f>
        <v/>
      </c>
      <c r="M14" s="958"/>
      <c r="N14" s="958"/>
      <c r="O14" s="958"/>
    </row>
    <row r="15" spans="1:15" ht="30" customHeight="1">
      <c r="E15" s="371" t="s">
        <v>72</v>
      </c>
      <c r="F15" s="252" t="s">
        <v>3</v>
      </c>
      <c r="G15" s="311">
        <v>2.5</v>
      </c>
      <c r="H15" s="308">
        <v>8</v>
      </c>
      <c r="I15" s="309">
        <v>8</v>
      </c>
      <c r="J15" s="254" t="s">
        <v>273</v>
      </c>
      <c r="K15" s="373" t="s">
        <v>253</v>
      </c>
      <c r="L15" s="958" t="str">
        <f>IF('Gewichts- Calculator'!$C$136="Ja Anzeigen",(IF($E15='Gewichts- Calculator'!$C$8," &gt;"&amp;'Gewichts- Calculator'!$D$129&amp;" &gt; "&amp;LEFT( 'Gewichts- Calculator'!$F$129,2)&amp;" "&amp;Tabelle3[[#Headers],[Wdh. im Overload]],"")),"")</f>
        <v/>
      </c>
      <c r="M15" s="958"/>
      <c r="N15" s="958"/>
      <c r="O15" s="958"/>
    </row>
    <row r="16" spans="1:15" ht="30" customHeight="1">
      <c r="E16" s="370" t="s">
        <v>147</v>
      </c>
      <c r="F16" s="251" t="s">
        <v>3</v>
      </c>
      <c r="G16" s="310">
        <v>2.5</v>
      </c>
      <c r="H16" s="306">
        <v>10</v>
      </c>
      <c r="I16" s="307">
        <v>10</v>
      </c>
      <c r="J16" s="253" t="s">
        <v>234</v>
      </c>
      <c r="K16" s="372" t="s">
        <v>253</v>
      </c>
      <c r="L16" s="958" t="str">
        <f>IF('Gewichts- Calculator'!$C$136="Ja Anzeigen",(IF($E16='Gewichts- Calculator'!$C$8," &gt;"&amp;'Gewichts- Calculator'!$D$129&amp;" &gt; "&amp;LEFT( 'Gewichts- Calculator'!$F$129,2)&amp;" "&amp;Tabelle3[[#Headers],[Wdh. im Overload]],"")),"")</f>
        <v/>
      </c>
      <c r="M16" s="958"/>
      <c r="N16" s="958"/>
      <c r="O16" s="958"/>
    </row>
    <row r="17" spans="5:17" ht="30" customHeight="1">
      <c r="E17" s="371" t="s">
        <v>151</v>
      </c>
      <c r="F17" s="252" t="s">
        <v>3</v>
      </c>
      <c r="G17" s="311">
        <v>5</v>
      </c>
      <c r="H17" s="308">
        <v>12</v>
      </c>
      <c r="I17" s="309">
        <v>12</v>
      </c>
      <c r="J17" s="254" t="s">
        <v>234</v>
      </c>
      <c r="K17" s="373" t="s">
        <v>253</v>
      </c>
      <c r="L17" s="958" t="str">
        <f>IF('Gewichts- Calculator'!$C$136="Ja Anzeigen",(IF($E17='Gewichts- Calculator'!$C$8," &gt;"&amp;'Gewichts- Calculator'!$D$129&amp;" &gt; "&amp;LEFT( 'Gewichts- Calculator'!$F$129,2)&amp;" "&amp;Tabelle3[[#Headers],[Wdh. im Overload]],"")),"")</f>
        <v/>
      </c>
      <c r="M17" s="958"/>
      <c r="N17" s="958"/>
      <c r="O17" s="958"/>
    </row>
    <row r="18" spans="5:17" ht="30" customHeight="1">
      <c r="E18" s="370" t="s">
        <v>146</v>
      </c>
      <c r="F18" s="251" t="s">
        <v>33</v>
      </c>
      <c r="G18" s="310">
        <v>5</v>
      </c>
      <c r="H18" s="306">
        <v>10</v>
      </c>
      <c r="I18" s="307">
        <v>10</v>
      </c>
      <c r="J18" s="253" t="s">
        <v>234</v>
      </c>
      <c r="K18" s="372" t="s">
        <v>253</v>
      </c>
      <c r="L18" s="958" t="str">
        <f>IF('Gewichts- Calculator'!$C$136="Ja Anzeigen",(IF($E18='Gewichts- Calculator'!$C$8," &gt;"&amp;'Gewichts- Calculator'!$D$129&amp;" &gt; "&amp;LEFT( 'Gewichts- Calculator'!$F$129,2)&amp;" "&amp;Tabelle3[[#Headers],[Wdh. im Overload]],"")),"")</f>
        <v/>
      </c>
      <c r="M18" s="958"/>
      <c r="N18" s="958"/>
      <c r="O18" s="958"/>
    </row>
    <row r="19" spans="5:17" ht="30" customHeight="1">
      <c r="E19" s="371" t="s">
        <v>83</v>
      </c>
      <c r="F19" s="252" t="s">
        <v>42</v>
      </c>
      <c r="G19" s="311">
        <v>2.5</v>
      </c>
      <c r="H19" s="308">
        <v>12</v>
      </c>
      <c r="I19" s="309">
        <v>12</v>
      </c>
      <c r="J19" s="254" t="s">
        <v>234</v>
      </c>
      <c r="K19" s="373" t="s">
        <v>253</v>
      </c>
      <c r="L19" s="958" t="str">
        <f>IF('Gewichts- Calculator'!$C$136="Ja Anzeigen",(IF($E19='Gewichts- Calculator'!$C$8," &gt;"&amp;'Gewichts- Calculator'!$D$129&amp;" &gt; "&amp;LEFT( 'Gewichts- Calculator'!$F$129,2)&amp;" "&amp;Tabelle3[[#Headers],[Wdh. im Overload]],"")),"")</f>
        <v/>
      </c>
      <c r="M19" s="958"/>
      <c r="N19" s="958"/>
      <c r="O19" s="958"/>
    </row>
    <row r="20" spans="5:17" ht="30" customHeight="1">
      <c r="E20" s="370" t="s">
        <v>82</v>
      </c>
      <c r="F20" s="251" t="s">
        <v>39</v>
      </c>
      <c r="G20" s="310">
        <v>2.5</v>
      </c>
      <c r="H20" s="306">
        <v>12</v>
      </c>
      <c r="I20" s="307">
        <v>12</v>
      </c>
      <c r="J20" s="253" t="s">
        <v>234</v>
      </c>
      <c r="K20" s="372" t="s">
        <v>253</v>
      </c>
      <c r="L20" s="958" t="str">
        <f>IF('Gewichts- Calculator'!$C$136="Ja Anzeigen",(IF($E20='Gewichts- Calculator'!$C$8," &gt;"&amp;'Gewichts- Calculator'!$D$129&amp;" &gt; "&amp;LEFT( 'Gewichts- Calculator'!$F$129,2)&amp;" "&amp;Tabelle3[[#Headers],[Wdh. im Overload]],"")),"")</f>
        <v/>
      </c>
      <c r="M20" s="958"/>
      <c r="N20" s="958"/>
      <c r="O20" s="958"/>
    </row>
    <row r="21" spans="5:17" ht="30" customHeight="1">
      <c r="E21" s="371" t="s">
        <v>45</v>
      </c>
      <c r="F21" s="252" t="s">
        <v>46</v>
      </c>
      <c r="G21" s="311">
        <v>0</v>
      </c>
      <c r="H21" s="308">
        <v>0</v>
      </c>
      <c r="I21" s="309">
        <v>0</v>
      </c>
      <c r="J21" s="254" t="s">
        <v>234</v>
      </c>
      <c r="K21" s="373" t="s">
        <v>252</v>
      </c>
      <c r="L21" s="958" t="str">
        <f>IF('Gewichts- Calculator'!$C$136="Ja Anzeigen",(IF($E21='Gewichts- Calculator'!$C$8," &gt;"&amp;'Gewichts- Calculator'!$D$129&amp;" &gt; "&amp;LEFT( 'Gewichts- Calculator'!$F$129,2)&amp;" "&amp;Tabelle3[[#Headers],[Wdh. im Overload]],"")),"")</f>
        <v/>
      </c>
      <c r="M21" s="958"/>
      <c r="N21" s="958"/>
      <c r="O21" s="958"/>
    </row>
    <row r="22" spans="5:17" ht="30" customHeight="1">
      <c r="E22" s="370" t="s">
        <v>32</v>
      </c>
      <c r="F22" s="251" t="s">
        <v>33</v>
      </c>
      <c r="G22" s="310">
        <v>2</v>
      </c>
      <c r="H22" s="306">
        <v>12</v>
      </c>
      <c r="I22" s="307">
        <v>12</v>
      </c>
      <c r="J22" s="253" t="s">
        <v>234</v>
      </c>
      <c r="K22" s="372" t="s">
        <v>253</v>
      </c>
      <c r="L22" s="958" t="str">
        <f>IF('Gewichts- Calculator'!$C$136="Ja Anzeigen",(IF($E22='Gewichts- Calculator'!$C$8," &gt;"&amp;'Gewichts- Calculator'!$D$129&amp;" &gt; "&amp;LEFT( 'Gewichts- Calculator'!$F$129,2)&amp;" "&amp;Tabelle3[[#Headers],[Wdh. im Overload]],"")),"")</f>
        <v/>
      </c>
      <c r="M22" s="958"/>
      <c r="N22" s="958"/>
      <c r="O22" s="958"/>
    </row>
    <row r="23" spans="5:17" ht="30" customHeight="1">
      <c r="E23" s="371" t="s">
        <v>193</v>
      </c>
      <c r="F23" s="252" t="s">
        <v>42</v>
      </c>
      <c r="G23" s="311">
        <v>2</v>
      </c>
      <c r="H23" s="308">
        <v>12</v>
      </c>
      <c r="I23" s="309">
        <v>12</v>
      </c>
      <c r="J23" s="254" t="s">
        <v>234</v>
      </c>
      <c r="K23" s="373" t="s">
        <v>253</v>
      </c>
      <c r="L23" s="958" t="str">
        <f>IF('Gewichts- Calculator'!$C$136="Ja Anzeigen",(IF($E23='Gewichts- Calculator'!$C$8," &gt;"&amp;'Gewichts- Calculator'!$D$129&amp;" &gt; "&amp;LEFT( 'Gewichts- Calculator'!$F$129,2)&amp;" "&amp;Tabelle3[[#Headers],[Wdh. im Overload]],"")),"")</f>
        <v/>
      </c>
      <c r="M23" s="958"/>
      <c r="N23" s="958"/>
      <c r="O23" s="958"/>
    </row>
    <row r="24" spans="5:17" ht="30" customHeight="1">
      <c r="E24" s="370" t="s">
        <v>5</v>
      </c>
      <c r="F24" s="251" t="s">
        <v>3</v>
      </c>
      <c r="G24" s="310">
        <v>2</v>
      </c>
      <c r="H24" s="306">
        <v>8</v>
      </c>
      <c r="I24" s="307">
        <v>8</v>
      </c>
      <c r="J24" s="253" t="s">
        <v>273</v>
      </c>
      <c r="K24" s="372" t="s">
        <v>253</v>
      </c>
      <c r="L24" s="958" t="str">
        <f>IF('Gewichts- Calculator'!$C$136="Ja Anzeigen",(IF($E24='Gewichts- Calculator'!$C$8," &gt;"&amp;'Gewichts- Calculator'!$D$129&amp;" &gt; "&amp;LEFT( 'Gewichts- Calculator'!$F$129,2)&amp;" "&amp;Tabelle3[[#Headers],[Wdh. im Overload]],"")),"")</f>
        <v/>
      </c>
      <c r="M24" s="958"/>
      <c r="N24" s="958"/>
      <c r="O24" s="958"/>
    </row>
    <row r="25" spans="5:17" ht="30" customHeight="1">
      <c r="E25" s="371" t="s">
        <v>16</v>
      </c>
      <c r="F25" s="252" t="s">
        <v>12</v>
      </c>
      <c r="G25" s="311">
        <v>0</v>
      </c>
      <c r="H25" s="308">
        <v>0</v>
      </c>
      <c r="I25" s="309">
        <v>0</v>
      </c>
      <c r="J25" s="254" t="s">
        <v>233</v>
      </c>
      <c r="K25" s="373" t="s">
        <v>253</v>
      </c>
      <c r="L25" s="958" t="str">
        <f>IF('Gewichts- Calculator'!$C$136="Ja Anzeigen",(IF($E25='Gewichts- Calculator'!$C$8," &gt;"&amp;'Gewichts- Calculator'!$D$129&amp;" &gt; "&amp;LEFT( 'Gewichts- Calculator'!$F$129,2)&amp;" "&amp;Tabelle3[[#Headers],[Wdh. im Overload]],"")),"")</f>
        <v/>
      </c>
      <c r="M25" s="958"/>
      <c r="N25" s="958"/>
      <c r="O25" s="958"/>
    </row>
    <row r="26" spans="5:17" ht="30" customHeight="1">
      <c r="E26" s="370" t="s">
        <v>177</v>
      </c>
      <c r="F26" s="251" t="s">
        <v>20</v>
      </c>
      <c r="G26" s="310">
        <v>2.5</v>
      </c>
      <c r="H26" s="306">
        <v>8</v>
      </c>
      <c r="I26" s="307">
        <v>8</v>
      </c>
      <c r="J26" s="253" t="s">
        <v>273</v>
      </c>
      <c r="K26" s="372" t="s">
        <v>252</v>
      </c>
      <c r="L26" s="958" t="str">
        <f>IF('Gewichts- Calculator'!$C$136="Ja Anzeigen",(IF($E26='Gewichts- Calculator'!$C$8," &gt;"&amp;'Gewichts- Calculator'!$D$129&amp;" &gt; "&amp;LEFT( 'Gewichts- Calculator'!$F$129,2)&amp;" "&amp;Tabelle3[[#Headers],[Wdh. im Overload]],"")),"")</f>
        <v/>
      </c>
      <c r="M26" s="958"/>
      <c r="N26" s="958"/>
      <c r="O26" s="958"/>
    </row>
    <row r="27" spans="5:17" ht="30" customHeight="1">
      <c r="E27" s="371" t="s">
        <v>19</v>
      </c>
      <c r="F27" s="252" t="s">
        <v>20</v>
      </c>
      <c r="G27" s="311">
        <v>2.5</v>
      </c>
      <c r="H27" s="308">
        <v>8</v>
      </c>
      <c r="I27" s="309">
        <v>8</v>
      </c>
      <c r="J27" s="254" t="s">
        <v>273</v>
      </c>
      <c r="K27" s="373" t="s">
        <v>252</v>
      </c>
      <c r="L27" s="958" t="str">
        <f>IF('Gewichts- Calculator'!$C$136="Ja Anzeigen",(IF($E27='Gewichts- Calculator'!$C$8," &gt;"&amp;'Gewichts- Calculator'!$D$129&amp;" &gt; "&amp;LEFT( 'Gewichts- Calculator'!$F$129,2)&amp;" "&amp;Tabelle3[[#Headers],[Wdh. im Overload]],"")),"")</f>
        <v/>
      </c>
      <c r="M27" s="958"/>
      <c r="N27" s="958"/>
      <c r="O27" s="958"/>
    </row>
    <row r="28" spans="5:17" ht="30" customHeight="1">
      <c r="E28" s="370" t="s">
        <v>225</v>
      </c>
      <c r="F28" s="251" t="s">
        <v>12</v>
      </c>
      <c r="G28" s="310">
        <v>2.5</v>
      </c>
      <c r="H28" s="306">
        <v>8</v>
      </c>
      <c r="I28" s="307">
        <v>8</v>
      </c>
      <c r="J28" s="253" t="s">
        <v>273</v>
      </c>
      <c r="K28" s="372" t="s">
        <v>253</v>
      </c>
      <c r="L28" s="958" t="str">
        <f>IF('Gewichts- Calculator'!$C$136="Ja Anzeigen",(IF($E28='Gewichts- Calculator'!$C$8," &gt;"&amp;'Gewichts- Calculator'!$D$129&amp;" &gt; "&amp;LEFT( 'Gewichts- Calculator'!$F$129,2)&amp;" "&amp;Tabelle3[[#Headers],[Wdh. im Overload]],"")),"")</f>
        <v/>
      </c>
      <c r="M28" s="958"/>
      <c r="N28" s="958"/>
      <c r="O28" s="958"/>
    </row>
    <row r="29" spans="5:17" ht="30" customHeight="1">
      <c r="E29" s="371" t="s">
        <v>14</v>
      </c>
      <c r="F29" s="252" t="s">
        <v>12</v>
      </c>
      <c r="G29" s="311">
        <v>2.5</v>
      </c>
      <c r="H29" s="308">
        <v>8</v>
      </c>
      <c r="I29" s="309">
        <v>8</v>
      </c>
      <c r="J29" s="254" t="s">
        <v>273</v>
      </c>
      <c r="K29" s="373" t="s">
        <v>253</v>
      </c>
      <c r="L29" s="958" t="str">
        <f>IF('Gewichts- Calculator'!$C$136="Ja Anzeigen",(IF($E29='Gewichts- Calculator'!$C$8," &gt;"&amp;'Gewichts- Calculator'!$D$129&amp;" &gt; "&amp;LEFT( 'Gewichts- Calculator'!$F$129,2)&amp;" "&amp;Tabelle3[[#Headers],[Wdh. im Overload]],"")),"")</f>
        <v/>
      </c>
      <c r="M29" s="958"/>
      <c r="N29" s="958"/>
      <c r="O29" s="958"/>
    </row>
    <row r="30" spans="5:17" ht="30" customHeight="1">
      <c r="E30" s="370" t="s">
        <v>150</v>
      </c>
      <c r="F30" s="251" t="s">
        <v>12</v>
      </c>
      <c r="G30" s="310">
        <v>5</v>
      </c>
      <c r="H30" s="306">
        <v>12</v>
      </c>
      <c r="I30" s="307">
        <v>12</v>
      </c>
      <c r="J30" s="253" t="s">
        <v>234</v>
      </c>
      <c r="K30" s="372" t="s">
        <v>253</v>
      </c>
      <c r="L30" s="958" t="str">
        <f>IF('Gewichts- Calculator'!$C$136="Ja Anzeigen",(IF($E30='Gewichts- Calculator'!$C$8," &gt;"&amp;'Gewichts- Calculator'!$D$129&amp;" &gt; "&amp;LEFT( 'Gewichts- Calculator'!$F$129,2)&amp;" "&amp;Tabelle3[[#Headers],[Wdh. im Overload]],"")),"")</f>
        <v/>
      </c>
      <c r="M30" s="958"/>
      <c r="N30" s="958"/>
      <c r="O30" s="958"/>
    </row>
    <row r="31" spans="5:17" ht="30" customHeight="1">
      <c r="E31" s="371" t="s">
        <v>2</v>
      </c>
      <c r="F31" s="252" t="s">
        <v>3</v>
      </c>
      <c r="G31" s="311">
        <v>2.5</v>
      </c>
      <c r="H31" s="308">
        <v>5</v>
      </c>
      <c r="I31" s="309">
        <v>5</v>
      </c>
      <c r="J31" s="254" t="s">
        <v>273</v>
      </c>
      <c r="K31" s="373" t="s">
        <v>253</v>
      </c>
      <c r="L31" s="958" t="str">
        <f>IF('Gewichts- Calculator'!$C$136="Ja Anzeigen",(IF($E31='Gewichts- Calculator'!$C$8," &gt;"&amp;'Gewichts- Calculator'!$D$129&amp;" &gt; "&amp;LEFT( 'Gewichts- Calculator'!$F$129,2)&amp;" "&amp;Tabelle3[[#Headers],[Wdh. im Overload]],"")),"")</f>
        <v/>
      </c>
      <c r="M31" s="958"/>
      <c r="N31" s="958"/>
      <c r="O31" s="958"/>
      <c r="Q31" s="245"/>
    </row>
    <row r="32" spans="5:17" ht="30" customHeight="1">
      <c r="E32" s="370" t="s">
        <v>135</v>
      </c>
      <c r="F32" s="251" t="s">
        <v>12</v>
      </c>
      <c r="G32" s="310">
        <v>2.5</v>
      </c>
      <c r="H32" s="306">
        <v>8</v>
      </c>
      <c r="I32" s="307">
        <v>8</v>
      </c>
      <c r="J32" s="253" t="s">
        <v>273</v>
      </c>
      <c r="K32" s="372" t="s">
        <v>253</v>
      </c>
      <c r="L32" s="958" t="str">
        <f>IF('Gewichts- Calculator'!$C$136="Ja Anzeigen",(IF($E32='Gewichts- Calculator'!$C$8," &gt;"&amp;'Gewichts- Calculator'!$D$129&amp;" &gt; "&amp;LEFT( 'Gewichts- Calculator'!$F$129,2)&amp;" "&amp;Tabelle3[[#Headers],[Wdh. im Overload]],"")),"")</f>
        <v/>
      </c>
      <c r="M32" s="958"/>
      <c r="N32" s="958"/>
      <c r="O32" s="958"/>
    </row>
    <row r="33" spans="5:15" ht="30" customHeight="1">
      <c r="E33" s="371" t="s">
        <v>6</v>
      </c>
      <c r="F33" s="252" t="s">
        <v>3</v>
      </c>
      <c r="G33" s="311">
        <v>2.5</v>
      </c>
      <c r="H33" s="308">
        <v>8</v>
      </c>
      <c r="I33" s="309">
        <v>8</v>
      </c>
      <c r="J33" s="254" t="s">
        <v>233</v>
      </c>
      <c r="K33" s="373" t="s">
        <v>253</v>
      </c>
      <c r="L33" s="958" t="str">
        <f>IF('Gewichts- Calculator'!$C$136="Ja Anzeigen",(IF($E33='Gewichts- Calculator'!$C$8," &gt;"&amp;'Gewichts- Calculator'!$D$129&amp;" &gt; "&amp;LEFT( 'Gewichts- Calculator'!$F$129,2)&amp;" "&amp;Tabelle3[[#Headers],[Wdh. im Overload]],"")),"")</f>
        <v/>
      </c>
      <c r="M33" s="958"/>
      <c r="N33" s="958"/>
      <c r="O33" s="958"/>
    </row>
    <row r="34" spans="5:15" ht="30" customHeight="1">
      <c r="E34" s="370" t="s">
        <v>153</v>
      </c>
      <c r="F34" s="251" t="s">
        <v>31</v>
      </c>
      <c r="G34" s="310">
        <v>2.5</v>
      </c>
      <c r="H34" s="306">
        <v>8</v>
      </c>
      <c r="I34" s="307">
        <v>8</v>
      </c>
      <c r="J34" s="253" t="s">
        <v>273</v>
      </c>
      <c r="K34" s="372" t="s">
        <v>253</v>
      </c>
      <c r="L34" s="958" t="str">
        <f>IF('Gewichts- Calculator'!$C$136="Ja Anzeigen",(IF($E34='Gewichts- Calculator'!$C$8," &gt;"&amp;'Gewichts- Calculator'!$D$129&amp;" &gt; "&amp;LEFT( 'Gewichts- Calculator'!$F$129,2)&amp;" "&amp;Tabelle3[[#Headers],[Wdh. im Overload]],"")),"")</f>
        <v/>
      </c>
      <c r="M34" s="958"/>
      <c r="N34" s="958"/>
      <c r="O34" s="958"/>
    </row>
    <row r="35" spans="5:15" ht="30" customHeight="1">
      <c r="E35" s="371" t="s">
        <v>74</v>
      </c>
      <c r="F35" s="252" t="s">
        <v>33</v>
      </c>
      <c r="G35" s="311">
        <v>2.5</v>
      </c>
      <c r="H35" s="308">
        <v>12</v>
      </c>
      <c r="I35" s="309">
        <v>12</v>
      </c>
      <c r="J35" s="254" t="s">
        <v>234</v>
      </c>
      <c r="K35" s="373" t="s">
        <v>253</v>
      </c>
      <c r="L35" s="958" t="str">
        <f>IF('Gewichts- Calculator'!$C$136="Ja Anzeigen",(IF($E35='Gewichts- Calculator'!$C$8," &gt;"&amp;'Gewichts- Calculator'!$D$129&amp;" &gt; "&amp;LEFT( 'Gewichts- Calculator'!$F$129,2)&amp;" "&amp;Tabelle3[[#Headers],[Wdh. im Overload]],"")),"")</f>
        <v/>
      </c>
      <c r="M35" s="958"/>
      <c r="N35" s="958"/>
      <c r="O35" s="958"/>
    </row>
    <row r="36" spans="5:15" ht="30" customHeight="1">
      <c r="E36" s="370" t="s">
        <v>152</v>
      </c>
      <c r="F36" s="251" t="s">
        <v>12</v>
      </c>
      <c r="G36" s="310">
        <v>5</v>
      </c>
      <c r="H36" s="306">
        <v>8</v>
      </c>
      <c r="I36" s="307">
        <v>8</v>
      </c>
      <c r="J36" s="253" t="s">
        <v>273</v>
      </c>
      <c r="K36" s="372" t="s">
        <v>253</v>
      </c>
      <c r="L36" s="958" t="str">
        <f>IF('Gewichts- Calculator'!$C$136="Ja Anzeigen",(IF($E36='Gewichts- Calculator'!$C$8," &gt;"&amp;'Gewichts- Calculator'!$D$129&amp;" &gt; "&amp;LEFT( 'Gewichts- Calculator'!$F$129,2)&amp;" "&amp;Tabelle3[[#Headers],[Wdh. im Overload]],"")),"")</f>
        <v/>
      </c>
      <c r="M36" s="958"/>
      <c r="N36" s="958"/>
      <c r="O36" s="958"/>
    </row>
    <row r="37" spans="5:15" ht="30" customHeight="1">
      <c r="E37" s="371" t="s">
        <v>73</v>
      </c>
      <c r="F37" s="252" t="s">
        <v>12</v>
      </c>
      <c r="G37" s="311">
        <v>2.5</v>
      </c>
      <c r="H37" s="308">
        <v>10</v>
      </c>
      <c r="I37" s="309">
        <v>10</v>
      </c>
      <c r="J37" s="254" t="s">
        <v>234</v>
      </c>
      <c r="K37" s="373" t="s">
        <v>253</v>
      </c>
      <c r="L37" s="958" t="str">
        <f>IF('Gewichts- Calculator'!$C$136="Ja Anzeigen",(IF($E37='Gewichts- Calculator'!$C$8," &gt;"&amp;'Gewichts- Calculator'!$D$129&amp;" &gt; "&amp;LEFT( 'Gewichts- Calculator'!$F$129,2)&amp;" "&amp;Tabelle3[[#Headers],[Wdh. im Overload]],"")),"")</f>
        <v/>
      </c>
      <c r="M37" s="958"/>
      <c r="N37" s="958"/>
      <c r="O37" s="958"/>
    </row>
    <row r="38" spans="5:15" ht="30" customHeight="1">
      <c r="E38" s="370" t="s">
        <v>27</v>
      </c>
      <c r="F38" s="251" t="s">
        <v>28</v>
      </c>
      <c r="G38" s="310">
        <v>2.5</v>
      </c>
      <c r="H38" s="306">
        <v>10</v>
      </c>
      <c r="I38" s="307">
        <v>10</v>
      </c>
      <c r="J38" s="253" t="s">
        <v>273</v>
      </c>
      <c r="K38" s="372" t="s">
        <v>252</v>
      </c>
      <c r="L38" s="958" t="str">
        <f>IF('Gewichts- Calculator'!$C$136="Ja Anzeigen",(IF($E38='Gewichts- Calculator'!$C$8," &gt;"&amp;'Gewichts- Calculator'!$D$129&amp;" &gt; "&amp;LEFT( 'Gewichts- Calculator'!$F$129,2)&amp;" "&amp;Tabelle3[[#Headers],[Wdh. im Overload]],"")),"")</f>
        <v/>
      </c>
      <c r="M38" s="958"/>
      <c r="N38" s="958"/>
      <c r="O38" s="958"/>
    </row>
    <row r="39" spans="5:15" ht="30" customHeight="1">
      <c r="E39" s="371" t="s">
        <v>77</v>
      </c>
      <c r="F39" s="252" t="s">
        <v>31</v>
      </c>
      <c r="G39" s="311">
        <v>2.5</v>
      </c>
      <c r="H39" s="308">
        <v>12</v>
      </c>
      <c r="I39" s="309">
        <v>12</v>
      </c>
      <c r="J39" s="254" t="s">
        <v>234</v>
      </c>
      <c r="K39" s="373" t="s">
        <v>253</v>
      </c>
      <c r="L39" s="958" t="str">
        <f>IF('Gewichts- Calculator'!$C$136="Ja Anzeigen",(IF($E39='Gewichts- Calculator'!$C$8," &gt;"&amp;'Gewichts- Calculator'!$D$129&amp;" &gt; "&amp;LEFT( 'Gewichts- Calculator'!$F$129,2)&amp;" "&amp;Tabelle3[[#Headers],[Wdh. im Overload]],"")),"")</f>
        <v/>
      </c>
      <c r="M39" s="958"/>
      <c r="N39" s="958"/>
      <c r="O39" s="958"/>
    </row>
    <row r="40" spans="5:15" ht="30" customHeight="1">
      <c r="E40" s="370" t="s">
        <v>81</v>
      </c>
      <c r="F40" s="251" t="s">
        <v>39</v>
      </c>
      <c r="G40" s="310">
        <v>2.5</v>
      </c>
      <c r="H40" s="306">
        <v>8</v>
      </c>
      <c r="I40" s="307">
        <v>8</v>
      </c>
      <c r="J40" s="253" t="s">
        <v>234</v>
      </c>
      <c r="K40" s="372" t="s">
        <v>253</v>
      </c>
      <c r="L40" s="958" t="str">
        <f>IF('Gewichts- Calculator'!$C$136="Ja Anzeigen",(IF($E40='Gewichts- Calculator'!$C$8," &gt;"&amp;'Gewichts- Calculator'!$D$129&amp;" &gt; "&amp;LEFT( 'Gewichts- Calculator'!$F$129,2)&amp;" "&amp;Tabelle3[[#Headers],[Wdh. im Overload]],"")),"")</f>
        <v/>
      </c>
      <c r="M40" s="958"/>
      <c r="N40" s="958"/>
      <c r="O40" s="958"/>
    </row>
    <row r="41" spans="5:15" ht="30" customHeight="1">
      <c r="E41" s="371" t="s">
        <v>282</v>
      </c>
      <c r="F41" s="252" t="s">
        <v>31</v>
      </c>
      <c r="G41" s="311">
        <v>2</v>
      </c>
      <c r="H41" s="308">
        <v>10</v>
      </c>
      <c r="I41" s="309">
        <v>10</v>
      </c>
      <c r="J41" s="254" t="s">
        <v>234</v>
      </c>
      <c r="K41" s="373" t="s">
        <v>253</v>
      </c>
      <c r="L41" s="958" t="str">
        <f>IF('Gewichts- Calculator'!$C$136="Ja Anzeigen",(IF($E41='Gewichts- Calculator'!$C$8," &gt;"&amp;'Gewichts- Calculator'!$D$129&amp;" &gt; "&amp;LEFT( 'Gewichts- Calculator'!$F$129,2)&amp;" "&amp;Tabelle3[[#Headers],[Wdh. im Overload]],"")),"")</f>
        <v/>
      </c>
      <c r="M41" s="958"/>
      <c r="N41" s="958"/>
      <c r="O41" s="958"/>
    </row>
    <row r="42" spans="5:15" ht="30" customHeight="1">
      <c r="E42" s="370" t="s">
        <v>283</v>
      </c>
      <c r="F42" s="251" t="s">
        <v>31</v>
      </c>
      <c r="G42" s="310">
        <v>2</v>
      </c>
      <c r="H42" s="306">
        <v>8</v>
      </c>
      <c r="I42" s="307">
        <v>8</v>
      </c>
      <c r="J42" s="253" t="s">
        <v>234</v>
      </c>
      <c r="K42" s="372" t="s">
        <v>253</v>
      </c>
      <c r="L42" s="958" t="str">
        <f>IF('Gewichts- Calculator'!$C$136="Ja Anzeigen",(IF($E42='Gewichts- Calculator'!$C$8," &gt;"&amp;'Gewichts- Calculator'!$D$129&amp;" &gt; "&amp;LEFT( 'Gewichts- Calculator'!$F$129,2)&amp;" "&amp;Tabelle3[[#Headers],[Wdh. im Overload]],"")),"")</f>
        <v/>
      </c>
      <c r="M42" s="958"/>
      <c r="N42" s="958"/>
      <c r="O42" s="958"/>
    </row>
    <row r="43" spans="5:15" ht="30" customHeight="1">
      <c r="E43" s="371" t="s">
        <v>76</v>
      </c>
      <c r="F43" s="252" t="s">
        <v>39</v>
      </c>
      <c r="G43" s="311">
        <v>2.5</v>
      </c>
      <c r="H43" s="308">
        <v>10</v>
      </c>
      <c r="I43" s="309">
        <v>10</v>
      </c>
      <c r="J43" s="254" t="s">
        <v>234</v>
      </c>
      <c r="K43" s="373" t="s">
        <v>253</v>
      </c>
      <c r="L43" s="958" t="str">
        <f>IF('Gewichts- Calculator'!$C$136="Ja Anzeigen",(IF($E43='Gewichts- Calculator'!$C$8," &gt;"&amp;'Gewichts- Calculator'!$D$129&amp;" &gt; "&amp;LEFT( 'Gewichts- Calculator'!$F$129,2)&amp;" "&amp;Tabelle3[[#Headers],[Wdh. im Overload]],"")),"")</f>
        <v/>
      </c>
      <c r="M43" s="958"/>
      <c r="N43" s="958"/>
      <c r="O43" s="958"/>
    </row>
    <row r="44" spans="5:15" ht="30" customHeight="1">
      <c r="E44" s="370" t="s">
        <v>40</v>
      </c>
      <c r="F44" s="251" t="s">
        <v>39</v>
      </c>
      <c r="G44" s="310">
        <v>2.5</v>
      </c>
      <c r="H44" s="306">
        <v>12</v>
      </c>
      <c r="I44" s="307">
        <v>12</v>
      </c>
      <c r="J44" s="253" t="s">
        <v>234</v>
      </c>
      <c r="K44" s="372" t="s">
        <v>253</v>
      </c>
      <c r="L44" s="958" t="str">
        <f>IF('Gewichts- Calculator'!$C$136="Ja Anzeigen",(IF($E44='Gewichts- Calculator'!$C$8," &gt;"&amp;'Gewichts- Calculator'!$D$129&amp;" &gt; "&amp;LEFT( 'Gewichts- Calculator'!$F$129,2)&amp;" "&amp;Tabelle3[[#Headers],[Wdh. im Overload]],"")),"")</f>
        <v/>
      </c>
      <c r="M44" s="958"/>
      <c r="N44" s="958"/>
      <c r="O44" s="958"/>
    </row>
    <row r="45" spans="5:15" ht="30" customHeight="1">
      <c r="E45" s="371" t="s">
        <v>43</v>
      </c>
      <c r="F45" s="252" t="s">
        <v>44</v>
      </c>
      <c r="G45" s="311">
        <v>2.5</v>
      </c>
      <c r="H45" s="308">
        <v>0</v>
      </c>
      <c r="I45" s="309">
        <v>0</v>
      </c>
      <c r="J45" s="254" t="s">
        <v>234</v>
      </c>
      <c r="K45" s="373" t="s">
        <v>252</v>
      </c>
      <c r="L45" s="958" t="str">
        <f>IF('Gewichts- Calculator'!$C$136="Ja Anzeigen",(IF($E45='Gewichts- Calculator'!$C$8," &gt;"&amp;'Gewichts- Calculator'!$D$129&amp;" &gt; "&amp;LEFT( 'Gewichts- Calculator'!$F$129,2)&amp;" "&amp;Tabelle3[[#Headers],[Wdh. im Overload]],"")),"")</f>
        <v/>
      </c>
      <c r="M45" s="958"/>
      <c r="N45" s="958"/>
      <c r="O45" s="958"/>
    </row>
    <row r="46" spans="5:15" ht="30" customHeight="1">
      <c r="E46" s="370"/>
      <c r="F46" s="251"/>
      <c r="G46" s="310"/>
      <c r="H46" s="306"/>
      <c r="I46" s="307"/>
      <c r="J46" s="253"/>
      <c r="K46" s="372"/>
      <c r="L46" s="958" t="str">
        <f>IF('Gewichts- Calculator'!$C$136="Ja Anzeigen",(IF($E46='Gewichts- Calculator'!$C$8," &gt;"&amp;'Gewichts- Calculator'!$D$129&amp;" &gt; "&amp;LEFT( 'Gewichts- Calculator'!$F$129,2)&amp;" "&amp;Tabelle3[[#Headers],[Wdh. im Overload]],"")),"")</f>
        <v/>
      </c>
      <c r="M46" s="958"/>
      <c r="N46" s="958"/>
      <c r="O46" s="958"/>
    </row>
    <row r="47" spans="5:15" ht="30" customHeight="1">
      <c r="E47" s="371"/>
      <c r="F47" s="252"/>
      <c r="G47" s="311"/>
      <c r="H47" s="308"/>
      <c r="I47" s="309"/>
      <c r="J47" s="254"/>
      <c r="K47" s="373"/>
      <c r="L47" s="958" t="str">
        <f>IF('Gewichts- Calculator'!$C$136="Ja Anzeigen",(IF($E47='Gewichts- Calculator'!$C$8," &gt;"&amp;'Gewichts- Calculator'!$D$129&amp;" &gt; "&amp;LEFT( 'Gewichts- Calculator'!$F$129,2)&amp;" "&amp;Tabelle3[[#Headers],[Wdh. im Overload]],"")),"")</f>
        <v/>
      </c>
      <c r="M47" s="958"/>
      <c r="N47" s="958"/>
      <c r="O47" s="958"/>
    </row>
    <row r="48" spans="5:15" ht="30" customHeight="1">
      <c r="E48" s="370"/>
      <c r="F48" s="251"/>
      <c r="G48" s="310"/>
      <c r="H48" s="306"/>
      <c r="I48" s="307"/>
      <c r="J48" s="253"/>
      <c r="K48" s="372"/>
      <c r="L48" s="958" t="str">
        <f>IF('Gewichts- Calculator'!$C$136="Ja Anzeigen",(IF($E48='Gewichts- Calculator'!$C$8," &gt;"&amp;'Gewichts- Calculator'!$D$129&amp;" &gt; "&amp;LEFT( 'Gewichts- Calculator'!$F$129,2)&amp;" "&amp;Tabelle3[[#Headers],[Wdh. im Overload]],"")),"")</f>
        <v/>
      </c>
      <c r="M48" s="958"/>
      <c r="N48" s="958"/>
      <c r="O48" s="958"/>
    </row>
    <row r="49" spans="5:260" ht="30" customHeight="1">
      <c r="E49" s="371"/>
      <c r="F49" s="252"/>
      <c r="G49" s="311"/>
      <c r="H49" s="308"/>
      <c r="I49" s="309"/>
      <c r="J49" s="254"/>
      <c r="K49" s="373"/>
      <c r="L49" s="958" t="str">
        <f>IF('Gewichts- Calculator'!$C$136="Ja Anzeigen",(IF($E49='Gewichts- Calculator'!$C$8," &gt;"&amp;'Gewichts- Calculator'!$D$129&amp;" &gt; "&amp;LEFT( 'Gewichts- Calculator'!$F$129,2)&amp;" "&amp;Tabelle3[[#Headers],[Wdh. im Overload]],"")),"")</f>
        <v/>
      </c>
      <c r="M49" s="958"/>
      <c r="N49" s="958"/>
      <c r="O49" s="958"/>
    </row>
    <row r="50" spans="5:260" ht="30" customHeight="1">
      <c r="E50" s="378"/>
      <c r="F50" s="379"/>
      <c r="G50" s="380"/>
      <c r="H50" s="381"/>
      <c r="I50" s="382"/>
      <c r="J50" s="383"/>
      <c r="K50" s="384"/>
      <c r="L50" s="958" t="str">
        <f>IF('Gewichts- Calculator'!$C$136="Ja Anzeigen",(IF($E50='Gewichts- Calculator'!$C$8," &gt;"&amp;'Gewichts- Calculator'!$D$129&amp;" &gt; "&amp;LEFT( 'Gewichts- Calculator'!$F$129,2)&amp;" "&amp;Tabelle3[[#Headers],[Wdh. im Overload]],"")),"")</f>
        <v/>
      </c>
      <c r="M50" s="958"/>
      <c r="N50" s="958"/>
      <c r="O50" s="958"/>
    </row>
    <row r="51" spans="5:260" ht="30" customHeight="1">
      <c r="G51" s="211"/>
      <c r="H51" s="212"/>
      <c r="I51" s="212"/>
      <c r="L51" s="958" t="str">
        <f>IF('Gewichts- Calculator'!$C$136="Ja Anzeigen",(IF($E51='Gewichts- Calculator'!$C$8," &gt;"&amp;'Gewichts- Calculator'!$D$129&amp;" &gt; "&amp;LEFT( 'Gewichts- Calculator'!$F$129,2)&amp;" "&amp;Tabelle3[[#Headers],[Wdh. im Overload]],"")),"")</f>
        <v/>
      </c>
      <c r="M51" s="958"/>
      <c r="N51" s="958"/>
      <c r="O51" s="958"/>
    </row>
    <row r="52" spans="5:260" ht="30" customHeight="1">
      <c r="G52" s="211"/>
      <c r="H52" s="212"/>
      <c r="I52" s="212"/>
      <c r="L52" s="958" t="str">
        <f>IF('Gewichts- Calculator'!$C$136="Ja Anzeigen",(IF($E52='Gewichts- Calculator'!$C$8," &gt;"&amp;'Gewichts- Calculator'!$D$129&amp;" &gt; "&amp;LEFT( 'Gewichts- Calculator'!$F$129,2)&amp;" "&amp;Tabelle3[[#Headers],[Wdh. im Overload]],"")),"")</f>
        <v/>
      </c>
      <c r="M52" s="958"/>
      <c r="N52" s="958"/>
      <c r="O52" s="958"/>
    </row>
    <row r="53" spans="5:260" ht="30" customHeight="1">
      <c r="E53" s="213"/>
      <c r="F53" s="214"/>
      <c r="G53" s="215"/>
      <c r="H53" s="953"/>
      <c r="I53" s="954"/>
      <c r="J53" s="954"/>
      <c r="K53" s="585"/>
      <c r="L53" s="958" t="str">
        <f>IF('Gewichts- Calculator'!$C$136="Ja Anzeigen",(IF($E53='Gewichts- Calculator'!$C$8," &gt;"&amp;'Gewichts- Calculator'!$D$129&amp;" &gt; "&amp;LEFT( 'Gewichts- Calculator'!$F$129,2)&amp;" "&amp;Tabelle3[[#Headers],[Wdh. im Overload]],"")),"")</f>
        <v/>
      </c>
      <c r="M53" s="958"/>
      <c r="N53" s="958"/>
      <c r="O53" s="958"/>
      <c r="P53" s="586"/>
      <c r="Q53" s="953"/>
      <c r="R53" s="954"/>
      <c r="S53" s="954"/>
      <c r="T53" s="953"/>
      <c r="U53" s="954"/>
      <c r="V53" s="954"/>
      <c r="W53" s="953"/>
      <c r="X53" s="954"/>
      <c r="Y53" s="954"/>
      <c r="Z53" s="953"/>
      <c r="AA53" s="954"/>
      <c r="AB53" s="954"/>
      <c r="AC53" s="953"/>
      <c r="AD53" s="954"/>
      <c r="AE53" s="954"/>
      <c r="AF53" s="953"/>
      <c r="AG53" s="954"/>
      <c r="AH53" s="954"/>
      <c r="AI53" s="953"/>
      <c r="AJ53" s="954"/>
      <c r="AK53" s="954"/>
      <c r="AL53" s="953"/>
      <c r="AM53" s="954"/>
      <c r="AN53" s="954"/>
      <c r="AO53" s="953"/>
      <c r="AP53" s="954"/>
      <c r="AQ53" s="954"/>
      <c r="AR53" s="953"/>
      <c r="AS53" s="954"/>
      <c r="AT53" s="954"/>
      <c r="AU53" s="953"/>
      <c r="AV53" s="954"/>
      <c r="AW53" s="954"/>
      <c r="AX53" s="953"/>
      <c r="AY53" s="954"/>
      <c r="AZ53" s="954"/>
      <c r="BA53" s="953"/>
      <c r="BB53" s="954"/>
      <c r="BC53" s="954"/>
      <c r="BD53" s="953"/>
      <c r="BE53" s="954"/>
      <c r="BF53" s="954"/>
      <c r="BG53" s="953"/>
      <c r="BH53" s="954"/>
      <c r="BI53" s="954"/>
      <c r="BJ53" s="953"/>
      <c r="BK53" s="954"/>
      <c r="BL53" s="954"/>
      <c r="BM53" s="953"/>
      <c r="BN53" s="954"/>
      <c r="BO53" s="954"/>
      <c r="BP53" s="953"/>
      <c r="BQ53" s="954"/>
      <c r="BR53" s="954"/>
      <c r="BS53" s="953"/>
      <c r="BT53" s="954"/>
      <c r="BU53" s="954"/>
      <c r="BV53" s="953"/>
      <c r="BW53" s="954"/>
      <c r="BX53" s="954"/>
      <c r="BY53" s="953"/>
      <c r="BZ53" s="954"/>
      <c r="CA53" s="954"/>
      <c r="CB53" s="953"/>
      <c r="CC53" s="954"/>
      <c r="CD53" s="954"/>
      <c r="CE53" s="953"/>
      <c r="CF53" s="954"/>
      <c r="CG53" s="954"/>
      <c r="CH53" s="953"/>
      <c r="CI53" s="954"/>
      <c r="CJ53" s="954"/>
      <c r="CK53" s="953"/>
      <c r="CL53" s="954"/>
      <c r="CM53" s="954"/>
      <c r="CN53" s="953"/>
      <c r="CO53" s="954"/>
      <c r="CP53" s="954"/>
      <c r="CQ53" s="953"/>
      <c r="CR53" s="954"/>
      <c r="CS53" s="954"/>
      <c r="CT53" s="953"/>
      <c r="CU53" s="954"/>
      <c r="CV53" s="954"/>
      <c r="CW53" s="953"/>
      <c r="CX53" s="954"/>
      <c r="CY53" s="954"/>
      <c r="CZ53" s="953"/>
      <c r="DA53" s="954"/>
      <c r="DB53" s="954"/>
      <c r="DC53" s="953"/>
      <c r="DD53" s="954"/>
      <c r="DE53" s="954"/>
      <c r="DF53" s="953"/>
      <c r="DG53" s="954"/>
      <c r="DH53" s="954"/>
      <c r="DI53" s="953"/>
      <c r="DJ53" s="954"/>
      <c r="DK53" s="954"/>
      <c r="DL53" s="953"/>
      <c r="DM53" s="954"/>
      <c r="DN53" s="954"/>
      <c r="DO53" s="953"/>
      <c r="DP53" s="954"/>
      <c r="DQ53" s="954"/>
      <c r="DR53" s="953"/>
      <c r="DS53" s="954"/>
      <c r="DT53" s="954"/>
      <c r="DU53" s="953"/>
      <c r="DV53" s="954"/>
      <c r="DW53" s="954"/>
      <c r="DX53" s="953"/>
      <c r="DY53" s="954"/>
      <c r="DZ53" s="954"/>
      <c r="EA53" s="953"/>
      <c r="EB53" s="954"/>
      <c r="EC53" s="954"/>
      <c r="ED53" s="953"/>
      <c r="EE53" s="954"/>
      <c r="EF53" s="954"/>
      <c r="EG53" s="953"/>
      <c r="EH53" s="954"/>
      <c r="EI53" s="954"/>
      <c r="EJ53" s="953"/>
      <c r="EK53" s="954"/>
      <c r="EL53" s="954"/>
      <c r="EM53" s="953"/>
      <c r="EN53" s="954"/>
      <c r="EO53" s="954"/>
      <c r="EP53" s="953"/>
      <c r="EQ53" s="954"/>
      <c r="ER53" s="954"/>
      <c r="ES53" s="953"/>
      <c r="ET53" s="954"/>
      <c r="EU53" s="954"/>
      <c r="EV53" s="953"/>
      <c r="EW53" s="954"/>
      <c r="EX53" s="954"/>
      <c r="EY53" s="953"/>
      <c r="EZ53" s="954"/>
      <c r="FA53" s="954"/>
      <c r="FB53" s="953"/>
      <c r="FC53" s="954"/>
      <c r="FD53" s="954"/>
      <c r="FE53" s="953"/>
      <c r="FF53" s="954"/>
      <c r="FG53" s="954"/>
      <c r="FH53" s="953"/>
      <c r="FI53" s="954"/>
      <c r="FJ53" s="954"/>
      <c r="FK53" s="953"/>
      <c r="FL53" s="954"/>
      <c r="FM53" s="954"/>
      <c r="FN53" s="953"/>
      <c r="FO53" s="954"/>
      <c r="FP53" s="954"/>
      <c r="FQ53" s="953"/>
      <c r="FR53" s="954"/>
      <c r="FS53" s="954"/>
      <c r="FT53" s="953"/>
      <c r="FU53" s="954"/>
      <c r="FV53" s="954"/>
      <c r="FW53" s="953"/>
      <c r="FX53" s="954"/>
      <c r="FY53" s="954"/>
      <c r="FZ53" s="953"/>
      <c r="GA53" s="954"/>
      <c r="GB53" s="954"/>
      <c r="GC53" s="953"/>
      <c r="GD53" s="954"/>
      <c r="GE53" s="954"/>
      <c r="GF53" s="953"/>
      <c r="GG53" s="954"/>
      <c r="GH53" s="954"/>
      <c r="GI53" s="953"/>
      <c r="GJ53" s="954"/>
      <c r="GK53" s="954"/>
      <c r="GL53" s="953"/>
      <c r="GM53" s="954"/>
      <c r="GN53" s="954"/>
      <c r="GO53" s="953"/>
      <c r="GP53" s="954"/>
      <c r="GQ53" s="954"/>
      <c r="GR53" s="953"/>
      <c r="GS53" s="954"/>
      <c r="GT53" s="954"/>
      <c r="GU53" s="953"/>
      <c r="GV53" s="954"/>
      <c r="GW53" s="954"/>
      <c r="GX53" s="953"/>
      <c r="GY53" s="954"/>
      <c r="GZ53" s="954"/>
      <c r="HA53" s="953"/>
      <c r="HB53" s="954"/>
      <c r="HC53" s="954"/>
      <c r="HD53" s="953"/>
      <c r="HE53" s="954"/>
      <c r="HF53" s="954"/>
      <c r="HG53" s="953"/>
      <c r="HH53" s="954"/>
      <c r="HI53" s="954"/>
      <c r="HJ53" s="953"/>
      <c r="HK53" s="954"/>
      <c r="HL53" s="954"/>
      <c r="HM53" s="953"/>
      <c r="HN53" s="954"/>
      <c r="HO53" s="954"/>
      <c r="HP53" s="953"/>
      <c r="HQ53" s="954"/>
      <c r="HR53" s="954"/>
      <c r="HS53" s="953"/>
      <c r="HT53" s="954"/>
      <c r="HU53" s="954"/>
      <c r="HV53" s="953"/>
      <c r="HW53" s="954"/>
      <c r="HX53" s="954"/>
      <c r="HY53" s="953"/>
      <c r="HZ53" s="954"/>
      <c r="IA53" s="954"/>
      <c r="IB53" s="953"/>
      <c r="IC53" s="954"/>
      <c r="ID53" s="954"/>
      <c r="IE53" s="953"/>
      <c r="IF53" s="954"/>
      <c r="IG53" s="954"/>
      <c r="IH53" s="953"/>
      <c r="II53" s="954"/>
      <c r="IJ53" s="954"/>
      <c r="IK53" s="953"/>
      <c r="IL53" s="954"/>
      <c r="IM53" s="954"/>
      <c r="IN53" s="953"/>
      <c r="IO53" s="954"/>
      <c r="IP53" s="954"/>
      <c r="IQ53" s="953"/>
      <c r="IR53" s="954"/>
      <c r="IS53" s="954"/>
      <c r="IT53" s="953"/>
      <c r="IU53" s="954"/>
      <c r="IV53" s="954"/>
      <c r="IW53" s="953"/>
      <c r="IX53" s="954"/>
      <c r="IY53" s="954"/>
      <c r="IZ53" s="215"/>
    </row>
    <row r="54" spans="5:260" ht="30" customHeight="1">
      <c r="E54" s="213"/>
      <c r="F54" s="214"/>
      <c r="G54" s="569"/>
      <c r="H54" s="569"/>
      <c r="I54" s="570"/>
      <c r="J54" s="570"/>
      <c r="K54" s="585"/>
      <c r="L54" s="958" t="str">
        <f>IF('Gewichts- Calculator'!$C$136="Ja Anzeigen",(IF($E54='Gewichts- Calculator'!$C$8," &gt;"&amp;'Gewichts- Calculator'!$D$129&amp;" &gt; "&amp;LEFT( 'Gewichts- Calculator'!$F$129,2)&amp;" "&amp;Tabelle3[[#Headers],[Wdh. im Overload]],"")),"")</f>
        <v/>
      </c>
      <c r="M54" s="958"/>
      <c r="N54" s="958"/>
      <c r="O54" s="958"/>
      <c r="P54" s="586"/>
      <c r="Q54" s="569"/>
      <c r="R54" s="570"/>
      <c r="S54" s="570"/>
      <c r="T54" s="569"/>
      <c r="U54" s="570"/>
      <c r="V54" s="570"/>
      <c r="W54" s="569"/>
      <c r="X54" s="570"/>
      <c r="Y54" s="570"/>
      <c r="Z54" s="569"/>
      <c r="AA54" s="570"/>
      <c r="AB54" s="570"/>
      <c r="AC54" s="569"/>
      <c r="AD54" s="570"/>
      <c r="AE54" s="570"/>
      <c r="AF54" s="569"/>
      <c r="AG54" s="570"/>
      <c r="AH54" s="570"/>
      <c r="AI54" s="569"/>
      <c r="AJ54" s="570"/>
      <c r="AK54" s="570"/>
      <c r="AL54" s="569"/>
      <c r="AM54" s="570"/>
      <c r="AN54" s="570"/>
      <c r="AO54" s="569"/>
      <c r="AP54" s="570"/>
      <c r="AQ54" s="570"/>
      <c r="AR54" s="569"/>
      <c r="AS54" s="570"/>
      <c r="AT54" s="570"/>
      <c r="AU54" s="569"/>
      <c r="AV54" s="570"/>
      <c r="AW54" s="570"/>
      <c r="AX54" s="569"/>
      <c r="AY54" s="570"/>
      <c r="AZ54" s="570"/>
      <c r="BA54" s="569"/>
      <c r="BB54" s="570"/>
      <c r="BC54" s="570"/>
      <c r="BD54" s="569"/>
      <c r="BE54" s="570"/>
      <c r="BF54" s="570"/>
      <c r="BG54" s="569"/>
      <c r="BH54" s="570"/>
      <c r="BI54" s="570"/>
      <c r="BJ54" s="569"/>
      <c r="BK54" s="570"/>
      <c r="BL54" s="570"/>
      <c r="BM54" s="569"/>
      <c r="BN54" s="570"/>
      <c r="BO54" s="570"/>
      <c r="BP54" s="569"/>
      <c r="BQ54" s="570"/>
      <c r="BR54" s="570"/>
      <c r="BS54" s="569"/>
      <c r="BT54" s="570"/>
      <c r="BU54" s="570"/>
      <c r="BV54" s="569"/>
      <c r="BW54" s="570"/>
      <c r="BX54" s="570"/>
      <c r="BY54" s="569"/>
      <c r="BZ54" s="570"/>
      <c r="CA54" s="570"/>
      <c r="CB54" s="569"/>
      <c r="CC54" s="570"/>
      <c r="CD54" s="570"/>
      <c r="CE54" s="569"/>
      <c r="CF54" s="570"/>
      <c r="CG54" s="570"/>
      <c r="CH54" s="569"/>
      <c r="CI54" s="570"/>
      <c r="CJ54" s="570"/>
      <c r="CK54" s="569"/>
      <c r="CL54" s="570"/>
      <c r="CM54" s="570"/>
      <c r="CN54" s="569"/>
      <c r="CO54" s="570"/>
      <c r="CP54" s="570"/>
      <c r="CQ54" s="569"/>
      <c r="CR54" s="570"/>
      <c r="CS54" s="570"/>
      <c r="CT54" s="569"/>
      <c r="CU54" s="570"/>
      <c r="CV54" s="570"/>
      <c r="CW54" s="569"/>
      <c r="CX54" s="570"/>
      <c r="CY54" s="570"/>
      <c r="CZ54" s="569"/>
      <c r="DA54" s="570"/>
      <c r="DB54" s="570"/>
      <c r="DC54" s="569"/>
      <c r="DD54" s="570"/>
      <c r="DE54" s="570"/>
      <c r="DF54" s="569"/>
      <c r="DG54" s="570"/>
      <c r="DH54" s="570"/>
      <c r="DI54" s="569"/>
      <c r="DJ54" s="570"/>
      <c r="DK54" s="570"/>
      <c r="DL54" s="569"/>
      <c r="DM54" s="570"/>
      <c r="DN54" s="570"/>
      <c r="DO54" s="569"/>
      <c r="DP54" s="570"/>
      <c r="DQ54" s="570"/>
      <c r="DR54" s="569"/>
      <c r="DS54" s="570"/>
      <c r="DT54" s="570"/>
      <c r="DU54" s="569"/>
      <c r="DV54" s="570"/>
      <c r="DW54" s="570"/>
      <c r="DX54" s="569"/>
      <c r="DY54" s="570"/>
      <c r="DZ54" s="570"/>
      <c r="EA54" s="569"/>
      <c r="EB54" s="570"/>
      <c r="EC54" s="570"/>
      <c r="ED54" s="569"/>
      <c r="EE54" s="570"/>
      <c r="EF54" s="570"/>
      <c r="EG54" s="569"/>
      <c r="EH54" s="570"/>
      <c r="EI54" s="570"/>
      <c r="EJ54" s="569"/>
      <c r="EK54" s="570"/>
      <c r="EL54" s="570"/>
      <c r="EM54" s="569"/>
      <c r="EN54" s="570"/>
      <c r="EO54" s="570"/>
      <c r="EP54" s="569"/>
      <c r="EQ54" s="570"/>
      <c r="ER54" s="570"/>
      <c r="ES54" s="569"/>
      <c r="ET54" s="570"/>
      <c r="EU54" s="570"/>
      <c r="EV54" s="569"/>
      <c r="EW54" s="570"/>
      <c r="EX54" s="570"/>
      <c r="EY54" s="569"/>
      <c r="EZ54" s="570"/>
      <c r="FA54" s="570"/>
      <c r="FB54" s="569"/>
      <c r="FC54" s="570"/>
      <c r="FD54" s="570"/>
      <c r="FE54" s="569"/>
      <c r="FF54" s="570"/>
      <c r="FG54" s="570"/>
      <c r="FH54" s="569"/>
      <c r="FI54" s="570"/>
      <c r="FJ54" s="570"/>
      <c r="FK54" s="569"/>
      <c r="FL54" s="570"/>
      <c r="FM54" s="570"/>
      <c r="FN54" s="569"/>
      <c r="FO54" s="570"/>
      <c r="FP54" s="570"/>
      <c r="FQ54" s="569"/>
      <c r="FR54" s="570"/>
      <c r="FS54" s="570"/>
      <c r="FT54" s="569"/>
      <c r="FU54" s="570"/>
      <c r="FV54" s="570"/>
      <c r="FW54" s="569"/>
      <c r="FX54" s="570"/>
      <c r="FY54" s="570"/>
      <c r="FZ54" s="569"/>
      <c r="GA54" s="570"/>
      <c r="GB54" s="570"/>
      <c r="GC54" s="569"/>
      <c r="GD54" s="570"/>
      <c r="GE54" s="570"/>
      <c r="GF54" s="569"/>
      <c r="GG54" s="570"/>
      <c r="GH54" s="570"/>
      <c r="GI54" s="569"/>
      <c r="GJ54" s="570"/>
      <c r="GK54" s="570"/>
      <c r="GL54" s="569"/>
      <c r="GM54" s="570"/>
      <c r="GN54" s="570"/>
      <c r="GO54" s="569"/>
      <c r="GP54" s="570"/>
      <c r="GQ54" s="570"/>
      <c r="GR54" s="569"/>
      <c r="GS54" s="570"/>
      <c r="GT54" s="570"/>
      <c r="GU54" s="569"/>
      <c r="GV54" s="570"/>
      <c r="GW54" s="570"/>
      <c r="GX54" s="569"/>
      <c r="GY54" s="570"/>
      <c r="GZ54" s="570"/>
      <c r="HA54" s="569"/>
      <c r="HB54" s="570"/>
      <c r="HC54" s="570"/>
      <c r="HD54" s="569"/>
      <c r="HE54" s="570"/>
      <c r="HF54" s="570"/>
      <c r="HG54" s="569"/>
      <c r="HH54" s="570"/>
      <c r="HI54" s="570"/>
      <c r="HJ54" s="569"/>
      <c r="HK54" s="570"/>
      <c r="HL54" s="570"/>
      <c r="HM54" s="569"/>
      <c r="HN54" s="570"/>
      <c r="HO54" s="570"/>
      <c r="HP54" s="569"/>
      <c r="HQ54" s="570"/>
      <c r="HR54" s="570"/>
      <c r="HS54" s="569"/>
      <c r="HT54" s="570"/>
      <c r="HU54" s="570"/>
      <c r="HV54" s="569"/>
      <c r="HW54" s="570"/>
      <c r="HX54" s="570"/>
      <c r="HY54" s="569"/>
      <c r="HZ54" s="570"/>
      <c r="IA54" s="570"/>
      <c r="IB54" s="569"/>
      <c r="IC54" s="570"/>
      <c r="ID54" s="570"/>
      <c r="IE54" s="569"/>
      <c r="IF54" s="570"/>
      <c r="IG54" s="570"/>
      <c r="IH54" s="569"/>
      <c r="II54" s="570"/>
      <c r="IJ54" s="570"/>
      <c r="IK54" s="569"/>
      <c r="IL54" s="570"/>
      <c r="IM54" s="570"/>
      <c r="IN54" s="569"/>
      <c r="IO54" s="570"/>
      <c r="IP54" s="570"/>
      <c r="IQ54" s="569"/>
      <c r="IR54" s="570"/>
      <c r="IS54" s="570"/>
      <c r="IT54" s="569"/>
      <c r="IU54" s="570"/>
      <c r="IV54" s="570"/>
      <c r="IW54" s="569"/>
      <c r="IX54" s="570"/>
      <c r="IY54" s="570"/>
      <c r="IZ54" s="569"/>
    </row>
    <row r="55" spans="5:260" ht="30" customHeight="1">
      <c r="E55" s="213"/>
      <c r="F55" s="214"/>
      <c r="G55" s="569"/>
      <c r="H55" s="569"/>
      <c r="I55" s="570"/>
      <c r="J55" s="570"/>
      <c r="K55" s="585"/>
      <c r="L55" s="958" t="str">
        <f>IF('Gewichts- Calculator'!$C$136="Ja Anzeigen",(IF($E55='Gewichts- Calculator'!$C$8," &gt;"&amp;'Gewichts- Calculator'!$D$129&amp;" &gt; "&amp;LEFT( 'Gewichts- Calculator'!$F$129,2)&amp;" "&amp;Tabelle3[[#Headers],[Wdh. im Overload]],"")),"")</f>
        <v/>
      </c>
      <c r="M55" s="958"/>
      <c r="N55" s="958"/>
      <c r="O55" s="958"/>
      <c r="P55" s="586"/>
      <c r="Q55" s="569"/>
      <c r="R55" s="570"/>
      <c r="S55" s="570"/>
      <c r="T55" s="569"/>
      <c r="U55" s="570"/>
      <c r="V55" s="570"/>
      <c r="W55" s="569"/>
      <c r="X55" s="570"/>
      <c r="Y55" s="570"/>
      <c r="Z55" s="569"/>
      <c r="AA55" s="570"/>
      <c r="AB55" s="570"/>
      <c r="AC55" s="569"/>
      <c r="AD55" s="570"/>
      <c r="AE55" s="570"/>
      <c r="AF55" s="569"/>
      <c r="AG55" s="570"/>
      <c r="AH55" s="570"/>
      <c r="AI55" s="569"/>
      <c r="AJ55" s="570"/>
      <c r="AK55" s="570"/>
      <c r="AL55" s="569"/>
      <c r="AM55" s="570"/>
      <c r="AN55" s="570"/>
      <c r="AO55" s="569"/>
      <c r="AP55" s="570"/>
      <c r="AQ55" s="570"/>
      <c r="AR55" s="569"/>
      <c r="AS55" s="570"/>
      <c r="AT55" s="570"/>
      <c r="AU55" s="569"/>
      <c r="AV55" s="570"/>
      <c r="AW55" s="570"/>
      <c r="AX55" s="569"/>
      <c r="AY55" s="570"/>
      <c r="AZ55" s="570"/>
      <c r="BA55" s="569"/>
      <c r="BB55" s="570"/>
      <c r="BC55" s="570"/>
      <c r="BD55" s="569"/>
      <c r="BE55" s="570"/>
      <c r="BF55" s="570"/>
      <c r="BG55" s="569"/>
      <c r="BH55" s="570"/>
      <c r="BI55" s="570"/>
      <c r="BJ55" s="569"/>
      <c r="BK55" s="570"/>
      <c r="BL55" s="570"/>
      <c r="BM55" s="569"/>
      <c r="BN55" s="570"/>
      <c r="BO55" s="570"/>
      <c r="BP55" s="569"/>
      <c r="BQ55" s="570"/>
      <c r="BR55" s="570"/>
      <c r="BS55" s="569"/>
      <c r="BT55" s="570"/>
      <c r="BU55" s="570"/>
      <c r="BV55" s="569"/>
      <c r="BW55" s="570"/>
      <c r="BX55" s="570"/>
      <c r="BY55" s="569"/>
      <c r="BZ55" s="570"/>
      <c r="CA55" s="570"/>
      <c r="CB55" s="569"/>
      <c r="CC55" s="570"/>
      <c r="CD55" s="570"/>
      <c r="CE55" s="569"/>
      <c r="CF55" s="570"/>
      <c r="CG55" s="570"/>
      <c r="CH55" s="569"/>
      <c r="CI55" s="570"/>
      <c r="CJ55" s="570"/>
      <c r="CK55" s="569"/>
      <c r="CL55" s="570"/>
      <c r="CM55" s="570"/>
      <c r="CN55" s="569"/>
      <c r="CO55" s="570"/>
      <c r="CP55" s="570"/>
      <c r="CQ55" s="569"/>
      <c r="CR55" s="570"/>
      <c r="CS55" s="570"/>
      <c r="CT55" s="569"/>
      <c r="CU55" s="570"/>
      <c r="CV55" s="570"/>
      <c r="CW55" s="569"/>
      <c r="CX55" s="570"/>
      <c r="CY55" s="570"/>
      <c r="CZ55" s="569"/>
      <c r="DA55" s="570"/>
      <c r="DB55" s="570"/>
      <c r="DC55" s="569"/>
      <c r="DD55" s="570"/>
      <c r="DE55" s="570"/>
      <c r="DF55" s="569"/>
      <c r="DG55" s="570"/>
      <c r="DH55" s="570"/>
      <c r="DI55" s="569"/>
      <c r="DJ55" s="570"/>
      <c r="DK55" s="570"/>
      <c r="DL55" s="569"/>
      <c r="DM55" s="570"/>
      <c r="DN55" s="570"/>
      <c r="DO55" s="569"/>
      <c r="DP55" s="570"/>
      <c r="DQ55" s="570"/>
      <c r="DR55" s="569"/>
      <c r="DS55" s="570"/>
      <c r="DT55" s="570"/>
      <c r="DU55" s="569"/>
      <c r="DV55" s="570"/>
      <c r="DW55" s="570"/>
      <c r="DX55" s="569"/>
      <c r="DY55" s="570"/>
      <c r="DZ55" s="570"/>
      <c r="EA55" s="569"/>
      <c r="EB55" s="570"/>
      <c r="EC55" s="570"/>
      <c r="ED55" s="569"/>
      <c r="EE55" s="570"/>
      <c r="EF55" s="570"/>
      <c r="EG55" s="569"/>
      <c r="EH55" s="570"/>
      <c r="EI55" s="570"/>
      <c r="EJ55" s="569"/>
      <c r="EK55" s="570"/>
      <c r="EL55" s="570"/>
      <c r="EM55" s="569"/>
      <c r="EN55" s="570"/>
      <c r="EO55" s="570"/>
      <c r="EP55" s="569"/>
      <c r="EQ55" s="570"/>
      <c r="ER55" s="570"/>
      <c r="ES55" s="569"/>
      <c r="ET55" s="570"/>
      <c r="EU55" s="570"/>
      <c r="EV55" s="569"/>
      <c r="EW55" s="570"/>
      <c r="EX55" s="570"/>
      <c r="EY55" s="569"/>
      <c r="EZ55" s="570"/>
      <c r="FA55" s="570"/>
      <c r="FB55" s="569"/>
      <c r="FC55" s="570"/>
      <c r="FD55" s="570"/>
      <c r="FE55" s="569"/>
      <c r="FF55" s="570"/>
      <c r="FG55" s="570"/>
      <c r="FH55" s="569"/>
      <c r="FI55" s="570"/>
      <c r="FJ55" s="570"/>
      <c r="FK55" s="569"/>
      <c r="FL55" s="570"/>
      <c r="FM55" s="570"/>
      <c r="FN55" s="569"/>
      <c r="FO55" s="570"/>
      <c r="FP55" s="570"/>
      <c r="FQ55" s="569"/>
      <c r="FR55" s="570"/>
      <c r="FS55" s="570"/>
      <c r="FT55" s="569"/>
      <c r="FU55" s="570"/>
      <c r="FV55" s="570"/>
      <c r="FW55" s="569"/>
      <c r="FX55" s="570"/>
      <c r="FY55" s="570"/>
      <c r="FZ55" s="569"/>
      <c r="GA55" s="570"/>
      <c r="GB55" s="570"/>
      <c r="GC55" s="569"/>
      <c r="GD55" s="570"/>
      <c r="GE55" s="570"/>
      <c r="GF55" s="569"/>
      <c r="GG55" s="570"/>
      <c r="GH55" s="570"/>
      <c r="GI55" s="569"/>
      <c r="GJ55" s="570"/>
      <c r="GK55" s="570"/>
      <c r="GL55" s="569"/>
      <c r="GM55" s="570"/>
      <c r="GN55" s="570"/>
      <c r="GO55" s="569"/>
      <c r="GP55" s="570"/>
      <c r="GQ55" s="570"/>
      <c r="GR55" s="569"/>
      <c r="GS55" s="570"/>
      <c r="GT55" s="570"/>
      <c r="GU55" s="569"/>
      <c r="GV55" s="570"/>
      <c r="GW55" s="570"/>
      <c r="GX55" s="569"/>
      <c r="GY55" s="570"/>
      <c r="GZ55" s="570"/>
      <c r="HA55" s="569"/>
      <c r="HB55" s="570"/>
      <c r="HC55" s="570"/>
      <c r="HD55" s="569"/>
      <c r="HE55" s="570"/>
      <c r="HF55" s="570"/>
      <c r="HG55" s="569"/>
      <c r="HH55" s="570"/>
      <c r="HI55" s="570"/>
      <c r="HJ55" s="569"/>
      <c r="HK55" s="570"/>
      <c r="HL55" s="570"/>
      <c r="HM55" s="569"/>
      <c r="HN55" s="570"/>
      <c r="HO55" s="570"/>
      <c r="HP55" s="569"/>
      <c r="HQ55" s="570"/>
      <c r="HR55" s="570"/>
      <c r="HS55" s="569"/>
      <c r="HT55" s="570"/>
      <c r="HU55" s="570"/>
      <c r="HV55" s="569"/>
      <c r="HW55" s="570"/>
      <c r="HX55" s="570"/>
      <c r="HY55" s="569"/>
      <c r="HZ55" s="570"/>
      <c r="IA55" s="570"/>
      <c r="IB55" s="569"/>
      <c r="IC55" s="570"/>
      <c r="ID55" s="570"/>
      <c r="IE55" s="569"/>
      <c r="IF55" s="570"/>
      <c r="IG55" s="570"/>
      <c r="IH55" s="569"/>
      <c r="II55" s="570"/>
      <c r="IJ55" s="570"/>
      <c r="IK55" s="569"/>
      <c r="IL55" s="570"/>
      <c r="IM55" s="570"/>
      <c r="IN55" s="569"/>
      <c r="IO55" s="570"/>
      <c r="IP55" s="570"/>
      <c r="IQ55" s="569"/>
      <c r="IR55" s="570"/>
      <c r="IS55" s="570"/>
      <c r="IT55" s="569"/>
      <c r="IU55" s="570"/>
      <c r="IV55" s="570"/>
      <c r="IW55" s="569"/>
      <c r="IX55" s="570"/>
      <c r="IY55" s="570"/>
      <c r="IZ55" s="569"/>
    </row>
    <row r="56" spans="5:260" ht="30" customHeight="1">
      <c r="E56" s="213"/>
      <c r="F56" s="214"/>
      <c r="G56" s="569"/>
      <c r="H56" s="569"/>
      <c r="I56" s="570"/>
      <c r="J56" s="570"/>
      <c r="K56" s="585"/>
      <c r="L56" s="958" t="str">
        <f>IF('Gewichts- Calculator'!$C$136="Ja Anzeigen",(IF($E56='Gewichts- Calculator'!$C$8," &gt;"&amp;'Gewichts- Calculator'!$D$129&amp;" &gt; "&amp;LEFT( 'Gewichts- Calculator'!$F$129,2)&amp;" "&amp;Tabelle3[[#Headers],[Wdh. im Overload]],"")),"")</f>
        <v/>
      </c>
      <c r="M56" s="958"/>
      <c r="N56" s="958"/>
      <c r="O56" s="958"/>
      <c r="P56" s="586"/>
      <c r="Q56" s="569"/>
      <c r="R56" s="570"/>
      <c r="S56" s="570"/>
      <c r="T56" s="569"/>
      <c r="U56" s="570"/>
      <c r="V56" s="570"/>
      <c r="W56" s="569"/>
      <c r="X56" s="570"/>
      <c r="Y56" s="570"/>
      <c r="Z56" s="569"/>
      <c r="AA56" s="570"/>
      <c r="AB56" s="570"/>
      <c r="AC56" s="569"/>
      <c r="AD56" s="570"/>
      <c r="AE56" s="570"/>
      <c r="AF56" s="569"/>
      <c r="AG56" s="570"/>
      <c r="AH56" s="570"/>
      <c r="AI56" s="569"/>
      <c r="AJ56" s="570"/>
      <c r="AK56" s="570"/>
      <c r="AL56" s="569"/>
      <c r="AM56" s="570"/>
      <c r="AN56" s="570"/>
      <c r="AO56" s="569"/>
      <c r="AP56" s="570"/>
      <c r="AQ56" s="570"/>
      <c r="AR56" s="569"/>
      <c r="AS56" s="570"/>
      <c r="AT56" s="570"/>
      <c r="AU56" s="569"/>
      <c r="AV56" s="570"/>
      <c r="AW56" s="570"/>
      <c r="AX56" s="569"/>
      <c r="AY56" s="570"/>
      <c r="AZ56" s="570"/>
      <c r="BA56" s="569"/>
      <c r="BB56" s="570"/>
      <c r="BC56" s="570"/>
      <c r="BD56" s="569"/>
      <c r="BE56" s="570"/>
      <c r="BF56" s="570"/>
      <c r="BG56" s="569"/>
      <c r="BH56" s="570"/>
      <c r="BI56" s="570"/>
      <c r="BJ56" s="569"/>
      <c r="BK56" s="570"/>
      <c r="BL56" s="570"/>
      <c r="BM56" s="569"/>
      <c r="BN56" s="570"/>
      <c r="BO56" s="570"/>
      <c r="BP56" s="569"/>
      <c r="BQ56" s="570"/>
      <c r="BR56" s="570"/>
      <c r="BS56" s="569"/>
      <c r="BT56" s="570"/>
      <c r="BU56" s="570"/>
      <c r="BV56" s="569"/>
      <c r="BW56" s="570"/>
      <c r="BX56" s="570"/>
      <c r="BY56" s="569"/>
      <c r="BZ56" s="570"/>
      <c r="CA56" s="570"/>
      <c r="CB56" s="569"/>
      <c r="CC56" s="570"/>
      <c r="CD56" s="570"/>
      <c r="CE56" s="569"/>
      <c r="CF56" s="570"/>
      <c r="CG56" s="570"/>
      <c r="CH56" s="569"/>
      <c r="CI56" s="570"/>
      <c r="CJ56" s="570"/>
      <c r="CK56" s="569"/>
      <c r="CL56" s="570"/>
      <c r="CM56" s="570"/>
      <c r="CN56" s="569"/>
      <c r="CO56" s="570"/>
      <c r="CP56" s="570"/>
      <c r="CQ56" s="569"/>
      <c r="CR56" s="570"/>
      <c r="CS56" s="570"/>
      <c r="CT56" s="569"/>
      <c r="CU56" s="570"/>
      <c r="CV56" s="570"/>
      <c r="CW56" s="569"/>
      <c r="CX56" s="570"/>
      <c r="CY56" s="570"/>
      <c r="CZ56" s="569"/>
      <c r="DA56" s="570"/>
      <c r="DB56" s="570"/>
      <c r="DC56" s="569"/>
      <c r="DD56" s="570"/>
      <c r="DE56" s="570"/>
      <c r="DF56" s="569"/>
      <c r="DG56" s="570"/>
      <c r="DH56" s="570"/>
      <c r="DI56" s="569"/>
      <c r="DJ56" s="570"/>
      <c r="DK56" s="570"/>
      <c r="DL56" s="569"/>
      <c r="DM56" s="570"/>
      <c r="DN56" s="570"/>
      <c r="DO56" s="569"/>
      <c r="DP56" s="570"/>
      <c r="DQ56" s="570"/>
      <c r="DR56" s="569"/>
      <c r="DS56" s="570"/>
      <c r="DT56" s="570"/>
      <c r="DU56" s="569"/>
      <c r="DV56" s="570"/>
      <c r="DW56" s="570"/>
      <c r="DX56" s="569"/>
      <c r="DY56" s="570"/>
      <c r="DZ56" s="570"/>
      <c r="EA56" s="569"/>
      <c r="EB56" s="570"/>
      <c r="EC56" s="570"/>
      <c r="ED56" s="569"/>
      <c r="EE56" s="570"/>
      <c r="EF56" s="570"/>
      <c r="EG56" s="569"/>
      <c r="EH56" s="570"/>
      <c r="EI56" s="570"/>
      <c r="EJ56" s="569"/>
      <c r="EK56" s="570"/>
      <c r="EL56" s="570"/>
      <c r="EM56" s="569"/>
      <c r="EN56" s="570"/>
      <c r="EO56" s="570"/>
      <c r="EP56" s="569"/>
      <c r="EQ56" s="570"/>
      <c r="ER56" s="570"/>
      <c r="ES56" s="569"/>
      <c r="ET56" s="570"/>
      <c r="EU56" s="570"/>
      <c r="EV56" s="569"/>
      <c r="EW56" s="570"/>
      <c r="EX56" s="570"/>
      <c r="EY56" s="569"/>
      <c r="EZ56" s="570"/>
      <c r="FA56" s="570"/>
      <c r="FB56" s="569"/>
      <c r="FC56" s="570"/>
      <c r="FD56" s="570"/>
      <c r="FE56" s="569"/>
      <c r="FF56" s="570"/>
      <c r="FG56" s="570"/>
      <c r="FH56" s="569"/>
      <c r="FI56" s="570"/>
      <c r="FJ56" s="570"/>
      <c r="FK56" s="569"/>
      <c r="FL56" s="570"/>
      <c r="FM56" s="570"/>
      <c r="FN56" s="569"/>
      <c r="FO56" s="570"/>
      <c r="FP56" s="570"/>
      <c r="FQ56" s="569"/>
      <c r="FR56" s="570"/>
      <c r="FS56" s="570"/>
      <c r="FT56" s="569"/>
      <c r="FU56" s="570"/>
      <c r="FV56" s="570"/>
      <c r="FW56" s="569"/>
      <c r="FX56" s="570"/>
      <c r="FY56" s="570"/>
      <c r="FZ56" s="569"/>
      <c r="GA56" s="570"/>
      <c r="GB56" s="570"/>
      <c r="GC56" s="569"/>
      <c r="GD56" s="570"/>
      <c r="GE56" s="570"/>
      <c r="GF56" s="569"/>
      <c r="GG56" s="570"/>
      <c r="GH56" s="570"/>
      <c r="GI56" s="569"/>
      <c r="GJ56" s="570"/>
      <c r="GK56" s="570"/>
      <c r="GL56" s="569"/>
      <c r="GM56" s="570"/>
      <c r="GN56" s="570"/>
      <c r="GO56" s="569"/>
      <c r="GP56" s="570"/>
      <c r="GQ56" s="570"/>
      <c r="GR56" s="569"/>
      <c r="GS56" s="570"/>
      <c r="GT56" s="570"/>
      <c r="GU56" s="569"/>
      <c r="GV56" s="570"/>
      <c r="GW56" s="570"/>
      <c r="GX56" s="569"/>
      <c r="GY56" s="570"/>
      <c r="GZ56" s="570"/>
      <c r="HA56" s="569"/>
      <c r="HB56" s="570"/>
      <c r="HC56" s="570"/>
      <c r="HD56" s="569"/>
      <c r="HE56" s="570"/>
      <c r="HF56" s="570"/>
      <c r="HG56" s="569"/>
      <c r="HH56" s="570"/>
      <c r="HI56" s="570"/>
      <c r="HJ56" s="569"/>
      <c r="HK56" s="570"/>
      <c r="HL56" s="570"/>
      <c r="HM56" s="569"/>
      <c r="HN56" s="570"/>
      <c r="HO56" s="570"/>
      <c r="HP56" s="569"/>
      <c r="HQ56" s="570"/>
      <c r="HR56" s="570"/>
      <c r="HS56" s="569"/>
      <c r="HT56" s="570"/>
      <c r="HU56" s="570"/>
      <c r="HV56" s="569"/>
      <c r="HW56" s="570"/>
      <c r="HX56" s="570"/>
      <c r="HY56" s="569"/>
      <c r="HZ56" s="570"/>
      <c r="IA56" s="570"/>
      <c r="IB56" s="569"/>
      <c r="IC56" s="570"/>
      <c r="ID56" s="570"/>
      <c r="IE56" s="569"/>
      <c r="IF56" s="570"/>
      <c r="IG56" s="570"/>
      <c r="IH56" s="569"/>
      <c r="II56" s="570"/>
      <c r="IJ56" s="570"/>
      <c r="IK56" s="569"/>
      <c r="IL56" s="570"/>
      <c r="IM56" s="570"/>
      <c r="IN56" s="569"/>
      <c r="IO56" s="570"/>
      <c r="IP56" s="570"/>
      <c r="IQ56" s="569"/>
      <c r="IR56" s="570"/>
      <c r="IS56" s="570"/>
      <c r="IT56" s="569"/>
      <c r="IU56" s="570"/>
      <c r="IV56" s="570"/>
      <c r="IW56" s="569"/>
      <c r="IX56" s="570"/>
      <c r="IY56" s="570"/>
      <c r="IZ56" s="569"/>
    </row>
    <row r="57" spans="5:260" ht="30" customHeight="1">
      <c r="E57" s="250"/>
      <c r="F57" s="216"/>
      <c r="G57" s="217"/>
      <c r="H57" s="218"/>
      <c r="I57" s="957"/>
      <c r="J57" s="957"/>
      <c r="L57" s="958" t="str">
        <f>IF('Gewichts- Calculator'!$C$136="Ja Anzeigen",(IF($E57='Gewichts- Calculator'!$C$8," &gt;"&amp;'Gewichts- Calculator'!$D$129&amp;" &gt; "&amp;LEFT( 'Gewichts- Calculator'!$F$129,2)&amp;" "&amp;Tabelle3[[#Headers],[Wdh. im Overload]],"")),"")</f>
        <v/>
      </c>
      <c r="M57" s="958"/>
      <c r="N57" s="958"/>
      <c r="O57" s="958"/>
    </row>
    <row r="58" spans="5:260" ht="30" hidden="1" customHeight="1" thickBot="1">
      <c r="E58" s="312" t="s">
        <v>276</v>
      </c>
      <c r="F58" s="313" t="s">
        <v>277</v>
      </c>
      <c r="G58" s="314">
        <v>10</v>
      </c>
      <c r="H58" s="314">
        <v>30</v>
      </c>
      <c r="I58" s="314">
        <v>35</v>
      </c>
      <c r="J58" s="956"/>
      <c r="K58" s="297"/>
      <c r="L58" s="958" t="str">
        <f>IF('Gewichts- Calculator'!$C$136="Ja Anzeigen",(IF($E58='Gewichts- Calculator'!$C$8," &gt;"&amp;'Gewichts- Calculator'!$D$129&amp;" &gt; "&amp;LEFT( 'Gewichts- Calculator'!$F$129,2)&amp;" "&amp;Tabelle3[[#Headers],[Wdh. im Overload]],"")),"")</f>
        <v/>
      </c>
      <c r="M58" s="958"/>
      <c r="N58" s="958"/>
      <c r="O58" s="958"/>
      <c r="P58" s="30"/>
      <c r="Q58" s="30"/>
      <c r="R58" s="30"/>
      <c r="S58" s="30"/>
      <c r="T58" s="30"/>
    </row>
    <row r="59" spans="5:260" ht="30" customHeight="1">
      <c r="G59" s="211"/>
      <c r="H59" s="212"/>
      <c r="I59" s="212"/>
      <c r="J59" s="956"/>
      <c r="L59" s="958" t="str">
        <f>IF('Gewichts- Calculator'!$C$136="Ja Anzeigen",(IF($E59='Gewichts- Calculator'!$C$8," &gt;"&amp;'Gewichts- Calculator'!$D$129&amp;" &gt; "&amp;LEFT( 'Gewichts- Calculator'!$F$129,2)&amp;" "&amp;Tabelle3[[#Headers],[Wdh. im Overload]],"")),"")</f>
        <v/>
      </c>
      <c r="M59" s="958"/>
      <c r="N59" s="958"/>
      <c r="O59" s="958"/>
    </row>
    <row r="60" spans="5:260" ht="30" customHeight="1">
      <c r="G60" s="211"/>
      <c r="H60" s="212"/>
      <c r="I60" s="212"/>
      <c r="L60" s="958" t="str">
        <f>IF('Gewichts- Calculator'!$C$136="Ja Anzeigen",(IF($E60='Gewichts- Calculator'!$C$8," &gt;"&amp;'Gewichts- Calculator'!$D$129&amp;" &gt; "&amp;LEFT( 'Gewichts- Calculator'!$F$129,2)&amp;" "&amp;Tabelle3[[#Headers],[Wdh. im Overload]],"")),"")</f>
        <v/>
      </c>
      <c r="M60" s="958"/>
      <c r="N60" s="958"/>
      <c r="O60" s="958"/>
    </row>
    <row r="61" spans="5:260" ht="30" customHeight="1">
      <c r="G61" s="211"/>
      <c r="H61" s="212"/>
      <c r="I61" s="212"/>
      <c r="L61" s="958" t="str">
        <f>IF('Gewichts- Calculator'!$C$136="Ja Anzeigen",(IF($E61='Gewichts- Calculator'!$C$8," &gt;"&amp;'Gewichts- Calculator'!$D$129&amp;" &gt; "&amp;LEFT( 'Gewichts- Calculator'!$F$129,2)&amp;" "&amp;Tabelle3[[#Headers],[Wdh. im Overload]],"")),"")</f>
        <v/>
      </c>
      <c r="M61" s="958"/>
      <c r="N61" s="958"/>
      <c r="O61" s="958"/>
    </row>
    <row r="62" spans="5:260" ht="30" customHeight="1">
      <c r="G62" s="211"/>
      <c r="H62" s="212"/>
      <c r="I62" s="212"/>
      <c r="L62" s="958" t="str">
        <f>IF('Gewichts- Calculator'!$C$136="Ja Anzeigen",(IF($E62='Gewichts- Calculator'!$C$8," &gt;"&amp;'Gewichts- Calculator'!$D$129&amp;" &gt; "&amp;LEFT( 'Gewichts- Calculator'!$F$129,2)&amp;" "&amp;Tabelle3[[#Headers],[Wdh. im Overload]],"")),"")</f>
        <v/>
      </c>
      <c r="M62" s="958"/>
      <c r="N62" s="958"/>
      <c r="O62" s="958"/>
    </row>
    <row r="63" spans="5:260" ht="30" customHeight="1">
      <c r="F63" s="209"/>
      <c r="G63" s="211"/>
      <c r="H63" s="212"/>
      <c r="I63" s="212"/>
      <c r="L63" s="958" t="str">
        <f>IF('Gewichts- Calculator'!$C$136="Ja Anzeigen",(IF($E63='Gewichts- Calculator'!$C$8," &gt;"&amp;'Gewichts- Calculator'!$D$129&amp;" &gt; "&amp;LEFT( 'Gewichts- Calculator'!$F$129,2)&amp;" "&amp;Tabelle3[[#Headers],[Wdh. im Overload]],"")),"")</f>
        <v/>
      </c>
      <c r="M63" s="958"/>
      <c r="N63" s="958"/>
      <c r="O63" s="958"/>
    </row>
    <row r="64" spans="5:260" ht="30" customHeight="1">
      <c r="G64" s="211"/>
      <c r="H64" s="212"/>
      <c r="I64" s="212"/>
      <c r="L64" s="958" t="str">
        <f>IF('Gewichts- Calculator'!$C$136="Ja Anzeigen",(IF($E64='Gewichts- Calculator'!$C$8," &gt;"&amp;'Gewichts- Calculator'!$D$129&amp;" &gt; "&amp;LEFT( 'Gewichts- Calculator'!$F$129,2)&amp;" "&amp;Tabelle3[[#Headers],[Wdh. im Overload]],"")),"")</f>
        <v/>
      </c>
      <c r="M64" s="958"/>
      <c r="N64" s="958"/>
      <c r="O64" s="958"/>
    </row>
    <row r="65" spans="7:15" ht="30" customHeight="1">
      <c r="G65" s="211"/>
      <c r="H65" s="212"/>
      <c r="I65" s="212"/>
      <c r="L65" s="958" t="str">
        <f>IF('Gewichts- Calculator'!$C$136="Ja Anzeigen",(IF($E65='Gewichts- Calculator'!$C$8," &gt;"&amp;'Gewichts- Calculator'!$D$129&amp;" &gt; "&amp;LEFT( 'Gewichts- Calculator'!$F$129,2)&amp;" "&amp;Tabelle3[[#Headers],[Wdh. im Overload]],"")),"")</f>
        <v/>
      </c>
      <c r="M65" s="958"/>
      <c r="N65" s="958"/>
      <c r="O65" s="958"/>
    </row>
    <row r="66" spans="7:15" ht="30" customHeight="1">
      <c r="G66" s="219"/>
      <c r="H66" s="212"/>
      <c r="I66" s="212"/>
      <c r="L66" s="958" t="str">
        <f>IF('Gewichts- Calculator'!$C$136="Ja Anzeigen",(IF($E66='Gewichts- Calculator'!$C$8," &gt;"&amp;'Gewichts- Calculator'!$D$129&amp;" &gt; "&amp;LEFT( 'Gewichts- Calculator'!$F$129,2)&amp;" "&amp;Tabelle3[[#Headers],[Wdh. im Overload]],"")),"")</f>
        <v/>
      </c>
      <c r="M66" s="958"/>
      <c r="N66" s="958"/>
      <c r="O66" s="958"/>
    </row>
    <row r="67" spans="7:15" ht="30" customHeight="1">
      <c r="G67" s="211"/>
      <c r="H67" s="212"/>
      <c r="I67" s="212"/>
      <c r="L67" s="958" t="str">
        <f>IF('Gewichts- Calculator'!$C$136="Ja Anzeigen",(IF($E67='Gewichts- Calculator'!$C$8," &gt;"&amp;'Gewichts- Calculator'!$D$129&amp;" &gt; "&amp;LEFT( 'Gewichts- Calculator'!$F$129,2)&amp;" "&amp;Tabelle3[[#Headers],[Wdh. im Overload]],"")),"")</f>
        <v/>
      </c>
      <c r="M67" s="958"/>
      <c r="N67" s="958"/>
      <c r="O67" s="958"/>
    </row>
    <row r="68" spans="7:15" ht="30" customHeight="1">
      <c r="G68" s="211"/>
      <c r="H68" s="212"/>
      <c r="I68" s="212"/>
      <c r="L68" s="958" t="str">
        <f>IF('Gewichts- Calculator'!$C$136="Ja Anzeigen",(IF($E68='Gewichts- Calculator'!$C$8," &gt;"&amp;'Gewichts- Calculator'!$D$129&amp;" &gt; "&amp;LEFT( 'Gewichts- Calculator'!$F$129,2)&amp;" "&amp;Tabelle3[[#Headers],[Wdh. im Overload]],"")),"")</f>
        <v/>
      </c>
      <c r="M68" s="958"/>
      <c r="N68" s="958"/>
      <c r="O68" s="958"/>
    </row>
    <row r="69" spans="7:15" ht="30" customHeight="1">
      <c r="G69" s="209"/>
      <c r="H69" s="212"/>
      <c r="I69" s="212"/>
      <c r="L69" s="958" t="str">
        <f>IF('Gewichts- Calculator'!$C$136="Ja Anzeigen",(IF($E69='Gewichts- Calculator'!$C$8," &gt;"&amp;'Gewichts- Calculator'!$D$129&amp;" &gt; "&amp;LEFT( 'Gewichts- Calculator'!$F$129,2)&amp;" "&amp;Tabelle3[[#Headers],[Wdh. im Overload]],"")),"")</f>
        <v/>
      </c>
      <c r="M69" s="958"/>
      <c r="N69" s="958"/>
      <c r="O69" s="958"/>
    </row>
    <row r="70" spans="7:15" ht="30" customHeight="1">
      <c r="G70" s="211"/>
      <c r="H70" s="212"/>
      <c r="I70" s="212"/>
      <c r="L70" s="958" t="str">
        <f>IF('Gewichts- Calculator'!$C$136="Ja Anzeigen",(IF($E70='Gewichts- Calculator'!$C$8," &gt;"&amp;'Gewichts- Calculator'!$D$129&amp;" &gt; "&amp;LEFT( 'Gewichts- Calculator'!$F$129,2)&amp;" "&amp;Tabelle3[[#Headers],[Wdh. im Overload]],"")),"")</f>
        <v/>
      </c>
      <c r="M70" s="958"/>
      <c r="N70" s="958"/>
      <c r="O70" s="958"/>
    </row>
    <row r="71" spans="7:15" ht="30" customHeight="1">
      <c r="G71" s="211"/>
      <c r="H71" s="212"/>
      <c r="I71" s="212"/>
      <c r="L71" s="958" t="str">
        <f>IF('Gewichts- Calculator'!$C$136="Ja Anzeigen",(IF($E71='Gewichts- Calculator'!$C$8," &gt;"&amp;'Gewichts- Calculator'!$D$129&amp;" &gt; "&amp;LEFT( 'Gewichts- Calculator'!$F$129,2)&amp;" "&amp;Tabelle3[[#Headers],[Wdh. im Overload]],"")),"")</f>
        <v/>
      </c>
      <c r="M71" s="958"/>
      <c r="N71" s="958"/>
      <c r="O71" s="958"/>
    </row>
    <row r="72" spans="7:15" ht="30" customHeight="1">
      <c r="G72" s="211"/>
      <c r="H72" s="212"/>
      <c r="I72" s="212"/>
      <c r="L72" s="958" t="str">
        <f>IF('Gewichts- Calculator'!$C$136="Ja Anzeigen",(IF($E72='Gewichts- Calculator'!$C$8," &gt;"&amp;'Gewichts- Calculator'!$D$129&amp;" &gt; "&amp;LEFT( 'Gewichts- Calculator'!$F$129,2)&amp;" "&amp;Tabelle3[[#Headers],[Wdh. im Overload]],"")),"")</f>
        <v/>
      </c>
      <c r="M72" s="958"/>
      <c r="N72" s="958"/>
      <c r="O72" s="958"/>
    </row>
    <row r="73" spans="7:15" ht="30" customHeight="1">
      <c r="G73" s="211"/>
      <c r="H73" s="212"/>
      <c r="I73" s="212"/>
      <c r="L73" s="958" t="str">
        <f>IF('Gewichts- Calculator'!$C$136="Ja Anzeigen",(IF($E73='Gewichts- Calculator'!$C$8," &gt;"&amp;'Gewichts- Calculator'!$D$129&amp;" &gt; "&amp;LEFT( 'Gewichts- Calculator'!$F$129,2)&amp;" "&amp;Tabelle3[[#Headers],[Wdh. im Overload]],"")),"")</f>
        <v/>
      </c>
      <c r="M73" s="958"/>
      <c r="N73" s="958"/>
      <c r="O73" s="958"/>
    </row>
    <row r="74" spans="7:15" ht="30" customHeight="1">
      <c r="G74" s="211"/>
      <c r="H74" s="212"/>
      <c r="I74" s="212"/>
      <c r="L74" s="958" t="str">
        <f>IF('Gewichts- Calculator'!$C$136="Ja Anzeigen",(IF($E74='Gewichts- Calculator'!$C$8," &gt;"&amp;'Gewichts- Calculator'!$D$129&amp;" &gt; "&amp;LEFT( 'Gewichts- Calculator'!$F$129,2)&amp;" "&amp;Tabelle3[[#Headers],[Wdh. im Overload]],"")),"")</f>
        <v/>
      </c>
      <c r="M74" s="958"/>
      <c r="N74" s="958"/>
      <c r="O74" s="958"/>
    </row>
    <row r="75" spans="7:15" ht="27.95" customHeight="1">
      <c r="G75" s="211"/>
      <c r="H75" s="212"/>
      <c r="I75" s="212"/>
      <c r="L75" s="958" t="str">
        <f>IF('Gewichts- Calculator'!$C$136="Ja Anzeigen",(IF($E75='Gewichts- Calculator'!$C$8," &gt;"&amp;'Gewichts- Calculator'!$D$129&amp;" &gt; "&amp;LEFT( 'Gewichts- Calculator'!$F$129,2)&amp;" "&amp;Tabelle3[[#Headers],[Wdh. im Overload]],"")),"")</f>
        <v/>
      </c>
      <c r="M75" s="958"/>
      <c r="N75" s="958"/>
      <c r="O75" s="958"/>
    </row>
    <row r="76" spans="7:15" ht="27.95" customHeight="1">
      <c r="G76" s="211"/>
      <c r="H76" s="212"/>
      <c r="I76" s="212"/>
      <c r="L76" s="958" t="str">
        <f>IF('Gewichts- Calculator'!$C$136="Ja Anzeigen",(IF($E76='Gewichts- Calculator'!$C$8," &gt;"&amp;'Gewichts- Calculator'!$D$129&amp;" &gt; "&amp;LEFT( 'Gewichts- Calculator'!$F$129,2)&amp;" "&amp;Tabelle3[[#Headers],[Wdh. im Overload]],"")),"")</f>
        <v/>
      </c>
      <c r="M76" s="958"/>
      <c r="N76" s="958"/>
      <c r="O76" s="958"/>
    </row>
    <row r="77" spans="7:15" ht="27.95" customHeight="1">
      <c r="G77" s="211"/>
      <c r="H77" s="212"/>
      <c r="I77" s="212"/>
      <c r="L77" s="958" t="str">
        <f>IF('Gewichts- Calculator'!$C$136="Ja Anzeigen",(IF($E77='Gewichts- Calculator'!$C$8," &gt;"&amp;'Gewichts- Calculator'!$D$129&amp;" &gt; "&amp;LEFT( 'Gewichts- Calculator'!$F$129,2)&amp;" "&amp;Tabelle3[[#Headers],[Wdh. im Overload]],"")),"")</f>
        <v/>
      </c>
      <c r="M77" s="958"/>
      <c r="N77" s="958"/>
      <c r="O77" s="958"/>
    </row>
    <row r="78" spans="7:15" ht="27.95" customHeight="1">
      <c r="G78" s="211"/>
      <c r="H78" s="212"/>
      <c r="I78" s="212"/>
      <c r="L78" s="958" t="str">
        <f>IF('Gewichts- Calculator'!$C$136="Ja Anzeigen",(IF($E78='Gewichts- Calculator'!$C$8," &gt;"&amp;'Gewichts- Calculator'!$D$129&amp;" &gt; "&amp;LEFT( 'Gewichts- Calculator'!$F$129,2)&amp;" "&amp;Tabelle3[[#Headers],[Wdh. im Overload]],"")),"")</f>
        <v/>
      </c>
      <c r="M78" s="958"/>
      <c r="N78" s="958"/>
      <c r="O78" s="958"/>
    </row>
    <row r="79" spans="7:15" ht="27.95" customHeight="1">
      <c r="G79" s="211"/>
      <c r="H79" s="212"/>
      <c r="I79" s="212"/>
      <c r="L79" s="958" t="str">
        <f>IF('Gewichts- Calculator'!$C$136="Ja Anzeigen",(IF($E79='Gewichts- Calculator'!$C$8," &gt;"&amp;'Gewichts- Calculator'!$D$129&amp;" &gt; "&amp;LEFT( 'Gewichts- Calculator'!$F$129,2)&amp;" "&amp;Tabelle3[[#Headers],[Wdh. im Overload]],"")),"")</f>
        <v/>
      </c>
      <c r="M79" s="958"/>
      <c r="N79" s="958"/>
      <c r="O79" s="958"/>
    </row>
    <row r="80" spans="7:15" ht="27.95" customHeight="1">
      <c r="G80" s="211"/>
      <c r="H80" s="212"/>
      <c r="I80" s="212"/>
      <c r="L80" s="958" t="str">
        <f>IF('Gewichts- Calculator'!$C$136="Ja Anzeigen",(IF($E80='Gewichts- Calculator'!$C$8," &gt;"&amp;'Gewichts- Calculator'!$D$129&amp;" &gt; "&amp;LEFT( 'Gewichts- Calculator'!$F$129,2)&amp;" "&amp;Tabelle3[[#Headers],[Wdh. im Overload]],"")),"")</f>
        <v/>
      </c>
      <c r="M80" s="958"/>
      <c r="N80" s="958"/>
      <c r="O80" s="958"/>
    </row>
    <row r="81" spans="7:15" ht="27.95" customHeight="1">
      <c r="G81" s="211"/>
      <c r="H81" s="212"/>
      <c r="I81" s="212"/>
      <c r="L81" s="959" t="str">
        <f>IF('Gewichts- Calculator'!$C$134="Ja Anzeigen",(IF($E81='Gewichts- Calculator'!$C$8," &gt;"&amp;'Gewichts- Calculator'!$D$129&amp;" &gt; "&amp;LEFT( 'Gewichts- Calculator'!$F$129,2)&amp;" "&amp;Tabelle3[[#Headers],[Wdh. im Overload]],"")),"")</f>
        <v/>
      </c>
      <c r="M81" s="959"/>
      <c r="N81" s="959"/>
      <c r="O81" s="959"/>
    </row>
    <row r="82" spans="7:15" ht="27.95" customHeight="1">
      <c r="G82" s="211"/>
      <c r="H82" s="212"/>
      <c r="I82" s="212"/>
      <c r="L82" s="959" t="str">
        <f>IF('Gewichts- Calculator'!$C$134="Ja Anzeigen",(IF($E82='Gewichts- Calculator'!$C$8," &gt;"&amp;'Gewichts- Calculator'!$D$129&amp;" &gt; "&amp;LEFT( 'Gewichts- Calculator'!$F$129,2)&amp;" "&amp;Tabelle3[[#Headers],[Wdh. im Overload]],"")),"")</f>
        <v/>
      </c>
      <c r="M82" s="959"/>
      <c r="N82" s="959"/>
      <c r="O82" s="959"/>
    </row>
    <row r="83" spans="7:15" ht="27.95" customHeight="1">
      <c r="G83" s="211"/>
      <c r="H83" s="212"/>
      <c r="I83" s="212"/>
      <c r="M83" s="584" t="str">
        <f>IF('Gewichts- Calculator'!$C$134="Ja Anzeigen",(IF($E83='Gewichts- Calculator'!$C$8," &gt;"&amp;'Gewichts- Calculator'!$D$129&amp;" &gt; "&amp;LEFT( 'Gewichts- Calculator'!$F$129,1)&amp;" "&amp;Tabelle3[[#Headers],[Wdh. im Overload]],"")),"")</f>
        <v/>
      </c>
    </row>
    <row r="84" spans="7:15" ht="27.95" customHeight="1">
      <c r="G84" s="211"/>
      <c r="H84" s="212"/>
      <c r="I84" s="212"/>
    </row>
    <row r="85" spans="7:15" ht="27.95" customHeight="1">
      <c r="G85" s="211"/>
      <c r="H85" s="212"/>
      <c r="I85" s="212"/>
    </row>
    <row r="86" spans="7:15" ht="27.95" customHeight="1">
      <c r="G86" s="211"/>
      <c r="H86" s="212"/>
      <c r="I86" s="212"/>
    </row>
    <row r="87" spans="7:15" ht="24" customHeight="1">
      <c r="G87" s="211"/>
      <c r="H87" s="212"/>
      <c r="I87" s="212"/>
    </row>
    <row r="88" spans="7:15" ht="24" customHeight="1">
      <c r="G88" s="211"/>
      <c r="H88" s="212"/>
      <c r="I88" s="212"/>
    </row>
    <row r="89" spans="7:15" ht="24" customHeight="1">
      <c r="G89" s="211"/>
      <c r="H89" s="212"/>
      <c r="I89" s="212"/>
    </row>
    <row r="90" spans="7:15" ht="24" customHeight="1"/>
    <row r="91" spans="7:15" ht="24" customHeight="1"/>
    <row r="92" spans="7:15" ht="24" customHeight="1"/>
    <row r="93" spans="7:15" ht="24" customHeight="1"/>
    <row r="94" spans="7:15" ht="24" customHeight="1"/>
    <row r="95" spans="7:15" ht="24" customHeight="1"/>
    <row r="96" spans="7:15" ht="24" customHeight="1"/>
    <row r="97" ht="24" customHeight="1"/>
    <row r="98" ht="24" customHeight="1"/>
    <row r="99" ht="24" customHeight="1"/>
  </sheetData>
  <sortState xmlns:xlrd2="http://schemas.microsoft.com/office/spreadsheetml/2017/richdata2" ref="E8:K50">
    <sortCondition ref="E8:E50"/>
  </sortState>
  <mergeCells count="160">
    <mergeCell ref="L79:O79"/>
    <mergeCell ref="L80:O80"/>
    <mergeCell ref="L81:O81"/>
    <mergeCell ref="L82:O82"/>
    <mergeCell ref="L54:O54"/>
    <mergeCell ref="L55:O55"/>
    <mergeCell ref="L56:O56"/>
    <mergeCell ref="L58:O58"/>
    <mergeCell ref="L74:O74"/>
    <mergeCell ref="L75:O75"/>
    <mergeCell ref="L76:O76"/>
    <mergeCell ref="L77:O77"/>
    <mergeCell ref="L78:O78"/>
    <mergeCell ref="L69:O69"/>
    <mergeCell ref="L70:O70"/>
    <mergeCell ref="L71:O71"/>
    <mergeCell ref="L72:O72"/>
    <mergeCell ref="L73:O73"/>
    <mergeCell ref="L64:O64"/>
    <mergeCell ref="L65:O65"/>
    <mergeCell ref="L66:O66"/>
    <mergeCell ref="L67:O67"/>
    <mergeCell ref="L68:O68"/>
    <mergeCell ref="L59:O59"/>
    <mergeCell ref="L60:O60"/>
    <mergeCell ref="L61:O61"/>
    <mergeCell ref="L62:O62"/>
    <mergeCell ref="L63:O63"/>
    <mergeCell ref="L49:O49"/>
    <mergeCell ref="L50:O50"/>
    <mergeCell ref="L51:O51"/>
    <mergeCell ref="L52:O52"/>
    <mergeCell ref="L53:O53"/>
    <mergeCell ref="BG53:BI53"/>
    <mergeCell ref="L8:O8"/>
    <mergeCell ref="L9:O9"/>
    <mergeCell ref="L10:O10"/>
    <mergeCell ref="L11:O11"/>
    <mergeCell ref="L12:O12"/>
    <mergeCell ref="L13:O13"/>
    <mergeCell ref="L14:O14"/>
    <mergeCell ref="L15:O15"/>
    <mergeCell ref="L16:O16"/>
    <mergeCell ref="L17:O17"/>
    <mergeCell ref="L18:O18"/>
    <mergeCell ref="L19:O19"/>
    <mergeCell ref="L20:O20"/>
    <mergeCell ref="L21:O21"/>
    <mergeCell ref="L22:O22"/>
    <mergeCell ref="L34:O34"/>
    <mergeCell ref="L35:O35"/>
    <mergeCell ref="L36:O36"/>
    <mergeCell ref="L29:O29"/>
    <mergeCell ref="L30:O30"/>
    <mergeCell ref="L31:O31"/>
    <mergeCell ref="L32:O32"/>
    <mergeCell ref="L33:O33"/>
    <mergeCell ref="L45:O45"/>
    <mergeCell ref="L46:O46"/>
    <mergeCell ref="L47:O47"/>
    <mergeCell ref="L48:O48"/>
    <mergeCell ref="L39:O39"/>
    <mergeCell ref="L40:O40"/>
    <mergeCell ref="L41:O41"/>
    <mergeCell ref="L42:O42"/>
    <mergeCell ref="L43:O43"/>
    <mergeCell ref="L23:O23"/>
    <mergeCell ref="L25:O25"/>
    <mergeCell ref="L26:O26"/>
    <mergeCell ref="L27:O27"/>
    <mergeCell ref="L28:O28"/>
    <mergeCell ref="L24:O24"/>
    <mergeCell ref="L37:O37"/>
    <mergeCell ref="L38:O38"/>
    <mergeCell ref="L44:O44"/>
    <mergeCell ref="J58:J59"/>
    <mergeCell ref="I57:J57"/>
    <mergeCell ref="BD53:BF53"/>
    <mergeCell ref="Z53:AB53"/>
    <mergeCell ref="AX53:AZ53"/>
    <mergeCell ref="AO53:AQ53"/>
    <mergeCell ref="H53:J53"/>
    <mergeCell ref="T53:V53"/>
    <mergeCell ref="W53:Y53"/>
    <mergeCell ref="AL53:AN53"/>
    <mergeCell ref="AF53:AH53"/>
    <mergeCell ref="AR53:AT53"/>
    <mergeCell ref="BA53:BC53"/>
    <mergeCell ref="L57:O57"/>
    <mergeCell ref="Q53:S53"/>
    <mergeCell ref="IW53:IY53"/>
    <mergeCell ref="AU53:AW53"/>
    <mergeCell ref="DU53:DW53"/>
    <mergeCell ref="IK53:IM53"/>
    <mergeCell ref="IN53:IP53"/>
    <mergeCell ref="AC53:AE53"/>
    <mergeCell ref="IE53:IG53"/>
    <mergeCell ref="FQ53:FS53"/>
    <mergeCell ref="BY53:CA53"/>
    <mergeCell ref="FZ53:GB53"/>
    <mergeCell ref="GF53:GH53"/>
    <mergeCell ref="HJ53:HL53"/>
    <mergeCell ref="EP53:ER53"/>
    <mergeCell ref="CB53:CD53"/>
    <mergeCell ref="DF53:DH53"/>
    <mergeCell ref="CH53:CJ53"/>
    <mergeCell ref="IH53:IJ53"/>
    <mergeCell ref="FH53:FJ53"/>
    <mergeCell ref="DC53:DE53"/>
    <mergeCell ref="CQ53:CS53"/>
    <mergeCell ref="HG53:HI53"/>
    <mergeCell ref="FB53:FD53"/>
    <mergeCell ref="ED53:EF53"/>
    <mergeCell ref="CN53:CP53"/>
    <mergeCell ref="DO53:DQ53"/>
    <mergeCell ref="DX53:DZ53"/>
    <mergeCell ref="IQ53:IS53"/>
    <mergeCell ref="FK53:FM53"/>
    <mergeCell ref="FN53:FP53"/>
    <mergeCell ref="EV53:EX53"/>
    <mergeCell ref="FW53:FY53"/>
    <mergeCell ref="FT53:FV53"/>
    <mergeCell ref="GC53:GE53"/>
    <mergeCell ref="GL53:GN53"/>
    <mergeCell ref="EJ53:EL53"/>
    <mergeCell ref="GX53:GZ53"/>
    <mergeCell ref="HV53:HX53"/>
    <mergeCell ref="HS53:HU53"/>
    <mergeCell ref="EA53:EC53"/>
    <mergeCell ref="EY53:FA53"/>
    <mergeCell ref="ES53:EU53"/>
    <mergeCell ref="EM53:EO53"/>
    <mergeCell ref="HA53:HC53"/>
    <mergeCell ref="GR53:GT53"/>
    <mergeCell ref="GI53:GK53"/>
    <mergeCell ref="FE53:FG53"/>
    <mergeCell ref="CZ53:DB53"/>
    <mergeCell ref="CW53:CY53"/>
    <mergeCell ref="CK53:CM53"/>
    <mergeCell ref="BJ53:BL53"/>
    <mergeCell ref="B3:G3"/>
    <mergeCell ref="IB53:ID53"/>
    <mergeCell ref="IT53:IV53"/>
    <mergeCell ref="AI53:AK53"/>
    <mergeCell ref="DL53:DN53"/>
    <mergeCell ref="HY53:IA53"/>
    <mergeCell ref="DR53:DT53"/>
    <mergeCell ref="BS53:BU53"/>
    <mergeCell ref="EG53:EI53"/>
    <mergeCell ref="GO53:GQ53"/>
    <mergeCell ref="HD53:HF53"/>
    <mergeCell ref="CE53:CG53"/>
    <mergeCell ref="HP53:HR53"/>
    <mergeCell ref="BM53:BO53"/>
    <mergeCell ref="DI53:DK53"/>
    <mergeCell ref="CT53:CV53"/>
    <mergeCell ref="BP53:BR53"/>
    <mergeCell ref="BV53:BX53"/>
    <mergeCell ref="GU53:GW53"/>
    <mergeCell ref="HM53:HO53"/>
  </mergeCells>
  <phoneticPr fontId="126" type="noConversion"/>
  <conditionalFormatting sqref="J8">
    <cfRule type="expression" dxfId="1473" priority="9">
      <formula>"WENN(ZÄHLENWENN(J6:J48;""GB+"")&gt;5;""Achtung Maximum GB+ erreicht! (15)"";"""")"</formula>
    </cfRule>
  </conditionalFormatting>
  <conditionalFormatting sqref="J11 J13 J15 J17 J19 J21 J23 J25 J27 J29 J31 J33 J35 J37 J39 J41 J43 J45 J47 J49">
    <cfRule type="expression" dxfId="1472" priority="6">
      <formula>"WENN(ZÄHLENWENN(J6:J48;""GB+"")&gt;5;""Achtung Maximum GB+ erreicht! (15)"";"""")"</formula>
    </cfRule>
  </conditionalFormatting>
  <conditionalFormatting sqref="J9">
    <cfRule type="expression" dxfId="1471" priority="8">
      <formula>"WENN(ZÄHLENWENN(J6:J48;""GB+"")&gt;5;""Achtung Maximum GB+ erreicht! (15)"";"""")"</formula>
    </cfRule>
  </conditionalFormatting>
  <conditionalFormatting sqref="J10 J12 J14 J16 J18 J20 J22 J24 J26 J28 J30 J32 J34 J36 J38 J40 J42 J44 J46 J48 J50">
    <cfRule type="expression" dxfId="1470" priority="7">
      <formula>"WENN(ZÄHLENWENN(J6:J48;""GB+"")&gt;5;""Achtung Maximum GB+ erreicht! (15)"";"""")"</formula>
    </cfRule>
  </conditionalFormatting>
  <conditionalFormatting sqref="L8:O80">
    <cfRule type="expression" dxfId="1469" priority="4">
      <formula>IF($L8&lt;&gt;"",TRUE,FALSE)</formula>
    </cfRule>
  </conditionalFormatting>
  <conditionalFormatting sqref="J6">
    <cfRule type="expression" dxfId="1468" priority="2">
      <formula>IF($J$6&lt;&gt;"",TRUE,FALSE)</formula>
    </cfRule>
  </conditionalFormatting>
  <conditionalFormatting sqref="J5">
    <cfRule type="expression" dxfId="1467" priority="1">
      <formula>IF($J$6&lt;&gt;"",TRUE,FALSE)</formula>
    </cfRule>
  </conditionalFormatting>
  <dataValidations count="2">
    <dataValidation type="list" allowBlank="1" showDropDown="1" showInputMessage="1" showErrorMessage="1" sqref="J8:J50" xr:uid="{273B7B4C-ED69-4447-B1F4-710EAD67F4E9}">
      <mc:AlternateContent xmlns:x12ac="http://schemas.microsoft.com/office/spreadsheetml/2011/1/ac" xmlns:mc="http://schemas.openxmlformats.org/markup-compatibility/2006">
        <mc:Choice Requires="x12ac">
          <x12ac:list>GB+,"GB,IB"</x12ac:list>
        </mc:Choice>
        <mc:Fallback>
          <formula1>"GB+,GB,IB"</formula1>
        </mc:Fallback>
      </mc:AlternateContent>
    </dataValidation>
    <dataValidation type="list" allowBlank="1" showDropDown="1" showInputMessage="1" showErrorMessage="1" sqref="K8:K50" xr:uid="{3F51C42D-C078-4B76-960C-2FAD8173DD64}">
      <formula1>"OK,UK"</formula1>
    </dataValidation>
  </dataValidations>
  <pageMargins left="0.7" right="0.7" top="0.78740157499999996" bottom="0.78740157499999996" header="0.3" footer="0.3"/>
  <pageSetup paperSize="9" orientation="portrait" horizontalDpi="300" verticalDpi="300" r:id="rId1"/>
  <ignoredErrors>
    <ignoredError sqref="J8 J10:J14 J16:J23 J25 J30 J33 J35 J37 J39:J45" listDataValidation="1"/>
  </ignoredErrors>
  <drawing r:id="rId2"/>
  <legacyDrawing r:id="rId3"/>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1012"/>
  <sheetViews>
    <sheetView showGridLines="0" zoomScale="96" zoomScaleNormal="96" workbookViewId="0">
      <selection activeCell="B5" sqref="B5"/>
    </sheetView>
  </sheetViews>
  <sheetFormatPr baseColWidth="10" defaultColWidth="9" defaultRowHeight="15" customHeight="1"/>
  <cols>
    <col min="4" max="4" width="32.85546875" customWidth="1"/>
    <col min="5" max="5" width="23.85546875" customWidth="1"/>
    <col min="6" max="9" width="22.7109375" customWidth="1"/>
    <col min="10" max="10" width="17.28515625" customWidth="1"/>
    <col min="11" max="258" width="14" customWidth="1"/>
  </cols>
  <sheetData>
    <row r="1" spans="1:11" ht="40.5" customHeight="1"/>
    <row r="2" spans="1:11" ht="36.75" customHeight="1"/>
    <row r="3" spans="1:11" ht="42" customHeight="1">
      <c r="A3" s="245"/>
      <c r="B3" s="245"/>
      <c r="C3" s="245"/>
      <c r="D3" s="960"/>
      <c r="E3" s="960"/>
      <c r="F3" s="960"/>
      <c r="G3" s="243"/>
      <c r="H3" s="243"/>
      <c r="I3" s="243"/>
      <c r="J3" s="243"/>
    </row>
    <row r="4" spans="1:11" ht="30">
      <c r="D4" s="1"/>
      <c r="E4" s="1"/>
      <c r="F4" s="1"/>
      <c r="G4" s="1"/>
      <c r="H4" s="1"/>
      <c r="I4" s="1"/>
      <c r="J4" s="1"/>
    </row>
    <row r="5" spans="1:11" ht="68.25" customHeight="1">
      <c r="D5" s="2"/>
      <c r="G5" s="287"/>
      <c r="H5" s="287"/>
      <c r="I5" s="287"/>
      <c r="J5" s="3"/>
    </row>
    <row r="6" spans="1:11" ht="42" customHeight="1">
      <c r="D6" s="2"/>
      <c r="G6" s="287"/>
      <c r="H6" s="287"/>
      <c r="I6" s="287"/>
      <c r="J6" s="3"/>
    </row>
    <row r="7" spans="1:11" ht="38.25" customHeight="1">
      <c r="D7" s="230"/>
      <c r="E7" s="32"/>
      <c r="F7" s="231"/>
      <c r="G7" s="232"/>
      <c r="H7" s="316" t="str">
        <f>IF(MAX($H9,$H10,$H11,$H12,$H13,$H14,$H15,$H16,H17,$H18,$H19,$H20,$H21,$H22,$H23)&gt;10.1,"Achtung! Nur RPE Werte von 1-10!","")</f>
        <v/>
      </c>
      <c r="I7" s="316"/>
      <c r="J7" s="4"/>
    </row>
    <row r="8" spans="1:11" ht="27.95" customHeight="1">
      <c r="D8" s="924" t="s">
        <v>0</v>
      </c>
      <c r="E8" s="925" t="s">
        <v>47</v>
      </c>
      <c r="F8" s="925" t="s">
        <v>57</v>
      </c>
      <c r="G8" s="925" t="s">
        <v>284</v>
      </c>
      <c r="H8" s="925" t="s">
        <v>212</v>
      </c>
      <c r="I8" s="926" t="s">
        <v>292</v>
      </c>
      <c r="J8" s="5"/>
      <c r="K8" t="str">
        <f>IF(OR($H9,$H10,$H11,$H12,$H13,$H14,$H15,$H16,H17,$H18,$H19,$H20,$H21,$H22,$H23)=0,"Achtung! Nur RPE Werte von 1-10!","")</f>
        <v/>
      </c>
    </row>
    <row r="9" spans="1:11" ht="27.95" customHeight="1">
      <c r="D9" s="927" t="s">
        <v>2</v>
      </c>
      <c r="E9" s="928">
        <f>IF(G9&lt;1,"",IF(G9&gt;20,"",IF(G9=0,"",IF(F9=0,"",IF(H9&gt;10,"ERROR",IF(H9&lt;0,"ERROR",IF(AND(I9="Epley",H9=0),(F9*(1+(G9/30))),IF(I9="Ep",(F9*(1+((G9+(10-H9))/30))),IF(H9=0,F9*36/(37-G9),(F9*36/(37-(G9+(10-H9)))))))))))))</f>
        <v>116.12903225806451</v>
      </c>
      <c r="F9" s="929">
        <v>100</v>
      </c>
      <c r="G9" s="930">
        <v>6</v>
      </c>
      <c r="H9" s="929">
        <v>10</v>
      </c>
      <c r="I9" s="931" t="s">
        <v>302</v>
      </c>
      <c r="J9" s="6"/>
    </row>
    <row r="10" spans="1:11" ht="27.95" customHeight="1">
      <c r="D10" s="932" t="s">
        <v>135</v>
      </c>
      <c r="E10" s="933">
        <f t="shared" ref="E10:E23" si="0">IF(G10&lt;1,"",IF(G10&gt;20,"",IF(G10=0,"",IF(F10=0,"",IF(H10&gt;10,"ERROR",IF(H10&lt;0,"ERROR",IF(AND(I10="Epley",H10=0),(F10*(1+(G10/30))),IF(I10="Ep",(F10*(1+((G10+(10-H10))/30))),IF(H10=0,F10*36/(37-G10),(F10*36/(37-(G10+(10-H10)))))))))))))</f>
        <v>122.14285714285714</v>
      </c>
      <c r="F10" s="934">
        <v>95</v>
      </c>
      <c r="G10" s="935">
        <v>9</v>
      </c>
      <c r="H10" s="934">
        <v>10</v>
      </c>
      <c r="I10" s="936" t="s">
        <v>302</v>
      </c>
      <c r="J10" s="6"/>
    </row>
    <row r="11" spans="1:11" ht="27.95" customHeight="1">
      <c r="D11" s="927" t="s">
        <v>14</v>
      </c>
      <c r="E11" s="928">
        <f t="shared" si="0"/>
        <v>109.28571428571429</v>
      </c>
      <c r="F11" s="929">
        <v>85</v>
      </c>
      <c r="G11" s="930">
        <v>9</v>
      </c>
      <c r="H11" s="929">
        <v>10</v>
      </c>
      <c r="I11" s="931" t="s">
        <v>302</v>
      </c>
      <c r="J11" s="6"/>
    </row>
    <row r="12" spans="1:11" ht="27.95" customHeight="1">
      <c r="D12" s="932" t="s">
        <v>5</v>
      </c>
      <c r="E12" s="933">
        <f t="shared" si="0"/>
        <v>54</v>
      </c>
      <c r="F12" s="934">
        <v>42</v>
      </c>
      <c r="G12" s="935">
        <v>9</v>
      </c>
      <c r="H12" s="934">
        <v>10</v>
      </c>
      <c r="I12" s="936" t="s">
        <v>302</v>
      </c>
      <c r="J12" s="6"/>
    </row>
    <row r="13" spans="1:11" ht="27.95" customHeight="1">
      <c r="D13" s="927" t="s">
        <v>152</v>
      </c>
      <c r="E13" s="928">
        <f t="shared" si="0"/>
        <v>83.571428571428569</v>
      </c>
      <c r="F13" s="929">
        <v>65</v>
      </c>
      <c r="G13" s="930">
        <v>9</v>
      </c>
      <c r="H13" s="929">
        <v>10</v>
      </c>
      <c r="I13" s="931" t="s">
        <v>302</v>
      </c>
    </row>
    <row r="14" spans="1:11" ht="27.95" customHeight="1">
      <c r="D14" s="932" t="s">
        <v>153</v>
      </c>
      <c r="E14" s="933">
        <f t="shared" si="0"/>
        <v>93.103448275862064</v>
      </c>
      <c r="F14" s="934">
        <v>75</v>
      </c>
      <c r="G14" s="935">
        <v>8</v>
      </c>
      <c r="H14" s="934">
        <v>10</v>
      </c>
      <c r="I14" s="936" t="s">
        <v>302</v>
      </c>
      <c r="J14" s="6"/>
    </row>
    <row r="15" spans="1:11" ht="27.95" customHeight="1">
      <c r="D15" s="927" t="s">
        <v>19</v>
      </c>
      <c r="E15" s="928">
        <f t="shared" si="0"/>
        <v>142.75862068965517</v>
      </c>
      <c r="F15" s="929">
        <v>115</v>
      </c>
      <c r="G15" s="930">
        <v>8</v>
      </c>
      <c r="H15" s="929">
        <v>10</v>
      </c>
      <c r="I15" s="931" t="s">
        <v>302</v>
      </c>
      <c r="J15" s="6"/>
    </row>
    <row r="16" spans="1:11" ht="27.95" customHeight="1">
      <c r="D16" s="932" t="s">
        <v>228</v>
      </c>
      <c r="E16" s="933">
        <f t="shared" si="0"/>
        <v>336</v>
      </c>
      <c r="F16" s="934">
        <v>240</v>
      </c>
      <c r="G16" s="935">
        <v>12</v>
      </c>
      <c r="H16" s="934">
        <v>10</v>
      </c>
      <c r="I16" s="936" t="s">
        <v>301</v>
      </c>
      <c r="J16" s="6"/>
    </row>
    <row r="17" spans="4:10" ht="27.95" customHeight="1">
      <c r="D17" s="927" t="s">
        <v>27</v>
      </c>
      <c r="E17" s="928">
        <f t="shared" si="0"/>
        <v>160</v>
      </c>
      <c r="F17" s="929">
        <v>120</v>
      </c>
      <c r="G17" s="930">
        <v>10</v>
      </c>
      <c r="H17" s="929">
        <v>10</v>
      </c>
      <c r="I17" s="931" t="s">
        <v>301</v>
      </c>
      <c r="J17" s="6"/>
    </row>
    <row r="18" spans="4:10" ht="27.95" customHeight="1">
      <c r="D18" s="932" t="s">
        <v>72</v>
      </c>
      <c r="E18" s="933">
        <f t="shared" si="0"/>
        <v>136.66666666666666</v>
      </c>
      <c r="F18" s="934">
        <v>102.5</v>
      </c>
      <c r="G18" s="935">
        <v>10</v>
      </c>
      <c r="H18" s="934">
        <v>10</v>
      </c>
      <c r="I18" s="936" t="s">
        <v>301</v>
      </c>
      <c r="J18" s="6"/>
    </row>
    <row r="19" spans="4:10" ht="27.95" customHeight="1">
      <c r="D19" s="927" t="s">
        <v>177</v>
      </c>
      <c r="E19" s="928">
        <f t="shared" si="0"/>
        <v>142.75862068965517</v>
      </c>
      <c r="F19" s="929">
        <v>115</v>
      </c>
      <c r="G19" s="930">
        <v>8</v>
      </c>
      <c r="H19" s="929">
        <v>10</v>
      </c>
      <c r="I19" s="931" t="s">
        <v>302</v>
      </c>
      <c r="J19" s="7"/>
    </row>
    <row r="20" spans="4:10" ht="27.95" customHeight="1">
      <c r="D20" s="937" t="s">
        <v>288</v>
      </c>
      <c r="E20" s="938" t="str">
        <f t="shared" si="0"/>
        <v/>
      </c>
      <c r="F20" s="939"/>
      <c r="G20" s="940"/>
      <c r="H20" s="939"/>
      <c r="I20" s="936"/>
    </row>
    <row r="21" spans="4:10" ht="27.95" customHeight="1">
      <c r="D21" s="927"/>
      <c r="E21" s="928" t="str">
        <f t="shared" si="0"/>
        <v/>
      </c>
      <c r="F21" s="929"/>
      <c r="G21" s="930"/>
      <c r="H21" s="929"/>
      <c r="I21" s="931"/>
    </row>
    <row r="22" spans="4:10" ht="27.95" customHeight="1">
      <c r="D22" s="937"/>
      <c r="E22" s="938" t="str">
        <f t="shared" si="0"/>
        <v/>
      </c>
      <c r="F22" s="939"/>
      <c r="G22" s="940"/>
      <c r="H22" s="939"/>
      <c r="I22" s="936"/>
      <c r="J22" s="7"/>
    </row>
    <row r="23" spans="4:10" ht="27.95" customHeight="1">
      <c r="D23" s="941"/>
      <c r="E23" s="942" t="str">
        <f t="shared" si="0"/>
        <v/>
      </c>
      <c r="F23" s="943"/>
      <c r="G23" s="944"/>
      <c r="H23" s="943"/>
      <c r="I23" s="945"/>
      <c r="J23" s="7"/>
    </row>
    <row r="24" spans="4:10" ht="27.95" customHeight="1">
      <c r="D24" s="8"/>
      <c r="E24" s="8"/>
      <c r="F24" s="8"/>
      <c r="J24" s="7"/>
    </row>
    <row r="25" spans="4:10" ht="27.95" customHeight="1">
      <c r="D25" s="7"/>
      <c r="E25" s="7"/>
      <c r="J25" s="7"/>
    </row>
    <row r="26" spans="4:10" ht="27.95" customHeight="1"/>
    <row r="27" spans="4:10" ht="27.95" customHeight="1">
      <c r="G27" s="7"/>
      <c r="H27" s="7"/>
      <c r="I27" s="7"/>
    </row>
    <row r="28" spans="4:10" ht="27.95" customHeight="1">
      <c r="D28" s="7"/>
      <c r="E28" s="7"/>
      <c r="F28" s="7"/>
      <c r="G28" s="7"/>
      <c r="H28" s="315"/>
      <c r="I28" s="315"/>
      <c r="J28" s="961"/>
    </row>
    <row r="29" spans="4:10" ht="27.95" customHeight="1">
      <c r="D29" s="7"/>
      <c r="E29" s="7"/>
      <c r="F29" s="7"/>
      <c r="G29" s="7"/>
      <c r="H29" s="7"/>
      <c r="I29" s="7"/>
      <c r="J29" s="961"/>
    </row>
    <row r="30" spans="4:10" ht="27.95" customHeight="1">
      <c r="D30" s="7"/>
      <c r="E30" s="7"/>
      <c r="F30" s="7"/>
      <c r="G30" s="7"/>
      <c r="H30" s="7"/>
      <c r="I30" s="7"/>
      <c r="J30" s="7"/>
    </row>
    <row r="31" spans="4:10" ht="27.95" customHeight="1">
      <c r="D31" s="7"/>
      <c r="E31" s="7"/>
      <c r="F31" s="7"/>
      <c r="G31" s="7"/>
      <c r="H31" s="7"/>
      <c r="I31" s="7"/>
      <c r="J31" s="7"/>
    </row>
    <row r="32" spans="4:10" ht="19.5" customHeight="1">
      <c r="D32" s="7"/>
      <c r="E32" s="7"/>
      <c r="F32" s="7"/>
      <c r="G32" s="7"/>
      <c r="H32" s="7"/>
      <c r="I32" s="7"/>
      <c r="J32" s="7"/>
    </row>
    <row r="33" spans="4:10" ht="19.5" customHeight="1">
      <c r="D33" s="7"/>
      <c r="E33" s="7"/>
      <c r="F33" s="7"/>
      <c r="G33" s="7"/>
      <c r="H33" s="7"/>
      <c r="I33" s="7"/>
      <c r="J33" s="7"/>
    </row>
    <row r="34" spans="4:10" ht="19.5" customHeight="1">
      <c r="D34" s="7"/>
      <c r="E34" s="7"/>
      <c r="F34" s="7"/>
      <c r="G34" s="7"/>
      <c r="H34" s="7"/>
      <c r="I34" s="7"/>
      <c r="J34" s="7"/>
    </row>
    <row r="35" spans="4:10" ht="12.75">
      <c r="D35" s="7"/>
      <c r="E35" s="7"/>
      <c r="F35" s="7"/>
      <c r="G35" s="7"/>
      <c r="H35" s="7"/>
      <c r="I35" s="7"/>
      <c r="J35" s="7"/>
    </row>
    <row r="36" spans="4:10" ht="19.5" customHeight="1">
      <c r="D36" s="7"/>
      <c r="E36" s="7"/>
      <c r="F36" s="7"/>
      <c r="G36" s="7"/>
      <c r="H36" s="7"/>
      <c r="I36" s="7"/>
      <c r="J36" s="7"/>
    </row>
    <row r="37" spans="4:10" ht="19.5" customHeight="1">
      <c r="D37" s="7"/>
      <c r="E37" s="7"/>
      <c r="F37" s="7"/>
      <c r="G37" s="7"/>
      <c r="H37" s="7"/>
      <c r="I37" s="7"/>
      <c r="J37" s="7"/>
    </row>
    <row r="38" spans="4:10" ht="19.5" customHeight="1">
      <c r="D38" s="7"/>
      <c r="E38" s="7"/>
      <c r="F38" s="7"/>
      <c r="G38" s="7"/>
      <c r="H38" s="7"/>
      <c r="I38" s="7"/>
      <c r="J38" s="7"/>
    </row>
    <row r="39" spans="4:10" ht="19.5" customHeight="1">
      <c r="D39" s="7"/>
      <c r="E39" s="7"/>
      <c r="F39" s="7"/>
      <c r="G39" s="7"/>
      <c r="H39" s="7"/>
      <c r="I39" s="7"/>
      <c r="J39" s="7"/>
    </row>
    <row r="40" spans="4:10" ht="19.5" customHeight="1">
      <c r="D40" s="7"/>
      <c r="E40" s="7"/>
      <c r="F40" s="7"/>
      <c r="G40" s="7"/>
      <c r="H40" s="7"/>
      <c r="I40" s="7"/>
      <c r="J40" s="7"/>
    </row>
    <row r="41" spans="4:10" ht="19.5" customHeight="1">
      <c r="D41" s="7"/>
      <c r="E41" s="7"/>
      <c r="F41" s="7"/>
      <c r="G41" s="7"/>
      <c r="H41" s="7"/>
      <c r="I41" s="7"/>
      <c r="J41" s="7"/>
    </row>
    <row r="42" spans="4:10" ht="19.5" customHeight="1">
      <c r="D42" s="7"/>
      <c r="E42" s="7"/>
      <c r="F42" s="7"/>
      <c r="G42" s="7"/>
      <c r="H42" s="7"/>
      <c r="I42" s="7"/>
      <c r="J42" s="7"/>
    </row>
    <row r="43" spans="4:10" ht="19.5" customHeight="1">
      <c r="D43" s="7"/>
      <c r="E43" s="7"/>
      <c r="F43" s="7"/>
      <c r="G43" s="7"/>
      <c r="H43" s="7"/>
      <c r="I43" s="7"/>
      <c r="J43" s="7"/>
    </row>
    <row r="44" spans="4:10" ht="19.5" customHeight="1">
      <c r="D44" s="7"/>
      <c r="E44" s="7"/>
      <c r="F44" s="7"/>
      <c r="G44" s="7"/>
      <c r="H44" s="7"/>
      <c r="I44" s="7"/>
      <c r="J44" s="7"/>
    </row>
    <row r="45" spans="4:10" ht="19.5" customHeight="1">
      <c r="D45" s="7"/>
      <c r="E45" s="7"/>
      <c r="F45" s="7"/>
      <c r="G45" s="7"/>
      <c r="H45" s="7"/>
      <c r="I45" s="7"/>
      <c r="J45" s="7"/>
    </row>
    <row r="46" spans="4:10" ht="19.5" customHeight="1">
      <c r="D46" s="7"/>
      <c r="E46" s="7"/>
      <c r="F46" s="7"/>
      <c r="G46" s="7"/>
      <c r="H46" s="7"/>
      <c r="I46" s="7"/>
      <c r="J46" s="7"/>
    </row>
    <row r="47" spans="4:10" ht="19.5" customHeight="1">
      <c r="D47" s="7"/>
      <c r="E47" s="7"/>
      <c r="F47" s="7"/>
      <c r="G47" s="7"/>
      <c r="H47" s="7"/>
      <c r="I47" s="7"/>
      <c r="J47" s="7"/>
    </row>
    <row r="48" spans="4:10" ht="19.5" customHeight="1">
      <c r="D48" s="7"/>
      <c r="E48" s="7"/>
      <c r="F48" s="7"/>
      <c r="G48" s="7"/>
      <c r="H48" s="7"/>
      <c r="I48" s="7"/>
      <c r="J48" s="7"/>
    </row>
    <row r="49" spans="4:10" ht="19.5" customHeight="1">
      <c r="D49" s="7"/>
      <c r="E49" s="7"/>
      <c r="F49" s="7"/>
      <c r="G49" s="7"/>
      <c r="H49" s="7"/>
      <c r="I49" s="7"/>
      <c r="J49" s="7"/>
    </row>
    <row r="50" spans="4:10" ht="19.5" customHeight="1">
      <c r="D50" s="7"/>
      <c r="E50" s="7"/>
      <c r="F50" s="7"/>
      <c r="G50" s="7"/>
      <c r="H50" s="7"/>
      <c r="I50" s="7"/>
      <c r="J50" s="7"/>
    </row>
    <row r="51" spans="4:10" ht="19.5" customHeight="1">
      <c r="D51" s="7"/>
      <c r="E51" s="7"/>
      <c r="F51" s="7"/>
      <c r="G51" s="7"/>
      <c r="H51" s="7"/>
      <c r="I51" s="7"/>
      <c r="J51" s="7"/>
    </row>
    <row r="52" spans="4:10" ht="19.5" customHeight="1">
      <c r="D52" s="7"/>
      <c r="E52" s="7"/>
      <c r="F52" s="7"/>
      <c r="G52" s="7"/>
      <c r="H52" s="7"/>
      <c r="I52" s="7"/>
      <c r="J52" s="7"/>
    </row>
    <row r="53" spans="4:10" ht="19.5" customHeight="1">
      <c r="D53" s="7"/>
      <c r="E53" s="7"/>
      <c r="F53" s="7"/>
      <c r="G53" s="7"/>
      <c r="H53" s="7"/>
      <c r="I53" s="7"/>
      <c r="J53" s="7"/>
    </row>
    <row r="54" spans="4:10" ht="19.5" customHeight="1">
      <c r="D54" s="7"/>
      <c r="E54" s="7"/>
      <c r="F54" s="7"/>
      <c r="G54" s="7"/>
      <c r="H54" s="7"/>
      <c r="I54" s="7"/>
      <c r="J54" s="7"/>
    </row>
    <row r="55" spans="4:10" ht="19.5" customHeight="1">
      <c r="D55" s="7"/>
      <c r="E55" s="7"/>
      <c r="F55" s="7"/>
      <c r="G55" s="7"/>
      <c r="H55" s="7"/>
      <c r="I55" s="7"/>
      <c r="J55" s="7"/>
    </row>
    <row r="56" spans="4:10" ht="19.5" customHeight="1">
      <c r="D56" s="7"/>
      <c r="E56" s="7"/>
      <c r="F56" s="7"/>
      <c r="G56" s="7"/>
      <c r="H56" s="7"/>
      <c r="I56" s="7"/>
      <c r="J56" s="7"/>
    </row>
    <row r="57" spans="4:10" ht="19.5" customHeight="1">
      <c r="D57" s="7"/>
      <c r="E57" s="7"/>
      <c r="F57" s="7"/>
      <c r="G57" s="7"/>
      <c r="H57" s="7"/>
      <c r="I57" s="7"/>
      <c r="J57" s="7"/>
    </row>
    <row r="58" spans="4:10" ht="19.5" customHeight="1">
      <c r="D58" s="7"/>
      <c r="E58" s="7"/>
      <c r="F58" s="7"/>
      <c r="G58" s="7"/>
      <c r="H58" s="7"/>
      <c r="I58" s="7"/>
      <c r="J58" s="7"/>
    </row>
    <row r="59" spans="4:10" ht="19.5" customHeight="1">
      <c r="D59" s="7"/>
      <c r="E59" s="7"/>
      <c r="F59" s="7"/>
      <c r="G59" s="7"/>
      <c r="H59" s="7"/>
      <c r="I59" s="7"/>
      <c r="J59" s="7"/>
    </row>
    <row r="60" spans="4:10" ht="19.5" customHeight="1">
      <c r="D60" s="7"/>
      <c r="E60" s="7"/>
      <c r="F60" s="7"/>
      <c r="G60" s="7"/>
      <c r="H60" s="7"/>
      <c r="I60" s="7"/>
      <c r="J60" s="7"/>
    </row>
    <row r="61" spans="4:10" ht="19.5" customHeight="1">
      <c r="D61" s="7"/>
      <c r="E61" s="7"/>
      <c r="F61" s="7"/>
      <c r="G61" s="7"/>
      <c r="H61" s="7"/>
      <c r="I61" s="7"/>
      <c r="J61" s="7"/>
    </row>
    <row r="62" spans="4:10" ht="19.5" customHeight="1">
      <c r="D62" s="7"/>
      <c r="E62" s="7"/>
      <c r="F62" s="7"/>
      <c r="G62" s="7"/>
      <c r="H62" s="7"/>
      <c r="I62" s="7"/>
      <c r="J62" s="7"/>
    </row>
    <row r="63" spans="4:10" ht="19.5" customHeight="1">
      <c r="D63" s="7"/>
      <c r="E63" s="7"/>
      <c r="F63" s="7"/>
      <c r="G63" s="7"/>
      <c r="H63" s="7"/>
      <c r="I63" s="7"/>
      <c r="J63" s="7"/>
    </row>
    <row r="64" spans="4:10" ht="19.5" customHeight="1">
      <c r="D64" s="7"/>
      <c r="E64" s="7"/>
      <c r="F64" s="7"/>
      <c r="G64" s="7"/>
      <c r="H64" s="7"/>
      <c r="I64" s="7"/>
      <c r="J64" s="7"/>
    </row>
    <row r="65" spans="4:10" ht="19.5" customHeight="1">
      <c r="D65" s="7"/>
      <c r="E65" s="7"/>
      <c r="F65" s="7"/>
      <c r="G65" s="7"/>
      <c r="H65" s="7"/>
      <c r="I65" s="7"/>
      <c r="J65" s="7"/>
    </row>
    <row r="66" spans="4:10" ht="19.5" customHeight="1">
      <c r="D66" s="7"/>
      <c r="E66" s="7"/>
      <c r="F66" s="7"/>
      <c r="G66" s="7"/>
      <c r="H66" s="7"/>
      <c r="I66" s="7"/>
      <c r="J66" s="7"/>
    </row>
    <row r="67" spans="4:10" ht="19.5" customHeight="1">
      <c r="D67" s="7"/>
      <c r="E67" s="7"/>
      <c r="F67" s="7"/>
      <c r="G67" s="7"/>
      <c r="H67" s="7"/>
      <c r="I67" s="7"/>
      <c r="J67" s="7"/>
    </row>
    <row r="68" spans="4:10" ht="19.5" customHeight="1">
      <c r="D68" s="7"/>
      <c r="E68" s="7"/>
      <c r="F68" s="7"/>
      <c r="G68" s="7"/>
      <c r="H68" s="7"/>
      <c r="I68" s="7"/>
      <c r="J68" s="7"/>
    </row>
    <row r="69" spans="4:10" ht="19.5" customHeight="1">
      <c r="D69" s="7"/>
      <c r="E69" s="7"/>
      <c r="F69" s="7"/>
      <c r="G69" s="7"/>
      <c r="H69" s="7"/>
      <c r="I69" s="7"/>
      <c r="J69" s="7"/>
    </row>
    <row r="70" spans="4:10" ht="19.5" customHeight="1">
      <c r="D70" s="7"/>
      <c r="E70" s="7"/>
      <c r="F70" s="7"/>
      <c r="G70" s="7"/>
      <c r="H70" s="7"/>
      <c r="I70" s="7"/>
      <c r="J70" s="7"/>
    </row>
    <row r="71" spans="4:10" ht="19.5" customHeight="1">
      <c r="D71" s="7"/>
      <c r="E71" s="7"/>
      <c r="F71" s="7"/>
      <c r="G71" s="7"/>
      <c r="H71" s="7"/>
      <c r="I71" s="7"/>
      <c r="J71" s="7"/>
    </row>
    <row r="72" spans="4:10" ht="19.5" customHeight="1">
      <c r="D72" s="7"/>
      <c r="E72" s="7"/>
      <c r="F72" s="7"/>
      <c r="G72" s="7"/>
      <c r="H72" s="7"/>
      <c r="I72" s="7"/>
      <c r="J72" s="7"/>
    </row>
    <row r="73" spans="4:10" ht="19.5" customHeight="1">
      <c r="D73" s="7"/>
      <c r="E73" s="7"/>
      <c r="F73" s="7"/>
      <c r="G73" s="7"/>
      <c r="H73" s="7"/>
      <c r="I73" s="7"/>
      <c r="J73" s="7"/>
    </row>
    <row r="74" spans="4:10" ht="19.5" customHeight="1">
      <c r="D74" s="7"/>
      <c r="E74" s="7"/>
      <c r="F74" s="7"/>
      <c r="G74" s="7"/>
      <c r="H74" s="7"/>
      <c r="I74" s="7"/>
      <c r="J74" s="7"/>
    </row>
    <row r="75" spans="4:10" ht="19.5" customHeight="1">
      <c r="D75" s="7"/>
      <c r="E75" s="7"/>
      <c r="F75" s="7"/>
      <c r="G75" s="7"/>
      <c r="H75" s="7"/>
      <c r="I75" s="7"/>
      <c r="J75" s="7"/>
    </row>
    <row r="76" spans="4:10" ht="19.5" customHeight="1">
      <c r="D76" s="7"/>
      <c r="E76" s="7"/>
      <c r="F76" s="7"/>
      <c r="G76" s="7"/>
      <c r="H76" s="7"/>
      <c r="I76" s="7"/>
      <c r="J76" s="7"/>
    </row>
    <row r="77" spans="4:10" ht="19.5" customHeight="1">
      <c r="D77" s="7"/>
      <c r="E77" s="7"/>
      <c r="F77" s="7"/>
      <c r="G77" s="7"/>
      <c r="H77" s="7"/>
      <c r="I77" s="7"/>
      <c r="J77" s="7"/>
    </row>
    <row r="78" spans="4:10" ht="19.5" customHeight="1">
      <c r="D78" s="7"/>
      <c r="E78" s="7"/>
      <c r="F78" s="7"/>
      <c r="G78" s="7"/>
      <c r="H78" s="7"/>
      <c r="I78" s="7"/>
      <c r="J78" s="7"/>
    </row>
    <row r="79" spans="4:10" ht="19.5" customHeight="1">
      <c r="D79" s="7"/>
      <c r="E79" s="7"/>
      <c r="F79" s="7"/>
      <c r="G79" s="7"/>
      <c r="H79" s="7"/>
      <c r="I79" s="7"/>
      <c r="J79" s="7"/>
    </row>
    <row r="80" spans="4:10" ht="19.5" customHeight="1">
      <c r="D80" s="7"/>
      <c r="E80" s="7"/>
      <c r="F80" s="7"/>
      <c r="G80" s="7"/>
      <c r="H80" s="7"/>
      <c r="I80" s="7"/>
      <c r="J80" s="7"/>
    </row>
    <row r="81" spans="4:10" ht="19.5" customHeight="1">
      <c r="D81" s="7"/>
      <c r="E81" s="7"/>
      <c r="F81" s="7"/>
      <c r="G81" s="7"/>
      <c r="H81" s="7"/>
      <c r="I81" s="7"/>
      <c r="J81" s="7"/>
    </row>
    <row r="82" spans="4:10" ht="19.5" customHeight="1">
      <c r="D82" s="7"/>
      <c r="E82" s="7"/>
      <c r="F82" s="7"/>
      <c r="G82" s="7"/>
      <c r="H82" s="7"/>
      <c r="I82" s="7"/>
      <c r="J82" s="7"/>
    </row>
    <row r="83" spans="4:10" ht="19.5" customHeight="1">
      <c r="D83" s="7"/>
      <c r="E83" s="7"/>
      <c r="F83" s="7"/>
      <c r="G83" s="7"/>
      <c r="H83" s="7"/>
      <c r="I83" s="7"/>
      <c r="J83" s="7"/>
    </row>
    <row r="84" spans="4:10" ht="19.5" customHeight="1">
      <c r="D84" s="7"/>
      <c r="E84" s="7"/>
      <c r="F84" s="7"/>
      <c r="G84" s="7"/>
      <c r="H84" s="7"/>
      <c r="I84" s="7"/>
      <c r="J84" s="7"/>
    </row>
    <row r="85" spans="4:10" ht="19.5" customHeight="1">
      <c r="D85" s="7"/>
      <c r="E85" s="7"/>
      <c r="F85" s="7"/>
      <c r="G85" s="7"/>
      <c r="H85" s="7"/>
      <c r="I85" s="7"/>
      <c r="J85" s="7"/>
    </row>
    <row r="86" spans="4:10" ht="19.5" customHeight="1">
      <c r="D86" s="7"/>
      <c r="E86" s="7"/>
      <c r="F86" s="7"/>
      <c r="G86" s="7"/>
      <c r="H86" s="7"/>
      <c r="I86" s="7"/>
      <c r="J86" s="7"/>
    </row>
    <row r="87" spans="4:10" ht="19.5" customHeight="1">
      <c r="D87" s="7"/>
      <c r="E87" s="7"/>
      <c r="F87" s="7"/>
      <c r="G87" s="7"/>
      <c r="H87" s="7"/>
      <c r="I87" s="7"/>
      <c r="J87" s="7"/>
    </row>
    <row r="88" spans="4:10" ht="19.5" customHeight="1">
      <c r="D88" s="7"/>
      <c r="E88" s="7"/>
      <c r="F88" s="7"/>
      <c r="G88" s="7"/>
      <c r="H88" s="7"/>
      <c r="I88" s="7"/>
      <c r="J88" s="7"/>
    </row>
    <row r="89" spans="4:10" ht="19.5" customHeight="1">
      <c r="D89" s="7"/>
      <c r="E89" s="7"/>
      <c r="F89" s="7"/>
      <c r="G89" s="7"/>
      <c r="H89" s="7"/>
      <c r="I89" s="7"/>
      <c r="J89" s="7"/>
    </row>
    <row r="90" spans="4:10" ht="19.5" customHeight="1">
      <c r="D90" s="7"/>
      <c r="E90" s="7"/>
      <c r="F90" s="7"/>
      <c r="G90" s="7"/>
      <c r="H90" s="7"/>
      <c r="I90" s="7"/>
      <c r="J90" s="7"/>
    </row>
    <row r="91" spans="4:10" ht="19.5" customHeight="1">
      <c r="D91" s="7"/>
      <c r="E91" s="7"/>
      <c r="F91" s="7"/>
      <c r="G91" s="7"/>
      <c r="H91" s="7"/>
      <c r="I91" s="7"/>
      <c r="J91" s="7"/>
    </row>
    <row r="92" spans="4:10" ht="19.5" customHeight="1">
      <c r="D92" s="7"/>
      <c r="E92" s="7"/>
      <c r="F92" s="7"/>
      <c r="G92" s="7"/>
      <c r="H92" s="7"/>
      <c r="I92" s="7"/>
      <c r="J92" s="7"/>
    </row>
    <row r="93" spans="4:10" ht="19.5" customHeight="1">
      <c r="D93" s="7"/>
      <c r="E93" s="7"/>
      <c r="F93" s="7"/>
      <c r="G93" s="7"/>
      <c r="H93" s="7"/>
      <c r="I93" s="7"/>
      <c r="J93" s="7"/>
    </row>
    <row r="94" spans="4:10" ht="19.5" customHeight="1">
      <c r="D94" s="7"/>
      <c r="E94" s="7"/>
      <c r="F94" s="7"/>
      <c r="G94" s="7"/>
      <c r="H94" s="7"/>
      <c r="I94" s="7"/>
      <c r="J94" s="7"/>
    </row>
    <row r="95" spans="4:10" ht="19.5" customHeight="1">
      <c r="D95" s="7"/>
      <c r="E95" s="7"/>
      <c r="F95" s="7"/>
      <c r="G95" s="7"/>
      <c r="H95" s="7"/>
      <c r="I95" s="7"/>
      <c r="J95" s="7"/>
    </row>
    <row r="96" spans="4:10" ht="19.5" customHeight="1">
      <c r="D96" s="7"/>
      <c r="E96" s="7"/>
      <c r="F96" s="7"/>
      <c r="G96" s="7"/>
      <c r="H96" s="7"/>
      <c r="I96" s="7"/>
      <c r="J96" s="7"/>
    </row>
    <row r="97" spans="4:10" ht="19.5" customHeight="1">
      <c r="D97" s="7"/>
      <c r="E97" s="7"/>
      <c r="F97" s="7"/>
      <c r="G97" s="7"/>
      <c r="H97" s="7"/>
      <c r="I97" s="7"/>
      <c r="J97" s="7"/>
    </row>
    <row r="98" spans="4:10" ht="19.5" customHeight="1">
      <c r="D98" s="7"/>
      <c r="E98" s="7"/>
      <c r="F98" s="7"/>
      <c r="G98" s="7"/>
      <c r="H98" s="7"/>
      <c r="I98" s="7"/>
      <c r="J98" s="7"/>
    </row>
    <row r="99" spans="4:10" ht="19.5" customHeight="1">
      <c r="D99" s="7"/>
      <c r="E99" s="7"/>
      <c r="F99" s="7"/>
      <c r="G99" s="7"/>
      <c r="H99" s="7"/>
      <c r="I99" s="7"/>
      <c r="J99" s="7"/>
    </row>
    <row r="100" spans="4:10" ht="19.5" customHeight="1">
      <c r="D100" s="7"/>
      <c r="E100" s="7"/>
      <c r="F100" s="7"/>
      <c r="G100" s="7"/>
      <c r="H100" s="7"/>
      <c r="I100" s="7"/>
      <c r="J100" s="7"/>
    </row>
    <row r="101" spans="4:10" ht="19.5" customHeight="1">
      <c r="D101" s="7"/>
      <c r="E101" s="7"/>
      <c r="F101" s="7"/>
      <c r="G101" s="7"/>
      <c r="H101" s="7"/>
      <c r="I101" s="7"/>
      <c r="J101" s="7"/>
    </row>
    <row r="102" spans="4:10" ht="19.5" customHeight="1">
      <c r="D102" s="7"/>
      <c r="E102" s="7"/>
      <c r="F102" s="7"/>
      <c r="G102" s="7"/>
      <c r="H102" s="7"/>
      <c r="I102" s="7"/>
      <c r="J102" s="7"/>
    </row>
    <row r="103" spans="4:10" ht="19.5" customHeight="1">
      <c r="D103" s="7"/>
      <c r="E103" s="7"/>
      <c r="F103" s="7"/>
      <c r="G103" s="7"/>
      <c r="H103" s="7"/>
      <c r="I103" s="7"/>
      <c r="J103" s="7"/>
    </row>
    <row r="104" spans="4:10" ht="19.5" customHeight="1">
      <c r="D104" s="7"/>
      <c r="E104" s="7"/>
      <c r="F104" s="7"/>
      <c r="G104" s="7"/>
      <c r="H104" s="7"/>
      <c r="I104" s="7"/>
      <c r="J104" s="7"/>
    </row>
    <row r="105" spans="4:10" ht="19.5" customHeight="1">
      <c r="D105" s="7"/>
      <c r="E105" s="7"/>
      <c r="F105" s="7"/>
      <c r="G105" s="7"/>
      <c r="H105" s="7"/>
      <c r="I105" s="7"/>
      <c r="J105" s="7"/>
    </row>
    <row r="106" spans="4:10" ht="19.5" customHeight="1">
      <c r="D106" s="7"/>
      <c r="E106" s="7"/>
      <c r="F106" s="7"/>
      <c r="G106" s="7"/>
      <c r="H106" s="7"/>
      <c r="I106" s="7"/>
      <c r="J106" s="7"/>
    </row>
    <row r="107" spans="4:10" ht="19.5" customHeight="1">
      <c r="D107" s="7"/>
      <c r="E107" s="7"/>
      <c r="F107" s="7"/>
      <c r="G107" s="7"/>
      <c r="H107" s="7"/>
      <c r="I107" s="7"/>
      <c r="J107" s="7"/>
    </row>
    <row r="108" spans="4:10" ht="19.5" customHeight="1">
      <c r="D108" s="7"/>
      <c r="E108" s="7"/>
      <c r="F108" s="7"/>
      <c r="G108" s="7"/>
      <c r="H108" s="7"/>
      <c r="I108" s="7"/>
      <c r="J108" s="7"/>
    </row>
    <row r="109" spans="4:10" ht="19.5" customHeight="1">
      <c r="D109" s="7"/>
      <c r="E109" s="7"/>
      <c r="F109" s="7"/>
      <c r="G109" s="7"/>
      <c r="H109" s="7"/>
      <c r="I109" s="7"/>
      <c r="J109" s="7"/>
    </row>
    <row r="110" spans="4:10" ht="19.5" customHeight="1">
      <c r="D110" s="7"/>
      <c r="E110" s="7"/>
      <c r="F110" s="7"/>
      <c r="G110" s="7"/>
      <c r="H110" s="7"/>
      <c r="I110" s="7"/>
      <c r="J110" s="7"/>
    </row>
    <row r="111" spans="4:10" ht="19.5" customHeight="1">
      <c r="D111" s="7"/>
      <c r="E111" s="7"/>
      <c r="F111" s="7"/>
      <c r="G111" s="7"/>
      <c r="H111" s="7"/>
      <c r="I111" s="7"/>
      <c r="J111" s="7"/>
    </row>
    <row r="112" spans="4:10" ht="19.5" customHeight="1">
      <c r="D112" s="7"/>
      <c r="E112" s="7"/>
      <c r="F112" s="7"/>
      <c r="G112" s="7"/>
      <c r="H112" s="7"/>
      <c r="I112" s="7"/>
      <c r="J112" s="7"/>
    </row>
    <row r="113" spans="4:10" ht="19.5" customHeight="1">
      <c r="D113" s="7"/>
      <c r="E113" s="7"/>
      <c r="F113" s="7"/>
      <c r="G113" s="7"/>
      <c r="H113" s="7"/>
      <c r="I113" s="7"/>
      <c r="J113" s="7"/>
    </row>
    <row r="114" spans="4:10" ht="19.5" customHeight="1">
      <c r="D114" s="7"/>
      <c r="E114" s="7"/>
      <c r="F114" s="7"/>
      <c r="G114" s="7"/>
      <c r="H114" s="7"/>
      <c r="I114" s="7"/>
      <c r="J114" s="7"/>
    </row>
    <row r="115" spans="4:10" ht="19.5" customHeight="1">
      <c r="D115" s="7"/>
      <c r="E115" s="7"/>
      <c r="F115" s="7"/>
      <c r="G115" s="7"/>
      <c r="H115" s="7"/>
      <c r="I115" s="7"/>
      <c r="J115" s="7"/>
    </row>
    <row r="116" spans="4:10" ht="19.5" customHeight="1">
      <c r="D116" s="7"/>
      <c r="E116" s="7"/>
      <c r="F116" s="7"/>
      <c r="G116" s="7"/>
      <c r="H116" s="7"/>
      <c r="I116" s="7"/>
      <c r="J116" s="7"/>
    </row>
    <row r="117" spans="4:10" ht="19.5" customHeight="1">
      <c r="D117" s="7"/>
      <c r="E117" s="7"/>
      <c r="F117" s="7"/>
      <c r="G117" s="7"/>
      <c r="H117" s="7"/>
      <c r="I117" s="7"/>
      <c r="J117" s="7"/>
    </row>
    <row r="118" spans="4:10" ht="19.5" customHeight="1">
      <c r="D118" s="7"/>
      <c r="E118" s="7"/>
      <c r="F118" s="7"/>
      <c r="G118" s="7"/>
      <c r="H118" s="7"/>
      <c r="I118" s="7"/>
      <c r="J118" s="7"/>
    </row>
    <row r="119" spans="4:10" ht="19.5" customHeight="1">
      <c r="D119" s="7"/>
      <c r="E119" s="7"/>
      <c r="F119" s="7"/>
      <c r="G119" s="7"/>
      <c r="H119" s="7"/>
      <c r="I119" s="7"/>
      <c r="J119" s="7"/>
    </row>
    <row r="120" spans="4:10" ht="19.5" customHeight="1">
      <c r="D120" s="7"/>
      <c r="E120" s="7"/>
      <c r="F120" s="7"/>
      <c r="G120" s="7"/>
      <c r="H120" s="7"/>
      <c r="I120" s="7"/>
      <c r="J120" s="7"/>
    </row>
    <row r="121" spans="4:10" ht="19.5" customHeight="1">
      <c r="D121" s="7"/>
      <c r="E121" s="7"/>
      <c r="F121" s="7"/>
      <c r="G121" s="7"/>
      <c r="H121" s="7"/>
      <c r="I121" s="7"/>
      <c r="J121" s="7"/>
    </row>
    <row r="122" spans="4:10" ht="19.5" customHeight="1">
      <c r="D122" s="7"/>
      <c r="E122" s="7"/>
      <c r="F122" s="7"/>
      <c r="G122" s="7"/>
      <c r="H122" s="7"/>
      <c r="I122" s="7"/>
      <c r="J122" s="7"/>
    </row>
    <row r="123" spans="4:10" ht="19.5" customHeight="1">
      <c r="D123" s="7"/>
      <c r="E123" s="7"/>
      <c r="F123" s="7"/>
      <c r="G123" s="7"/>
      <c r="H123" s="7"/>
      <c r="I123" s="7"/>
      <c r="J123" s="7"/>
    </row>
    <row r="124" spans="4:10" ht="19.5" customHeight="1">
      <c r="D124" s="7"/>
      <c r="E124" s="7"/>
      <c r="F124" s="7"/>
      <c r="G124" s="7"/>
      <c r="H124" s="7"/>
      <c r="I124" s="7"/>
      <c r="J124" s="7"/>
    </row>
    <row r="125" spans="4:10" ht="19.5" customHeight="1">
      <c r="D125" s="7"/>
      <c r="E125" s="7"/>
      <c r="F125" s="7"/>
      <c r="G125" s="7"/>
      <c r="H125" s="7"/>
      <c r="I125" s="7"/>
      <c r="J125" s="7"/>
    </row>
    <row r="126" spans="4:10" ht="19.5" customHeight="1">
      <c r="D126" s="7"/>
      <c r="E126" s="7"/>
      <c r="F126" s="7"/>
      <c r="G126" s="7"/>
      <c r="H126" s="7"/>
      <c r="I126" s="7"/>
      <c r="J126" s="7"/>
    </row>
    <row r="127" spans="4:10" ht="19.5" customHeight="1">
      <c r="D127" s="7"/>
      <c r="E127" s="7"/>
      <c r="F127" s="7"/>
      <c r="G127" s="7"/>
      <c r="H127" s="7"/>
      <c r="I127" s="7"/>
      <c r="J127" s="7"/>
    </row>
    <row r="128" spans="4:10" ht="19.5" customHeight="1">
      <c r="D128" s="7"/>
      <c r="E128" s="7"/>
      <c r="F128" s="7"/>
      <c r="G128" s="7"/>
      <c r="H128" s="7"/>
      <c r="I128" s="7"/>
      <c r="J128" s="7"/>
    </row>
    <row r="129" spans="4:10" ht="19.5" customHeight="1">
      <c r="D129" s="7"/>
      <c r="E129" s="7"/>
      <c r="F129" s="7"/>
      <c r="G129" s="7"/>
      <c r="H129" s="7"/>
      <c r="I129" s="7"/>
      <c r="J129" s="7"/>
    </row>
    <row r="130" spans="4:10" ht="19.5" customHeight="1">
      <c r="D130" s="7"/>
      <c r="E130" s="7"/>
      <c r="F130" s="7"/>
      <c r="G130" s="7"/>
      <c r="H130" s="7"/>
      <c r="I130" s="7"/>
      <c r="J130" s="7"/>
    </row>
    <row r="131" spans="4:10" ht="19.5" customHeight="1">
      <c r="D131" s="7"/>
      <c r="E131" s="7"/>
      <c r="F131" s="7"/>
      <c r="G131" s="7"/>
      <c r="H131" s="7"/>
      <c r="I131" s="7"/>
      <c r="J131" s="7"/>
    </row>
    <row r="132" spans="4:10" ht="19.5" customHeight="1">
      <c r="D132" s="7"/>
      <c r="E132" s="7"/>
      <c r="F132" s="7"/>
      <c r="G132" s="7"/>
      <c r="H132" s="7"/>
      <c r="I132" s="7"/>
      <c r="J132" s="7"/>
    </row>
    <row r="133" spans="4:10" ht="19.5" customHeight="1">
      <c r="D133" s="7"/>
      <c r="E133" s="7"/>
      <c r="F133" s="7"/>
      <c r="G133" s="7"/>
      <c r="H133" s="7"/>
      <c r="I133" s="7"/>
      <c r="J133" s="7"/>
    </row>
    <row r="134" spans="4:10" ht="19.5" customHeight="1">
      <c r="D134" s="7"/>
      <c r="E134" s="7"/>
      <c r="F134" s="7"/>
      <c r="G134" s="7"/>
      <c r="H134" s="7"/>
      <c r="I134" s="7"/>
      <c r="J134" s="7"/>
    </row>
    <row r="135" spans="4:10" ht="19.5" customHeight="1">
      <c r="D135" s="7"/>
      <c r="E135" s="7"/>
      <c r="F135" s="7"/>
      <c r="G135" s="7"/>
      <c r="H135" s="7"/>
      <c r="I135" s="7"/>
      <c r="J135" s="7"/>
    </row>
    <row r="136" spans="4:10" ht="19.5" customHeight="1">
      <c r="D136" s="7"/>
      <c r="E136" s="7"/>
      <c r="F136" s="7"/>
      <c r="G136" s="7"/>
      <c r="H136" s="7"/>
      <c r="I136" s="7"/>
      <c r="J136" s="7"/>
    </row>
    <row r="137" spans="4:10" ht="19.5" customHeight="1">
      <c r="D137" s="7"/>
      <c r="E137" s="7"/>
      <c r="F137" s="7"/>
      <c r="G137" s="7"/>
      <c r="H137" s="7"/>
      <c r="I137" s="7"/>
      <c r="J137" s="7"/>
    </row>
    <row r="138" spans="4:10" ht="19.5" customHeight="1">
      <c r="D138" s="7"/>
      <c r="E138" s="7"/>
      <c r="F138" s="7"/>
      <c r="G138" s="7"/>
      <c r="H138" s="7"/>
      <c r="I138" s="7"/>
      <c r="J138" s="7"/>
    </row>
    <row r="139" spans="4:10" ht="19.5" customHeight="1">
      <c r="D139" s="7"/>
      <c r="E139" s="7"/>
      <c r="F139" s="7"/>
      <c r="G139" s="7"/>
      <c r="H139" s="7"/>
      <c r="I139" s="7"/>
      <c r="J139" s="7"/>
    </row>
    <row r="140" spans="4:10" ht="19.5" customHeight="1">
      <c r="D140" s="7"/>
      <c r="E140" s="7"/>
      <c r="F140" s="7"/>
      <c r="G140" s="7"/>
      <c r="H140" s="7"/>
      <c r="I140" s="7"/>
      <c r="J140" s="7"/>
    </row>
    <row r="141" spans="4:10" ht="19.5" customHeight="1">
      <c r="D141" s="7"/>
      <c r="E141" s="7"/>
      <c r="F141" s="7"/>
      <c r="G141" s="7"/>
      <c r="H141" s="7"/>
      <c r="I141" s="7"/>
      <c r="J141" s="7"/>
    </row>
    <row r="142" spans="4:10" ht="19.5" customHeight="1">
      <c r="D142" s="7"/>
      <c r="E142" s="7"/>
      <c r="F142" s="7"/>
      <c r="G142" s="7"/>
      <c r="H142" s="7"/>
      <c r="I142" s="7"/>
      <c r="J142" s="7"/>
    </row>
    <row r="143" spans="4:10" ht="19.5" customHeight="1">
      <c r="D143" s="7"/>
      <c r="E143" s="7"/>
      <c r="F143" s="7"/>
      <c r="G143" s="7"/>
      <c r="H143" s="7"/>
      <c r="I143" s="7"/>
      <c r="J143" s="7"/>
    </row>
    <row r="144" spans="4:10" ht="19.5" customHeight="1">
      <c r="D144" s="7"/>
      <c r="E144" s="7"/>
      <c r="F144" s="7"/>
      <c r="G144" s="7"/>
      <c r="H144" s="7"/>
      <c r="I144" s="7"/>
      <c r="J144" s="7"/>
    </row>
    <row r="145" spans="4:10" ht="19.5" customHeight="1">
      <c r="D145" s="7"/>
      <c r="E145" s="7"/>
      <c r="F145" s="7"/>
      <c r="G145" s="7"/>
      <c r="H145" s="7"/>
      <c r="I145" s="7"/>
      <c r="J145" s="7"/>
    </row>
    <row r="146" spans="4:10" ht="19.5" customHeight="1">
      <c r="D146" s="7"/>
      <c r="E146" s="7"/>
      <c r="F146" s="7"/>
      <c r="G146" s="7"/>
      <c r="H146" s="7"/>
      <c r="I146" s="7"/>
      <c r="J146" s="7"/>
    </row>
    <row r="147" spans="4:10" ht="19.5" customHeight="1">
      <c r="D147" s="7"/>
      <c r="E147" s="7"/>
      <c r="F147" s="7"/>
      <c r="G147" s="7"/>
      <c r="H147" s="7"/>
      <c r="I147" s="7"/>
      <c r="J147" s="7"/>
    </row>
    <row r="148" spans="4:10" ht="19.5" customHeight="1">
      <c r="D148" s="7"/>
      <c r="E148" s="7"/>
      <c r="F148" s="7"/>
      <c r="G148" s="7"/>
      <c r="H148" s="7"/>
      <c r="I148" s="7"/>
      <c r="J148" s="7"/>
    </row>
    <row r="149" spans="4:10" ht="19.5" customHeight="1">
      <c r="D149" s="7"/>
      <c r="E149" s="7"/>
      <c r="F149" s="7"/>
      <c r="G149" s="7"/>
      <c r="H149" s="7"/>
      <c r="I149" s="7"/>
      <c r="J149" s="7"/>
    </row>
    <row r="150" spans="4:10" ht="19.5" customHeight="1">
      <c r="D150" s="7"/>
      <c r="E150" s="7"/>
      <c r="F150" s="7"/>
      <c r="G150" s="7"/>
      <c r="H150" s="7"/>
      <c r="I150" s="7"/>
      <c r="J150" s="7"/>
    </row>
    <row r="151" spans="4:10" ht="19.5" customHeight="1">
      <c r="D151" s="7"/>
      <c r="E151" s="7"/>
      <c r="F151" s="7"/>
      <c r="G151" s="7"/>
      <c r="H151" s="7"/>
      <c r="I151" s="7"/>
      <c r="J151" s="7"/>
    </row>
    <row r="152" spans="4:10" ht="19.5" customHeight="1">
      <c r="D152" s="7"/>
      <c r="E152" s="7"/>
      <c r="F152" s="7"/>
      <c r="G152" s="7"/>
      <c r="H152" s="7"/>
      <c r="I152" s="7"/>
      <c r="J152" s="7"/>
    </row>
    <row r="153" spans="4:10" ht="19.5" customHeight="1">
      <c r="D153" s="7"/>
      <c r="E153" s="7"/>
      <c r="F153" s="7"/>
      <c r="G153" s="7"/>
      <c r="H153" s="7"/>
      <c r="I153" s="7"/>
      <c r="J153" s="7"/>
    </row>
    <row r="154" spans="4:10" ht="19.5" customHeight="1">
      <c r="D154" s="7"/>
      <c r="E154" s="7"/>
      <c r="F154" s="7"/>
      <c r="G154" s="7"/>
      <c r="H154" s="7"/>
      <c r="I154" s="7"/>
      <c r="J154" s="7"/>
    </row>
    <row r="155" spans="4:10" ht="19.5" customHeight="1">
      <c r="D155" s="7"/>
      <c r="E155" s="7"/>
      <c r="F155" s="7"/>
      <c r="G155" s="7"/>
      <c r="H155" s="7"/>
      <c r="I155" s="7"/>
      <c r="J155" s="7"/>
    </row>
    <row r="156" spans="4:10" ht="19.5" customHeight="1">
      <c r="D156" s="7"/>
      <c r="E156" s="7"/>
      <c r="F156" s="7"/>
      <c r="G156" s="7"/>
      <c r="H156" s="7"/>
      <c r="I156" s="7"/>
      <c r="J156" s="7"/>
    </row>
    <row r="157" spans="4:10" ht="19.5" customHeight="1">
      <c r="D157" s="7"/>
      <c r="E157" s="7"/>
      <c r="F157" s="7"/>
      <c r="G157" s="7"/>
      <c r="H157" s="7"/>
      <c r="I157" s="7"/>
      <c r="J157" s="7"/>
    </row>
    <row r="158" spans="4:10" ht="19.5" customHeight="1">
      <c r="D158" s="7"/>
      <c r="E158" s="7"/>
      <c r="F158" s="7"/>
      <c r="G158" s="7"/>
      <c r="H158" s="7"/>
      <c r="I158" s="7"/>
      <c r="J158" s="7"/>
    </row>
    <row r="159" spans="4:10" ht="19.5" customHeight="1">
      <c r="D159" s="7"/>
      <c r="E159" s="7"/>
      <c r="F159" s="7"/>
      <c r="G159" s="7"/>
      <c r="H159" s="7"/>
      <c r="I159" s="7"/>
      <c r="J159" s="7"/>
    </row>
    <row r="160" spans="4:10" ht="19.5" customHeight="1">
      <c r="D160" s="7"/>
      <c r="E160" s="7"/>
      <c r="F160" s="7"/>
      <c r="G160" s="7"/>
      <c r="H160" s="7"/>
      <c r="I160" s="7"/>
      <c r="J160" s="7"/>
    </row>
    <row r="161" spans="4:10" ht="19.5" customHeight="1">
      <c r="D161" s="7"/>
      <c r="E161" s="7"/>
      <c r="F161" s="7"/>
      <c r="G161" s="7"/>
      <c r="H161" s="7"/>
      <c r="I161" s="7"/>
      <c r="J161" s="7"/>
    </row>
    <row r="162" spans="4:10" ht="19.5" customHeight="1">
      <c r="D162" s="7"/>
      <c r="E162" s="7"/>
      <c r="F162" s="7"/>
      <c r="G162" s="7"/>
      <c r="H162" s="7"/>
      <c r="I162" s="7"/>
      <c r="J162" s="7"/>
    </row>
    <row r="163" spans="4:10" ht="19.5" customHeight="1">
      <c r="D163" s="7"/>
      <c r="E163" s="7"/>
      <c r="F163" s="7"/>
      <c r="G163" s="7"/>
      <c r="H163" s="7"/>
      <c r="I163" s="7"/>
      <c r="J163" s="7"/>
    </row>
    <row r="164" spans="4:10" ht="19.5" customHeight="1">
      <c r="D164" s="7"/>
      <c r="E164" s="7"/>
      <c r="F164" s="7"/>
      <c r="G164" s="7"/>
      <c r="H164" s="7"/>
      <c r="I164" s="7"/>
      <c r="J164" s="7"/>
    </row>
    <row r="165" spans="4:10" ht="19.5" customHeight="1">
      <c r="D165" s="7"/>
      <c r="E165" s="7"/>
      <c r="F165" s="7"/>
      <c r="G165" s="7"/>
      <c r="H165" s="7"/>
      <c r="I165" s="7"/>
      <c r="J165" s="7"/>
    </row>
    <row r="166" spans="4:10" ht="19.5" customHeight="1">
      <c r="D166" s="7"/>
      <c r="E166" s="7"/>
      <c r="F166" s="7"/>
      <c r="G166" s="7"/>
      <c r="H166" s="7"/>
      <c r="I166" s="7"/>
      <c r="J166" s="7"/>
    </row>
    <row r="167" spans="4:10" ht="19.5" customHeight="1">
      <c r="D167" s="7"/>
      <c r="E167" s="7"/>
      <c r="F167" s="7"/>
      <c r="G167" s="7"/>
      <c r="H167" s="7"/>
      <c r="I167" s="7"/>
      <c r="J167" s="7"/>
    </row>
    <row r="168" spans="4:10" ht="19.5" customHeight="1">
      <c r="D168" s="7"/>
      <c r="E168" s="7"/>
      <c r="F168" s="7"/>
      <c r="G168" s="7"/>
      <c r="H168" s="7"/>
      <c r="I168" s="7"/>
      <c r="J168" s="7"/>
    </row>
    <row r="169" spans="4:10" ht="19.5" customHeight="1">
      <c r="D169" s="7"/>
      <c r="E169" s="7"/>
      <c r="F169" s="7"/>
      <c r="G169" s="7"/>
      <c r="H169" s="7"/>
      <c r="I169" s="7"/>
      <c r="J169" s="7"/>
    </row>
    <row r="170" spans="4:10" ht="19.5" customHeight="1">
      <c r="D170" s="7"/>
      <c r="E170" s="7"/>
      <c r="F170" s="7"/>
      <c r="G170" s="7"/>
      <c r="H170" s="7"/>
      <c r="I170" s="7"/>
      <c r="J170" s="7"/>
    </row>
    <row r="171" spans="4:10" ht="19.5" customHeight="1">
      <c r="D171" s="7"/>
      <c r="E171" s="7"/>
      <c r="F171" s="7"/>
      <c r="G171" s="7"/>
      <c r="H171" s="7"/>
      <c r="I171" s="7"/>
      <c r="J171" s="7"/>
    </row>
    <row r="172" spans="4:10" ht="19.5" customHeight="1">
      <c r="D172" s="7"/>
      <c r="E172" s="7"/>
      <c r="F172" s="7"/>
      <c r="G172" s="7"/>
      <c r="H172" s="7"/>
      <c r="I172" s="7"/>
      <c r="J172" s="7"/>
    </row>
    <row r="173" spans="4:10" ht="19.5" customHeight="1">
      <c r="D173" s="7"/>
      <c r="E173" s="7"/>
      <c r="F173" s="7"/>
      <c r="G173" s="7"/>
      <c r="H173" s="7"/>
      <c r="I173" s="7"/>
      <c r="J173" s="7"/>
    </row>
    <row r="174" spans="4:10" ht="19.5" customHeight="1">
      <c r="D174" s="7"/>
      <c r="E174" s="7"/>
      <c r="F174" s="7"/>
      <c r="G174" s="7"/>
      <c r="H174" s="7"/>
      <c r="I174" s="7"/>
      <c r="J174" s="7"/>
    </row>
    <row r="175" spans="4:10" ht="19.5" customHeight="1">
      <c r="D175" s="7"/>
      <c r="E175" s="7"/>
      <c r="F175" s="7"/>
      <c r="G175" s="7"/>
      <c r="H175" s="7"/>
      <c r="I175" s="7"/>
      <c r="J175" s="7"/>
    </row>
    <row r="176" spans="4:10" ht="19.5" customHeight="1">
      <c r="D176" s="7"/>
      <c r="E176" s="7"/>
      <c r="F176" s="7"/>
      <c r="G176" s="7"/>
      <c r="H176" s="7"/>
      <c r="I176" s="7"/>
      <c r="J176" s="7"/>
    </row>
    <row r="177" spans="4:10" ht="19.5" customHeight="1">
      <c r="D177" s="7"/>
      <c r="E177" s="7"/>
      <c r="F177" s="7"/>
      <c r="G177" s="7"/>
      <c r="H177" s="7"/>
      <c r="I177" s="7"/>
      <c r="J177" s="7"/>
    </row>
    <row r="178" spans="4:10" ht="19.5" customHeight="1">
      <c r="D178" s="7"/>
      <c r="E178" s="7"/>
      <c r="F178" s="7"/>
      <c r="G178" s="7"/>
      <c r="H178" s="7"/>
      <c r="I178" s="7"/>
      <c r="J178" s="7"/>
    </row>
    <row r="179" spans="4:10" ht="19.5" customHeight="1">
      <c r="D179" s="7"/>
      <c r="E179" s="7"/>
      <c r="F179" s="7"/>
      <c r="G179" s="7"/>
      <c r="H179" s="7"/>
      <c r="I179" s="7"/>
      <c r="J179" s="7"/>
    </row>
    <row r="180" spans="4:10" ht="19.5" customHeight="1">
      <c r="D180" s="7"/>
      <c r="E180" s="7"/>
      <c r="F180" s="7"/>
      <c r="G180" s="7"/>
      <c r="H180" s="7"/>
      <c r="I180" s="7"/>
      <c r="J180" s="7"/>
    </row>
    <row r="181" spans="4:10" ht="19.5" customHeight="1">
      <c r="D181" s="7"/>
      <c r="E181" s="7"/>
      <c r="F181" s="7"/>
      <c r="G181" s="7"/>
      <c r="H181" s="7"/>
      <c r="I181" s="7"/>
      <c r="J181" s="7"/>
    </row>
    <row r="182" spans="4:10" ht="19.5" customHeight="1">
      <c r="D182" s="7"/>
      <c r="E182" s="7"/>
      <c r="F182" s="7"/>
      <c r="G182" s="7"/>
      <c r="H182" s="7"/>
      <c r="I182" s="7"/>
      <c r="J182" s="7"/>
    </row>
    <row r="183" spans="4:10" ht="19.5" customHeight="1">
      <c r="D183" s="7"/>
      <c r="E183" s="7"/>
      <c r="F183" s="7"/>
      <c r="G183" s="7"/>
      <c r="H183" s="7"/>
      <c r="I183" s="7"/>
      <c r="J183" s="7"/>
    </row>
    <row r="184" spans="4:10" ht="19.5" customHeight="1">
      <c r="D184" s="7"/>
      <c r="E184" s="7"/>
      <c r="F184" s="7"/>
      <c r="G184" s="7"/>
      <c r="H184" s="7"/>
      <c r="I184" s="7"/>
      <c r="J184" s="7"/>
    </row>
    <row r="185" spans="4:10" ht="19.5" customHeight="1">
      <c r="D185" s="7"/>
      <c r="E185" s="7"/>
      <c r="F185" s="7"/>
      <c r="G185" s="7"/>
      <c r="H185" s="7"/>
      <c r="I185" s="7"/>
      <c r="J185" s="7"/>
    </row>
    <row r="186" spans="4:10" ht="19.5" customHeight="1">
      <c r="D186" s="7"/>
      <c r="E186" s="7"/>
      <c r="F186" s="7"/>
      <c r="G186" s="7"/>
      <c r="H186" s="7"/>
      <c r="I186" s="7"/>
      <c r="J186" s="7"/>
    </row>
    <row r="187" spans="4:10" ht="19.5" customHeight="1">
      <c r="D187" s="7"/>
      <c r="E187" s="7"/>
      <c r="F187" s="7"/>
      <c r="G187" s="7"/>
      <c r="H187" s="7"/>
      <c r="I187" s="7"/>
      <c r="J187" s="7"/>
    </row>
    <row r="188" spans="4:10" ht="19.5" customHeight="1">
      <c r="D188" s="7"/>
      <c r="E188" s="7"/>
      <c r="F188" s="7"/>
      <c r="G188" s="7"/>
      <c r="H188" s="7"/>
      <c r="I188" s="7"/>
      <c r="J188" s="7"/>
    </row>
    <row r="189" spans="4:10" ht="19.5" customHeight="1">
      <c r="D189" s="7"/>
      <c r="E189" s="7"/>
      <c r="F189" s="7"/>
      <c r="G189" s="7"/>
      <c r="H189" s="7"/>
      <c r="I189" s="7"/>
      <c r="J189" s="7"/>
    </row>
    <row r="190" spans="4:10" ht="19.5" customHeight="1">
      <c r="D190" s="7"/>
      <c r="E190" s="7"/>
      <c r="F190" s="7"/>
      <c r="G190" s="7"/>
      <c r="H190" s="7"/>
      <c r="I190" s="7"/>
      <c r="J190" s="7"/>
    </row>
    <row r="191" spans="4:10" ht="19.5" customHeight="1">
      <c r="D191" s="7"/>
      <c r="E191" s="7"/>
      <c r="F191" s="7"/>
      <c r="G191" s="7"/>
      <c r="H191" s="7"/>
      <c r="I191" s="7"/>
      <c r="J191" s="7"/>
    </row>
    <row r="192" spans="4:10" ht="19.5" customHeight="1">
      <c r="D192" s="7"/>
      <c r="E192" s="7"/>
      <c r="F192" s="7"/>
      <c r="G192" s="7"/>
      <c r="H192" s="7"/>
      <c r="I192" s="7"/>
      <c r="J192" s="7"/>
    </row>
    <row r="193" spans="4:10" ht="19.5" customHeight="1">
      <c r="D193" s="7"/>
      <c r="E193" s="7"/>
      <c r="F193" s="7"/>
      <c r="G193" s="7"/>
      <c r="H193" s="7"/>
      <c r="I193" s="7"/>
      <c r="J193" s="7"/>
    </row>
    <row r="194" spans="4:10" ht="19.5" customHeight="1">
      <c r="D194" s="7"/>
      <c r="E194" s="7"/>
      <c r="F194" s="7"/>
      <c r="G194" s="7"/>
      <c r="H194" s="7"/>
      <c r="I194" s="7"/>
      <c r="J194" s="7"/>
    </row>
    <row r="195" spans="4:10" ht="19.5" customHeight="1">
      <c r="D195" s="7"/>
      <c r="E195" s="7"/>
      <c r="F195" s="7"/>
      <c r="G195" s="7"/>
      <c r="H195" s="7"/>
      <c r="I195" s="7"/>
      <c r="J195" s="7"/>
    </row>
    <row r="196" spans="4:10" ht="19.5" customHeight="1">
      <c r="D196" s="7"/>
      <c r="E196" s="7"/>
      <c r="F196" s="7"/>
      <c r="G196" s="7"/>
      <c r="H196" s="7"/>
      <c r="I196" s="7"/>
      <c r="J196" s="7"/>
    </row>
    <row r="197" spans="4:10" ht="19.5" customHeight="1">
      <c r="D197" s="7"/>
      <c r="E197" s="7"/>
      <c r="F197" s="7"/>
      <c r="G197" s="7"/>
      <c r="H197" s="7"/>
      <c r="I197" s="7"/>
      <c r="J197" s="7"/>
    </row>
    <row r="198" spans="4:10" ht="19.5" customHeight="1">
      <c r="D198" s="7"/>
      <c r="E198" s="7"/>
      <c r="F198" s="7"/>
      <c r="G198" s="7"/>
      <c r="H198" s="7"/>
      <c r="I198" s="7"/>
      <c r="J198" s="7"/>
    </row>
    <row r="199" spans="4:10" ht="19.5" customHeight="1">
      <c r="D199" s="7"/>
      <c r="E199" s="7"/>
      <c r="F199" s="7"/>
      <c r="G199" s="7"/>
      <c r="H199" s="7"/>
      <c r="I199" s="7"/>
      <c r="J199" s="7"/>
    </row>
    <row r="200" spans="4:10" ht="19.5" customHeight="1">
      <c r="D200" s="7"/>
      <c r="E200" s="7"/>
      <c r="F200" s="7"/>
      <c r="G200" s="7"/>
      <c r="H200" s="7"/>
      <c r="I200" s="7"/>
      <c r="J200" s="7"/>
    </row>
    <row r="201" spans="4:10" ht="19.5" customHeight="1">
      <c r="D201" s="7"/>
      <c r="E201" s="7"/>
      <c r="F201" s="7"/>
      <c r="G201" s="7"/>
      <c r="H201" s="7"/>
      <c r="I201" s="7"/>
      <c r="J201" s="7"/>
    </row>
    <row r="202" spans="4:10" ht="19.5" customHeight="1">
      <c r="D202" s="7"/>
      <c r="E202" s="7"/>
      <c r="F202" s="7"/>
      <c r="G202" s="7"/>
      <c r="H202" s="7"/>
      <c r="I202" s="7"/>
      <c r="J202" s="7"/>
    </row>
    <row r="203" spans="4:10" ht="19.5" customHeight="1">
      <c r="D203" s="7"/>
      <c r="E203" s="7"/>
      <c r="F203" s="7"/>
      <c r="G203" s="7"/>
      <c r="H203" s="7"/>
      <c r="I203" s="7"/>
      <c r="J203" s="7"/>
    </row>
    <row r="204" spans="4:10" ht="19.5" customHeight="1">
      <c r="D204" s="7"/>
      <c r="E204" s="7"/>
      <c r="F204" s="7"/>
      <c r="G204" s="7"/>
      <c r="H204" s="7"/>
      <c r="I204" s="7"/>
      <c r="J204" s="7"/>
    </row>
    <row r="205" spans="4:10" ht="19.5" customHeight="1">
      <c r="D205" s="7"/>
      <c r="E205" s="7"/>
      <c r="F205" s="7"/>
      <c r="G205" s="7"/>
      <c r="H205" s="7"/>
      <c r="I205" s="7"/>
      <c r="J205" s="7"/>
    </row>
    <row r="206" spans="4:10" ht="19.5" customHeight="1">
      <c r="D206" s="7"/>
      <c r="E206" s="7"/>
      <c r="F206" s="7"/>
      <c r="G206" s="7"/>
      <c r="H206" s="7"/>
      <c r="I206" s="7"/>
      <c r="J206" s="7"/>
    </row>
    <row r="207" spans="4:10" ht="19.5" customHeight="1">
      <c r="D207" s="7"/>
      <c r="E207" s="7"/>
      <c r="F207" s="7"/>
      <c r="G207" s="7"/>
      <c r="H207" s="7"/>
      <c r="I207" s="7"/>
      <c r="J207" s="7"/>
    </row>
    <row r="208" spans="4:10" ht="19.5" customHeight="1">
      <c r="D208" s="7"/>
      <c r="E208" s="7"/>
      <c r="F208" s="7"/>
      <c r="G208" s="7"/>
      <c r="H208" s="7"/>
      <c r="I208" s="7"/>
      <c r="J208" s="7"/>
    </row>
    <row r="209" spans="4:10" ht="19.5" customHeight="1">
      <c r="D209" s="7"/>
      <c r="E209" s="7"/>
      <c r="F209" s="7"/>
      <c r="G209" s="7"/>
      <c r="H209" s="7"/>
      <c r="I209" s="7"/>
      <c r="J209" s="7"/>
    </row>
    <row r="210" spans="4:10" ht="19.5" customHeight="1">
      <c r="D210" s="7"/>
      <c r="E210" s="7"/>
      <c r="F210" s="7"/>
      <c r="G210" s="7"/>
      <c r="H210" s="7"/>
      <c r="I210" s="7"/>
      <c r="J210" s="7"/>
    </row>
    <row r="211" spans="4:10" ht="19.5" customHeight="1">
      <c r="D211" s="7"/>
      <c r="E211" s="7"/>
      <c r="F211" s="7"/>
      <c r="G211" s="7"/>
      <c r="H211" s="7"/>
      <c r="I211" s="7"/>
      <c r="J211" s="7"/>
    </row>
    <row r="212" spans="4:10" ht="19.5" customHeight="1">
      <c r="D212" s="7"/>
      <c r="E212" s="7"/>
      <c r="F212" s="7"/>
      <c r="G212" s="7"/>
      <c r="H212" s="7"/>
      <c r="I212" s="7"/>
      <c r="J212" s="7"/>
    </row>
    <row r="213" spans="4:10" ht="19.5" customHeight="1">
      <c r="D213" s="7"/>
      <c r="E213" s="7"/>
      <c r="F213" s="7"/>
      <c r="G213" s="7"/>
      <c r="H213" s="7"/>
      <c r="I213" s="7"/>
      <c r="J213" s="7"/>
    </row>
    <row r="214" spans="4:10" ht="19.5" customHeight="1">
      <c r="D214" s="7"/>
      <c r="E214" s="7"/>
      <c r="F214" s="7"/>
      <c r="G214" s="7"/>
      <c r="H214" s="7"/>
      <c r="I214" s="7"/>
      <c r="J214" s="7"/>
    </row>
    <row r="215" spans="4:10" ht="19.5" customHeight="1">
      <c r="D215" s="7"/>
      <c r="E215" s="7"/>
      <c r="F215" s="7"/>
      <c r="G215" s="7"/>
      <c r="H215" s="7"/>
      <c r="I215" s="7"/>
      <c r="J215" s="7"/>
    </row>
    <row r="216" spans="4:10" ht="19.5" customHeight="1">
      <c r="D216" s="7"/>
      <c r="E216" s="7"/>
      <c r="F216" s="7"/>
      <c r="G216" s="7"/>
      <c r="H216" s="7"/>
      <c r="I216" s="7"/>
      <c r="J216" s="7"/>
    </row>
    <row r="217" spans="4:10" ht="19.5" customHeight="1">
      <c r="D217" s="7"/>
      <c r="E217" s="7"/>
      <c r="F217" s="7"/>
      <c r="G217" s="7"/>
      <c r="H217" s="7"/>
      <c r="I217" s="7"/>
      <c r="J217" s="7"/>
    </row>
    <row r="218" spans="4:10" ht="19.5" customHeight="1">
      <c r="D218" s="7"/>
      <c r="E218" s="7"/>
      <c r="F218" s="7"/>
      <c r="G218" s="7"/>
      <c r="H218" s="7"/>
      <c r="I218" s="7"/>
      <c r="J218" s="7"/>
    </row>
    <row r="219" spans="4:10" ht="19.5" customHeight="1">
      <c r="D219" s="7"/>
      <c r="E219" s="7"/>
      <c r="F219" s="7"/>
      <c r="G219" s="7"/>
      <c r="H219" s="7"/>
      <c r="I219" s="7"/>
      <c r="J219" s="7"/>
    </row>
    <row r="220" spans="4:10" ht="19.5" customHeight="1">
      <c r="D220" s="7"/>
      <c r="E220" s="7"/>
      <c r="F220" s="7"/>
      <c r="G220" s="7"/>
      <c r="H220" s="7"/>
      <c r="I220" s="7"/>
      <c r="J220" s="7"/>
    </row>
    <row r="221" spans="4:10" ht="19.5" customHeight="1">
      <c r="D221" s="7"/>
      <c r="E221" s="7"/>
      <c r="F221" s="7"/>
      <c r="G221" s="7"/>
      <c r="H221" s="7"/>
      <c r="I221" s="7"/>
      <c r="J221" s="7"/>
    </row>
    <row r="222" spans="4:10" ht="19.5" customHeight="1">
      <c r="D222" s="7"/>
      <c r="E222" s="7"/>
      <c r="F222" s="7"/>
      <c r="G222" s="7"/>
      <c r="H222" s="7"/>
      <c r="I222" s="7"/>
      <c r="J222" s="7"/>
    </row>
    <row r="223" spans="4:10" ht="19.5" customHeight="1">
      <c r="D223" s="7"/>
      <c r="E223" s="7"/>
      <c r="F223" s="7"/>
      <c r="G223" s="7"/>
      <c r="H223" s="7"/>
      <c r="I223" s="7"/>
      <c r="J223" s="7"/>
    </row>
    <row r="224" spans="4:10" ht="19.5" customHeight="1">
      <c r="D224" s="7"/>
      <c r="E224" s="7"/>
      <c r="F224" s="7"/>
      <c r="G224" s="7"/>
      <c r="H224" s="7"/>
      <c r="I224" s="7"/>
      <c r="J224" s="7"/>
    </row>
    <row r="225" spans="4:10" ht="19.5" customHeight="1">
      <c r="D225" s="7"/>
      <c r="E225" s="7"/>
      <c r="F225" s="7"/>
      <c r="G225" s="7"/>
      <c r="H225" s="7"/>
      <c r="I225" s="7"/>
      <c r="J225" s="7"/>
    </row>
    <row r="226" spans="4:10" ht="19.5" customHeight="1">
      <c r="D226" s="7"/>
      <c r="E226" s="7"/>
      <c r="F226" s="7"/>
      <c r="G226" s="7"/>
      <c r="H226" s="7"/>
      <c r="I226" s="7"/>
      <c r="J226" s="7"/>
    </row>
    <row r="227" spans="4:10" ht="19.5" customHeight="1">
      <c r="D227" s="7"/>
      <c r="E227" s="7"/>
      <c r="F227" s="7"/>
      <c r="G227" s="7"/>
      <c r="H227" s="7"/>
      <c r="I227" s="7"/>
      <c r="J227" s="7"/>
    </row>
    <row r="228" spans="4:10" ht="19.5" customHeight="1">
      <c r="D228" s="7"/>
      <c r="E228" s="7"/>
      <c r="F228" s="7"/>
      <c r="G228" s="7"/>
      <c r="H228" s="7"/>
      <c r="I228" s="7"/>
      <c r="J228" s="7"/>
    </row>
    <row r="229" spans="4:10" ht="19.5" customHeight="1">
      <c r="D229" s="7"/>
      <c r="E229" s="7"/>
      <c r="F229" s="7"/>
      <c r="G229" s="7"/>
      <c r="H229" s="7"/>
      <c r="I229" s="7"/>
      <c r="J229" s="7"/>
    </row>
    <row r="230" spans="4:10" ht="19.5" customHeight="1">
      <c r="D230" s="7"/>
      <c r="E230" s="7"/>
      <c r="F230" s="7"/>
      <c r="G230" s="7"/>
      <c r="H230" s="7"/>
      <c r="I230" s="7"/>
      <c r="J230" s="7"/>
    </row>
    <row r="231" spans="4:10" ht="19.5" customHeight="1">
      <c r="D231" s="7"/>
      <c r="E231" s="7"/>
      <c r="F231" s="7"/>
      <c r="G231" s="7"/>
      <c r="H231" s="7"/>
      <c r="I231" s="7"/>
      <c r="J231" s="7"/>
    </row>
    <row r="232" spans="4:10" ht="19.5" customHeight="1">
      <c r="D232" s="7"/>
      <c r="E232" s="7"/>
      <c r="F232" s="7"/>
      <c r="G232" s="7"/>
      <c r="H232" s="7"/>
      <c r="I232" s="7"/>
      <c r="J232" s="7"/>
    </row>
    <row r="233" spans="4:10" ht="19.5" customHeight="1">
      <c r="D233" s="7"/>
      <c r="E233" s="7"/>
      <c r="F233" s="7"/>
      <c r="G233" s="7"/>
      <c r="H233" s="7"/>
      <c r="I233" s="7"/>
      <c r="J233" s="7"/>
    </row>
    <row r="234" spans="4:10" ht="19.5" customHeight="1">
      <c r="D234" s="7"/>
      <c r="E234" s="7"/>
      <c r="F234" s="7"/>
      <c r="G234" s="7"/>
      <c r="H234" s="7"/>
      <c r="I234" s="7"/>
      <c r="J234" s="7"/>
    </row>
    <row r="235" spans="4:10" ht="19.5" customHeight="1">
      <c r="D235" s="7"/>
      <c r="E235" s="7"/>
      <c r="F235" s="7"/>
      <c r="G235" s="7"/>
      <c r="H235" s="7"/>
      <c r="I235" s="7"/>
      <c r="J235" s="7"/>
    </row>
    <row r="236" spans="4:10" ht="19.5" customHeight="1">
      <c r="D236" s="7"/>
      <c r="E236" s="7"/>
      <c r="F236" s="7"/>
      <c r="G236" s="7"/>
      <c r="H236" s="7"/>
      <c r="I236" s="7"/>
      <c r="J236" s="7"/>
    </row>
    <row r="237" spans="4:10" ht="19.5" customHeight="1">
      <c r="D237" s="7"/>
      <c r="E237" s="7"/>
      <c r="F237" s="7"/>
      <c r="G237" s="7"/>
      <c r="H237" s="7"/>
      <c r="I237" s="7"/>
      <c r="J237" s="7"/>
    </row>
    <row r="238" spans="4:10" ht="19.5" customHeight="1">
      <c r="D238" s="7"/>
      <c r="E238" s="7"/>
      <c r="F238" s="7"/>
      <c r="G238" s="7"/>
      <c r="H238" s="7"/>
      <c r="I238" s="7"/>
      <c r="J238" s="7"/>
    </row>
    <row r="239" spans="4:10" ht="19.5" customHeight="1">
      <c r="D239" s="7"/>
      <c r="E239" s="7"/>
      <c r="F239" s="7"/>
      <c r="G239" s="7"/>
      <c r="H239" s="7"/>
      <c r="I239" s="7"/>
      <c r="J239" s="7"/>
    </row>
    <row r="240" spans="4:10" ht="19.5" customHeight="1">
      <c r="D240" s="7"/>
      <c r="E240" s="7"/>
      <c r="F240" s="7"/>
      <c r="G240" s="7"/>
      <c r="H240" s="7"/>
      <c r="I240" s="7"/>
      <c r="J240" s="7"/>
    </row>
    <row r="241" spans="4:10" ht="19.5" customHeight="1">
      <c r="D241" s="7"/>
      <c r="E241" s="7"/>
      <c r="F241" s="7"/>
      <c r="G241" s="7"/>
      <c r="H241" s="7"/>
      <c r="I241" s="7"/>
      <c r="J241" s="7"/>
    </row>
    <row r="242" spans="4:10" ht="19.5" customHeight="1">
      <c r="D242" s="7"/>
      <c r="E242" s="7"/>
      <c r="F242" s="7"/>
      <c r="G242" s="7"/>
      <c r="H242" s="7"/>
      <c r="I242" s="7"/>
      <c r="J242" s="7"/>
    </row>
    <row r="243" spans="4:10" ht="19.5" customHeight="1">
      <c r="D243" s="7"/>
      <c r="E243" s="7"/>
      <c r="F243" s="7"/>
      <c r="G243" s="7"/>
      <c r="H243" s="7"/>
      <c r="I243" s="7"/>
      <c r="J243" s="7"/>
    </row>
    <row r="244" spans="4:10" ht="19.5" customHeight="1">
      <c r="D244" s="7"/>
      <c r="E244" s="7"/>
      <c r="F244" s="7"/>
      <c r="G244" s="7"/>
      <c r="H244" s="7"/>
      <c r="I244" s="7"/>
      <c r="J244" s="7"/>
    </row>
    <row r="245" spans="4:10" ht="19.5" customHeight="1">
      <c r="D245" s="7"/>
      <c r="E245" s="7"/>
      <c r="F245" s="7"/>
      <c r="G245" s="7"/>
      <c r="H245" s="7"/>
      <c r="I245" s="7"/>
      <c r="J245" s="7"/>
    </row>
    <row r="246" spans="4:10" ht="19.5" customHeight="1">
      <c r="D246" s="7"/>
      <c r="E246" s="7"/>
      <c r="F246" s="7"/>
      <c r="G246" s="7"/>
      <c r="H246" s="7"/>
      <c r="I246" s="7"/>
      <c r="J246" s="7"/>
    </row>
    <row r="247" spans="4:10" ht="19.5" customHeight="1">
      <c r="D247" s="7"/>
      <c r="E247" s="7"/>
      <c r="F247" s="7"/>
      <c r="G247" s="7"/>
      <c r="H247" s="7"/>
      <c r="I247" s="7"/>
      <c r="J247" s="7"/>
    </row>
    <row r="248" spans="4:10" ht="19.5" customHeight="1">
      <c r="D248" s="7"/>
      <c r="E248" s="7"/>
      <c r="F248" s="7"/>
      <c r="G248" s="7"/>
      <c r="H248" s="7"/>
      <c r="I248" s="7"/>
      <c r="J248" s="7"/>
    </row>
    <row r="249" spans="4:10" ht="19.5" customHeight="1">
      <c r="D249" s="7"/>
      <c r="E249" s="7"/>
      <c r="F249" s="7"/>
      <c r="G249" s="7"/>
      <c r="H249" s="7"/>
      <c r="I249" s="7"/>
      <c r="J249" s="7"/>
    </row>
    <row r="250" spans="4:10" ht="19.5" customHeight="1">
      <c r="D250" s="7"/>
      <c r="E250" s="7"/>
      <c r="F250" s="7"/>
      <c r="G250" s="7"/>
      <c r="H250" s="7"/>
      <c r="I250" s="7"/>
      <c r="J250" s="7"/>
    </row>
    <row r="251" spans="4:10" ht="19.5" customHeight="1">
      <c r="D251" s="7"/>
      <c r="E251" s="7"/>
      <c r="F251" s="7"/>
      <c r="G251" s="7"/>
      <c r="H251" s="7"/>
      <c r="I251" s="7"/>
      <c r="J251" s="7"/>
    </row>
    <row r="252" spans="4:10" ht="19.5" customHeight="1">
      <c r="D252" s="7"/>
      <c r="E252" s="7"/>
      <c r="F252" s="7"/>
      <c r="G252" s="7"/>
      <c r="H252" s="7"/>
      <c r="I252" s="7"/>
      <c r="J252" s="7"/>
    </row>
    <row r="253" spans="4:10" ht="19.5" customHeight="1">
      <c r="D253" s="7"/>
      <c r="E253" s="7"/>
      <c r="F253" s="7"/>
      <c r="G253" s="7"/>
      <c r="H253" s="7"/>
      <c r="I253" s="7"/>
      <c r="J253" s="7"/>
    </row>
    <row r="254" spans="4:10" ht="19.5" customHeight="1">
      <c r="D254" s="7"/>
      <c r="E254" s="7"/>
      <c r="F254" s="7"/>
      <c r="G254" s="7"/>
      <c r="H254" s="7"/>
      <c r="I254" s="7"/>
      <c r="J254" s="7"/>
    </row>
    <row r="255" spans="4:10" ht="19.5" customHeight="1">
      <c r="D255" s="7"/>
      <c r="E255" s="7"/>
      <c r="F255" s="7"/>
      <c r="G255" s="7"/>
      <c r="H255" s="7"/>
      <c r="I255" s="7"/>
      <c r="J255" s="7"/>
    </row>
    <row r="256" spans="4:10" ht="19.5" customHeight="1">
      <c r="D256" s="7"/>
      <c r="E256" s="7"/>
      <c r="F256" s="7"/>
      <c r="G256" s="7"/>
      <c r="H256" s="7"/>
      <c r="I256" s="7"/>
      <c r="J256" s="7"/>
    </row>
    <row r="257" spans="4:10" ht="19.5" customHeight="1">
      <c r="D257" s="7"/>
      <c r="E257" s="7"/>
      <c r="F257" s="7"/>
      <c r="G257" s="7"/>
      <c r="H257" s="7"/>
      <c r="I257" s="7"/>
      <c r="J257" s="7"/>
    </row>
    <row r="258" spans="4:10" ht="19.5" customHeight="1">
      <c r="D258" s="7"/>
      <c r="E258" s="7"/>
      <c r="F258" s="7"/>
      <c r="G258" s="7"/>
      <c r="H258" s="7"/>
      <c r="I258" s="7"/>
      <c r="J258" s="7"/>
    </row>
    <row r="259" spans="4:10" ht="19.5" customHeight="1">
      <c r="D259" s="7"/>
      <c r="E259" s="7"/>
      <c r="F259" s="7"/>
      <c r="G259" s="7"/>
      <c r="H259" s="7"/>
      <c r="I259" s="7"/>
      <c r="J259" s="7"/>
    </row>
    <row r="260" spans="4:10" ht="19.5" customHeight="1">
      <c r="D260" s="7"/>
      <c r="E260" s="7"/>
      <c r="F260" s="7"/>
      <c r="G260" s="7"/>
      <c r="H260" s="7"/>
      <c r="I260" s="7"/>
      <c r="J260" s="7"/>
    </row>
    <row r="261" spans="4:10" ht="19.5" customHeight="1">
      <c r="D261" s="7"/>
      <c r="E261" s="7"/>
      <c r="F261" s="7"/>
      <c r="G261" s="7"/>
      <c r="H261" s="7"/>
      <c r="I261" s="7"/>
      <c r="J261" s="7"/>
    </row>
    <row r="262" spans="4:10" ht="19.5" customHeight="1">
      <c r="D262" s="7"/>
      <c r="E262" s="7"/>
      <c r="F262" s="7"/>
      <c r="G262" s="7"/>
      <c r="H262" s="7"/>
      <c r="I262" s="7"/>
      <c r="J262" s="7"/>
    </row>
    <row r="263" spans="4:10" ht="19.5" customHeight="1">
      <c r="D263" s="7"/>
      <c r="E263" s="7"/>
      <c r="F263" s="7"/>
      <c r="G263" s="7"/>
      <c r="H263" s="7"/>
      <c r="I263" s="7"/>
      <c r="J263" s="7"/>
    </row>
    <row r="264" spans="4:10" ht="19.5" customHeight="1">
      <c r="D264" s="7"/>
      <c r="E264" s="7"/>
      <c r="F264" s="7"/>
      <c r="G264" s="7"/>
      <c r="H264" s="7"/>
      <c r="I264" s="7"/>
      <c r="J264" s="7"/>
    </row>
    <row r="265" spans="4:10" ht="19.5" customHeight="1">
      <c r="D265" s="7"/>
      <c r="E265" s="7"/>
      <c r="F265" s="7"/>
      <c r="G265" s="7"/>
      <c r="H265" s="7"/>
      <c r="I265" s="7"/>
      <c r="J265" s="7"/>
    </row>
    <row r="266" spans="4:10" ht="19.5" customHeight="1">
      <c r="D266" s="7"/>
      <c r="E266" s="7"/>
      <c r="F266" s="7"/>
      <c r="G266" s="7"/>
      <c r="H266" s="7"/>
      <c r="I266" s="7"/>
      <c r="J266" s="7"/>
    </row>
    <row r="267" spans="4:10" ht="19.5" customHeight="1">
      <c r="D267" s="7"/>
      <c r="E267" s="7"/>
      <c r="F267" s="7"/>
      <c r="G267" s="7"/>
      <c r="H267" s="7"/>
      <c r="I267" s="7"/>
      <c r="J267" s="7"/>
    </row>
    <row r="268" spans="4:10" ht="19.5" customHeight="1">
      <c r="D268" s="7"/>
      <c r="E268" s="7"/>
      <c r="F268" s="7"/>
      <c r="G268" s="7"/>
      <c r="H268" s="7"/>
      <c r="I268" s="7"/>
      <c r="J268" s="7"/>
    </row>
    <row r="269" spans="4:10" ht="19.5" customHeight="1">
      <c r="D269" s="7"/>
      <c r="E269" s="7"/>
      <c r="F269" s="7"/>
      <c r="G269" s="7"/>
      <c r="H269" s="7"/>
      <c r="I269" s="7"/>
      <c r="J269" s="7"/>
    </row>
    <row r="270" spans="4:10" ht="19.5" customHeight="1">
      <c r="D270" s="7"/>
      <c r="E270" s="7"/>
      <c r="F270" s="7"/>
      <c r="G270" s="7"/>
      <c r="H270" s="7"/>
      <c r="I270" s="7"/>
      <c r="J270" s="7"/>
    </row>
    <row r="271" spans="4:10" ht="19.5" customHeight="1">
      <c r="D271" s="7"/>
      <c r="E271" s="7"/>
      <c r="F271" s="7"/>
      <c r="G271" s="7"/>
      <c r="H271" s="7"/>
      <c r="I271" s="7"/>
      <c r="J271" s="7"/>
    </row>
    <row r="272" spans="4:10" ht="19.5" customHeight="1">
      <c r="D272" s="7"/>
      <c r="E272" s="7"/>
      <c r="F272" s="7"/>
      <c r="G272" s="7"/>
      <c r="H272" s="7"/>
      <c r="I272" s="7"/>
      <c r="J272" s="7"/>
    </row>
    <row r="273" spans="4:10" ht="19.5" customHeight="1">
      <c r="D273" s="7"/>
      <c r="E273" s="7"/>
      <c r="F273" s="7"/>
      <c r="G273" s="7"/>
      <c r="H273" s="7"/>
      <c r="I273" s="7"/>
      <c r="J273" s="7"/>
    </row>
    <row r="274" spans="4:10" ht="19.5" customHeight="1">
      <c r="D274" s="7"/>
      <c r="E274" s="7"/>
      <c r="F274" s="7"/>
      <c r="G274" s="7"/>
      <c r="H274" s="7"/>
      <c r="I274" s="7"/>
      <c r="J274" s="7"/>
    </row>
    <row r="275" spans="4:10" ht="19.5" customHeight="1">
      <c r="D275" s="7"/>
      <c r="E275" s="7"/>
      <c r="F275" s="7"/>
      <c r="G275" s="7"/>
      <c r="H275" s="7"/>
      <c r="I275" s="7"/>
      <c r="J275" s="7"/>
    </row>
    <row r="276" spans="4:10" ht="19.5" customHeight="1">
      <c r="D276" s="7"/>
      <c r="E276" s="7"/>
      <c r="F276" s="7"/>
      <c r="G276" s="7"/>
      <c r="H276" s="7"/>
      <c r="I276" s="7"/>
      <c r="J276" s="7"/>
    </row>
    <row r="277" spans="4:10" ht="19.5" customHeight="1">
      <c r="D277" s="7"/>
      <c r="E277" s="7"/>
      <c r="F277" s="7"/>
      <c r="G277" s="7"/>
      <c r="H277" s="7"/>
      <c r="I277" s="7"/>
      <c r="J277" s="7"/>
    </row>
    <row r="278" spans="4:10" ht="19.5" customHeight="1">
      <c r="D278" s="7"/>
      <c r="E278" s="7"/>
      <c r="F278" s="7"/>
      <c r="G278" s="7"/>
      <c r="H278" s="7"/>
      <c r="I278" s="7"/>
      <c r="J278" s="7"/>
    </row>
    <row r="279" spans="4:10" ht="19.5" customHeight="1">
      <c r="D279" s="7"/>
      <c r="E279" s="7"/>
      <c r="F279" s="7"/>
      <c r="G279" s="7"/>
      <c r="H279" s="7"/>
      <c r="I279" s="7"/>
      <c r="J279" s="7"/>
    </row>
    <row r="280" spans="4:10" ht="19.5" customHeight="1">
      <c r="D280" s="7"/>
      <c r="E280" s="7"/>
      <c r="F280" s="7"/>
      <c r="G280" s="7"/>
      <c r="H280" s="7"/>
      <c r="I280" s="7"/>
      <c r="J280" s="7"/>
    </row>
    <row r="281" spans="4:10" ht="19.5" customHeight="1">
      <c r="D281" s="7"/>
      <c r="E281" s="7"/>
      <c r="F281" s="7"/>
      <c r="G281" s="7"/>
      <c r="H281" s="7"/>
      <c r="I281" s="7"/>
      <c r="J281" s="7"/>
    </row>
    <row r="282" spans="4:10" ht="19.5" customHeight="1">
      <c r="D282" s="7"/>
      <c r="E282" s="7"/>
      <c r="F282" s="7"/>
      <c r="G282" s="7"/>
      <c r="H282" s="7"/>
      <c r="I282" s="7"/>
      <c r="J282" s="7"/>
    </row>
    <row r="283" spans="4:10" ht="19.5" customHeight="1">
      <c r="D283" s="7"/>
      <c r="E283" s="7"/>
      <c r="F283" s="7"/>
      <c r="G283" s="7"/>
      <c r="H283" s="7"/>
      <c r="I283" s="7"/>
      <c r="J283" s="7"/>
    </row>
    <row r="284" spans="4:10" ht="19.5" customHeight="1">
      <c r="D284" s="7"/>
      <c r="E284" s="7"/>
      <c r="F284" s="7"/>
      <c r="G284" s="7"/>
      <c r="H284" s="7"/>
      <c r="I284" s="7"/>
      <c r="J284" s="7"/>
    </row>
    <row r="285" spans="4:10" ht="19.5" customHeight="1">
      <c r="D285" s="7"/>
      <c r="E285" s="7"/>
      <c r="F285" s="7"/>
      <c r="G285" s="7"/>
      <c r="H285" s="7"/>
      <c r="I285" s="7"/>
      <c r="J285" s="7"/>
    </row>
    <row r="286" spans="4:10" ht="19.5" customHeight="1">
      <c r="D286" s="7"/>
      <c r="E286" s="7"/>
      <c r="F286" s="7"/>
      <c r="G286" s="7"/>
      <c r="H286" s="7"/>
      <c r="I286" s="7"/>
      <c r="J286" s="7"/>
    </row>
    <row r="287" spans="4:10" ht="19.5" customHeight="1">
      <c r="D287" s="7"/>
      <c r="E287" s="7"/>
      <c r="F287" s="7"/>
      <c r="G287" s="7"/>
      <c r="H287" s="7"/>
      <c r="I287" s="7"/>
      <c r="J287" s="7"/>
    </row>
    <row r="288" spans="4:10" ht="19.5" customHeight="1">
      <c r="D288" s="7"/>
      <c r="E288" s="7"/>
      <c r="F288" s="7"/>
      <c r="G288" s="7"/>
      <c r="H288" s="7"/>
      <c r="I288" s="7"/>
      <c r="J288" s="7"/>
    </row>
    <row r="289" spans="4:10" ht="19.5" customHeight="1">
      <c r="D289" s="7"/>
      <c r="E289" s="7"/>
      <c r="F289" s="7"/>
      <c r="G289" s="7"/>
      <c r="H289" s="7"/>
      <c r="I289" s="7"/>
      <c r="J289" s="7"/>
    </row>
    <row r="290" spans="4:10" ht="19.5" customHeight="1">
      <c r="D290" s="7"/>
      <c r="E290" s="7"/>
      <c r="F290" s="7"/>
      <c r="G290" s="7"/>
      <c r="H290" s="7"/>
      <c r="I290" s="7"/>
      <c r="J290" s="7"/>
    </row>
    <row r="291" spans="4:10" ht="19.5" customHeight="1">
      <c r="D291" s="7"/>
      <c r="E291" s="7"/>
      <c r="F291" s="7"/>
      <c r="G291" s="7"/>
      <c r="H291" s="7"/>
      <c r="I291" s="7"/>
      <c r="J291" s="7"/>
    </row>
    <row r="292" spans="4:10" ht="19.5" customHeight="1">
      <c r="D292" s="7"/>
      <c r="E292" s="7"/>
      <c r="F292" s="7"/>
      <c r="G292" s="7"/>
      <c r="H292" s="7"/>
      <c r="I292" s="7"/>
      <c r="J292" s="7"/>
    </row>
    <row r="293" spans="4:10" ht="19.5" customHeight="1">
      <c r="D293" s="7"/>
      <c r="E293" s="7"/>
      <c r="F293" s="7"/>
      <c r="G293" s="7"/>
      <c r="H293" s="7"/>
      <c r="I293" s="7"/>
      <c r="J293" s="7"/>
    </row>
    <row r="294" spans="4:10" ht="19.5" customHeight="1">
      <c r="D294" s="7"/>
      <c r="E294" s="7"/>
      <c r="F294" s="7"/>
      <c r="G294" s="7"/>
      <c r="H294" s="7"/>
      <c r="I294" s="7"/>
      <c r="J294" s="7"/>
    </row>
    <row r="295" spans="4:10" ht="19.5" customHeight="1">
      <c r="D295" s="7"/>
      <c r="E295" s="7"/>
      <c r="F295" s="7"/>
      <c r="G295" s="7"/>
      <c r="H295" s="7"/>
      <c r="I295" s="7"/>
      <c r="J295" s="7"/>
    </row>
    <row r="296" spans="4:10" ht="19.5" customHeight="1">
      <c r="D296" s="7"/>
      <c r="E296" s="7"/>
      <c r="F296" s="7"/>
      <c r="G296" s="7"/>
      <c r="H296" s="7"/>
      <c r="I296" s="7"/>
      <c r="J296" s="7"/>
    </row>
    <row r="297" spans="4:10" ht="19.5" customHeight="1">
      <c r="D297" s="7"/>
      <c r="E297" s="7"/>
      <c r="F297" s="7"/>
      <c r="G297" s="7"/>
      <c r="H297" s="7"/>
      <c r="I297" s="7"/>
      <c r="J297" s="7"/>
    </row>
    <row r="298" spans="4:10" ht="19.5" customHeight="1">
      <c r="D298" s="7"/>
      <c r="E298" s="7"/>
      <c r="F298" s="7"/>
      <c r="G298" s="7"/>
      <c r="H298" s="7"/>
      <c r="I298" s="7"/>
      <c r="J298" s="7"/>
    </row>
    <row r="299" spans="4:10" ht="19.5" customHeight="1">
      <c r="D299" s="7"/>
      <c r="E299" s="7"/>
      <c r="F299" s="7"/>
      <c r="G299" s="7"/>
      <c r="H299" s="7"/>
      <c r="I299" s="7"/>
      <c r="J299" s="7"/>
    </row>
    <row r="300" spans="4:10" ht="19.5" customHeight="1">
      <c r="D300" s="7"/>
      <c r="E300" s="7"/>
      <c r="F300" s="7"/>
      <c r="G300" s="7"/>
      <c r="H300" s="7"/>
      <c r="I300" s="7"/>
      <c r="J300" s="7"/>
    </row>
    <row r="301" spans="4:10" ht="19.5" customHeight="1">
      <c r="D301" s="7"/>
      <c r="E301" s="7"/>
      <c r="F301" s="7"/>
      <c r="G301" s="7"/>
      <c r="H301" s="7"/>
      <c r="I301" s="7"/>
      <c r="J301" s="7"/>
    </row>
    <row r="302" spans="4:10" ht="19.5" customHeight="1">
      <c r="D302" s="7"/>
      <c r="E302" s="7"/>
      <c r="F302" s="7"/>
      <c r="G302" s="7"/>
      <c r="H302" s="7"/>
      <c r="I302" s="7"/>
      <c r="J302" s="7"/>
    </row>
    <row r="303" spans="4:10" ht="19.5" customHeight="1">
      <c r="D303" s="7"/>
      <c r="E303" s="7"/>
      <c r="F303" s="7"/>
      <c r="G303" s="7"/>
      <c r="H303" s="7"/>
      <c r="I303" s="7"/>
      <c r="J303" s="7"/>
    </row>
    <row r="304" spans="4:10" ht="19.5" customHeight="1">
      <c r="D304" s="7"/>
      <c r="E304" s="7"/>
      <c r="F304" s="7"/>
      <c r="G304" s="7"/>
      <c r="H304" s="7"/>
      <c r="I304" s="7"/>
      <c r="J304" s="7"/>
    </row>
    <row r="305" spans="4:10" ht="19.5" customHeight="1">
      <c r="D305" s="7"/>
      <c r="E305" s="7"/>
      <c r="F305" s="7"/>
      <c r="G305" s="7"/>
      <c r="H305" s="7"/>
      <c r="I305" s="7"/>
      <c r="J305" s="7"/>
    </row>
    <row r="306" spans="4:10" ht="19.5" customHeight="1">
      <c r="D306" s="7"/>
      <c r="E306" s="7"/>
      <c r="F306" s="7"/>
      <c r="G306" s="7"/>
      <c r="H306" s="7"/>
      <c r="I306" s="7"/>
      <c r="J306" s="7"/>
    </row>
    <row r="307" spans="4:10" ht="19.5" customHeight="1">
      <c r="D307" s="7"/>
      <c r="E307" s="7"/>
      <c r="F307" s="7"/>
      <c r="G307" s="7"/>
      <c r="H307" s="7"/>
      <c r="I307" s="7"/>
      <c r="J307" s="7"/>
    </row>
    <row r="308" spans="4:10" ht="19.5" customHeight="1">
      <c r="D308" s="7"/>
      <c r="E308" s="7"/>
      <c r="F308" s="7"/>
      <c r="G308" s="7"/>
      <c r="H308" s="7"/>
      <c r="I308" s="7"/>
      <c r="J308" s="7"/>
    </row>
    <row r="309" spans="4:10" ht="19.5" customHeight="1">
      <c r="D309" s="7"/>
      <c r="E309" s="7"/>
      <c r="F309" s="7"/>
      <c r="G309" s="7"/>
      <c r="H309" s="7"/>
      <c r="I309" s="7"/>
      <c r="J309" s="7"/>
    </row>
    <row r="310" spans="4:10" ht="19.5" customHeight="1">
      <c r="D310" s="7"/>
      <c r="E310" s="7"/>
      <c r="F310" s="7"/>
      <c r="G310" s="7"/>
      <c r="H310" s="7"/>
      <c r="I310" s="7"/>
      <c r="J310" s="7"/>
    </row>
    <row r="311" spans="4:10" ht="19.5" customHeight="1">
      <c r="D311" s="7"/>
      <c r="E311" s="7"/>
      <c r="F311" s="7"/>
      <c r="G311" s="7"/>
      <c r="H311" s="7"/>
      <c r="I311" s="7"/>
      <c r="J311" s="7"/>
    </row>
    <row r="312" spans="4:10" ht="19.5" customHeight="1">
      <c r="D312" s="7"/>
      <c r="E312" s="7"/>
      <c r="F312" s="7"/>
      <c r="G312" s="7"/>
      <c r="H312" s="7"/>
      <c r="I312" s="7"/>
      <c r="J312" s="7"/>
    </row>
    <row r="313" spans="4:10" ht="19.5" customHeight="1">
      <c r="D313" s="7"/>
      <c r="E313" s="7"/>
      <c r="F313" s="7"/>
      <c r="G313" s="7"/>
      <c r="H313" s="7"/>
      <c r="I313" s="7"/>
      <c r="J313" s="7"/>
    </row>
    <row r="314" spans="4:10" ht="19.5" customHeight="1">
      <c r="D314" s="7"/>
      <c r="E314" s="7"/>
      <c r="F314" s="7"/>
      <c r="G314" s="7"/>
      <c r="H314" s="7"/>
      <c r="I314" s="7"/>
      <c r="J314" s="7"/>
    </row>
    <row r="315" spans="4:10" ht="19.5" customHeight="1">
      <c r="D315" s="7"/>
      <c r="E315" s="7"/>
      <c r="F315" s="7"/>
      <c r="G315" s="7"/>
      <c r="H315" s="7"/>
      <c r="I315" s="7"/>
      <c r="J315" s="7"/>
    </row>
    <row r="316" spans="4:10" ht="19.5" customHeight="1">
      <c r="D316" s="7"/>
      <c r="E316" s="7"/>
      <c r="F316" s="7"/>
      <c r="G316" s="7"/>
      <c r="H316" s="7"/>
      <c r="I316" s="7"/>
      <c r="J316" s="7"/>
    </row>
    <row r="317" spans="4:10" ht="19.5" customHeight="1">
      <c r="D317" s="7"/>
      <c r="E317" s="7"/>
      <c r="F317" s="7"/>
      <c r="G317" s="7"/>
      <c r="H317" s="7"/>
      <c r="I317" s="7"/>
      <c r="J317" s="7"/>
    </row>
    <row r="318" spans="4:10" ht="19.5" customHeight="1">
      <c r="D318" s="7"/>
      <c r="E318" s="7"/>
      <c r="F318" s="7"/>
      <c r="G318" s="7"/>
      <c r="H318" s="7"/>
      <c r="I318" s="7"/>
      <c r="J318" s="7"/>
    </row>
    <row r="319" spans="4:10" ht="19.5" customHeight="1">
      <c r="D319" s="7"/>
      <c r="E319" s="7"/>
      <c r="F319" s="7"/>
      <c r="G319" s="7"/>
      <c r="H319" s="7"/>
      <c r="I319" s="7"/>
      <c r="J319" s="7"/>
    </row>
    <row r="320" spans="4:10" ht="19.5" customHeight="1">
      <c r="D320" s="7"/>
      <c r="E320" s="7"/>
      <c r="F320" s="7"/>
      <c r="G320" s="7"/>
      <c r="H320" s="7"/>
      <c r="I320" s="7"/>
      <c r="J320" s="7"/>
    </row>
    <row r="321" spans="4:10" ht="19.5" customHeight="1">
      <c r="D321" s="7"/>
      <c r="E321" s="7"/>
      <c r="F321" s="7"/>
      <c r="G321" s="7"/>
      <c r="H321" s="7"/>
      <c r="I321" s="7"/>
      <c r="J321" s="7"/>
    </row>
    <row r="322" spans="4:10" ht="19.5" customHeight="1">
      <c r="D322" s="7"/>
      <c r="E322" s="7"/>
      <c r="F322" s="7"/>
      <c r="G322" s="7"/>
      <c r="H322" s="7"/>
      <c r="I322" s="7"/>
      <c r="J322" s="7"/>
    </row>
    <row r="323" spans="4:10" ht="19.5" customHeight="1">
      <c r="D323" s="7"/>
      <c r="E323" s="7"/>
      <c r="F323" s="7"/>
      <c r="G323" s="7"/>
      <c r="H323" s="7"/>
      <c r="I323" s="7"/>
      <c r="J323" s="7"/>
    </row>
    <row r="324" spans="4:10" ht="19.5" customHeight="1">
      <c r="D324" s="7"/>
      <c r="E324" s="7"/>
      <c r="F324" s="7"/>
      <c r="G324" s="7"/>
      <c r="H324" s="7"/>
      <c r="I324" s="7"/>
      <c r="J324" s="7"/>
    </row>
    <row r="325" spans="4:10" ht="19.5" customHeight="1">
      <c r="D325" s="7"/>
      <c r="E325" s="7"/>
      <c r="F325" s="7"/>
      <c r="G325" s="7"/>
      <c r="H325" s="7"/>
      <c r="I325" s="7"/>
      <c r="J325" s="7"/>
    </row>
    <row r="326" spans="4:10" ht="19.5" customHeight="1">
      <c r="D326" s="7"/>
      <c r="E326" s="7"/>
      <c r="F326" s="7"/>
      <c r="G326" s="7"/>
      <c r="H326" s="7"/>
      <c r="I326" s="7"/>
      <c r="J326" s="7"/>
    </row>
    <row r="327" spans="4:10" ht="19.5" customHeight="1">
      <c r="D327" s="7"/>
      <c r="E327" s="7"/>
      <c r="F327" s="7"/>
      <c r="G327" s="7"/>
      <c r="H327" s="7"/>
      <c r="I327" s="7"/>
      <c r="J327" s="7"/>
    </row>
    <row r="328" spans="4:10" ht="19.5" customHeight="1">
      <c r="D328" s="7"/>
      <c r="E328" s="7"/>
      <c r="F328" s="7"/>
      <c r="G328" s="7"/>
      <c r="H328" s="7"/>
      <c r="I328" s="7"/>
      <c r="J328" s="7"/>
    </row>
    <row r="329" spans="4:10" ht="19.5" customHeight="1">
      <c r="D329" s="7"/>
      <c r="E329" s="7"/>
      <c r="F329" s="7"/>
      <c r="G329" s="7"/>
      <c r="H329" s="7"/>
      <c r="I329" s="7"/>
      <c r="J329" s="7"/>
    </row>
    <row r="330" spans="4:10" ht="19.5" customHeight="1">
      <c r="D330" s="7"/>
      <c r="E330" s="7"/>
      <c r="F330" s="7"/>
      <c r="G330" s="7"/>
      <c r="H330" s="7"/>
      <c r="I330" s="7"/>
      <c r="J330" s="7"/>
    </row>
    <row r="331" spans="4:10" ht="19.5" customHeight="1">
      <c r="D331" s="7"/>
      <c r="E331" s="7"/>
      <c r="F331" s="7"/>
      <c r="G331" s="7"/>
      <c r="H331" s="7"/>
      <c r="I331" s="7"/>
      <c r="J331" s="7"/>
    </row>
    <row r="332" spans="4:10" ht="19.5" customHeight="1">
      <c r="D332" s="7"/>
      <c r="E332" s="7"/>
      <c r="F332" s="7"/>
      <c r="G332" s="7"/>
      <c r="H332" s="7"/>
      <c r="I332" s="7"/>
      <c r="J332" s="7"/>
    </row>
    <row r="333" spans="4:10" ht="19.5" customHeight="1">
      <c r="D333" s="7"/>
      <c r="E333" s="7"/>
      <c r="F333" s="7"/>
      <c r="G333" s="7"/>
      <c r="H333" s="7"/>
      <c r="I333" s="7"/>
      <c r="J333" s="7"/>
    </row>
    <row r="334" spans="4:10" ht="19.5" customHeight="1">
      <c r="D334" s="7"/>
      <c r="E334" s="7"/>
      <c r="F334" s="7"/>
      <c r="G334" s="7"/>
      <c r="H334" s="7"/>
      <c r="I334" s="7"/>
      <c r="J334" s="7"/>
    </row>
    <row r="335" spans="4:10" ht="19.5" customHeight="1">
      <c r="D335" s="7"/>
      <c r="E335" s="7"/>
      <c r="F335" s="7"/>
      <c r="G335" s="7"/>
      <c r="H335" s="7"/>
      <c r="I335" s="7"/>
      <c r="J335" s="7"/>
    </row>
    <row r="336" spans="4:10" ht="19.5" customHeight="1">
      <c r="D336" s="7"/>
      <c r="E336" s="7"/>
      <c r="F336" s="7"/>
      <c r="G336" s="7"/>
      <c r="H336" s="7"/>
      <c r="I336" s="7"/>
      <c r="J336" s="7"/>
    </row>
    <row r="337" spans="4:10" ht="19.5" customHeight="1">
      <c r="D337" s="7"/>
      <c r="E337" s="7"/>
      <c r="F337" s="7"/>
      <c r="G337" s="7"/>
      <c r="H337" s="7"/>
      <c r="I337" s="7"/>
      <c r="J337" s="7"/>
    </row>
    <row r="338" spans="4:10" ht="19.5" customHeight="1">
      <c r="D338" s="7"/>
      <c r="E338" s="7"/>
      <c r="F338" s="7"/>
      <c r="G338" s="7"/>
      <c r="H338" s="7"/>
      <c r="I338" s="7"/>
      <c r="J338" s="7"/>
    </row>
    <row r="339" spans="4:10" ht="19.5" customHeight="1">
      <c r="D339" s="7"/>
      <c r="E339" s="7"/>
      <c r="F339" s="7"/>
      <c r="G339" s="7"/>
      <c r="H339" s="7"/>
      <c r="I339" s="7"/>
      <c r="J339" s="7"/>
    </row>
    <row r="340" spans="4:10" ht="19.5" customHeight="1">
      <c r="D340" s="7"/>
      <c r="E340" s="7"/>
      <c r="F340" s="7"/>
      <c r="G340" s="7"/>
      <c r="H340" s="7"/>
      <c r="I340" s="7"/>
      <c r="J340" s="7"/>
    </row>
    <row r="341" spans="4:10" ht="19.5" customHeight="1">
      <c r="D341" s="7"/>
      <c r="E341" s="7"/>
      <c r="F341" s="7"/>
      <c r="G341" s="7"/>
      <c r="H341" s="7"/>
      <c r="I341" s="7"/>
      <c r="J341" s="7"/>
    </row>
    <row r="342" spans="4:10" ht="19.5" customHeight="1">
      <c r="D342" s="7"/>
      <c r="E342" s="7"/>
      <c r="F342" s="7"/>
      <c r="G342" s="7"/>
      <c r="H342" s="7"/>
      <c r="I342" s="7"/>
      <c r="J342" s="7"/>
    </row>
    <row r="343" spans="4:10" ht="19.5" customHeight="1">
      <c r="D343" s="7"/>
      <c r="E343" s="7"/>
      <c r="F343" s="7"/>
      <c r="G343" s="7"/>
      <c r="H343" s="7"/>
      <c r="I343" s="7"/>
      <c r="J343" s="7"/>
    </row>
    <row r="344" spans="4:10" ht="19.5" customHeight="1">
      <c r="D344" s="7"/>
      <c r="E344" s="7"/>
      <c r="F344" s="7"/>
      <c r="G344" s="7"/>
      <c r="H344" s="7"/>
      <c r="I344" s="7"/>
      <c r="J344" s="7"/>
    </row>
    <row r="345" spans="4:10" ht="19.5" customHeight="1">
      <c r="D345" s="7"/>
      <c r="E345" s="7"/>
      <c r="F345" s="7"/>
      <c r="G345" s="7"/>
      <c r="H345" s="7"/>
      <c r="I345" s="7"/>
      <c r="J345" s="7"/>
    </row>
    <row r="346" spans="4:10" ht="19.5" customHeight="1">
      <c r="D346" s="7"/>
      <c r="E346" s="7"/>
      <c r="F346" s="7"/>
      <c r="G346" s="7"/>
      <c r="H346" s="7"/>
      <c r="I346" s="7"/>
      <c r="J346" s="7"/>
    </row>
    <row r="347" spans="4:10" ht="19.5" customHeight="1">
      <c r="D347" s="7"/>
      <c r="E347" s="7"/>
      <c r="F347" s="7"/>
      <c r="G347" s="7"/>
      <c r="H347" s="7"/>
      <c r="I347" s="7"/>
      <c r="J347" s="7"/>
    </row>
    <row r="348" spans="4:10" ht="19.5" customHeight="1">
      <c r="D348" s="7"/>
      <c r="E348" s="7"/>
      <c r="F348" s="7"/>
      <c r="G348" s="7"/>
      <c r="H348" s="7"/>
      <c r="I348" s="7"/>
      <c r="J348" s="7"/>
    </row>
    <row r="349" spans="4:10" ht="19.5" customHeight="1">
      <c r="D349" s="7"/>
      <c r="E349" s="7"/>
      <c r="F349" s="7"/>
      <c r="G349" s="7"/>
      <c r="H349" s="7"/>
      <c r="I349" s="7"/>
      <c r="J349" s="7"/>
    </row>
    <row r="350" spans="4:10" ht="19.5" customHeight="1">
      <c r="D350" s="7"/>
      <c r="E350" s="7"/>
      <c r="F350" s="7"/>
      <c r="G350" s="7"/>
      <c r="H350" s="7"/>
      <c r="I350" s="7"/>
      <c r="J350" s="7"/>
    </row>
    <row r="351" spans="4:10" ht="19.5" customHeight="1">
      <c r="D351" s="7"/>
      <c r="E351" s="7"/>
      <c r="F351" s="7"/>
      <c r="G351" s="7"/>
      <c r="H351" s="7"/>
      <c r="I351" s="7"/>
      <c r="J351" s="7"/>
    </row>
    <row r="352" spans="4:10" ht="19.5" customHeight="1">
      <c r="D352" s="7"/>
      <c r="E352" s="7"/>
      <c r="F352" s="7"/>
      <c r="G352" s="7"/>
      <c r="H352" s="7"/>
      <c r="I352" s="7"/>
      <c r="J352" s="7"/>
    </row>
    <row r="353" spans="4:10" ht="19.5" customHeight="1">
      <c r="D353" s="7"/>
      <c r="E353" s="7"/>
      <c r="F353" s="7"/>
      <c r="G353" s="7"/>
      <c r="H353" s="7"/>
      <c r="I353" s="7"/>
      <c r="J353" s="7"/>
    </row>
    <row r="354" spans="4:10" ht="19.5" customHeight="1">
      <c r="D354" s="7"/>
      <c r="E354" s="7"/>
      <c r="F354" s="7"/>
      <c r="G354" s="7"/>
      <c r="H354" s="7"/>
      <c r="I354" s="7"/>
      <c r="J354" s="7"/>
    </row>
    <row r="355" spans="4:10" ht="19.5" customHeight="1">
      <c r="D355" s="7"/>
      <c r="E355" s="7"/>
      <c r="F355" s="7"/>
      <c r="G355" s="7"/>
      <c r="H355" s="7"/>
      <c r="I355" s="7"/>
      <c r="J355" s="7"/>
    </row>
    <row r="356" spans="4:10" ht="19.5" customHeight="1">
      <c r="D356" s="7"/>
      <c r="E356" s="7"/>
      <c r="F356" s="7"/>
      <c r="G356" s="7"/>
      <c r="H356" s="7"/>
      <c r="I356" s="7"/>
      <c r="J356" s="7"/>
    </row>
    <row r="357" spans="4:10" ht="19.5" customHeight="1">
      <c r="D357" s="7"/>
      <c r="E357" s="7"/>
      <c r="F357" s="7"/>
      <c r="G357" s="7"/>
      <c r="H357" s="7"/>
      <c r="I357" s="7"/>
      <c r="J357" s="7"/>
    </row>
    <row r="358" spans="4:10" ht="19.5" customHeight="1">
      <c r="D358" s="7"/>
      <c r="E358" s="7"/>
      <c r="F358" s="7"/>
      <c r="G358" s="7"/>
      <c r="H358" s="7"/>
      <c r="I358" s="7"/>
      <c r="J358" s="7"/>
    </row>
    <row r="359" spans="4:10" ht="19.5" customHeight="1">
      <c r="D359" s="7"/>
      <c r="E359" s="7"/>
      <c r="F359" s="7"/>
      <c r="G359" s="7"/>
      <c r="H359" s="7"/>
      <c r="I359" s="7"/>
      <c r="J359" s="7"/>
    </row>
    <row r="360" spans="4:10" ht="19.5" customHeight="1">
      <c r="D360" s="7"/>
      <c r="E360" s="7"/>
      <c r="F360" s="7"/>
      <c r="G360" s="7"/>
      <c r="H360" s="7"/>
      <c r="I360" s="7"/>
      <c r="J360" s="7"/>
    </row>
    <row r="361" spans="4:10" ht="19.5" customHeight="1">
      <c r="D361" s="7"/>
      <c r="E361" s="7"/>
      <c r="F361" s="7"/>
      <c r="G361" s="7"/>
      <c r="H361" s="7"/>
      <c r="I361" s="7"/>
      <c r="J361" s="7"/>
    </row>
    <row r="362" spans="4:10" ht="19.5" customHeight="1">
      <c r="D362" s="7"/>
      <c r="E362" s="7"/>
      <c r="F362" s="7"/>
      <c r="G362" s="7"/>
      <c r="H362" s="7"/>
      <c r="I362" s="7"/>
      <c r="J362" s="7"/>
    </row>
    <row r="363" spans="4:10" ht="19.5" customHeight="1">
      <c r="D363" s="7"/>
      <c r="E363" s="7"/>
      <c r="F363" s="7"/>
      <c r="G363" s="7"/>
      <c r="H363" s="7"/>
      <c r="I363" s="7"/>
      <c r="J363" s="7"/>
    </row>
    <row r="364" spans="4:10" ht="19.5" customHeight="1">
      <c r="D364" s="7"/>
      <c r="E364" s="7"/>
      <c r="F364" s="7"/>
      <c r="G364" s="7"/>
      <c r="H364" s="7"/>
      <c r="I364" s="7"/>
      <c r="J364" s="7"/>
    </row>
    <row r="365" spans="4:10" ht="19.5" customHeight="1">
      <c r="D365" s="7"/>
      <c r="E365" s="7"/>
      <c r="F365" s="7"/>
      <c r="G365" s="7"/>
      <c r="H365" s="7"/>
      <c r="I365" s="7"/>
      <c r="J365" s="7"/>
    </row>
    <row r="366" spans="4:10" ht="19.5" customHeight="1">
      <c r="D366" s="7"/>
      <c r="E366" s="7"/>
      <c r="F366" s="7"/>
      <c r="G366" s="7"/>
      <c r="H366" s="7"/>
      <c r="I366" s="7"/>
      <c r="J366" s="7"/>
    </row>
    <row r="367" spans="4:10" ht="19.5" customHeight="1">
      <c r="D367" s="7"/>
      <c r="E367" s="7"/>
      <c r="F367" s="7"/>
      <c r="G367" s="7"/>
      <c r="H367" s="7"/>
      <c r="I367" s="7"/>
      <c r="J367" s="7"/>
    </row>
    <row r="368" spans="4:10" ht="19.5" customHeight="1">
      <c r="D368" s="7"/>
      <c r="E368" s="7"/>
      <c r="F368" s="7"/>
      <c r="G368" s="7"/>
      <c r="H368" s="7"/>
      <c r="I368" s="7"/>
      <c r="J368" s="7"/>
    </row>
    <row r="369" spans="4:10" ht="19.5" customHeight="1">
      <c r="D369" s="7"/>
      <c r="E369" s="7"/>
      <c r="F369" s="7"/>
      <c r="G369" s="7"/>
      <c r="H369" s="7"/>
      <c r="I369" s="7"/>
      <c r="J369" s="7"/>
    </row>
    <row r="370" spans="4:10" ht="19.5" customHeight="1">
      <c r="D370" s="7"/>
      <c r="E370" s="7"/>
      <c r="F370" s="7"/>
      <c r="G370" s="7"/>
      <c r="H370" s="7"/>
      <c r="I370" s="7"/>
      <c r="J370" s="7"/>
    </row>
    <row r="371" spans="4:10" ht="19.5" customHeight="1">
      <c r="D371" s="7"/>
      <c r="E371" s="7"/>
      <c r="F371" s="7"/>
      <c r="G371" s="7"/>
      <c r="H371" s="7"/>
      <c r="I371" s="7"/>
      <c r="J371" s="7"/>
    </row>
    <row r="372" spans="4:10" ht="19.5" customHeight="1">
      <c r="D372" s="7"/>
      <c r="E372" s="7"/>
      <c r="F372" s="7"/>
      <c r="G372" s="7"/>
      <c r="H372" s="7"/>
      <c r="I372" s="7"/>
      <c r="J372" s="7"/>
    </row>
    <row r="373" spans="4:10" ht="19.5" customHeight="1">
      <c r="D373" s="7"/>
      <c r="E373" s="7"/>
      <c r="F373" s="7"/>
      <c r="G373" s="7"/>
      <c r="H373" s="7"/>
      <c r="I373" s="7"/>
      <c r="J373" s="7"/>
    </row>
    <row r="374" spans="4:10" ht="19.5" customHeight="1">
      <c r="D374" s="7"/>
      <c r="E374" s="7"/>
      <c r="F374" s="7"/>
      <c r="G374" s="7"/>
      <c r="H374" s="7"/>
      <c r="I374" s="7"/>
      <c r="J374" s="7"/>
    </row>
    <row r="375" spans="4:10" ht="19.5" customHeight="1">
      <c r="D375" s="7"/>
      <c r="E375" s="7"/>
      <c r="F375" s="7"/>
      <c r="G375" s="7"/>
      <c r="H375" s="7"/>
      <c r="I375" s="7"/>
      <c r="J375" s="7"/>
    </row>
    <row r="376" spans="4:10" ht="19.5" customHeight="1">
      <c r="D376" s="7"/>
      <c r="E376" s="7"/>
      <c r="F376" s="7"/>
      <c r="G376" s="7"/>
      <c r="H376" s="7"/>
      <c r="I376" s="7"/>
      <c r="J376" s="7"/>
    </row>
    <row r="377" spans="4:10" ht="19.5" customHeight="1">
      <c r="D377" s="7"/>
      <c r="E377" s="7"/>
      <c r="F377" s="7"/>
      <c r="G377" s="7"/>
      <c r="H377" s="7"/>
      <c r="I377" s="7"/>
      <c r="J377" s="7"/>
    </row>
    <row r="378" spans="4:10" ht="19.5" customHeight="1">
      <c r="D378" s="7"/>
      <c r="E378" s="7"/>
      <c r="F378" s="7"/>
      <c r="G378" s="7"/>
      <c r="H378" s="7"/>
      <c r="I378" s="7"/>
      <c r="J378" s="7"/>
    </row>
    <row r="379" spans="4:10" ht="19.5" customHeight="1">
      <c r="D379" s="7"/>
      <c r="E379" s="7"/>
      <c r="F379" s="7"/>
      <c r="G379" s="7"/>
      <c r="H379" s="7"/>
      <c r="I379" s="7"/>
      <c r="J379" s="7"/>
    </row>
    <row r="380" spans="4:10" ht="19.5" customHeight="1">
      <c r="D380" s="7"/>
      <c r="E380" s="7"/>
      <c r="F380" s="7"/>
      <c r="G380" s="7"/>
      <c r="H380" s="7"/>
      <c r="I380" s="7"/>
      <c r="J380" s="7"/>
    </row>
    <row r="381" spans="4:10" ht="19.5" customHeight="1">
      <c r="D381" s="7"/>
      <c r="E381" s="7"/>
      <c r="F381" s="7"/>
      <c r="G381" s="7"/>
      <c r="H381" s="7"/>
      <c r="I381" s="7"/>
      <c r="J381" s="7"/>
    </row>
    <row r="382" spans="4:10" ht="19.5" customHeight="1">
      <c r="D382" s="7"/>
      <c r="E382" s="7"/>
      <c r="F382" s="7"/>
      <c r="G382" s="7"/>
      <c r="H382" s="7"/>
      <c r="I382" s="7"/>
      <c r="J382" s="7"/>
    </row>
    <row r="383" spans="4:10" ht="19.5" customHeight="1">
      <c r="D383" s="7"/>
      <c r="E383" s="7"/>
      <c r="F383" s="7"/>
      <c r="G383" s="7"/>
      <c r="H383" s="7"/>
      <c r="I383" s="7"/>
      <c r="J383" s="7"/>
    </row>
    <row r="384" spans="4:10" ht="19.5" customHeight="1">
      <c r="D384" s="7"/>
      <c r="E384" s="7"/>
      <c r="F384" s="7"/>
      <c r="G384" s="7"/>
      <c r="H384" s="7"/>
      <c r="I384" s="7"/>
      <c r="J384" s="7"/>
    </row>
    <row r="385" spans="4:10" ht="19.5" customHeight="1">
      <c r="D385" s="7"/>
      <c r="E385" s="7"/>
      <c r="F385" s="7"/>
      <c r="G385" s="7"/>
      <c r="H385" s="7"/>
      <c r="I385" s="7"/>
      <c r="J385" s="7"/>
    </row>
    <row r="386" spans="4:10" ht="19.5" customHeight="1">
      <c r="D386" s="7"/>
      <c r="E386" s="7"/>
      <c r="F386" s="7"/>
      <c r="G386" s="7"/>
      <c r="H386" s="7"/>
      <c r="I386" s="7"/>
      <c r="J386" s="7"/>
    </row>
    <row r="387" spans="4:10" ht="19.5" customHeight="1">
      <c r="D387" s="7"/>
      <c r="E387" s="7"/>
      <c r="F387" s="7"/>
      <c r="G387" s="7"/>
      <c r="H387" s="7"/>
      <c r="I387" s="7"/>
      <c r="J387" s="7"/>
    </row>
    <row r="388" spans="4:10" ht="19.5" customHeight="1">
      <c r="D388" s="7"/>
      <c r="E388" s="7"/>
      <c r="F388" s="7"/>
      <c r="G388" s="7"/>
      <c r="H388" s="7"/>
      <c r="I388" s="7"/>
      <c r="J388" s="7"/>
    </row>
    <row r="389" spans="4:10" ht="19.5" customHeight="1">
      <c r="D389" s="7"/>
      <c r="E389" s="7"/>
      <c r="F389" s="7"/>
      <c r="G389" s="7"/>
      <c r="H389" s="7"/>
      <c r="I389" s="7"/>
      <c r="J389" s="7"/>
    </row>
    <row r="390" spans="4:10" ht="19.5" customHeight="1">
      <c r="D390" s="7"/>
      <c r="E390" s="7"/>
      <c r="F390" s="7"/>
      <c r="G390" s="7"/>
      <c r="H390" s="7"/>
      <c r="I390" s="7"/>
      <c r="J390" s="7"/>
    </row>
    <row r="391" spans="4:10" ht="19.5" customHeight="1">
      <c r="D391" s="7"/>
      <c r="E391" s="7"/>
      <c r="F391" s="7"/>
      <c r="G391" s="7"/>
      <c r="H391" s="7"/>
      <c r="I391" s="7"/>
      <c r="J391" s="7"/>
    </row>
    <row r="392" spans="4:10" ht="19.5" customHeight="1">
      <c r="D392" s="7"/>
      <c r="E392" s="7"/>
      <c r="F392" s="7"/>
      <c r="G392" s="7"/>
      <c r="H392" s="7"/>
      <c r="I392" s="7"/>
      <c r="J392" s="7"/>
    </row>
    <row r="393" spans="4:10" ht="19.5" customHeight="1">
      <c r="D393" s="7"/>
      <c r="E393" s="7"/>
      <c r="F393" s="7"/>
      <c r="G393" s="7"/>
      <c r="H393" s="7"/>
      <c r="I393" s="7"/>
      <c r="J393" s="7"/>
    </row>
    <row r="394" spans="4:10" ht="19.5" customHeight="1">
      <c r="D394" s="7"/>
      <c r="E394" s="7"/>
      <c r="F394" s="7"/>
      <c r="G394" s="7"/>
      <c r="H394" s="7"/>
      <c r="I394" s="7"/>
      <c r="J394" s="7"/>
    </row>
    <row r="395" spans="4:10" ht="19.5" customHeight="1">
      <c r="D395" s="7"/>
      <c r="E395" s="7"/>
      <c r="F395" s="7"/>
      <c r="G395" s="7"/>
      <c r="H395" s="7"/>
      <c r="I395" s="7"/>
      <c r="J395" s="7"/>
    </row>
    <row r="396" spans="4:10" ht="19.5" customHeight="1">
      <c r="D396" s="7"/>
      <c r="E396" s="7"/>
      <c r="F396" s="7"/>
      <c r="G396" s="7"/>
      <c r="H396" s="7"/>
      <c r="I396" s="7"/>
      <c r="J396" s="7"/>
    </row>
    <row r="397" spans="4:10" ht="19.5" customHeight="1">
      <c r="D397" s="7"/>
      <c r="E397" s="7"/>
      <c r="F397" s="7"/>
      <c r="G397" s="7"/>
      <c r="H397" s="7"/>
      <c r="I397" s="7"/>
      <c r="J397" s="7"/>
    </row>
    <row r="398" spans="4:10" ht="19.5" customHeight="1">
      <c r="D398" s="7"/>
      <c r="E398" s="7"/>
      <c r="F398" s="7"/>
      <c r="G398" s="7"/>
      <c r="H398" s="7"/>
      <c r="I398" s="7"/>
      <c r="J398" s="7"/>
    </row>
    <row r="399" spans="4:10" ht="19.5" customHeight="1">
      <c r="D399" s="7"/>
      <c r="E399" s="7"/>
      <c r="F399" s="7"/>
      <c r="G399" s="7"/>
      <c r="H399" s="7"/>
      <c r="I399" s="7"/>
      <c r="J399" s="7"/>
    </row>
    <row r="400" spans="4:10" ht="19.5" customHeight="1">
      <c r="D400" s="7"/>
      <c r="E400" s="7"/>
      <c r="F400" s="7"/>
      <c r="G400" s="7"/>
      <c r="H400" s="7"/>
      <c r="I400" s="7"/>
      <c r="J400" s="7"/>
    </row>
    <row r="401" spans="4:10" ht="19.5" customHeight="1">
      <c r="D401" s="7"/>
      <c r="E401" s="7"/>
      <c r="F401" s="7"/>
      <c r="G401" s="7"/>
      <c r="H401" s="7"/>
      <c r="I401" s="7"/>
      <c r="J401" s="7"/>
    </row>
    <row r="402" spans="4:10" ht="19.5" customHeight="1">
      <c r="D402" s="7"/>
      <c r="E402" s="7"/>
      <c r="F402" s="7"/>
      <c r="G402" s="7"/>
      <c r="H402" s="7"/>
      <c r="I402" s="7"/>
      <c r="J402" s="7"/>
    </row>
    <row r="403" spans="4:10" ht="19.5" customHeight="1">
      <c r="D403" s="7"/>
      <c r="E403" s="7"/>
      <c r="F403" s="7"/>
      <c r="G403" s="7"/>
      <c r="H403" s="7"/>
      <c r="I403" s="7"/>
      <c r="J403" s="7"/>
    </row>
    <row r="404" spans="4:10" ht="19.5" customHeight="1">
      <c r="D404" s="7"/>
      <c r="E404" s="7"/>
      <c r="F404" s="7"/>
      <c r="G404" s="7"/>
      <c r="H404" s="7"/>
      <c r="I404" s="7"/>
      <c r="J404" s="7"/>
    </row>
    <row r="405" spans="4:10" ht="19.5" customHeight="1">
      <c r="D405" s="7"/>
      <c r="E405" s="7"/>
      <c r="F405" s="7"/>
      <c r="G405" s="7"/>
      <c r="H405" s="7"/>
      <c r="I405" s="7"/>
      <c r="J405" s="7"/>
    </row>
    <row r="406" spans="4:10" ht="19.5" customHeight="1">
      <c r="D406" s="7"/>
      <c r="E406" s="7"/>
      <c r="F406" s="7"/>
      <c r="G406" s="7"/>
      <c r="H406" s="7"/>
      <c r="I406" s="7"/>
      <c r="J406" s="7"/>
    </row>
    <row r="407" spans="4:10" ht="19.5" customHeight="1">
      <c r="D407" s="7"/>
      <c r="E407" s="7"/>
      <c r="F407" s="7"/>
      <c r="G407" s="7"/>
      <c r="H407" s="7"/>
      <c r="I407" s="7"/>
      <c r="J407" s="7"/>
    </row>
    <row r="408" spans="4:10" ht="19.5" customHeight="1">
      <c r="D408" s="7"/>
      <c r="E408" s="7"/>
      <c r="F408" s="7"/>
      <c r="G408" s="7"/>
      <c r="H408" s="7"/>
      <c r="I408" s="7"/>
      <c r="J408" s="7"/>
    </row>
    <row r="409" spans="4:10" ht="19.5" customHeight="1">
      <c r="D409" s="7"/>
      <c r="E409" s="7"/>
      <c r="F409" s="7"/>
      <c r="G409" s="7"/>
      <c r="H409" s="7"/>
      <c r="I409" s="7"/>
      <c r="J409" s="7"/>
    </row>
    <row r="410" spans="4:10" ht="19.5" customHeight="1">
      <c r="D410" s="7"/>
      <c r="E410" s="7"/>
      <c r="F410" s="7"/>
      <c r="G410" s="7"/>
      <c r="H410" s="7"/>
      <c r="I410" s="7"/>
      <c r="J410" s="7"/>
    </row>
    <row r="411" spans="4:10" ht="19.5" customHeight="1">
      <c r="D411" s="7"/>
      <c r="E411" s="7"/>
      <c r="F411" s="7"/>
      <c r="G411" s="7"/>
      <c r="H411" s="7"/>
      <c r="I411" s="7"/>
      <c r="J411" s="7"/>
    </row>
    <row r="412" spans="4:10" ht="19.5" customHeight="1">
      <c r="D412" s="7"/>
      <c r="E412" s="7"/>
      <c r="F412" s="7"/>
      <c r="G412" s="7"/>
      <c r="H412" s="7"/>
      <c r="I412" s="7"/>
      <c r="J412" s="7"/>
    </row>
    <row r="413" spans="4:10" ht="19.5" customHeight="1">
      <c r="D413" s="7"/>
      <c r="E413" s="7"/>
      <c r="F413" s="7"/>
      <c r="G413" s="7"/>
      <c r="H413" s="7"/>
      <c r="I413" s="7"/>
      <c r="J413" s="7"/>
    </row>
    <row r="414" spans="4:10" ht="19.5" customHeight="1">
      <c r="D414" s="7"/>
      <c r="E414" s="7"/>
      <c r="F414" s="7"/>
      <c r="G414" s="7"/>
      <c r="H414" s="7"/>
      <c r="I414" s="7"/>
      <c r="J414" s="7"/>
    </row>
    <row r="415" spans="4:10" ht="19.5" customHeight="1">
      <c r="D415" s="7"/>
      <c r="E415" s="7"/>
      <c r="F415" s="7"/>
      <c r="G415" s="7"/>
      <c r="H415" s="7"/>
      <c r="I415" s="7"/>
      <c r="J415" s="7"/>
    </row>
    <row r="416" spans="4:10" ht="19.5" customHeight="1">
      <c r="D416" s="7"/>
      <c r="E416" s="7"/>
      <c r="F416" s="7"/>
      <c r="G416" s="7"/>
      <c r="H416" s="7"/>
      <c r="I416" s="7"/>
      <c r="J416" s="7"/>
    </row>
    <row r="417" spans="4:10" ht="19.5" customHeight="1">
      <c r="D417" s="7"/>
      <c r="E417" s="7"/>
      <c r="F417" s="7"/>
      <c r="G417" s="7"/>
      <c r="H417" s="7"/>
      <c r="I417" s="7"/>
      <c r="J417" s="7"/>
    </row>
    <row r="418" spans="4:10" ht="19.5" customHeight="1">
      <c r="D418" s="7"/>
      <c r="E418" s="7"/>
      <c r="F418" s="7"/>
      <c r="G418" s="7"/>
      <c r="H418" s="7"/>
      <c r="I418" s="7"/>
      <c r="J418" s="7"/>
    </row>
    <row r="419" spans="4:10" ht="19.5" customHeight="1">
      <c r="D419" s="7"/>
      <c r="E419" s="7"/>
      <c r="F419" s="7"/>
      <c r="G419" s="7"/>
      <c r="H419" s="7"/>
      <c r="I419" s="7"/>
      <c r="J419" s="7"/>
    </row>
    <row r="420" spans="4:10" ht="19.5" customHeight="1">
      <c r="D420" s="7"/>
      <c r="E420" s="7"/>
      <c r="F420" s="7"/>
      <c r="G420" s="7"/>
      <c r="H420" s="7"/>
      <c r="I420" s="7"/>
      <c r="J420" s="7"/>
    </row>
    <row r="421" spans="4:10" ht="19.5" customHeight="1">
      <c r="D421" s="7"/>
      <c r="E421" s="7"/>
      <c r="F421" s="7"/>
      <c r="G421" s="7"/>
      <c r="H421" s="7"/>
      <c r="I421" s="7"/>
      <c r="J421" s="7"/>
    </row>
    <row r="422" spans="4:10" ht="19.5" customHeight="1">
      <c r="D422" s="7"/>
      <c r="E422" s="7"/>
      <c r="F422" s="7"/>
      <c r="G422" s="7"/>
      <c r="H422" s="7"/>
      <c r="I422" s="7"/>
      <c r="J422" s="7"/>
    </row>
    <row r="423" spans="4:10" ht="19.5" customHeight="1">
      <c r="D423" s="7"/>
      <c r="E423" s="7"/>
      <c r="F423" s="7"/>
      <c r="G423" s="7"/>
      <c r="H423" s="7"/>
      <c r="I423" s="7"/>
      <c r="J423" s="7"/>
    </row>
    <row r="424" spans="4:10" ht="19.5" customHeight="1">
      <c r="D424" s="7"/>
      <c r="E424" s="7"/>
      <c r="F424" s="7"/>
      <c r="G424" s="7"/>
      <c r="H424" s="7"/>
      <c r="I424" s="7"/>
      <c r="J424" s="7"/>
    </row>
    <row r="425" spans="4:10" ht="19.5" customHeight="1">
      <c r="D425" s="7"/>
      <c r="E425" s="7"/>
      <c r="F425" s="7"/>
      <c r="G425" s="7"/>
      <c r="H425" s="7"/>
      <c r="I425" s="7"/>
      <c r="J425" s="7"/>
    </row>
    <row r="426" spans="4:10" ht="19.5" customHeight="1">
      <c r="D426" s="7"/>
      <c r="E426" s="7"/>
      <c r="F426" s="7"/>
      <c r="G426" s="7"/>
      <c r="H426" s="7"/>
      <c r="I426" s="7"/>
      <c r="J426" s="7"/>
    </row>
    <row r="427" spans="4:10" ht="19.5" customHeight="1">
      <c r="D427" s="7"/>
      <c r="E427" s="7"/>
      <c r="F427" s="7"/>
      <c r="G427" s="7"/>
      <c r="H427" s="7"/>
      <c r="I427" s="7"/>
      <c r="J427" s="7"/>
    </row>
    <row r="428" spans="4:10" ht="19.5" customHeight="1">
      <c r="D428" s="7"/>
      <c r="E428" s="7"/>
      <c r="F428" s="7"/>
      <c r="G428" s="7"/>
      <c r="H428" s="7"/>
      <c r="I428" s="7"/>
      <c r="J428" s="7"/>
    </row>
    <row r="429" spans="4:10" ht="19.5" customHeight="1">
      <c r="D429" s="7"/>
      <c r="E429" s="7"/>
      <c r="F429" s="7"/>
      <c r="G429" s="7"/>
      <c r="H429" s="7"/>
      <c r="I429" s="7"/>
      <c r="J429" s="7"/>
    </row>
    <row r="430" spans="4:10" ht="19.5" customHeight="1">
      <c r="D430" s="7"/>
      <c r="E430" s="7"/>
      <c r="F430" s="7"/>
      <c r="G430" s="7"/>
      <c r="H430" s="7"/>
      <c r="I430" s="7"/>
      <c r="J430" s="7"/>
    </row>
    <row r="431" spans="4:10" ht="19.5" customHeight="1">
      <c r="D431" s="7"/>
      <c r="E431" s="7"/>
      <c r="F431" s="7"/>
      <c r="G431" s="7"/>
      <c r="H431" s="7"/>
      <c r="I431" s="7"/>
      <c r="J431" s="7"/>
    </row>
    <row r="432" spans="4:10" ht="19.5" customHeight="1">
      <c r="D432" s="7"/>
      <c r="E432" s="7"/>
      <c r="F432" s="7"/>
      <c r="G432" s="7"/>
      <c r="H432" s="7"/>
      <c r="I432" s="7"/>
      <c r="J432" s="7"/>
    </row>
    <row r="433" spans="4:10" ht="19.5" customHeight="1">
      <c r="D433" s="7"/>
      <c r="E433" s="7"/>
      <c r="F433" s="7"/>
      <c r="G433" s="7"/>
      <c r="H433" s="7"/>
      <c r="I433" s="7"/>
      <c r="J433" s="7"/>
    </row>
    <row r="434" spans="4:10" ht="19.5" customHeight="1">
      <c r="D434" s="7"/>
      <c r="E434" s="7"/>
      <c r="F434" s="7"/>
      <c r="G434" s="7"/>
      <c r="H434" s="7"/>
      <c r="I434" s="7"/>
      <c r="J434" s="7"/>
    </row>
    <row r="435" spans="4:10" ht="19.5" customHeight="1">
      <c r="D435" s="7"/>
      <c r="E435" s="7"/>
      <c r="F435" s="7"/>
      <c r="G435" s="7"/>
      <c r="H435" s="7"/>
      <c r="I435" s="7"/>
      <c r="J435" s="7"/>
    </row>
    <row r="436" spans="4:10" ht="19.5" customHeight="1">
      <c r="D436" s="7"/>
      <c r="E436" s="7"/>
      <c r="F436" s="7"/>
      <c r="G436" s="7"/>
      <c r="H436" s="7"/>
      <c r="I436" s="7"/>
      <c r="J436" s="7"/>
    </row>
    <row r="437" spans="4:10" ht="19.5" customHeight="1">
      <c r="D437" s="7"/>
      <c r="E437" s="7"/>
      <c r="F437" s="7"/>
      <c r="G437" s="7"/>
      <c r="H437" s="7"/>
      <c r="I437" s="7"/>
      <c r="J437" s="7"/>
    </row>
    <row r="438" spans="4:10" ht="19.5" customHeight="1">
      <c r="D438" s="7"/>
      <c r="E438" s="7"/>
      <c r="F438" s="7"/>
      <c r="G438" s="7"/>
      <c r="H438" s="7"/>
      <c r="I438" s="7"/>
      <c r="J438" s="7"/>
    </row>
    <row r="439" spans="4:10" ht="19.5" customHeight="1">
      <c r="D439" s="7"/>
      <c r="E439" s="7"/>
      <c r="F439" s="7"/>
      <c r="G439" s="7"/>
      <c r="H439" s="7"/>
      <c r="I439" s="7"/>
      <c r="J439" s="7"/>
    </row>
    <row r="440" spans="4:10" ht="19.5" customHeight="1">
      <c r="D440" s="7"/>
      <c r="E440" s="7"/>
      <c r="F440" s="7"/>
      <c r="G440" s="7"/>
      <c r="H440" s="7"/>
      <c r="I440" s="7"/>
      <c r="J440" s="7"/>
    </row>
    <row r="441" spans="4:10" ht="19.5" customHeight="1">
      <c r="D441" s="7"/>
      <c r="E441" s="7"/>
      <c r="F441" s="7"/>
      <c r="G441" s="7"/>
      <c r="H441" s="7"/>
      <c r="I441" s="7"/>
      <c r="J441" s="7"/>
    </row>
    <row r="442" spans="4:10" ht="19.5" customHeight="1">
      <c r="D442" s="7"/>
      <c r="E442" s="7"/>
      <c r="F442" s="7"/>
      <c r="G442" s="7"/>
      <c r="H442" s="7"/>
      <c r="I442" s="7"/>
      <c r="J442" s="7"/>
    </row>
    <row r="443" spans="4:10" ht="19.5" customHeight="1">
      <c r="D443" s="7"/>
      <c r="E443" s="7"/>
      <c r="F443" s="7"/>
      <c r="G443" s="7"/>
      <c r="H443" s="7"/>
      <c r="I443" s="7"/>
      <c r="J443" s="7"/>
    </row>
    <row r="444" spans="4:10" ht="19.5" customHeight="1">
      <c r="D444" s="7"/>
      <c r="E444" s="7"/>
      <c r="F444" s="7"/>
      <c r="G444" s="7"/>
      <c r="H444" s="7"/>
      <c r="I444" s="7"/>
      <c r="J444" s="7"/>
    </row>
    <row r="445" spans="4:10" ht="19.5" customHeight="1">
      <c r="D445" s="7"/>
      <c r="E445" s="7"/>
      <c r="F445" s="7"/>
      <c r="G445" s="7"/>
      <c r="H445" s="7"/>
      <c r="I445" s="7"/>
      <c r="J445" s="7"/>
    </row>
    <row r="446" spans="4:10" ht="19.5" customHeight="1">
      <c r="D446" s="7"/>
      <c r="E446" s="7"/>
      <c r="F446" s="7"/>
      <c r="G446" s="7"/>
      <c r="H446" s="7"/>
      <c r="I446" s="7"/>
      <c r="J446" s="7"/>
    </row>
    <row r="447" spans="4:10" ht="19.5" customHeight="1">
      <c r="D447" s="7"/>
      <c r="E447" s="7"/>
      <c r="F447" s="7"/>
      <c r="G447" s="7"/>
      <c r="H447" s="7"/>
      <c r="I447" s="7"/>
      <c r="J447" s="7"/>
    </row>
    <row r="448" spans="4:10" ht="19.5" customHeight="1">
      <c r="D448" s="7"/>
      <c r="E448" s="7"/>
      <c r="F448" s="7"/>
      <c r="G448" s="7"/>
      <c r="H448" s="7"/>
      <c r="I448" s="7"/>
      <c r="J448" s="7"/>
    </row>
    <row r="449" spans="4:10" ht="19.5" customHeight="1">
      <c r="D449" s="7"/>
      <c r="E449" s="7"/>
      <c r="F449" s="7"/>
      <c r="G449" s="7"/>
      <c r="H449" s="7"/>
      <c r="I449" s="7"/>
      <c r="J449" s="7"/>
    </row>
    <row r="450" spans="4:10" ht="19.5" customHeight="1">
      <c r="D450" s="7"/>
      <c r="E450" s="7"/>
      <c r="F450" s="7"/>
      <c r="G450" s="7"/>
      <c r="H450" s="7"/>
      <c r="I450" s="7"/>
      <c r="J450" s="7"/>
    </row>
    <row r="451" spans="4:10" ht="19.5" customHeight="1">
      <c r="D451" s="7"/>
      <c r="E451" s="7"/>
      <c r="F451" s="7"/>
      <c r="G451" s="7"/>
      <c r="H451" s="7"/>
      <c r="I451" s="7"/>
      <c r="J451" s="7"/>
    </row>
    <row r="452" spans="4:10" ht="19.5" customHeight="1">
      <c r="D452" s="7"/>
      <c r="E452" s="7"/>
      <c r="F452" s="7"/>
      <c r="G452" s="7"/>
      <c r="H452" s="7"/>
      <c r="I452" s="7"/>
      <c r="J452" s="7"/>
    </row>
    <row r="453" spans="4:10" ht="19.5" customHeight="1">
      <c r="D453" s="7"/>
      <c r="E453" s="7"/>
      <c r="F453" s="7"/>
      <c r="G453" s="7"/>
      <c r="H453" s="7"/>
      <c r="I453" s="7"/>
      <c r="J453" s="7"/>
    </row>
    <row r="454" spans="4:10" ht="19.5" customHeight="1">
      <c r="D454" s="7"/>
      <c r="E454" s="7"/>
      <c r="F454" s="7"/>
      <c r="G454" s="7"/>
      <c r="H454" s="7"/>
      <c r="I454" s="7"/>
      <c r="J454" s="7"/>
    </row>
    <row r="455" spans="4:10" ht="19.5" customHeight="1">
      <c r="D455" s="7"/>
      <c r="E455" s="7"/>
      <c r="F455" s="7"/>
      <c r="G455" s="7"/>
      <c r="H455" s="7"/>
      <c r="I455" s="7"/>
      <c r="J455" s="7"/>
    </row>
    <row r="456" spans="4:10" ht="19.5" customHeight="1">
      <c r="D456" s="7"/>
      <c r="E456" s="7"/>
      <c r="F456" s="7"/>
      <c r="G456" s="7"/>
      <c r="H456" s="7"/>
      <c r="I456" s="7"/>
      <c r="J456" s="7"/>
    </row>
    <row r="457" spans="4:10" ht="19.5" customHeight="1">
      <c r="D457" s="7"/>
      <c r="E457" s="7"/>
      <c r="F457" s="7"/>
      <c r="G457" s="7"/>
      <c r="H457" s="7"/>
      <c r="I457" s="7"/>
      <c r="J457" s="7"/>
    </row>
    <row r="458" spans="4:10" ht="19.5" customHeight="1">
      <c r="D458" s="7"/>
      <c r="E458" s="7"/>
      <c r="F458" s="7"/>
      <c r="G458" s="7"/>
      <c r="H458" s="7"/>
      <c r="I458" s="7"/>
      <c r="J458" s="7"/>
    </row>
    <row r="459" spans="4:10" ht="19.5" customHeight="1">
      <c r="D459" s="7"/>
      <c r="E459" s="7"/>
      <c r="F459" s="7"/>
      <c r="G459" s="7"/>
      <c r="H459" s="7"/>
      <c r="I459" s="7"/>
      <c r="J459" s="7"/>
    </row>
    <row r="460" spans="4:10" ht="19.5" customHeight="1">
      <c r="D460" s="7"/>
      <c r="E460" s="7"/>
      <c r="F460" s="7"/>
      <c r="G460" s="7"/>
      <c r="H460" s="7"/>
      <c r="I460" s="7"/>
      <c r="J460" s="7"/>
    </row>
    <row r="461" spans="4:10" ht="19.5" customHeight="1">
      <c r="D461" s="7"/>
      <c r="E461" s="7"/>
      <c r="F461" s="7"/>
      <c r="G461" s="7"/>
      <c r="H461" s="7"/>
      <c r="I461" s="7"/>
      <c r="J461" s="7"/>
    </row>
    <row r="462" spans="4:10" ht="19.5" customHeight="1">
      <c r="D462" s="7"/>
      <c r="E462" s="7"/>
      <c r="F462" s="7"/>
      <c r="G462" s="7"/>
      <c r="H462" s="7"/>
      <c r="I462" s="7"/>
      <c r="J462" s="7"/>
    </row>
    <row r="463" spans="4:10" ht="19.5" customHeight="1">
      <c r="D463" s="7"/>
      <c r="E463" s="7"/>
      <c r="F463" s="7"/>
      <c r="G463" s="7"/>
      <c r="H463" s="7"/>
      <c r="I463" s="7"/>
      <c r="J463" s="7"/>
    </row>
    <row r="464" spans="4:10" ht="19.5" customHeight="1">
      <c r="D464" s="7"/>
      <c r="E464" s="7"/>
      <c r="F464" s="7"/>
      <c r="G464" s="7"/>
      <c r="H464" s="7"/>
      <c r="I464" s="7"/>
      <c r="J464" s="7"/>
    </row>
    <row r="465" spans="4:10" ht="19.5" customHeight="1">
      <c r="D465" s="7"/>
      <c r="E465" s="7"/>
      <c r="F465" s="7"/>
      <c r="G465" s="7"/>
      <c r="H465" s="7"/>
      <c r="I465" s="7"/>
      <c r="J465" s="7"/>
    </row>
    <row r="466" spans="4:10" ht="19.5" customHeight="1">
      <c r="D466" s="7"/>
      <c r="E466" s="7"/>
      <c r="F466" s="7"/>
      <c r="G466" s="7"/>
      <c r="H466" s="7"/>
      <c r="I466" s="7"/>
      <c r="J466" s="7"/>
    </row>
    <row r="467" spans="4:10" ht="19.5" customHeight="1">
      <c r="D467" s="7"/>
      <c r="E467" s="7"/>
      <c r="F467" s="7"/>
      <c r="G467" s="7"/>
      <c r="H467" s="7"/>
      <c r="I467" s="7"/>
      <c r="J467" s="7"/>
    </row>
    <row r="468" spans="4:10" ht="19.5" customHeight="1">
      <c r="D468" s="7"/>
      <c r="E468" s="7"/>
      <c r="F468" s="7"/>
      <c r="G468" s="7"/>
      <c r="H468" s="7"/>
      <c r="I468" s="7"/>
      <c r="J468" s="7"/>
    </row>
    <row r="469" spans="4:10" ht="19.5" customHeight="1">
      <c r="D469" s="7"/>
      <c r="E469" s="7"/>
      <c r="F469" s="7"/>
      <c r="G469" s="7"/>
      <c r="H469" s="7"/>
      <c r="I469" s="7"/>
      <c r="J469" s="7"/>
    </row>
    <row r="470" spans="4:10" ht="19.5" customHeight="1">
      <c r="D470" s="7"/>
      <c r="E470" s="7"/>
      <c r="F470" s="7"/>
      <c r="G470" s="7"/>
      <c r="H470" s="7"/>
      <c r="I470" s="7"/>
      <c r="J470" s="7"/>
    </row>
    <row r="471" spans="4:10" ht="19.5" customHeight="1">
      <c r="D471" s="7"/>
      <c r="E471" s="7"/>
      <c r="F471" s="7"/>
      <c r="G471" s="7"/>
      <c r="H471" s="7"/>
      <c r="I471" s="7"/>
      <c r="J471" s="7"/>
    </row>
    <row r="472" spans="4:10" ht="19.5" customHeight="1">
      <c r="D472" s="7"/>
      <c r="E472" s="7"/>
      <c r="F472" s="7"/>
      <c r="G472" s="7"/>
      <c r="H472" s="7"/>
      <c r="I472" s="7"/>
      <c r="J472" s="7"/>
    </row>
    <row r="473" spans="4:10" ht="19.5" customHeight="1">
      <c r="D473" s="7"/>
      <c r="E473" s="7"/>
      <c r="F473" s="7"/>
      <c r="G473" s="7"/>
      <c r="H473" s="7"/>
      <c r="I473" s="7"/>
      <c r="J473" s="7"/>
    </row>
    <row r="474" spans="4:10" ht="19.5" customHeight="1">
      <c r="D474" s="7"/>
      <c r="E474" s="7"/>
      <c r="F474" s="7"/>
      <c r="G474" s="7"/>
      <c r="H474" s="7"/>
      <c r="I474" s="7"/>
      <c r="J474" s="7"/>
    </row>
    <row r="475" spans="4:10" ht="19.5" customHeight="1">
      <c r="D475" s="7"/>
      <c r="E475" s="7"/>
      <c r="F475" s="7"/>
      <c r="G475" s="7"/>
      <c r="H475" s="7"/>
      <c r="I475" s="7"/>
      <c r="J475" s="7"/>
    </row>
    <row r="476" spans="4:10" ht="19.5" customHeight="1">
      <c r="D476" s="7"/>
      <c r="E476" s="7"/>
      <c r="F476" s="7"/>
      <c r="G476" s="7"/>
      <c r="H476" s="7"/>
      <c r="I476" s="7"/>
      <c r="J476" s="7"/>
    </row>
    <row r="477" spans="4:10" ht="19.5" customHeight="1">
      <c r="D477" s="7"/>
      <c r="E477" s="7"/>
      <c r="F477" s="7"/>
      <c r="G477" s="7"/>
      <c r="H477" s="7"/>
      <c r="I477" s="7"/>
      <c r="J477" s="7"/>
    </row>
    <row r="478" spans="4:10" ht="19.5" customHeight="1">
      <c r="D478" s="7"/>
      <c r="E478" s="7"/>
      <c r="F478" s="7"/>
      <c r="G478" s="7"/>
      <c r="H478" s="7"/>
      <c r="I478" s="7"/>
      <c r="J478" s="7"/>
    </row>
    <row r="479" spans="4:10" ht="19.5" customHeight="1">
      <c r="D479" s="7"/>
      <c r="E479" s="7"/>
      <c r="F479" s="7"/>
      <c r="G479" s="7"/>
      <c r="H479" s="7"/>
      <c r="I479" s="7"/>
      <c r="J479" s="7"/>
    </row>
    <row r="480" spans="4:10" ht="19.5" customHeight="1">
      <c r="D480" s="7"/>
      <c r="E480" s="7"/>
      <c r="F480" s="7"/>
      <c r="G480" s="7"/>
      <c r="H480" s="7"/>
      <c r="I480" s="7"/>
      <c r="J480" s="7"/>
    </row>
    <row r="481" spans="4:10" ht="19.5" customHeight="1">
      <c r="D481" s="7"/>
      <c r="E481" s="7"/>
      <c r="F481" s="7"/>
      <c r="G481" s="7"/>
      <c r="H481" s="7"/>
      <c r="I481" s="7"/>
      <c r="J481" s="7"/>
    </row>
    <row r="482" spans="4:10" ht="19.5" customHeight="1">
      <c r="D482" s="7"/>
      <c r="E482" s="7"/>
      <c r="F482" s="7"/>
      <c r="G482" s="7"/>
      <c r="H482" s="7"/>
      <c r="I482" s="7"/>
      <c r="J482" s="7"/>
    </row>
    <row r="483" spans="4:10" ht="19.5" customHeight="1">
      <c r="D483" s="7"/>
      <c r="E483" s="7"/>
      <c r="F483" s="7"/>
      <c r="G483" s="7"/>
      <c r="H483" s="7"/>
      <c r="I483" s="7"/>
      <c r="J483" s="7"/>
    </row>
    <row r="484" spans="4:10" ht="19.5" customHeight="1">
      <c r="D484" s="7"/>
      <c r="E484" s="7"/>
      <c r="F484" s="7"/>
      <c r="G484" s="7"/>
      <c r="H484" s="7"/>
      <c r="I484" s="7"/>
      <c r="J484" s="7"/>
    </row>
    <row r="485" spans="4:10" ht="19.5" customHeight="1">
      <c r="D485" s="7"/>
      <c r="E485" s="7"/>
      <c r="F485" s="7"/>
      <c r="G485" s="7"/>
      <c r="H485" s="7"/>
      <c r="I485" s="7"/>
      <c r="J485" s="7"/>
    </row>
    <row r="486" spans="4:10" ht="19.5" customHeight="1">
      <c r="D486" s="7"/>
      <c r="E486" s="7"/>
      <c r="F486" s="7"/>
      <c r="G486" s="7"/>
      <c r="H486" s="7"/>
      <c r="I486" s="7"/>
      <c r="J486" s="7"/>
    </row>
    <row r="487" spans="4:10" ht="19.5" customHeight="1">
      <c r="D487" s="7"/>
      <c r="E487" s="7"/>
      <c r="F487" s="7"/>
      <c r="G487" s="7"/>
      <c r="H487" s="7"/>
      <c r="I487" s="7"/>
      <c r="J487" s="7"/>
    </row>
    <row r="488" spans="4:10" ht="19.5" customHeight="1">
      <c r="D488" s="7"/>
      <c r="E488" s="7"/>
      <c r="F488" s="7"/>
      <c r="G488" s="7"/>
      <c r="H488" s="7"/>
      <c r="I488" s="7"/>
      <c r="J488" s="7"/>
    </row>
    <row r="489" spans="4:10" ht="19.5" customHeight="1">
      <c r="D489" s="7"/>
      <c r="E489" s="7"/>
      <c r="F489" s="7"/>
      <c r="G489" s="7"/>
      <c r="H489" s="7"/>
      <c r="I489" s="7"/>
      <c r="J489" s="7"/>
    </row>
    <row r="490" spans="4:10" ht="19.5" customHeight="1">
      <c r="D490" s="7"/>
      <c r="E490" s="7"/>
      <c r="F490" s="7"/>
      <c r="G490" s="7"/>
      <c r="H490" s="7"/>
      <c r="I490" s="7"/>
      <c r="J490" s="7"/>
    </row>
    <row r="491" spans="4:10" ht="19.5" customHeight="1">
      <c r="D491" s="7"/>
      <c r="E491" s="7"/>
      <c r="F491" s="7"/>
      <c r="G491" s="7"/>
      <c r="H491" s="7"/>
      <c r="I491" s="7"/>
      <c r="J491" s="7"/>
    </row>
    <row r="492" spans="4:10" ht="19.5" customHeight="1">
      <c r="D492" s="7"/>
      <c r="E492" s="7"/>
      <c r="F492" s="7"/>
      <c r="G492" s="7"/>
      <c r="H492" s="7"/>
      <c r="I492" s="7"/>
      <c r="J492" s="7"/>
    </row>
    <row r="493" spans="4:10" ht="19.5" customHeight="1">
      <c r="D493" s="7"/>
      <c r="E493" s="7"/>
      <c r="F493" s="7"/>
      <c r="G493" s="7"/>
      <c r="H493" s="7"/>
      <c r="I493" s="7"/>
      <c r="J493" s="7"/>
    </row>
    <row r="494" spans="4:10" ht="19.5" customHeight="1">
      <c r="D494" s="7"/>
      <c r="E494" s="7"/>
      <c r="F494" s="7"/>
      <c r="G494" s="7"/>
      <c r="H494" s="7"/>
      <c r="I494" s="7"/>
      <c r="J494" s="7"/>
    </row>
    <row r="495" spans="4:10" ht="19.5" customHeight="1">
      <c r="D495" s="7"/>
      <c r="E495" s="7"/>
      <c r="F495" s="7"/>
      <c r="G495" s="7"/>
      <c r="H495" s="7"/>
      <c r="I495" s="7"/>
      <c r="J495" s="7"/>
    </row>
    <row r="496" spans="4:10" ht="19.5" customHeight="1">
      <c r="D496" s="7"/>
      <c r="E496" s="7"/>
      <c r="F496" s="7"/>
      <c r="G496" s="7"/>
      <c r="H496" s="7"/>
      <c r="I496" s="7"/>
      <c r="J496" s="7"/>
    </row>
    <row r="497" spans="4:10" ht="19.5" customHeight="1">
      <c r="D497" s="7"/>
      <c r="E497" s="7"/>
      <c r="F497" s="7"/>
      <c r="G497" s="7"/>
      <c r="H497" s="7"/>
      <c r="I497" s="7"/>
      <c r="J497" s="7"/>
    </row>
    <row r="498" spans="4:10" ht="19.5" customHeight="1">
      <c r="D498" s="7"/>
      <c r="E498" s="7"/>
      <c r="F498" s="7"/>
      <c r="G498" s="7"/>
      <c r="H498" s="7"/>
      <c r="I498" s="7"/>
      <c r="J498" s="7"/>
    </row>
    <row r="499" spans="4:10" ht="19.5" customHeight="1">
      <c r="D499" s="7"/>
      <c r="E499" s="7"/>
      <c r="F499" s="7"/>
      <c r="G499" s="7"/>
      <c r="H499" s="7"/>
      <c r="I499" s="7"/>
      <c r="J499" s="7"/>
    </row>
    <row r="500" spans="4:10" ht="19.5" customHeight="1">
      <c r="D500" s="7"/>
      <c r="E500" s="7"/>
      <c r="F500" s="7"/>
      <c r="G500" s="7"/>
      <c r="H500" s="7"/>
      <c r="I500" s="7"/>
      <c r="J500" s="7"/>
    </row>
    <row r="501" spans="4:10" ht="19.5" customHeight="1">
      <c r="D501" s="7"/>
      <c r="E501" s="7"/>
      <c r="F501" s="7"/>
      <c r="G501" s="7"/>
      <c r="H501" s="7"/>
      <c r="I501" s="7"/>
      <c r="J501" s="7"/>
    </row>
    <row r="502" spans="4:10" ht="19.5" customHeight="1">
      <c r="D502" s="7"/>
      <c r="E502" s="7"/>
      <c r="F502" s="7"/>
      <c r="G502" s="7"/>
      <c r="H502" s="7"/>
      <c r="I502" s="7"/>
      <c r="J502" s="7"/>
    </row>
    <row r="503" spans="4:10" ht="19.5" customHeight="1">
      <c r="D503" s="7"/>
      <c r="E503" s="7"/>
      <c r="F503" s="7"/>
      <c r="G503" s="7"/>
      <c r="H503" s="7"/>
      <c r="I503" s="7"/>
      <c r="J503" s="7"/>
    </row>
    <row r="504" spans="4:10" ht="19.5" customHeight="1">
      <c r="D504" s="7"/>
      <c r="E504" s="7"/>
      <c r="F504" s="7"/>
      <c r="G504" s="7"/>
      <c r="H504" s="7"/>
      <c r="I504" s="7"/>
      <c r="J504" s="7"/>
    </row>
    <row r="505" spans="4:10" ht="19.5" customHeight="1">
      <c r="D505" s="7"/>
      <c r="E505" s="7"/>
      <c r="F505" s="7"/>
      <c r="G505" s="7"/>
      <c r="H505" s="7"/>
      <c r="I505" s="7"/>
      <c r="J505" s="7"/>
    </row>
    <row r="506" spans="4:10" ht="19.5" customHeight="1">
      <c r="D506" s="7"/>
      <c r="E506" s="7"/>
      <c r="F506" s="7"/>
      <c r="G506" s="7"/>
      <c r="H506" s="7"/>
      <c r="I506" s="7"/>
      <c r="J506" s="7"/>
    </row>
    <row r="507" spans="4:10" ht="19.5" customHeight="1">
      <c r="D507" s="7"/>
      <c r="E507" s="7"/>
      <c r="F507" s="7"/>
      <c r="G507" s="7"/>
      <c r="H507" s="7"/>
      <c r="I507" s="7"/>
      <c r="J507" s="7"/>
    </row>
    <row r="508" spans="4:10" ht="19.5" customHeight="1">
      <c r="D508" s="7"/>
      <c r="E508" s="7"/>
      <c r="F508" s="7"/>
      <c r="G508" s="7"/>
      <c r="H508" s="7"/>
      <c r="I508" s="7"/>
      <c r="J508" s="7"/>
    </row>
    <row r="509" spans="4:10" ht="19.5" customHeight="1">
      <c r="D509" s="7"/>
      <c r="E509" s="7"/>
      <c r="F509" s="7"/>
      <c r="G509" s="7"/>
      <c r="H509" s="7"/>
      <c r="I509" s="7"/>
      <c r="J509" s="7"/>
    </row>
    <row r="510" spans="4:10" ht="19.5" customHeight="1">
      <c r="D510" s="7"/>
      <c r="E510" s="7"/>
      <c r="F510" s="7"/>
      <c r="G510" s="7"/>
      <c r="H510" s="7"/>
      <c r="I510" s="7"/>
      <c r="J510" s="7"/>
    </row>
    <row r="511" spans="4:10" ht="19.5" customHeight="1">
      <c r="D511" s="7"/>
      <c r="E511" s="7"/>
      <c r="F511" s="7"/>
      <c r="G511" s="7"/>
      <c r="H511" s="7"/>
      <c r="I511" s="7"/>
      <c r="J511" s="7"/>
    </row>
    <row r="512" spans="4:10" ht="19.5" customHeight="1">
      <c r="D512" s="7"/>
      <c r="E512" s="7"/>
      <c r="F512" s="7"/>
      <c r="G512" s="7"/>
      <c r="H512" s="7"/>
      <c r="I512" s="7"/>
      <c r="J512" s="7"/>
    </row>
    <row r="513" spans="4:10" ht="19.5" customHeight="1">
      <c r="D513" s="7"/>
      <c r="E513" s="7"/>
      <c r="F513" s="7"/>
      <c r="G513" s="7"/>
      <c r="H513" s="7"/>
      <c r="I513" s="7"/>
      <c r="J513" s="7"/>
    </row>
    <row r="514" spans="4:10" ht="19.5" customHeight="1">
      <c r="D514" s="7"/>
      <c r="E514" s="7"/>
      <c r="F514" s="7"/>
      <c r="G514" s="7"/>
      <c r="H514" s="7"/>
      <c r="I514" s="7"/>
      <c r="J514" s="7"/>
    </row>
    <row r="515" spans="4:10" ht="19.5" customHeight="1">
      <c r="D515" s="7"/>
      <c r="E515" s="7"/>
      <c r="F515" s="7"/>
      <c r="G515" s="7"/>
      <c r="H515" s="7"/>
      <c r="I515" s="7"/>
      <c r="J515" s="7"/>
    </row>
    <row r="516" spans="4:10" ht="19.5" customHeight="1">
      <c r="D516" s="7"/>
      <c r="E516" s="7"/>
      <c r="F516" s="7"/>
      <c r="G516" s="7"/>
      <c r="H516" s="7"/>
      <c r="I516" s="7"/>
      <c r="J516" s="7"/>
    </row>
    <row r="517" spans="4:10" ht="19.5" customHeight="1">
      <c r="D517" s="7"/>
      <c r="E517" s="7"/>
      <c r="F517" s="7"/>
      <c r="G517" s="7"/>
      <c r="H517" s="7"/>
      <c r="I517" s="7"/>
      <c r="J517" s="7"/>
    </row>
    <row r="518" spans="4:10" ht="19.5" customHeight="1">
      <c r="D518" s="7"/>
      <c r="E518" s="7"/>
      <c r="F518" s="7"/>
      <c r="G518" s="7"/>
      <c r="H518" s="7"/>
      <c r="I518" s="7"/>
      <c r="J518" s="7"/>
    </row>
    <row r="519" spans="4:10" ht="19.5" customHeight="1">
      <c r="D519" s="7"/>
      <c r="E519" s="7"/>
      <c r="F519" s="7"/>
      <c r="G519" s="7"/>
      <c r="H519" s="7"/>
      <c r="I519" s="7"/>
      <c r="J519" s="7"/>
    </row>
    <row r="520" spans="4:10" ht="19.5" customHeight="1">
      <c r="D520" s="7"/>
      <c r="E520" s="7"/>
      <c r="F520" s="7"/>
      <c r="G520" s="7"/>
      <c r="H520" s="7"/>
      <c r="I520" s="7"/>
      <c r="J520" s="7"/>
    </row>
    <row r="521" spans="4:10" ht="19.5" customHeight="1">
      <c r="D521" s="7"/>
      <c r="E521" s="7"/>
      <c r="F521" s="7"/>
      <c r="G521" s="7"/>
      <c r="H521" s="7"/>
      <c r="I521" s="7"/>
      <c r="J521" s="7"/>
    </row>
    <row r="522" spans="4:10" ht="19.5" customHeight="1">
      <c r="D522" s="7"/>
      <c r="E522" s="7"/>
      <c r="F522" s="7"/>
      <c r="G522" s="7"/>
      <c r="H522" s="7"/>
      <c r="I522" s="7"/>
      <c r="J522" s="7"/>
    </row>
    <row r="523" spans="4:10" ht="19.5" customHeight="1">
      <c r="D523" s="7"/>
      <c r="E523" s="7"/>
      <c r="F523" s="7"/>
      <c r="G523" s="7"/>
      <c r="H523" s="7"/>
      <c r="I523" s="7"/>
      <c r="J523" s="7"/>
    </row>
    <row r="524" spans="4:10" ht="19.5" customHeight="1">
      <c r="D524" s="7"/>
      <c r="E524" s="7"/>
      <c r="F524" s="7"/>
      <c r="G524" s="7"/>
      <c r="H524" s="7"/>
      <c r="I524" s="7"/>
      <c r="J524" s="7"/>
    </row>
    <row r="525" spans="4:10" ht="19.5" customHeight="1">
      <c r="D525" s="7"/>
      <c r="E525" s="7"/>
      <c r="F525" s="7"/>
      <c r="G525" s="7"/>
      <c r="H525" s="7"/>
      <c r="I525" s="7"/>
      <c r="J525" s="7"/>
    </row>
    <row r="526" spans="4:10" ht="19.5" customHeight="1">
      <c r="D526" s="7"/>
      <c r="E526" s="7"/>
      <c r="F526" s="7"/>
      <c r="G526" s="7"/>
      <c r="H526" s="7"/>
      <c r="I526" s="7"/>
      <c r="J526" s="7"/>
    </row>
    <row r="527" spans="4:10" ht="19.5" customHeight="1">
      <c r="D527" s="7"/>
      <c r="E527" s="7"/>
      <c r="F527" s="7"/>
      <c r="G527" s="7"/>
      <c r="H527" s="7"/>
      <c r="I527" s="7"/>
      <c r="J527" s="7"/>
    </row>
    <row r="528" spans="4:10" ht="19.5" customHeight="1">
      <c r="D528" s="7"/>
      <c r="E528" s="7"/>
      <c r="F528" s="7"/>
      <c r="G528" s="7"/>
      <c r="H528" s="7"/>
      <c r="I528" s="7"/>
      <c r="J528" s="7"/>
    </row>
    <row r="529" spans="4:10" ht="19.5" customHeight="1">
      <c r="D529" s="7"/>
      <c r="E529" s="7"/>
      <c r="F529" s="7"/>
      <c r="G529" s="7"/>
      <c r="H529" s="7"/>
      <c r="I529" s="7"/>
      <c r="J529" s="7"/>
    </row>
    <row r="530" spans="4:10" ht="19.5" customHeight="1">
      <c r="D530" s="7"/>
      <c r="E530" s="7"/>
      <c r="F530" s="7"/>
      <c r="G530" s="7"/>
      <c r="H530" s="7"/>
      <c r="I530" s="7"/>
      <c r="J530" s="7"/>
    </row>
    <row r="531" spans="4:10" ht="19.5" customHeight="1">
      <c r="D531" s="7"/>
      <c r="E531" s="7"/>
      <c r="F531" s="7"/>
      <c r="G531" s="7"/>
      <c r="H531" s="7"/>
      <c r="I531" s="7"/>
      <c r="J531" s="7"/>
    </row>
    <row r="532" spans="4:10" ht="19.5" customHeight="1">
      <c r="D532" s="7"/>
      <c r="E532" s="7"/>
      <c r="F532" s="7"/>
      <c r="G532" s="7"/>
      <c r="H532" s="7"/>
      <c r="I532" s="7"/>
      <c r="J532" s="7"/>
    </row>
    <row r="533" spans="4:10" ht="19.5" customHeight="1">
      <c r="D533" s="7"/>
      <c r="E533" s="7"/>
      <c r="F533" s="7"/>
      <c r="G533" s="7"/>
      <c r="H533" s="7"/>
      <c r="I533" s="7"/>
      <c r="J533" s="7"/>
    </row>
    <row r="534" spans="4:10" ht="19.5" customHeight="1">
      <c r="D534" s="7"/>
      <c r="E534" s="7"/>
      <c r="F534" s="7"/>
      <c r="G534" s="7"/>
      <c r="H534" s="7"/>
      <c r="I534" s="7"/>
      <c r="J534" s="7"/>
    </row>
    <row r="535" spans="4:10" ht="19.5" customHeight="1">
      <c r="D535" s="7"/>
      <c r="E535" s="7"/>
      <c r="F535" s="7"/>
      <c r="G535" s="7"/>
      <c r="H535" s="7"/>
      <c r="I535" s="7"/>
      <c r="J535" s="7"/>
    </row>
    <row r="536" spans="4:10" ht="19.5" customHeight="1">
      <c r="D536" s="7"/>
      <c r="E536" s="7"/>
      <c r="F536" s="7"/>
      <c r="G536" s="7"/>
      <c r="H536" s="7"/>
      <c r="I536" s="7"/>
      <c r="J536" s="7"/>
    </row>
    <row r="537" spans="4:10" ht="19.5" customHeight="1">
      <c r="D537" s="7"/>
      <c r="E537" s="7"/>
      <c r="F537" s="7"/>
      <c r="G537" s="7"/>
      <c r="H537" s="7"/>
      <c r="I537" s="7"/>
      <c r="J537" s="7"/>
    </row>
    <row r="538" spans="4:10" ht="19.5" customHeight="1">
      <c r="D538" s="7"/>
      <c r="E538" s="7"/>
      <c r="F538" s="7"/>
      <c r="G538" s="7"/>
      <c r="H538" s="7"/>
      <c r="I538" s="7"/>
      <c r="J538" s="7"/>
    </row>
    <row r="539" spans="4:10" ht="19.5" customHeight="1">
      <c r="D539" s="7"/>
      <c r="E539" s="7"/>
      <c r="F539" s="7"/>
      <c r="G539" s="7"/>
      <c r="H539" s="7"/>
      <c r="I539" s="7"/>
      <c r="J539" s="7"/>
    </row>
    <row r="540" spans="4:10" ht="19.5" customHeight="1">
      <c r="D540" s="7"/>
      <c r="E540" s="7"/>
      <c r="F540" s="7"/>
      <c r="G540" s="7"/>
      <c r="H540" s="7"/>
      <c r="I540" s="7"/>
      <c r="J540" s="7"/>
    </row>
    <row r="541" spans="4:10" ht="19.5" customHeight="1">
      <c r="D541" s="7"/>
      <c r="E541" s="7"/>
      <c r="F541" s="7"/>
      <c r="G541" s="7"/>
      <c r="H541" s="7"/>
      <c r="I541" s="7"/>
      <c r="J541" s="7"/>
    </row>
    <row r="542" spans="4:10" ht="19.5" customHeight="1">
      <c r="D542" s="7"/>
      <c r="E542" s="7"/>
      <c r="F542" s="7"/>
      <c r="G542" s="7"/>
      <c r="H542" s="7"/>
      <c r="I542" s="7"/>
      <c r="J542" s="7"/>
    </row>
    <row r="543" spans="4:10" ht="19.5" customHeight="1">
      <c r="D543" s="7"/>
      <c r="E543" s="7"/>
      <c r="F543" s="7"/>
      <c r="G543" s="7"/>
      <c r="H543" s="7"/>
      <c r="I543" s="7"/>
      <c r="J543" s="7"/>
    </row>
    <row r="544" spans="4:10" ht="19.5" customHeight="1">
      <c r="D544" s="7"/>
      <c r="E544" s="7"/>
      <c r="F544" s="7"/>
      <c r="G544" s="7"/>
      <c r="H544" s="7"/>
      <c r="I544" s="7"/>
      <c r="J544" s="7"/>
    </row>
    <row r="545" spans="4:10" ht="19.5" customHeight="1">
      <c r="D545" s="7"/>
      <c r="E545" s="7"/>
      <c r="F545" s="7"/>
      <c r="G545" s="7"/>
      <c r="H545" s="7"/>
      <c r="I545" s="7"/>
      <c r="J545" s="7"/>
    </row>
    <row r="546" spans="4:10" ht="19.5" customHeight="1">
      <c r="D546" s="7"/>
      <c r="E546" s="7"/>
      <c r="F546" s="7"/>
      <c r="G546" s="7"/>
      <c r="H546" s="7"/>
      <c r="I546" s="7"/>
      <c r="J546" s="7"/>
    </row>
    <row r="547" spans="4:10" ht="19.5" customHeight="1">
      <c r="D547" s="7"/>
      <c r="E547" s="7"/>
      <c r="F547" s="7"/>
      <c r="G547" s="7"/>
      <c r="H547" s="7"/>
      <c r="I547" s="7"/>
      <c r="J547" s="7"/>
    </row>
    <row r="548" spans="4:10" ht="19.5" customHeight="1">
      <c r="D548" s="7"/>
      <c r="E548" s="7"/>
      <c r="F548" s="7"/>
      <c r="G548" s="7"/>
      <c r="H548" s="7"/>
      <c r="I548" s="7"/>
      <c r="J548" s="7"/>
    </row>
    <row r="549" spans="4:10" ht="19.5" customHeight="1">
      <c r="D549" s="7"/>
      <c r="E549" s="7"/>
      <c r="F549" s="7"/>
      <c r="G549" s="7"/>
      <c r="H549" s="7"/>
      <c r="I549" s="7"/>
      <c r="J549" s="7"/>
    </row>
    <row r="550" spans="4:10" ht="19.5" customHeight="1">
      <c r="D550" s="7"/>
      <c r="E550" s="7"/>
      <c r="F550" s="7"/>
      <c r="G550" s="7"/>
      <c r="H550" s="7"/>
      <c r="I550" s="7"/>
      <c r="J550" s="7"/>
    </row>
    <row r="551" spans="4:10" ht="19.5" customHeight="1">
      <c r="D551" s="7"/>
      <c r="E551" s="7"/>
      <c r="F551" s="7"/>
      <c r="G551" s="7"/>
      <c r="H551" s="7"/>
      <c r="I551" s="7"/>
      <c r="J551" s="7"/>
    </row>
    <row r="552" spans="4:10" ht="19.5" customHeight="1">
      <c r="D552" s="7"/>
      <c r="E552" s="7"/>
      <c r="F552" s="7"/>
      <c r="G552" s="7"/>
      <c r="H552" s="7"/>
      <c r="I552" s="7"/>
      <c r="J552" s="7"/>
    </row>
    <row r="553" spans="4:10" ht="19.5" customHeight="1">
      <c r="D553" s="7"/>
      <c r="E553" s="7"/>
      <c r="F553" s="7"/>
      <c r="G553" s="7"/>
      <c r="H553" s="7"/>
      <c r="I553" s="7"/>
      <c r="J553" s="7"/>
    </row>
    <row r="554" spans="4:10" ht="19.5" customHeight="1">
      <c r="D554" s="7"/>
      <c r="E554" s="7"/>
      <c r="F554" s="7"/>
      <c r="G554" s="7"/>
      <c r="H554" s="7"/>
      <c r="I554" s="7"/>
      <c r="J554" s="7"/>
    </row>
    <row r="555" spans="4:10" ht="19.5" customHeight="1">
      <c r="D555" s="7"/>
      <c r="E555" s="7"/>
      <c r="F555" s="7"/>
      <c r="G555" s="7"/>
      <c r="H555" s="7"/>
      <c r="I555" s="7"/>
      <c r="J555" s="7"/>
    </row>
    <row r="556" spans="4:10" ht="19.5" customHeight="1">
      <c r="D556" s="7"/>
      <c r="E556" s="7"/>
      <c r="F556" s="7"/>
      <c r="G556" s="7"/>
      <c r="H556" s="7"/>
      <c r="I556" s="7"/>
      <c r="J556" s="7"/>
    </row>
    <row r="557" spans="4:10" ht="19.5" customHeight="1">
      <c r="D557" s="7"/>
      <c r="E557" s="7"/>
      <c r="F557" s="7"/>
      <c r="G557" s="7"/>
      <c r="H557" s="7"/>
      <c r="I557" s="7"/>
      <c r="J557" s="7"/>
    </row>
    <row r="558" spans="4:10" ht="19.5" customHeight="1">
      <c r="D558" s="7"/>
      <c r="E558" s="7"/>
      <c r="F558" s="7"/>
      <c r="G558" s="7"/>
      <c r="H558" s="7"/>
      <c r="I558" s="7"/>
      <c r="J558" s="7"/>
    </row>
    <row r="559" spans="4:10" ht="19.5" customHeight="1">
      <c r="D559" s="7"/>
      <c r="E559" s="7"/>
      <c r="F559" s="7"/>
      <c r="G559" s="7"/>
      <c r="H559" s="7"/>
      <c r="I559" s="7"/>
      <c r="J559" s="7"/>
    </row>
    <row r="560" spans="4:10" ht="19.5" customHeight="1">
      <c r="D560" s="7"/>
      <c r="E560" s="7"/>
      <c r="F560" s="7"/>
      <c r="G560" s="7"/>
      <c r="H560" s="7"/>
      <c r="I560" s="7"/>
      <c r="J560" s="7"/>
    </row>
    <row r="561" spans="4:10" ht="19.5" customHeight="1">
      <c r="D561" s="7"/>
      <c r="E561" s="7"/>
      <c r="F561" s="7"/>
      <c r="G561" s="7"/>
      <c r="H561" s="7"/>
      <c r="I561" s="7"/>
      <c r="J561" s="7"/>
    </row>
    <row r="562" spans="4:10" ht="19.5" customHeight="1">
      <c r="D562" s="7"/>
      <c r="E562" s="7"/>
      <c r="F562" s="7"/>
      <c r="G562" s="7"/>
      <c r="H562" s="7"/>
      <c r="I562" s="7"/>
      <c r="J562" s="7"/>
    </row>
    <row r="563" spans="4:10" ht="19.5" customHeight="1">
      <c r="D563" s="7"/>
      <c r="E563" s="7"/>
      <c r="F563" s="7"/>
      <c r="G563" s="7"/>
      <c r="H563" s="7"/>
      <c r="I563" s="7"/>
      <c r="J563" s="7"/>
    </row>
    <row r="564" spans="4:10" ht="19.5" customHeight="1">
      <c r="D564" s="7"/>
      <c r="E564" s="7"/>
      <c r="F564" s="7"/>
      <c r="G564" s="7"/>
      <c r="H564" s="7"/>
      <c r="I564" s="7"/>
      <c r="J564" s="7"/>
    </row>
    <row r="565" spans="4:10" ht="19.5" customHeight="1">
      <c r="D565" s="7"/>
      <c r="E565" s="7"/>
      <c r="F565" s="7"/>
      <c r="G565" s="7"/>
      <c r="H565" s="7"/>
      <c r="I565" s="7"/>
      <c r="J565" s="7"/>
    </row>
    <row r="566" spans="4:10" ht="19.5" customHeight="1">
      <c r="D566" s="7"/>
      <c r="E566" s="7"/>
      <c r="F566" s="7"/>
      <c r="G566" s="7"/>
      <c r="H566" s="7"/>
      <c r="I566" s="7"/>
      <c r="J566" s="7"/>
    </row>
    <row r="567" spans="4:10" ht="19.5" customHeight="1">
      <c r="D567" s="7"/>
      <c r="E567" s="7"/>
      <c r="F567" s="7"/>
      <c r="G567" s="7"/>
      <c r="H567" s="7"/>
      <c r="I567" s="7"/>
      <c r="J567" s="7"/>
    </row>
    <row r="568" spans="4:10" ht="19.5" customHeight="1">
      <c r="D568" s="7"/>
      <c r="E568" s="7"/>
      <c r="F568" s="7"/>
      <c r="G568" s="7"/>
      <c r="H568" s="7"/>
      <c r="I568" s="7"/>
      <c r="J568" s="7"/>
    </row>
    <row r="569" spans="4:10" ht="19.5" customHeight="1">
      <c r="D569" s="7"/>
      <c r="E569" s="7"/>
      <c r="F569" s="7"/>
      <c r="G569" s="7"/>
      <c r="H569" s="7"/>
      <c r="I569" s="7"/>
      <c r="J569" s="7"/>
    </row>
    <row r="570" spans="4:10" ht="19.5" customHeight="1">
      <c r="D570" s="7"/>
      <c r="E570" s="7"/>
      <c r="F570" s="7"/>
      <c r="G570" s="7"/>
      <c r="H570" s="7"/>
      <c r="I570" s="7"/>
      <c r="J570" s="7"/>
    </row>
    <row r="571" spans="4:10" ht="19.5" customHeight="1">
      <c r="D571" s="7"/>
      <c r="E571" s="7"/>
      <c r="F571" s="7"/>
      <c r="G571" s="7"/>
      <c r="H571" s="7"/>
      <c r="I571" s="7"/>
      <c r="J571" s="7"/>
    </row>
    <row r="572" spans="4:10" ht="19.5" customHeight="1">
      <c r="D572" s="7"/>
      <c r="E572" s="7"/>
      <c r="F572" s="7"/>
      <c r="G572" s="7"/>
      <c r="H572" s="7"/>
      <c r="I572" s="7"/>
      <c r="J572" s="7"/>
    </row>
    <row r="573" spans="4:10" ht="19.5" customHeight="1">
      <c r="D573" s="7"/>
      <c r="E573" s="7"/>
      <c r="F573" s="7"/>
      <c r="G573" s="7"/>
      <c r="H573" s="7"/>
      <c r="I573" s="7"/>
      <c r="J573" s="7"/>
    </row>
    <row r="574" spans="4:10" ht="19.5" customHeight="1">
      <c r="D574" s="7"/>
      <c r="E574" s="7"/>
      <c r="F574" s="7"/>
      <c r="G574" s="7"/>
      <c r="H574" s="7"/>
      <c r="I574" s="7"/>
      <c r="J574" s="7"/>
    </row>
    <row r="575" spans="4:10" ht="19.5" customHeight="1">
      <c r="D575" s="7"/>
      <c r="E575" s="7"/>
      <c r="F575" s="7"/>
      <c r="G575" s="7"/>
      <c r="H575" s="7"/>
      <c r="I575" s="7"/>
      <c r="J575" s="7"/>
    </row>
    <row r="576" spans="4:10" ht="19.5" customHeight="1">
      <c r="D576" s="7"/>
      <c r="E576" s="7"/>
      <c r="F576" s="7"/>
      <c r="G576" s="7"/>
      <c r="H576" s="7"/>
      <c r="I576" s="7"/>
      <c r="J576" s="7"/>
    </row>
    <row r="577" spans="4:10" ht="19.5" customHeight="1">
      <c r="D577" s="7"/>
      <c r="E577" s="7"/>
      <c r="F577" s="7"/>
      <c r="G577" s="7"/>
      <c r="H577" s="7"/>
      <c r="I577" s="7"/>
      <c r="J577" s="7"/>
    </row>
    <row r="578" spans="4:10" ht="19.5" customHeight="1">
      <c r="D578" s="7"/>
      <c r="E578" s="7"/>
      <c r="F578" s="7"/>
      <c r="G578" s="7"/>
      <c r="H578" s="7"/>
      <c r="I578" s="7"/>
      <c r="J578" s="7"/>
    </row>
    <row r="579" spans="4:10" ht="19.5" customHeight="1">
      <c r="D579" s="7"/>
      <c r="E579" s="7"/>
      <c r="F579" s="7"/>
      <c r="G579" s="7"/>
      <c r="H579" s="7"/>
      <c r="I579" s="7"/>
      <c r="J579" s="7"/>
    </row>
    <row r="580" spans="4:10" ht="19.5" customHeight="1">
      <c r="D580" s="7"/>
      <c r="E580" s="7"/>
      <c r="F580" s="7"/>
      <c r="G580" s="7"/>
      <c r="H580" s="7"/>
      <c r="I580" s="7"/>
      <c r="J580" s="7"/>
    </row>
    <row r="581" spans="4:10" ht="19.5" customHeight="1">
      <c r="D581" s="7"/>
      <c r="E581" s="7"/>
      <c r="F581" s="7"/>
      <c r="G581" s="7"/>
      <c r="H581" s="7"/>
      <c r="I581" s="7"/>
      <c r="J581" s="7"/>
    </row>
    <row r="582" spans="4:10" ht="19.5" customHeight="1">
      <c r="D582" s="7"/>
      <c r="E582" s="7"/>
      <c r="F582" s="7"/>
      <c r="G582" s="7"/>
      <c r="H582" s="7"/>
      <c r="I582" s="7"/>
      <c r="J582" s="7"/>
    </row>
    <row r="583" spans="4:10" ht="19.5" customHeight="1">
      <c r="D583" s="7"/>
      <c r="E583" s="7"/>
      <c r="F583" s="7"/>
      <c r="G583" s="7"/>
      <c r="H583" s="7"/>
      <c r="I583" s="7"/>
      <c r="J583" s="7"/>
    </row>
    <row r="584" spans="4:10" ht="19.5" customHeight="1">
      <c r="D584" s="7"/>
      <c r="E584" s="7"/>
      <c r="F584" s="7"/>
      <c r="G584" s="7"/>
      <c r="H584" s="7"/>
      <c r="I584" s="7"/>
      <c r="J584" s="7"/>
    </row>
    <row r="585" spans="4:10" ht="19.5" customHeight="1">
      <c r="D585" s="7"/>
      <c r="E585" s="7"/>
      <c r="F585" s="7"/>
      <c r="G585" s="7"/>
      <c r="H585" s="7"/>
      <c r="I585" s="7"/>
      <c r="J585" s="7"/>
    </row>
    <row r="586" spans="4:10" ht="19.5" customHeight="1">
      <c r="D586" s="7"/>
      <c r="E586" s="7"/>
      <c r="F586" s="7"/>
      <c r="G586" s="7"/>
      <c r="H586" s="7"/>
      <c r="I586" s="7"/>
      <c r="J586" s="7"/>
    </row>
    <row r="587" spans="4:10" ht="19.5" customHeight="1">
      <c r="D587" s="7"/>
      <c r="E587" s="7"/>
      <c r="F587" s="7"/>
      <c r="G587" s="7"/>
      <c r="H587" s="7"/>
      <c r="I587" s="7"/>
      <c r="J587" s="7"/>
    </row>
    <row r="588" spans="4:10" ht="19.5" customHeight="1">
      <c r="D588" s="7"/>
      <c r="E588" s="7"/>
      <c r="F588" s="7"/>
      <c r="G588" s="7"/>
      <c r="H588" s="7"/>
      <c r="I588" s="7"/>
      <c r="J588" s="7"/>
    </row>
    <row r="589" spans="4:10" ht="19.5" customHeight="1">
      <c r="D589" s="7"/>
      <c r="E589" s="7"/>
      <c r="F589" s="7"/>
      <c r="G589" s="7"/>
      <c r="H589" s="7"/>
      <c r="I589" s="7"/>
      <c r="J589" s="7"/>
    </row>
    <row r="590" spans="4:10" ht="19.5" customHeight="1">
      <c r="D590" s="7"/>
      <c r="E590" s="7"/>
      <c r="F590" s="7"/>
      <c r="G590" s="7"/>
      <c r="H590" s="7"/>
      <c r="I590" s="7"/>
      <c r="J590" s="7"/>
    </row>
    <row r="591" spans="4:10" ht="19.5" customHeight="1">
      <c r="D591" s="7"/>
      <c r="E591" s="7"/>
      <c r="F591" s="7"/>
      <c r="G591" s="7"/>
      <c r="H591" s="7"/>
      <c r="I591" s="7"/>
      <c r="J591" s="7"/>
    </row>
    <row r="592" spans="4:10" ht="19.5" customHeight="1">
      <c r="D592" s="7"/>
      <c r="E592" s="7"/>
      <c r="F592" s="7"/>
      <c r="G592" s="7"/>
      <c r="H592" s="7"/>
      <c r="I592" s="7"/>
      <c r="J592" s="7"/>
    </row>
    <row r="593" spans="4:10" ht="19.5" customHeight="1">
      <c r="D593" s="7"/>
      <c r="E593" s="7"/>
      <c r="F593" s="7"/>
      <c r="G593" s="7"/>
      <c r="H593" s="7"/>
      <c r="I593" s="7"/>
      <c r="J593" s="7"/>
    </row>
    <row r="594" spans="4:10" ht="19.5" customHeight="1">
      <c r="D594" s="7"/>
      <c r="E594" s="7"/>
      <c r="F594" s="7"/>
      <c r="G594" s="7"/>
      <c r="H594" s="7"/>
      <c r="I594" s="7"/>
      <c r="J594" s="7"/>
    </row>
    <row r="595" spans="4:10" ht="19.5" customHeight="1">
      <c r="D595" s="7"/>
      <c r="E595" s="7"/>
      <c r="F595" s="7"/>
      <c r="G595" s="7"/>
      <c r="H595" s="7"/>
      <c r="I595" s="7"/>
      <c r="J595" s="7"/>
    </row>
    <row r="596" spans="4:10" ht="19.5" customHeight="1">
      <c r="D596" s="7"/>
      <c r="E596" s="7"/>
      <c r="F596" s="7"/>
      <c r="G596" s="7"/>
      <c r="H596" s="7"/>
      <c r="I596" s="7"/>
      <c r="J596" s="7"/>
    </row>
    <row r="597" spans="4:10" ht="19.5" customHeight="1">
      <c r="D597" s="7"/>
      <c r="E597" s="7"/>
      <c r="F597" s="7"/>
      <c r="G597" s="7"/>
      <c r="H597" s="7"/>
      <c r="I597" s="7"/>
      <c r="J597" s="7"/>
    </row>
    <row r="598" spans="4:10" ht="19.5" customHeight="1">
      <c r="D598" s="7"/>
      <c r="E598" s="7"/>
      <c r="F598" s="7"/>
      <c r="G598" s="7"/>
      <c r="H598" s="7"/>
      <c r="I598" s="7"/>
      <c r="J598" s="7"/>
    </row>
    <row r="599" spans="4:10" ht="19.5" customHeight="1">
      <c r="D599" s="7"/>
      <c r="E599" s="7"/>
      <c r="F599" s="7"/>
      <c r="G599" s="7"/>
      <c r="H599" s="7"/>
      <c r="I599" s="7"/>
      <c r="J599" s="7"/>
    </row>
    <row r="600" spans="4:10" ht="19.5" customHeight="1">
      <c r="D600" s="7"/>
      <c r="E600" s="7"/>
      <c r="F600" s="7"/>
      <c r="G600" s="7"/>
      <c r="H600" s="7"/>
      <c r="I600" s="7"/>
      <c r="J600" s="7"/>
    </row>
    <row r="601" spans="4:10" ht="19.5" customHeight="1">
      <c r="D601" s="7"/>
      <c r="E601" s="7"/>
      <c r="F601" s="7"/>
      <c r="G601" s="7"/>
      <c r="H601" s="7"/>
      <c r="I601" s="7"/>
      <c r="J601" s="7"/>
    </row>
    <row r="602" spans="4:10" ht="19.5" customHeight="1">
      <c r="D602" s="7"/>
      <c r="E602" s="7"/>
      <c r="F602" s="7"/>
      <c r="G602" s="7"/>
      <c r="H602" s="7"/>
      <c r="I602" s="7"/>
      <c r="J602" s="7"/>
    </row>
    <row r="603" spans="4:10" ht="19.5" customHeight="1">
      <c r="D603" s="7"/>
      <c r="E603" s="7"/>
      <c r="F603" s="7"/>
      <c r="G603" s="7"/>
      <c r="H603" s="7"/>
      <c r="I603" s="7"/>
      <c r="J603" s="7"/>
    </row>
    <row r="604" spans="4:10" ht="19.5" customHeight="1">
      <c r="D604" s="7"/>
      <c r="E604" s="7"/>
      <c r="F604" s="7"/>
      <c r="G604" s="7"/>
      <c r="H604" s="7"/>
      <c r="I604" s="7"/>
      <c r="J604" s="7"/>
    </row>
    <row r="605" spans="4:10" ht="19.5" customHeight="1">
      <c r="D605" s="7"/>
      <c r="E605" s="7"/>
      <c r="F605" s="7"/>
      <c r="G605" s="7"/>
      <c r="H605" s="7"/>
      <c r="I605" s="7"/>
      <c r="J605" s="7"/>
    </row>
    <row r="606" spans="4:10" ht="19.5" customHeight="1">
      <c r="D606" s="7"/>
      <c r="E606" s="7"/>
      <c r="F606" s="7"/>
      <c r="G606" s="7"/>
      <c r="H606" s="7"/>
      <c r="I606" s="7"/>
      <c r="J606" s="7"/>
    </row>
    <row r="607" spans="4:10" ht="19.5" customHeight="1">
      <c r="D607" s="7"/>
      <c r="E607" s="7"/>
      <c r="F607" s="7"/>
      <c r="G607" s="7"/>
      <c r="H607" s="7"/>
      <c r="I607" s="7"/>
      <c r="J607" s="7"/>
    </row>
    <row r="608" spans="4:10" ht="19.5" customHeight="1">
      <c r="D608" s="7"/>
      <c r="E608" s="7"/>
      <c r="F608" s="7"/>
      <c r="G608" s="7"/>
      <c r="H608" s="7"/>
      <c r="I608" s="7"/>
      <c r="J608" s="7"/>
    </row>
    <row r="609" spans="4:10" ht="19.5" customHeight="1">
      <c r="D609" s="7"/>
      <c r="E609" s="7"/>
      <c r="F609" s="7"/>
      <c r="G609" s="7"/>
      <c r="H609" s="7"/>
      <c r="I609" s="7"/>
      <c r="J609" s="7"/>
    </row>
    <row r="610" spans="4:10" ht="19.5" customHeight="1">
      <c r="D610" s="7"/>
      <c r="E610" s="7"/>
      <c r="F610" s="7"/>
      <c r="G610" s="7"/>
      <c r="H610" s="7"/>
      <c r="I610" s="7"/>
      <c r="J610" s="7"/>
    </row>
    <row r="611" spans="4:10" ht="19.5" customHeight="1">
      <c r="D611" s="7"/>
      <c r="E611" s="7"/>
      <c r="F611" s="7"/>
      <c r="G611" s="7"/>
      <c r="H611" s="7"/>
      <c r="I611" s="7"/>
      <c r="J611" s="7"/>
    </row>
    <row r="612" spans="4:10" ht="19.5" customHeight="1">
      <c r="D612" s="7"/>
      <c r="E612" s="7"/>
      <c r="F612" s="7"/>
      <c r="G612" s="7"/>
      <c r="H612" s="7"/>
      <c r="I612" s="7"/>
      <c r="J612" s="7"/>
    </row>
    <row r="613" spans="4:10" ht="19.5" customHeight="1">
      <c r="D613" s="7"/>
      <c r="E613" s="7"/>
      <c r="F613" s="7"/>
      <c r="G613" s="7"/>
      <c r="H613" s="7"/>
      <c r="I613" s="7"/>
      <c r="J613" s="7"/>
    </row>
    <row r="614" spans="4:10" ht="19.5" customHeight="1">
      <c r="D614" s="7"/>
      <c r="E614" s="7"/>
      <c r="F614" s="7"/>
      <c r="G614" s="7"/>
      <c r="H614" s="7"/>
      <c r="I614" s="7"/>
      <c r="J614" s="7"/>
    </row>
    <row r="615" spans="4:10" ht="19.5" customHeight="1">
      <c r="D615" s="7"/>
      <c r="E615" s="7"/>
      <c r="F615" s="7"/>
      <c r="G615" s="7"/>
      <c r="H615" s="7"/>
      <c r="I615" s="7"/>
      <c r="J615" s="7"/>
    </row>
    <row r="616" spans="4:10" ht="19.5" customHeight="1">
      <c r="D616" s="7"/>
      <c r="E616" s="7"/>
      <c r="F616" s="7"/>
      <c r="G616" s="7"/>
      <c r="H616" s="7"/>
      <c r="I616" s="7"/>
      <c r="J616" s="7"/>
    </row>
    <row r="617" spans="4:10" ht="19.5" customHeight="1">
      <c r="D617" s="7"/>
      <c r="E617" s="7"/>
      <c r="F617" s="7"/>
      <c r="G617" s="7"/>
      <c r="H617" s="7"/>
      <c r="I617" s="7"/>
      <c r="J617" s="7"/>
    </row>
    <row r="618" spans="4:10" ht="19.5" customHeight="1">
      <c r="D618" s="7"/>
      <c r="E618" s="7"/>
      <c r="F618" s="7"/>
      <c r="G618" s="7"/>
      <c r="H618" s="7"/>
      <c r="I618" s="7"/>
      <c r="J618" s="7"/>
    </row>
    <row r="619" spans="4:10" ht="19.5" customHeight="1">
      <c r="D619" s="7"/>
      <c r="E619" s="7"/>
      <c r="F619" s="7"/>
      <c r="G619" s="7"/>
      <c r="H619" s="7"/>
      <c r="I619" s="7"/>
      <c r="J619" s="7"/>
    </row>
    <row r="620" spans="4:10" ht="19.5" customHeight="1">
      <c r="D620" s="7"/>
      <c r="E620" s="7"/>
      <c r="F620" s="7"/>
      <c r="G620" s="7"/>
      <c r="H620" s="7"/>
      <c r="I620" s="7"/>
      <c r="J620" s="7"/>
    </row>
    <row r="621" spans="4:10" ht="19.5" customHeight="1">
      <c r="D621" s="7"/>
      <c r="E621" s="7"/>
      <c r="F621" s="7"/>
      <c r="G621" s="7"/>
      <c r="H621" s="7"/>
      <c r="I621" s="7"/>
      <c r="J621" s="7"/>
    </row>
    <row r="622" spans="4:10" ht="19.5" customHeight="1">
      <c r="D622" s="7"/>
      <c r="E622" s="7"/>
      <c r="F622" s="7"/>
      <c r="G622" s="7"/>
      <c r="H622" s="7"/>
      <c r="I622" s="7"/>
      <c r="J622" s="7"/>
    </row>
    <row r="623" spans="4:10" ht="19.5" customHeight="1">
      <c r="D623" s="7"/>
      <c r="E623" s="7"/>
      <c r="F623" s="7"/>
      <c r="G623" s="7"/>
      <c r="H623" s="7"/>
      <c r="I623" s="7"/>
      <c r="J623" s="7"/>
    </row>
    <row r="624" spans="4:10" ht="19.5" customHeight="1">
      <c r="D624" s="7"/>
      <c r="E624" s="7"/>
      <c r="F624" s="7"/>
      <c r="G624" s="7"/>
      <c r="H624" s="7"/>
      <c r="I624" s="7"/>
      <c r="J624" s="7"/>
    </row>
    <row r="625" spans="4:10" ht="19.5" customHeight="1">
      <c r="D625" s="7"/>
      <c r="E625" s="7"/>
      <c r="F625" s="7"/>
      <c r="G625" s="7"/>
      <c r="H625" s="7"/>
      <c r="I625" s="7"/>
      <c r="J625" s="7"/>
    </row>
    <row r="626" spans="4:10" ht="19.5" customHeight="1">
      <c r="D626" s="7"/>
      <c r="E626" s="7"/>
      <c r="F626" s="7"/>
      <c r="G626" s="7"/>
      <c r="H626" s="7"/>
      <c r="I626" s="7"/>
      <c r="J626" s="7"/>
    </row>
    <row r="627" spans="4:10" ht="19.5" customHeight="1">
      <c r="D627" s="7"/>
      <c r="E627" s="7"/>
      <c r="F627" s="7"/>
      <c r="G627" s="7"/>
      <c r="H627" s="7"/>
      <c r="I627" s="7"/>
      <c r="J627" s="7"/>
    </row>
    <row r="628" spans="4:10" ht="19.5" customHeight="1">
      <c r="D628" s="7"/>
      <c r="E628" s="7"/>
      <c r="F628" s="7"/>
      <c r="G628" s="7"/>
      <c r="H628" s="7"/>
      <c r="I628" s="7"/>
      <c r="J628" s="7"/>
    </row>
    <row r="629" spans="4:10" ht="19.5" customHeight="1">
      <c r="D629" s="7"/>
      <c r="E629" s="7"/>
      <c r="F629" s="7"/>
      <c r="G629" s="7"/>
      <c r="H629" s="7"/>
      <c r="I629" s="7"/>
      <c r="J629" s="7"/>
    </row>
    <row r="630" spans="4:10" ht="19.5" customHeight="1">
      <c r="D630" s="7"/>
      <c r="E630" s="7"/>
      <c r="F630" s="7"/>
      <c r="G630" s="7"/>
      <c r="H630" s="7"/>
      <c r="I630" s="7"/>
      <c r="J630" s="7"/>
    </row>
    <row r="631" spans="4:10" ht="19.5" customHeight="1">
      <c r="D631" s="7"/>
      <c r="E631" s="7"/>
      <c r="F631" s="7"/>
      <c r="G631" s="7"/>
      <c r="H631" s="7"/>
      <c r="I631" s="7"/>
      <c r="J631" s="7"/>
    </row>
    <row r="632" spans="4:10" ht="19.5" customHeight="1">
      <c r="D632" s="7"/>
      <c r="E632" s="7"/>
      <c r="F632" s="7"/>
      <c r="G632" s="7"/>
      <c r="H632" s="7"/>
      <c r="I632" s="7"/>
      <c r="J632" s="7"/>
    </row>
    <row r="633" spans="4:10" ht="19.5" customHeight="1">
      <c r="D633" s="7"/>
      <c r="E633" s="7"/>
      <c r="F633" s="7"/>
      <c r="G633" s="7"/>
      <c r="H633" s="7"/>
      <c r="I633" s="7"/>
      <c r="J633" s="7"/>
    </row>
    <row r="634" spans="4:10" ht="19.5" customHeight="1">
      <c r="D634" s="7"/>
      <c r="E634" s="7"/>
      <c r="F634" s="7"/>
      <c r="G634" s="7"/>
      <c r="H634" s="7"/>
      <c r="I634" s="7"/>
      <c r="J634" s="7"/>
    </row>
    <row r="635" spans="4:10" ht="19.5" customHeight="1">
      <c r="D635" s="7"/>
      <c r="E635" s="7"/>
      <c r="F635" s="7"/>
      <c r="G635" s="7"/>
      <c r="H635" s="7"/>
      <c r="I635" s="7"/>
      <c r="J635" s="7"/>
    </row>
    <row r="636" spans="4:10" ht="19.5" customHeight="1">
      <c r="D636" s="7"/>
      <c r="E636" s="7"/>
      <c r="F636" s="7"/>
      <c r="G636" s="7"/>
      <c r="H636" s="7"/>
      <c r="I636" s="7"/>
      <c r="J636" s="7"/>
    </row>
    <row r="637" spans="4:10" ht="19.5" customHeight="1">
      <c r="D637" s="7"/>
      <c r="E637" s="7"/>
      <c r="F637" s="7"/>
      <c r="G637" s="7"/>
      <c r="H637" s="7"/>
      <c r="I637" s="7"/>
      <c r="J637" s="7"/>
    </row>
    <row r="638" spans="4:10" ht="19.5" customHeight="1">
      <c r="D638" s="7"/>
      <c r="E638" s="7"/>
      <c r="F638" s="7"/>
      <c r="G638" s="7"/>
      <c r="H638" s="7"/>
      <c r="I638" s="7"/>
      <c r="J638" s="7"/>
    </row>
    <row r="639" spans="4:10" ht="19.5" customHeight="1">
      <c r="D639" s="7"/>
      <c r="E639" s="7"/>
      <c r="F639" s="7"/>
      <c r="G639" s="7"/>
      <c r="H639" s="7"/>
      <c r="I639" s="7"/>
      <c r="J639" s="7"/>
    </row>
    <row r="640" spans="4:10" ht="19.5" customHeight="1">
      <c r="D640" s="7"/>
      <c r="E640" s="7"/>
      <c r="F640" s="7"/>
      <c r="G640" s="7"/>
      <c r="H640" s="7"/>
      <c r="I640" s="7"/>
      <c r="J640" s="7"/>
    </row>
    <row r="641" spans="4:10" ht="19.5" customHeight="1">
      <c r="D641" s="7"/>
      <c r="E641" s="7"/>
      <c r="F641" s="7"/>
      <c r="G641" s="7"/>
      <c r="H641" s="7"/>
      <c r="I641" s="7"/>
      <c r="J641" s="7"/>
    </row>
    <row r="642" spans="4:10" ht="19.5" customHeight="1">
      <c r="D642" s="7"/>
      <c r="E642" s="7"/>
      <c r="F642" s="7"/>
      <c r="G642" s="7"/>
      <c r="H642" s="7"/>
      <c r="I642" s="7"/>
      <c r="J642" s="7"/>
    </row>
    <row r="643" spans="4:10" ht="19.5" customHeight="1">
      <c r="D643" s="7"/>
      <c r="E643" s="7"/>
      <c r="F643" s="7"/>
      <c r="G643" s="7"/>
      <c r="H643" s="7"/>
      <c r="I643" s="7"/>
      <c r="J643" s="7"/>
    </row>
    <row r="644" spans="4:10" ht="19.5" customHeight="1">
      <c r="D644" s="7"/>
      <c r="E644" s="7"/>
      <c r="F644" s="7"/>
      <c r="G644" s="7"/>
      <c r="H644" s="7"/>
      <c r="I644" s="7"/>
      <c r="J644" s="7"/>
    </row>
    <row r="645" spans="4:10" ht="19.5" customHeight="1">
      <c r="D645" s="7"/>
      <c r="E645" s="7"/>
      <c r="F645" s="7"/>
      <c r="G645" s="7"/>
      <c r="H645" s="7"/>
      <c r="I645" s="7"/>
      <c r="J645" s="7"/>
    </row>
    <row r="646" spans="4:10" ht="19.5" customHeight="1">
      <c r="D646" s="7"/>
      <c r="E646" s="7"/>
      <c r="F646" s="7"/>
      <c r="G646" s="7"/>
      <c r="H646" s="7"/>
      <c r="I646" s="7"/>
      <c r="J646" s="7"/>
    </row>
    <row r="647" spans="4:10" ht="19.5" customHeight="1">
      <c r="D647" s="7"/>
      <c r="E647" s="7"/>
      <c r="F647" s="7"/>
      <c r="G647" s="7"/>
      <c r="H647" s="7"/>
      <c r="I647" s="7"/>
      <c r="J647" s="7"/>
    </row>
    <row r="648" spans="4:10" ht="19.5" customHeight="1">
      <c r="D648" s="7"/>
      <c r="E648" s="7"/>
      <c r="F648" s="7"/>
      <c r="G648" s="7"/>
      <c r="H648" s="7"/>
      <c r="I648" s="7"/>
      <c r="J648" s="7"/>
    </row>
    <row r="649" spans="4:10" ht="19.5" customHeight="1">
      <c r="D649" s="7"/>
      <c r="E649" s="7"/>
      <c r="F649" s="7"/>
      <c r="G649" s="7"/>
      <c r="H649" s="7"/>
      <c r="I649" s="7"/>
      <c r="J649" s="7"/>
    </row>
    <row r="650" spans="4:10" ht="19.5" customHeight="1">
      <c r="D650" s="7"/>
      <c r="E650" s="7"/>
      <c r="F650" s="7"/>
      <c r="G650" s="7"/>
      <c r="H650" s="7"/>
      <c r="I650" s="7"/>
      <c r="J650" s="7"/>
    </row>
    <row r="651" spans="4:10" ht="19.5" customHeight="1">
      <c r="D651" s="7"/>
      <c r="E651" s="7"/>
      <c r="F651" s="7"/>
      <c r="G651" s="7"/>
      <c r="H651" s="7"/>
      <c r="I651" s="7"/>
      <c r="J651" s="7"/>
    </row>
    <row r="652" spans="4:10" ht="19.5" customHeight="1">
      <c r="D652" s="7"/>
      <c r="E652" s="7"/>
      <c r="F652" s="7"/>
      <c r="G652" s="7"/>
      <c r="H652" s="7"/>
      <c r="I652" s="7"/>
      <c r="J652" s="7"/>
    </row>
    <row r="653" spans="4:10" ht="19.5" customHeight="1">
      <c r="D653" s="7"/>
      <c r="E653" s="7"/>
      <c r="F653" s="7"/>
      <c r="G653" s="7"/>
      <c r="H653" s="7"/>
      <c r="I653" s="7"/>
      <c r="J653" s="7"/>
    </row>
    <row r="654" spans="4:10" ht="19.5" customHeight="1">
      <c r="D654" s="7"/>
      <c r="E654" s="7"/>
      <c r="F654" s="7"/>
      <c r="G654" s="7"/>
      <c r="H654" s="7"/>
      <c r="I654" s="7"/>
      <c r="J654" s="7"/>
    </row>
    <row r="655" spans="4:10" ht="19.5" customHeight="1">
      <c r="D655" s="7"/>
      <c r="E655" s="7"/>
      <c r="F655" s="7"/>
      <c r="G655" s="7"/>
      <c r="H655" s="7"/>
      <c r="I655" s="7"/>
      <c r="J655" s="7"/>
    </row>
    <row r="656" spans="4:10" ht="19.5" customHeight="1">
      <c r="D656" s="7"/>
      <c r="E656" s="7"/>
      <c r="F656" s="7"/>
      <c r="G656" s="7"/>
      <c r="H656" s="7"/>
      <c r="I656" s="7"/>
      <c r="J656" s="7"/>
    </row>
    <row r="657" spans="4:10" ht="19.5" customHeight="1">
      <c r="D657" s="7"/>
      <c r="E657" s="7"/>
      <c r="F657" s="7"/>
      <c r="G657" s="7"/>
      <c r="H657" s="7"/>
      <c r="I657" s="7"/>
      <c r="J657" s="7"/>
    </row>
    <row r="658" spans="4:10" ht="19.5" customHeight="1">
      <c r="D658" s="7"/>
      <c r="E658" s="7"/>
      <c r="F658" s="7"/>
      <c r="G658" s="7"/>
      <c r="H658" s="7"/>
      <c r="I658" s="7"/>
      <c r="J658" s="7"/>
    </row>
    <row r="659" spans="4:10" ht="19.5" customHeight="1">
      <c r="D659" s="7"/>
      <c r="E659" s="7"/>
      <c r="F659" s="7"/>
      <c r="G659" s="7"/>
      <c r="H659" s="7"/>
      <c r="I659" s="7"/>
      <c r="J659" s="7"/>
    </row>
    <row r="660" spans="4:10" ht="19.5" customHeight="1">
      <c r="D660" s="7"/>
      <c r="E660" s="7"/>
      <c r="F660" s="7"/>
      <c r="G660" s="7"/>
      <c r="H660" s="7"/>
      <c r="I660" s="7"/>
      <c r="J660" s="7"/>
    </row>
    <row r="661" spans="4:10" ht="19.5" customHeight="1">
      <c r="D661" s="7"/>
      <c r="E661" s="7"/>
      <c r="F661" s="7"/>
      <c r="G661" s="7"/>
      <c r="H661" s="7"/>
      <c r="I661" s="7"/>
      <c r="J661" s="7"/>
    </row>
    <row r="662" spans="4:10" ht="19.5" customHeight="1">
      <c r="D662" s="7"/>
      <c r="E662" s="7"/>
      <c r="F662" s="7"/>
      <c r="G662" s="7"/>
      <c r="H662" s="7"/>
      <c r="I662" s="7"/>
      <c r="J662" s="7"/>
    </row>
    <row r="663" spans="4:10" ht="19.5" customHeight="1">
      <c r="D663" s="7"/>
      <c r="E663" s="7"/>
      <c r="F663" s="7"/>
      <c r="G663" s="7"/>
      <c r="H663" s="7"/>
      <c r="I663" s="7"/>
      <c r="J663" s="7"/>
    </row>
    <row r="664" spans="4:10" ht="19.5" customHeight="1">
      <c r="D664" s="7"/>
      <c r="E664" s="7"/>
      <c r="F664" s="7"/>
      <c r="G664" s="7"/>
      <c r="H664" s="7"/>
      <c r="I664" s="7"/>
      <c r="J664" s="7"/>
    </row>
    <row r="665" spans="4:10" ht="19.5" customHeight="1">
      <c r="D665" s="7"/>
      <c r="E665" s="7"/>
      <c r="F665" s="7"/>
      <c r="G665" s="7"/>
      <c r="H665" s="7"/>
      <c r="I665" s="7"/>
      <c r="J665" s="7"/>
    </row>
    <row r="666" spans="4:10" ht="19.5" customHeight="1">
      <c r="D666" s="7"/>
      <c r="E666" s="7"/>
      <c r="F666" s="7"/>
      <c r="G666" s="7"/>
      <c r="H666" s="7"/>
      <c r="I666" s="7"/>
      <c r="J666" s="7"/>
    </row>
    <row r="667" spans="4:10" ht="19.5" customHeight="1">
      <c r="D667" s="7"/>
      <c r="E667" s="7"/>
      <c r="F667" s="7"/>
      <c r="G667" s="7"/>
      <c r="H667" s="7"/>
      <c r="I667" s="7"/>
      <c r="J667" s="7"/>
    </row>
    <row r="668" spans="4:10" ht="19.5" customHeight="1">
      <c r="D668" s="7"/>
      <c r="E668" s="7"/>
      <c r="F668" s="7"/>
      <c r="G668" s="7"/>
      <c r="H668" s="7"/>
      <c r="I668" s="7"/>
      <c r="J668" s="7"/>
    </row>
    <row r="669" spans="4:10" ht="19.5" customHeight="1">
      <c r="D669" s="7"/>
      <c r="E669" s="7"/>
      <c r="F669" s="7"/>
      <c r="G669" s="7"/>
      <c r="H669" s="7"/>
      <c r="I669" s="7"/>
      <c r="J669" s="7"/>
    </row>
    <row r="670" spans="4:10" ht="19.5" customHeight="1">
      <c r="D670" s="7"/>
      <c r="E670" s="7"/>
      <c r="F670" s="7"/>
      <c r="G670" s="7"/>
      <c r="H670" s="7"/>
      <c r="I670" s="7"/>
      <c r="J670" s="7"/>
    </row>
    <row r="671" spans="4:10" ht="19.5" customHeight="1">
      <c r="D671" s="7"/>
      <c r="E671" s="7"/>
      <c r="F671" s="7"/>
      <c r="G671" s="7"/>
      <c r="H671" s="7"/>
      <c r="I671" s="7"/>
      <c r="J671" s="7"/>
    </row>
    <row r="672" spans="4:10" ht="19.5" customHeight="1">
      <c r="D672" s="7"/>
      <c r="E672" s="7"/>
      <c r="F672" s="7"/>
      <c r="G672" s="7"/>
      <c r="H672" s="7"/>
      <c r="I672" s="7"/>
      <c r="J672" s="7"/>
    </row>
    <row r="673" spans="4:10" ht="19.5" customHeight="1">
      <c r="D673" s="7"/>
      <c r="E673" s="7"/>
      <c r="F673" s="7"/>
      <c r="G673" s="7"/>
      <c r="H673" s="7"/>
      <c r="I673" s="7"/>
      <c r="J673" s="7"/>
    </row>
    <row r="674" spans="4:10" ht="19.5" customHeight="1">
      <c r="D674" s="7"/>
      <c r="E674" s="7"/>
      <c r="F674" s="7"/>
      <c r="G674" s="7"/>
      <c r="H674" s="7"/>
      <c r="I674" s="7"/>
      <c r="J674" s="7"/>
    </row>
    <row r="675" spans="4:10" ht="19.5" customHeight="1">
      <c r="D675" s="7"/>
      <c r="E675" s="7"/>
      <c r="F675" s="7"/>
      <c r="G675" s="7"/>
      <c r="H675" s="7"/>
      <c r="I675" s="7"/>
      <c r="J675" s="7"/>
    </row>
    <row r="676" spans="4:10" ht="19.5" customHeight="1">
      <c r="D676" s="7"/>
      <c r="E676" s="7"/>
      <c r="F676" s="7"/>
      <c r="G676" s="7"/>
      <c r="H676" s="7"/>
      <c r="I676" s="7"/>
      <c r="J676" s="7"/>
    </row>
    <row r="677" spans="4:10" ht="19.5" customHeight="1">
      <c r="D677" s="7"/>
      <c r="E677" s="7"/>
      <c r="F677" s="7"/>
      <c r="G677" s="7"/>
      <c r="H677" s="7"/>
      <c r="I677" s="7"/>
      <c r="J677" s="7"/>
    </row>
    <row r="678" spans="4:10" ht="19.5" customHeight="1">
      <c r="D678" s="7"/>
      <c r="E678" s="7"/>
      <c r="F678" s="7"/>
      <c r="G678" s="7"/>
      <c r="H678" s="7"/>
      <c r="I678" s="7"/>
      <c r="J678" s="7"/>
    </row>
    <row r="679" spans="4:10" ht="19.5" customHeight="1">
      <c r="D679" s="7"/>
      <c r="E679" s="7"/>
      <c r="F679" s="7"/>
      <c r="G679" s="7"/>
      <c r="H679" s="7"/>
      <c r="I679" s="7"/>
      <c r="J679" s="7"/>
    </row>
    <row r="680" spans="4:10" ht="19.5" customHeight="1">
      <c r="D680" s="7"/>
      <c r="E680" s="7"/>
      <c r="F680" s="7"/>
      <c r="G680" s="7"/>
      <c r="H680" s="7"/>
      <c r="I680" s="7"/>
      <c r="J680" s="7"/>
    </row>
    <row r="681" spans="4:10" ht="19.5" customHeight="1">
      <c r="D681" s="7"/>
      <c r="E681" s="7"/>
      <c r="F681" s="7"/>
      <c r="G681" s="7"/>
      <c r="H681" s="7"/>
      <c r="I681" s="7"/>
      <c r="J681" s="7"/>
    </row>
    <row r="682" spans="4:10" ht="19.5" customHeight="1">
      <c r="D682" s="7"/>
      <c r="E682" s="7"/>
      <c r="F682" s="7"/>
      <c r="G682" s="7"/>
      <c r="H682" s="7"/>
      <c r="I682" s="7"/>
      <c r="J682" s="7"/>
    </row>
    <row r="683" spans="4:10" ht="19.5" customHeight="1">
      <c r="D683" s="7"/>
      <c r="E683" s="7"/>
      <c r="F683" s="7"/>
      <c r="G683" s="7"/>
      <c r="H683" s="7"/>
      <c r="I683" s="7"/>
      <c r="J683" s="7"/>
    </row>
    <row r="684" spans="4:10" ht="19.5" customHeight="1">
      <c r="D684" s="7"/>
      <c r="E684" s="7"/>
      <c r="F684" s="7"/>
      <c r="G684" s="7"/>
      <c r="H684" s="7"/>
      <c r="I684" s="7"/>
      <c r="J684" s="7"/>
    </row>
    <row r="685" spans="4:10" ht="19.5" customHeight="1">
      <c r="D685" s="7"/>
      <c r="E685" s="7"/>
      <c r="F685" s="7"/>
      <c r="G685" s="7"/>
      <c r="H685" s="7"/>
      <c r="I685" s="7"/>
      <c r="J685" s="7"/>
    </row>
    <row r="686" spans="4:10" ht="19.5" customHeight="1">
      <c r="D686" s="7"/>
      <c r="E686" s="7"/>
      <c r="F686" s="7"/>
      <c r="G686" s="7"/>
      <c r="H686" s="7"/>
      <c r="I686" s="7"/>
      <c r="J686" s="7"/>
    </row>
    <row r="687" spans="4:10" ht="19.5" customHeight="1">
      <c r="D687" s="7"/>
      <c r="E687" s="7"/>
      <c r="F687" s="7"/>
      <c r="G687" s="7"/>
      <c r="H687" s="7"/>
      <c r="I687" s="7"/>
      <c r="J687" s="7"/>
    </row>
    <row r="688" spans="4:10" ht="19.5" customHeight="1">
      <c r="D688" s="7"/>
      <c r="E688" s="7"/>
      <c r="F688" s="7"/>
      <c r="G688" s="7"/>
      <c r="H688" s="7"/>
      <c r="I688" s="7"/>
      <c r="J688" s="7"/>
    </row>
    <row r="689" spans="4:10" ht="19.5" customHeight="1">
      <c r="D689" s="7"/>
      <c r="E689" s="7"/>
      <c r="F689" s="7"/>
      <c r="G689" s="7"/>
      <c r="H689" s="7"/>
      <c r="I689" s="7"/>
      <c r="J689" s="7"/>
    </row>
    <row r="690" spans="4:10" ht="19.5" customHeight="1">
      <c r="D690" s="7"/>
      <c r="E690" s="7"/>
      <c r="F690" s="7"/>
      <c r="G690" s="7"/>
      <c r="H690" s="7"/>
      <c r="I690" s="7"/>
      <c r="J690" s="7"/>
    </row>
    <row r="691" spans="4:10" ht="19.5" customHeight="1">
      <c r="D691" s="7"/>
      <c r="E691" s="7"/>
      <c r="F691" s="7"/>
      <c r="G691" s="7"/>
      <c r="H691" s="7"/>
      <c r="I691" s="7"/>
      <c r="J691" s="7"/>
    </row>
    <row r="692" spans="4:10" ht="19.5" customHeight="1">
      <c r="D692" s="7"/>
      <c r="E692" s="7"/>
      <c r="F692" s="7"/>
      <c r="G692" s="7"/>
      <c r="H692" s="7"/>
      <c r="I692" s="7"/>
      <c r="J692" s="7"/>
    </row>
    <row r="693" spans="4:10" ht="19.5" customHeight="1">
      <c r="D693" s="7"/>
      <c r="E693" s="7"/>
      <c r="F693" s="7"/>
      <c r="G693" s="7"/>
      <c r="H693" s="7"/>
      <c r="I693" s="7"/>
      <c r="J693" s="7"/>
    </row>
    <row r="694" spans="4:10" ht="19.5" customHeight="1">
      <c r="D694" s="7"/>
      <c r="E694" s="7"/>
      <c r="F694" s="7"/>
      <c r="G694" s="7"/>
      <c r="H694" s="7"/>
      <c r="I694" s="7"/>
      <c r="J694" s="7"/>
    </row>
    <row r="695" spans="4:10" ht="19.5" customHeight="1">
      <c r="D695" s="7"/>
      <c r="E695" s="7"/>
      <c r="F695" s="7"/>
      <c r="G695" s="7"/>
      <c r="H695" s="7"/>
      <c r="I695" s="7"/>
      <c r="J695" s="7"/>
    </row>
    <row r="696" spans="4:10" ht="19.5" customHeight="1">
      <c r="D696" s="7"/>
      <c r="E696" s="7"/>
      <c r="F696" s="7"/>
      <c r="G696" s="7"/>
      <c r="H696" s="7"/>
      <c r="I696" s="7"/>
      <c r="J696" s="7"/>
    </row>
    <row r="697" spans="4:10" ht="19.5" customHeight="1">
      <c r="D697" s="7"/>
      <c r="E697" s="7"/>
      <c r="F697" s="7"/>
      <c r="G697" s="7"/>
      <c r="H697" s="7"/>
      <c r="I697" s="7"/>
      <c r="J697" s="7"/>
    </row>
    <row r="698" spans="4:10" ht="19.5" customHeight="1">
      <c r="D698" s="7"/>
      <c r="E698" s="7"/>
      <c r="F698" s="7"/>
      <c r="G698" s="7"/>
      <c r="H698" s="7"/>
      <c r="I698" s="7"/>
      <c r="J698" s="7"/>
    </row>
    <row r="699" spans="4:10" ht="19.5" customHeight="1">
      <c r="D699" s="7"/>
      <c r="E699" s="7"/>
      <c r="F699" s="7"/>
      <c r="G699" s="7"/>
      <c r="H699" s="7"/>
      <c r="I699" s="7"/>
      <c r="J699" s="7"/>
    </row>
    <row r="700" spans="4:10" ht="19.5" customHeight="1">
      <c r="D700" s="7"/>
      <c r="E700" s="7"/>
      <c r="F700" s="7"/>
      <c r="G700" s="7"/>
      <c r="H700" s="7"/>
      <c r="I700" s="7"/>
      <c r="J700" s="7"/>
    </row>
    <row r="701" spans="4:10" ht="19.5" customHeight="1">
      <c r="D701" s="7"/>
      <c r="E701" s="7"/>
      <c r="F701" s="7"/>
      <c r="G701" s="7"/>
      <c r="H701" s="7"/>
      <c r="I701" s="7"/>
      <c r="J701" s="7"/>
    </row>
    <row r="702" spans="4:10" ht="19.5" customHeight="1">
      <c r="D702" s="7"/>
      <c r="E702" s="7"/>
      <c r="F702" s="7"/>
      <c r="G702" s="7"/>
      <c r="H702" s="7"/>
      <c r="I702" s="7"/>
      <c r="J702" s="7"/>
    </row>
    <row r="703" spans="4:10" ht="19.5" customHeight="1">
      <c r="D703" s="7"/>
      <c r="E703" s="7"/>
      <c r="F703" s="7"/>
      <c r="G703" s="7"/>
      <c r="H703" s="7"/>
      <c r="I703" s="7"/>
      <c r="J703" s="7"/>
    </row>
    <row r="704" spans="4:10" ht="19.5" customHeight="1">
      <c r="D704" s="7"/>
      <c r="E704" s="7"/>
      <c r="F704" s="7"/>
      <c r="G704" s="7"/>
      <c r="H704" s="7"/>
      <c r="I704" s="7"/>
      <c r="J704" s="7"/>
    </row>
    <row r="705" spans="4:10" ht="19.5" customHeight="1">
      <c r="D705" s="7"/>
      <c r="E705" s="7"/>
      <c r="F705" s="7"/>
      <c r="G705" s="7"/>
      <c r="H705" s="7"/>
      <c r="I705" s="7"/>
      <c r="J705" s="7"/>
    </row>
    <row r="706" spans="4:10" ht="19.5" customHeight="1">
      <c r="D706" s="7"/>
      <c r="E706" s="7"/>
      <c r="F706" s="7"/>
      <c r="G706" s="7"/>
      <c r="H706" s="7"/>
      <c r="I706" s="7"/>
      <c r="J706" s="7"/>
    </row>
    <row r="707" spans="4:10" ht="19.5" customHeight="1">
      <c r="D707" s="7"/>
      <c r="E707" s="7"/>
      <c r="F707" s="7"/>
      <c r="G707" s="7"/>
      <c r="H707" s="7"/>
      <c r="I707" s="7"/>
      <c r="J707" s="7"/>
    </row>
    <row r="708" spans="4:10" ht="19.5" customHeight="1">
      <c r="D708" s="7"/>
      <c r="E708" s="7"/>
      <c r="F708" s="7"/>
      <c r="G708" s="7"/>
      <c r="H708" s="7"/>
      <c r="I708" s="7"/>
      <c r="J708" s="7"/>
    </row>
    <row r="709" spans="4:10" ht="19.5" customHeight="1">
      <c r="D709" s="7"/>
      <c r="E709" s="7"/>
      <c r="F709" s="7"/>
      <c r="G709" s="7"/>
      <c r="H709" s="7"/>
      <c r="I709" s="7"/>
      <c r="J709" s="7"/>
    </row>
    <row r="710" spans="4:10" ht="19.5" customHeight="1">
      <c r="D710" s="7"/>
      <c r="E710" s="7"/>
      <c r="F710" s="7"/>
      <c r="G710" s="7"/>
      <c r="H710" s="7"/>
      <c r="I710" s="7"/>
      <c r="J710" s="7"/>
    </row>
    <row r="711" spans="4:10" ht="19.5" customHeight="1">
      <c r="D711" s="7"/>
      <c r="E711" s="7"/>
      <c r="F711" s="7"/>
      <c r="G711" s="7"/>
      <c r="H711" s="7"/>
      <c r="I711" s="7"/>
      <c r="J711" s="7"/>
    </row>
    <row r="712" spans="4:10" ht="19.5" customHeight="1">
      <c r="D712" s="7"/>
      <c r="E712" s="7"/>
      <c r="F712" s="7"/>
      <c r="G712" s="7"/>
      <c r="H712" s="7"/>
      <c r="I712" s="7"/>
      <c r="J712" s="7"/>
    </row>
    <row r="713" spans="4:10" ht="19.5" customHeight="1">
      <c r="D713" s="7"/>
      <c r="E713" s="7"/>
      <c r="F713" s="7"/>
      <c r="G713" s="7"/>
      <c r="H713" s="7"/>
      <c r="I713" s="7"/>
      <c r="J713" s="7"/>
    </row>
    <row r="714" spans="4:10" ht="19.5" customHeight="1">
      <c r="D714" s="7"/>
      <c r="E714" s="7"/>
      <c r="F714" s="7"/>
      <c r="G714" s="7"/>
      <c r="H714" s="7"/>
      <c r="I714" s="7"/>
      <c r="J714" s="7"/>
    </row>
    <row r="715" spans="4:10" ht="19.5" customHeight="1">
      <c r="D715" s="7"/>
      <c r="E715" s="7"/>
      <c r="F715" s="7"/>
      <c r="G715" s="7"/>
      <c r="H715" s="7"/>
      <c r="I715" s="7"/>
      <c r="J715" s="7"/>
    </row>
    <row r="716" spans="4:10" ht="19.5" customHeight="1">
      <c r="D716" s="7"/>
      <c r="E716" s="7"/>
      <c r="F716" s="7"/>
      <c r="G716" s="7"/>
      <c r="H716" s="7"/>
      <c r="I716" s="7"/>
      <c r="J716" s="7"/>
    </row>
    <row r="717" spans="4:10" ht="19.5" customHeight="1">
      <c r="D717" s="7"/>
      <c r="E717" s="7"/>
      <c r="F717" s="7"/>
      <c r="G717" s="7"/>
      <c r="H717" s="7"/>
      <c r="I717" s="7"/>
      <c r="J717" s="7"/>
    </row>
    <row r="718" spans="4:10" ht="19.5" customHeight="1">
      <c r="D718" s="7"/>
      <c r="E718" s="7"/>
      <c r="F718" s="7"/>
      <c r="G718" s="7"/>
      <c r="H718" s="7"/>
      <c r="I718" s="7"/>
      <c r="J718" s="7"/>
    </row>
    <row r="719" spans="4:10" ht="19.5" customHeight="1">
      <c r="D719" s="7"/>
      <c r="E719" s="7"/>
      <c r="F719" s="7"/>
      <c r="G719" s="7"/>
      <c r="H719" s="7"/>
      <c r="I719" s="7"/>
      <c r="J719" s="7"/>
    </row>
    <row r="720" spans="4:10" ht="19.5" customHeight="1">
      <c r="D720" s="7"/>
      <c r="E720" s="7"/>
      <c r="F720" s="7"/>
      <c r="G720" s="7"/>
      <c r="H720" s="7"/>
      <c r="I720" s="7"/>
      <c r="J720" s="7"/>
    </row>
    <row r="721" spans="4:10" ht="19.5" customHeight="1">
      <c r="D721" s="7"/>
      <c r="E721" s="7"/>
      <c r="F721" s="7"/>
      <c r="G721" s="7"/>
      <c r="H721" s="7"/>
      <c r="I721" s="7"/>
      <c r="J721" s="7"/>
    </row>
    <row r="722" spans="4:10" ht="19.5" customHeight="1">
      <c r="D722" s="7"/>
      <c r="E722" s="7"/>
      <c r="F722" s="7"/>
      <c r="G722" s="7"/>
      <c r="H722" s="7"/>
      <c r="I722" s="7"/>
      <c r="J722" s="7"/>
    </row>
    <row r="723" spans="4:10" ht="19.5" customHeight="1">
      <c r="D723" s="7"/>
      <c r="E723" s="7"/>
      <c r="F723" s="7"/>
      <c r="G723" s="7"/>
      <c r="H723" s="7"/>
      <c r="I723" s="7"/>
      <c r="J723" s="7"/>
    </row>
    <row r="724" spans="4:10" ht="19.5" customHeight="1">
      <c r="D724" s="7"/>
      <c r="E724" s="7"/>
      <c r="F724" s="7"/>
      <c r="G724" s="7"/>
      <c r="H724" s="7"/>
      <c r="I724" s="7"/>
      <c r="J724" s="7"/>
    </row>
    <row r="725" spans="4:10" ht="19.5" customHeight="1">
      <c r="D725" s="7"/>
      <c r="E725" s="7"/>
      <c r="F725" s="7"/>
      <c r="G725" s="7"/>
      <c r="H725" s="7"/>
      <c r="I725" s="7"/>
      <c r="J725" s="7"/>
    </row>
    <row r="726" spans="4:10" ht="19.5" customHeight="1">
      <c r="D726" s="7"/>
      <c r="E726" s="7"/>
      <c r="F726" s="7"/>
      <c r="G726" s="7"/>
      <c r="H726" s="7"/>
      <c r="I726" s="7"/>
      <c r="J726" s="7"/>
    </row>
    <row r="727" spans="4:10" ht="19.5" customHeight="1">
      <c r="D727" s="7"/>
      <c r="E727" s="7"/>
      <c r="F727" s="7"/>
      <c r="G727" s="7"/>
      <c r="H727" s="7"/>
      <c r="I727" s="7"/>
      <c r="J727" s="7"/>
    </row>
    <row r="728" spans="4:10" ht="19.5" customHeight="1">
      <c r="D728" s="7"/>
      <c r="E728" s="7"/>
      <c r="F728" s="7"/>
      <c r="G728" s="7"/>
      <c r="H728" s="7"/>
      <c r="I728" s="7"/>
      <c r="J728" s="7"/>
    </row>
    <row r="729" spans="4:10" ht="19.5" customHeight="1">
      <c r="D729" s="7"/>
      <c r="E729" s="7"/>
      <c r="F729" s="7"/>
      <c r="G729" s="7"/>
      <c r="H729" s="7"/>
      <c r="I729" s="7"/>
      <c r="J729" s="7"/>
    </row>
    <row r="730" spans="4:10" ht="19.5" customHeight="1">
      <c r="D730" s="7"/>
      <c r="E730" s="7"/>
      <c r="F730" s="7"/>
      <c r="G730" s="7"/>
      <c r="H730" s="7"/>
      <c r="I730" s="7"/>
      <c r="J730" s="7"/>
    </row>
    <row r="731" spans="4:10" ht="19.5" customHeight="1">
      <c r="D731" s="7"/>
      <c r="E731" s="7"/>
      <c r="F731" s="7"/>
      <c r="G731" s="7"/>
      <c r="H731" s="7"/>
      <c r="I731" s="7"/>
      <c r="J731" s="7"/>
    </row>
    <row r="732" spans="4:10" ht="19.5" customHeight="1">
      <c r="D732" s="7"/>
      <c r="E732" s="7"/>
      <c r="F732" s="7"/>
      <c r="G732" s="7"/>
      <c r="H732" s="7"/>
      <c r="I732" s="7"/>
      <c r="J732" s="7"/>
    </row>
    <row r="733" spans="4:10" ht="19.5" customHeight="1">
      <c r="D733" s="7"/>
      <c r="E733" s="7"/>
      <c r="F733" s="7"/>
      <c r="G733" s="7"/>
      <c r="H733" s="7"/>
      <c r="I733" s="7"/>
      <c r="J733" s="7"/>
    </row>
    <row r="734" spans="4:10" ht="19.5" customHeight="1">
      <c r="D734" s="7"/>
      <c r="E734" s="7"/>
      <c r="F734" s="7"/>
      <c r="G734" s="7"/>
      <c r="H734" s="7"/>
      <c r="I734" s="7"/>
      <c r="J734" s="7"/>
    </row>
    <row r="735" spans="4:10" ht="19.5" customHeight="1">
      <c r="D735" s="7"/>
      <c r="E735" s="7"/>
      <c r="F735" s="7"/>
      <c r="G735" s="7"/>
      <c r="H735" s="7"/>
      <c r="I735" s="7"/>
      <c r="J735" s="7"/>
    </row>
    <row r="736" spans="4:10" ht="19.5" customHeight="1">
      <c r="D736" s="7"/>
      <c r="E736" s="7"/>
      <c r="F736" s="7"/>
      <c r="G736" s="7"/>
      <c r="H736" s="7"/>
      <c r="I736" s="7"/>
      <c r="J736" s="7"/>
    </row>
    <row r="737" spans="4:10" ht="19.5" customHeight="1">
      <c r="D737" s="7"/>
      <c r="E737" s="7"/>
      <c r="F737" s="7"/>
      <c r="G737" s="7"/>
      <c r="H737" s="7"/>
      <c r="I737" s="7"/>
      <c r="J737" s="7"/>
    </row>
    <row r="738" spans="4:10" ht="19.5" customHeight="1">
      <c r="D738" s="7"/>
      <c r="E738" s="7"/>
      <c r="F738" s="7"/>
      <c r="G738" s="7"/>
      <c r="H738" s="7"/>
      <c r="I738" s="7"/>
      <c r="J738" s="7"/>
    </row>
    <row r="739" spans="4:10" ht="19.5" customHeight="1">
      <c r="D739" s="7"/>
      <c r="E739" s="7"/>
      <c r="F739" s="7"/>
      <c r="G739" s="7"/>
      <c r="H739" s="7"/>
      <c r="I739" s="7"/>
      <c r="J739" s="7"/>
    </row>
    <row r="740" spans="4:10" ht="19.5" customHeight="1">
      <c r="D740" s="7"/>
      <c r="E740" s="7"/>
      <c r="F740" s="7"/>
      <c r="G740" s="7"/>
      <c r="H740" s="7"/>
      <c r="I740" s="7"/>
      <c r="J740" s="7"/>
    </row>
    <row r="741" spans="4:10" ht="19.5" customHeight="1">
      <c r="D741" s="7"/>
      <c r="E741" s="7"/>
      <c r="F741" s="7"/>
      <c r="G741" s="7"/>
      <c r="H741" s="7"/>
      <c r="I741" s="7"/>
      <c r="J741" s="7"/>
    </row>
    <row r="742" spans="4:10" ht="19.5" customHeight="1">
      <c r="D742" s="7"/>
      <c r="E742" s="7"/>
      <c r="F742" s="7"/>
      <c r="G742" s="7"/>
      <c r="H742" s="7"/>
      <c r="I742" s="7"/>
      <c r="J742" s="7"/>
    </row>
    <row r="743" spans="4:10" ht="19.5" customHeight="1">
      <c r="D743" s="7"/>
      <c r="E743" s="7"/>
      <c r="F743" s="7"/>
      <c r="G743" s="7"/>
      <c r="H743" s="7"/>
      <c r="I743" s="7"/>
      <c r="J743" s="7"/>
    </row>
    <row r="744" spans="4:10" ht="19.5" customHeight="1">
      <c r="D744" s="7"/>
      <c r="E744" s="7"/>
      <c r="F744" s="7"/>
      <c r="G744" s="7"/>
      <c r="H744" s="7"/>
      <c r="I744" s="7"/>
      <c r="J744" s="7"/>
    </row>
    <row r="745" spans="4:10" ht="19.5" customHeight="1">
      <c r="D745" s="7"/>
      <c r="E745" s="7"/>
      <c r="F745" s="7"/>
      <c r="G745" s="7"/>
      <c r="H745" s="7"/>
      <c r="I745" s="7"/>
      <c r="J745" s="7"/>
    </row>
    <row r="746" spans="4:10" ht="19.5" customHeight="1">
      <c r="D746" s="7"/>
      <c r="E746" s="7"/>
      <c r="F746" s="7"/>
      <c r="G746" s="7"/>
      <c r="H746" s="7"/>
      <c r="I746" s="7"/>
      <c r="J746" s="7"/>
    </row>
    <row r="747" spans="4:10" ht="19.5" customHeight="1">
      <c r="D747" s="7"/>
      <c r="E747" s="7"/>
      <c r="F747" s="7"/>
      <c r="G747" s="7"/>
      <c r="H747" s="7"/>
      <c r="I747" s="7"/>
      <c r="J747" s="7"/>
    </row>
    <row r="748" spans="4:10" ht="19.5" customHeight="1">
      <c r="D748" s="7"/>
      <c r="E748" s="7"/>
      <c r="F748" s="7"/>
      <c r="G748" s="7"/>
      <c r="H748" s="7"/>
      <c r="I748" s="7"/>
      <c r="J748" s="7"/>
    </row>
    <row r="749" spans="4:10" ht="19.5" customHeight="1">
      <c r="D749" s="7"/>
      <c r="E749" s="7"/>
      <c r="F749" s="7"/>
      <c r="G749" s="7"/>
      <c r="H749" s="7"/>
      <c r="I749" s="7"/>
      <c r="J749" s="7"/>
    </row>
    <row r="750" spans="4:10" ht="19.5" customHeight="1">
      <c r="D750" s="7"/>
      <c r="E750" s="7"/>
      <c r="F750" s="7"/>
      <c r="G750" s="7"/>
      <c r="H750" s="7"/>
      <c r="I750" s="7"/>
      <c r="J750" s="7"/>
    </row>
    <row r="751" spans="4:10" ht="19.5" customHeight="1">
      <c r="D751" s="7"/>
      <c r="E751" s="7"/>
      <c r="F751" s="7"/>
      <c r="G751" s="7"/>
      <c r="H751" s="7"/>
      <c r="I751" s="7"/>
      <c r="J751" s="7"/>
    </row>
    <row r="752" spans="4:10" ht="19.5" customHeight="1">
      <c r="D752" s="7"/>
      <c r="E752" s="7"/>
      <c r="F752" s="7"/>
      <c r="G752" s="7"/>
      <c r="H752" s="7"/>
      <c r="I752" s="7"/>
      <c r="J752" s="7"/>
    </row>
    <row r="753" spans="4:10" ht="19.5" customHeight="1">
      <c r="D753" s="7"/>
      <c r="E753" s="7"/>
      <c r="F753" s="7"/>
      <c r="G753" s="7"/>
      <c r="H753" s="7"/>
      <c r="I753" s="7"/>
      <c r="J753" s="7"/>
    </row>
    <row r="754" spans="4:10" ht="19.5" customHeight="1">
      <c r="D754" s="7"/>
      <c r="E754" s="7"/>
      <c r="F754" s="7"/>
      <c r="G754" s="7"/>
      <c r="H754" s="7"/>
      <c r="I754" s="7"/>
      <c r="J754" s="7"/>
    </row>
    <row r="755" spans="4:10" ht="19.5" customHeight="1">
      <c r="D755" s="7"/>
      <c r="E755" s="7"/>
      <c r="F755" s="7"/>
      <c r="G755" s="7"/>
      <c r="H755" s="7"/>
      <c r="I755" s="7"/>
      <c r="J755" s="7"/>
    </row>
    <row r="756" spans="4:10" ht="19.5" customHeight="1">
      <c r="D756" s="7"/>
      <c r="E756" s="7"/>
      <c r="F756" s="7"/>
      <c r="G756" s="7"/>
      <c r="H756" s="7"/>
      <c r="I756" s="7"/>
      <c r="J756" s="7"/>
    </row>
    <row r="757" spans="4:10" ht="19.5" customHeight="1">
      <c r="D757" s="7"/>
      <c r="E757" s="7"/>
      <c r="F757" s="7"/>
      <c r="G757" s="7"/>
      <c r="H757" s="7"/>
      <c r="I757" s="7"/>
      <c r="J757" s="7"/>
    </row>
    <row r="758" spans="4:10" ht="19.5" customHeight="1">
      <c r="D758" s="7"/>
      <c r="E758" s="7"/>
      <c r="F758" s="7"/>
      <c r="G758" s="7"/>
      <c r="H758" s="7"/>
      <c r="I758" s="7"/>
      <c r="J758" s="7"/>
    </row>
    <row r="759" spans="4:10" ht="19.5" customHeight="1">
      <c r="D759" s="7"/>
      <c r="E759" s="7"/>
      <c r="F759" s="7"/>
      <c r="G759" s="7"/>
      <c r="H759" s="7"/>
      <c r="I759" s="7"/>
      <c r="J759" s="7"/>
    </row>
    <row r="760" spans="4:10" ht="19.5" customHeight="1">
      <c r="D760" s="7"/>
      <c r="E760" s="7"/>
      <c r="F760" s="7"/>
      <c r="G760" s="7"/>
      <c r="H760" s="7"/>
      <c r="I760" s="7"/>
      <c r="J760" s="7"/>
    </row>
    <row r="761" spans="4:10" ht="19.5" customHeight="1">
      <c r="D761" s="7"/>
      <c r="E761" s="7"/>
      <c r="F761" s="7"/>
      <c r="G761" s="7"/>
      <c r="H761" s="7"/>
      <c r="I761" s="7"/>
      <c r="J761" s="7"/>
    </row>
    <row r="762" spans="4:10" ht="19.5" customHeight="1">
      <c r="D762" s="7"/>
      <c r="E762" s="7"/>
      <c r="F762" s="7"/>
      <c r="G762" s="7"/>
      <c r="H762" s="7"/>
      <c r="I762" s="7"/>
      <c r="J762" s="7"/>
    </row>
    <row r="763" spans="4:10" ht="19.5" customHeight="1">
      <c r="D763" s="7"/>
      <c r="E763" s="7"/>
      <c r="F763" s="7"/>
      <c r="G763" s="7"/>
      <c r="H763" s="7"/>
      <c r="I763" s="7"/>
      <c r="J763" s="7"/>
    </row>
    <row r="764" spans="4:10" ht="19.5" customHeight="1">
      <c r="D764" s="7"/>
      <c r="E764" s="7"/>
      <c r="F764" s="7"/>
      <c r="G764" s="7"/>
      <c r="H764" s="7"/>
      <c r="I764" s="7"/>
      <c r="J764" s="7"/>
    </row>
    <row r="765" spans="4:10" ht="19.5" customHeight="1">
      <c r="D765" s="7"/>
      <c r="E765" s="7"/>
      <c r="F765" s="7"/>
      <c r="G765" s="7"/>
      <c r="H765" s="7"/>
      <c r="I765" s="7"/>
      <c r="J765" s="7"/>
    </row>
    <row r="766" spans="4:10" ht="19.5" customHeight="1">
      <c r="D766" s="7"/>
      <c r="E766" s="7"/>
      <c r="F766" s="7"/>
      <c r="G766" s="7"/>
      <c r="H766" s="7"/>
      <c r="I766" s="7"/>
      <c r="J766" s="7"/>
    </row>
    <row r="767" spans="4:10" ht="19.5" customHeight="1">
      <c r="D767" s="7"/>
      <c r="E767" s="7"/>
      <c r="F767" s="7"/>
      <c r="G767" s="7"/>
      <c r="H767" s="7"/>
      <c r="I767" s="7"/>
      <c r="J767" s="7"/>
    </row>
    <row r="768" spans="4:10" ht="19.5" customHeight="1">
      <c r="D768" s="7"/>
      <c r="E768" s="7"/>
      <c r="F768" s="7"/>
      <c r="G768" s="7"/>
      <c r="H768" s="7"/>
      <c r="I768" s="7"/>
      <c r="J768" s="7"/>
    </row>
    <row r="769" spans="4:10" ht="19.5" customHeight="1">
      <c r="D769" s="7"/>
      <c r="E769" s="7"/>
      <c r="F769" s="7"/>
      <c r="G769" s="7"/>
      <c r="H769" s="7"/>
      <c r="I769" s="7"/>
      <c r="J769" s="7"/>
    </row>
    <row r="770" spans="4:10" ht="19.5" customHeight="1">
      <c r="D770" s="7"/>
      <c r="E770" s="7"/>
      <c r="F770" s="7"/>
      <c r="G770" s="7"/>
      <c r="H770" s="7"/>
      <c r="I770" s="7"/>
      <c r="J770" s="7"/>
    </row>
    <row r="771" spans="4:10" ht="19.5" customHeight="1">
      <c r="D771" s="7"/>
      <c r="E771" s="7"/>
      <c r="F771" s="7"/>
      <c r="G771" s="7"/>
      <c r="H771" s="7"/>
      <c r="I771" s="7"/>
      <c r="J771" s="7"/>
    </row>
    <row r="772" spans="4:10" ht="19.5" customHeight="1">
      <c r="D772" s="7"/>
      <c r="E772" s="7"/>
      <c r="F772" s="7"/>
      <c r="G772" s="7"/>
      <c r="H772" s="7"/>
      <c r="I772" s="7"/>
      <c r="J772" s="7"/>
    </row>
    <row r="773" spans="4:10" ht="19.5" customHeight="1">
      <c r="D773" s="7"/>
      <c r="E773" s="7"/>
      <c r="F773" s="7"/>
      <c r="G773" s="7"/>
      <c r="H773" s="7"/>
      <c r="I773" s="7"/>
      <c r="J773" s="7"/>
    </row>
    <row r="774" spans="4:10" ht="19.5" customHeight="1">
      <c r="D774" s="7"/>
      <c r="E774" s="7"/>
      <c r="F774" s="7"/>
      <c r="G774" s="7"/>
      <c r="H774" s="7"/>
      <c r="I774" s="7"/>
      <c r="J774" s="7"/>
    </row>
    <row r="775" spans="4:10" ht="19.5" customHeight="1">
      <c r="D775" s="7"/>
      <c r="E775" s="7"/>
      <c r="F775" s="7"/>
      <c r="G775" s="7"/>
      <c r="H775" s="7"/>
      <c r="I775" s="7"/>
      <c r="J775" s="7"/>
    </row>
    <row r="776" spans="4:10" ht="19.5" customHeight="1">
      <c r="D776" s="7"/>
      <c r="E776" s="7"/>
      <c r="F776" s="7"/>
      <c r="G776" s="7"/>
      <c r="H776" s="7"/>
      <c r="I776" s="7"/>
      <c r="J776" s="7"/>
    </row>
    <row r="777" spans="4:10" ht="19.5" customHeight="1">
      <c r="D777" s="7"/>
      <c r="E777" s="7"/>
      <c r="F777" s="7"/>
      <c r="G777" s="7"/>
      <c r="H777" s="7"/>
      <c r="I777" s="7"/>
      <c r="J777" s="7"/>
    </row>
    <row r="778" spans="4:10" ht="19.5" customHeight="1">
      <c r="D778" s="7"/>
      <c r="E778" s="7"/>
      <c r="F778" s="7"/>
      <c r="G778" s="7"/>
      <c r="H778" s="7"/>
      <c r="I778" s="7"/>
      <c r="J778" s="7"/>
    </row>
    <row r="779" spans="4:10" ht="19.5" customHeight="1">
      <c r="D779" s="7"/>
      <c r="E779" s="7"/>
      <c r="F779" s="7"/>
      <c r="G779" s="7"/>
      <c r="H779" s="7"/>
      <c r="I779" s="7"/>
      <c r="J779" s="7"/>
    </row>
    <row r="780" spans="4:10" ht="19.5" customHeight="1">
      <c r="D780" s="7"/>
      <c r="E780" s="7"/>
      <c r="F780" s="7"/>
      <c r="G780" s="7"/>
      <c r="H780" s="7"/>
      <c r="I780" s="7"/>
      <c r="J780" s="7"/>
    </row>
    <row r="781" spans="4:10" ht="19.5" customHeight="1">
      <c r="D781" s="7"/>
      <c r="E781" s="7"/>
      <c r="F781" s="7"/>
      <c r="G781" s="7"/>
      <c r="H781" s="7"/>
      <c r="I781" s="7"/>
      <c r="J781" s="7"/>
    </row>
    <row r="782" spans="4:10" ht="19.5" customHeight="1">
      <c r="D782" s="7"/>
      <c r="E782" s="7"/>
      <c r="F782" s="7"/>
      <c r="G782" s="7"/>
      <c r="H782" s="7"/>
      <c r="I782" s="7"/>
      <c r="J782" s="7"/>
    </row>
    <row r="783" spans="4:10" ht="19.5" customHeight="1">
      <c r="D783" s="7"/>
      <c r="E783" s="7"/>
      <c r="F783" s="7"/>
      <c r="G783" s="7"/>
      <c r="H783" s="7"/>
      <c r="I783" s="7"/>
      <c r="J783" s="7"/>
    </row>
    <row r="784" spans="4:10" ht="19.5" customHeight="1">
      <c r="D784" s="7"/>
      <c r="E784" s="7"/>
      <c r="F784" s="7"/>
      <c r="G784" s="7"/>
      <c r="H784" s="7"/>
      <c r="I784" s="7"/>
      <c r="J784" s="7"/>
    </row>
    <row r="785" spans="4:10" ht="19.5" customHeight="1">
      <c r="D785" s="7"/>
      <c r="E785" s="7"/>
      <c r="F785" s="7"/>
      <c r="G785" s="7"/>
      <c r="H785" s="7"/>
      <c r="I785" s="7"/>
      <c r="J785" s="7"/>
    </row>
    <row r="786" spans="4:10" ht="19.5" customHeight="1">
      <c r="D786" s="7"/>
      <c r="E786" s="7"/>
      <c r="F786" s="7"/>
      <c r="G786" s="7"/>
      <c r="H786" s="7"/>
      <c r="I786" s="7"/>
      <c r="J786" s="7"/>
    </row>
    <row r="787" spans="4:10" ht="19.5" customHeight="1">
      <c r="D787" s="7"/>
      <c r="E787" s="7"/>
      <c r="F787" s="7"/>
      <c r="G787" s="7"/>
      <c r="H787" s="7"/>
      <c r="I787" s="7"/>
      <c r="J787" s="7"/>
    </row>
    <row r="788" spans="4:10" ht="19.5" customHeight="1">
      <c r="D788" s="7"/>
      <c r="E788" s="7"/>
      <c r="F788" s="7"/>
      <c r="G788" s="7"/>
      <c r="H788" s="7"/>
      <c r="I788" s="7"/>
      <c r="J788" s="7"/>
    </row>
    <row r="789" spans="4:10" ht="19.5" customHeight="1">
      <c r="D789" s="7"/>
      <c r="E789" s="7"/>
      <c r="F789" s="7"/>
      <c r="G789" s="7"/>
      <c r="H789" s="7"/>
      <c r="I789" s="7"/>
      <c r="J789" s="7"/>
    </row>
    <row r="790" spans="4:10" ht="19.5" customHeight="1">
      <c r="D790" s="7"/>
      <c r="E790" s="7"/>
      <c r="F790" s="7"/>
      <c r="G790" s="7"/>
      <c r="H790" s="7"/>
      <c r="I790" s="7"/>
      <c r="J790" s="7"/>
    </row>
    <row r="791" spans="4:10" ht="19.5" customHeight="1">
      <c r="D791" s="7"/>
      <c r="E791" s="7"/>
      <c r="F791" s="7"/>
      <c r="G791" s="7"/>
      <c r="H791" s="7"/>
      <c r="I791" s="7"/>
      <c r="J791" s="7"/>
    </row>
    <row r="792" spans="4:10" ht="19.5" customHeight="1">
      <c r="D792" s="7"/>
      <c r="E792" s="7"/>
      <c r="F792" s="7"/>
      <c r="G792" s="7"/>
      <c r="H792" s="7"/>
      <c r="I792" s="7"/>
      <c r="J792" s="7"/>
    </row>
    <row r="793" spans="4:10" ht="19.5" customHeight="1">
      <c r="D793" s="7"/>
      <c r="E793" s="7"/>
      <c r="F793" s="7"/>
      <c r="G793" s="7"/>
      <c r="H793" s="7"/>
      <c r="I793" s="7"/>
      <c r="J793" s="7"/>
    </row>
    <row r="794" spans="4:10" ht="19.5" customHeight="1">
      <c r="D794" s="7"/>
      <c r="E794" s="7"/>
      <c r="F794" s="7"/>
      <c r="G794" s="7"/>
      <c r="H794" s="7"/>
      <c r="I794" s="7"/>
      <c r="J794" s="7"/>
    </row>
    <row r="795" spans="4:10" ht="19.5" customHeight="1">
      <c r="D795" s="7"/>
      <c r="E795" s="7"/>
      <c r="F795" s="7"/>
      <c r="G795" s="7"/>
      <c r="H795" s="7"/>
      <c r="I795" s="7"/>
      <c r="J795" s="7"/>
    </row>
    <row r="796" spans="4:10" ht="19.5" customHeight="1">
      <c r="D796" s="7"/>
      <c r="E796" s="7"/>
      <c r="F796" s="7"/>
      <c r="G796" s="7"/>
      <c r="H796" s="7"/>
      <c r="I796" s="7"/>
      <c r="J796" s="7"/>
    </row>
    <row r="797" spans="4:10" ht="19.5" customHeight="1">
      <c r="D797" s="7"/>
      <c r="E797" s="7"/>
      <c r="F797" s="7"/>
      <c r="G797" s="7"/>
      <c r="H797" s="7"/>
      <c r="I797" s="7"/>
      <c r="J797" s="7"/>
    </row>
    <row r="798" spans="4:10" ht="19.5" customHeight="1">
      <c r="D798" s="7"/>
      <c r="E798" s="7"/>
      <c r="F798" s="7"/>
      <c r="G798" s="7"/>
      <c r="H798" s="7"/>
      <c r="I798" s="7"/>
      <c r="J798" s="7"/>
    </row>
    <row r="799" spans="4:10" ht="19.5" customHeight="1">
      <c r="D799" s="7"/>
      <c r="E799" s="7"/>
      <c r="F799" s="7"/>
      <c r="G799" s="7"/>
      <c r="H799" s="7"/>
      <c r="I799" s="7"/>
      <c r="J799" s="7"/>
    </row>
    <row r="800" spans="4:10" ht="19.5" customHeight="1">
      <c r="D800" s="7"/>
      <c r="E800" s="7"/>
      <c r="F800" s="7"/>
      <c r="G800" s="7"/>
      <c r="H800" s="7"/>
      <c r="I800" s="7"/>
      <c r="J800" s="7"/>
    </row>
    <row r="801" spans="4:10" ht="19.5" customHeight="1">
      <c r="D801" s="7"/>
      <c r="E801" s="7"/>
      <c r="F801" s="7"/>
      <c r="G801" s="7"/>
      <c r="H801" s="7"/>
      <c r="I801" s="7"/>
      <c r="J801" s="7"/>
    </row>
    <row r="802" spans="4:10" ht="19.5" customHeight="1">
      <c r="D802" s="7"/>
      <c r="E802" s="7"/>
      <c r="F802" s="7"/>
      <c r="G802" s="7"/>
      <c r="H802" s="7"/>
      <c r="I802" s="7"/>
      <c r="J802" s="7"/>
    </row>
    <row r="803" spans="4:10" ht="19.5" customHeight="1">
      <c r="D803" s="7"/>
      <c r="E803" s="7"/>
      <c r="F803" s="7"/>
      <c r="G803" s="7"/>
      <c r="H803" s="7"/>
      <c r="I803" s="7"/>
      <c r="J803" s="7"/>
    </row>
    <row r="804" spans="4:10" ht="19.5" customHeight="1">
      <c r="D804" s="7"/>
      <c r="E804" s="7"/>
      <c r="F804" s="7"/>
      <c r="G804" s="7"/>
      <c r="H804" s="7"/>
      <c r="I804" s="7"/>
      <c r="J804" s="7"/>
    </row>
    <row r="805" spans="4:10" ht="19.5" customHeight="1">
      <c r="D805" s="7"/>
      <c r="E805" s="7"/>
      <c r="F805" s="7"/>
      <c r="G805" s="7"/>
      <c r="H805" s="7"/>
      <c r="I805" s="7"/>
      <c r="J805" s="7"/>
    </row>
    <row r="806" spans="4:10" ht="19.5" customHeight="1">
      <c r="D806" s="7"/>
      <c r="E806" s="7"/>
      <c r="F806" s="7"/>
      <c r="G806" s="7"/>
      <c r="H806" s="7"/>
      <c r="I806" s="7"/>
      <c r="J806" s="7"/>
    </row>
    <row r="807" spans="4:10" ht="19.5" customHeight="1">
      <c r="D807" s="7"/>
      <c r="E807" s="7"/>
      <c r="F807" s="7"/>
      <c r="G807" s="7"/>
      <c r="H807" s="7"/>
      <c r="I807" s="7"/>
      <c r="J807" s="7"/>
    </row>
    <row r="808" spans="4:10" ht="19.5" customHeight="1">
      <c r="D808" s="7"/>
      <c r="E808" s="7"/>
      <c r="F808" s="7"/>
      <c r="G808" s="7"/>
      <c r="H808" s="7"/>
      <c r="I808" s="7"/>
      <c r="J808" s="7"/>
    </row>
    <row r="809" spans="4:10" ht="19.5" customHeight="1">
      <c r="D809" s="7"/>
      <c r="E809" s="7"/>
      <c r="F809" s="7"/>
      <c r="G809" s="7"/>
      <c r="H809" s="7"/>
      <c r="I809" s="7"/>
      <c r="J809" s="7"/>
    </row>
    <row r="810" spans="4:10" ht="19.5" customHeight="1">
      <c r="D810" s="7"/>
      <c r="E810" s="7"/>
      <c r="F810" s="7"/>
      <c r="G810" s="7"/>
      <c r="H810" s="7"/>
      <c r="I810" s="7"/>
      <c r="J810" s="7"/>
    </row>
    <row r="811" spans="4:10" ht="19.5" customHeight="1">
      <c r="D811" s="7"/>
      <c r="E811" s="7"/>
      <c r="F811" s="7"/>
      <c r="G811" s="7"/>
      <c r="H811" s="7"/>
      <c r="I811" s="7"/>
      <c r="J811" s="7"/>
    </row>
    <row r="812" spans="4:10" ht="19.5" customHeight="1">
      <c r="D812" s="7"/>
      <c r="E812" s="7"/>
      <c r="F812" s="7"/>
      <c r="G812" s="7"/>
      <c r="H812" s="7"/>
      <c r="I812" s="7"/>
      <c r="J812" s="7"/>
    </row>
    <row r="813" spans="4:10" ht="19.5" customHeight="1">
      <c r="D813" s="7"/>
      <c r="E813" s="7"/>
      <c r="F813" s="7"/>
      <c r="G813" s="7"/>
      <c r="H813" s="7"/>
      <c r="I813" s="7"/>
      <c r="J813" s="7"/>
    </row>
    <row r="814" spans="4:10" ht="19.5" customHeight="1">
      <c r="D814" s="7"/>
      <c r="E814" s="7"/>
      <c r="F814" s="7"/>
      <c r="G814" s="7"/>
      <c r="H814" s="7"/>
      <c r="I814" s="7"/>
      <c r="J814" s="7"/>
    </row>
    <row r="815" spans="4:10" ht="19.5" customHeight="1">
      <c r="D815" s="7"/>
      <c r="E815" s="7"/>
      <c r="F815" s="7"/>
      <c r="G815" s="7"/>
      <c r="H815" s="7"/>
      <c r="I815" s="7"/>
      <c r="J815" s="7"/>
    </row>
    <row r="816" spans="4:10" ht="19.5" customHeight="1">
      <c r="D816" s="7"/>
      <c r="E816" s="7"/>
      <c r="F816" s="7"/>
      <c r="G816" s="7"/>
      <c r="H816" s="7"/>
      <c r="I816" s="7"/>
      <c r="J816" s="7"/>
    </row>
    <row r="817" spans="4:10" ht="19.5" customHeight="1">
      <c r="D817" s="7"/>
      <c r="E817" s="7"/>
      <c r="F817" s="7"/>
      <c r="G817" s="7"/>
      <c r="H817" s="7"/>
      <c r="I817" s="7"/>
      <c r="J817" s="7"/>
    </row>
    <row r="818" spans="4:10" ht="19.5" customHeight="1">
      <c r="D818" s="7"/>
      <c r="E818" s="7"/>
      <c r="F818" s="7"/>
      <c r="G818" s="7"/>
      <c r="H818" s="7"/>
      <c r="I818" s="7"/>
      <c r="J818" s="7"/>
    </row>
    <row r="819" spans="4:10" ht="19.5" customHeight="1">
      <c r="D819" s="7"/>
      <c r="E819" s="7"/>
      <c r="F819" s="7"/>
      <c r="G819" s="7"/>
      <c r="H819" s="7"/>
      <c r="I819" s="7"/>
      <c r="J819" s="7"/>
    </row>
    <row r="820" spans="4:10" ht="19.5" customHeight="1">
      <c r="D820" s="7"/>
      <c r="E820" s="7"/>
      <c r="F820" s="7"/>
      <c r="G820" s="7"/>
      <c r="H820" s="7"/>
      <c r="I820" s="7"/>
      <c r="J820" s="7"/>
    </row>
    <row r="821" spans="4:10" ht="19.5" customHeight="1">
      <c r="D821" s="7"/>
      <c r="E821" s="7"/>
      <c r="F821" s="7"/>
      <c r="G821" s="7"/>
      <c r="H821" s="7"/>
      <c r="I821" s="7"/>
      <c r="J821" s="7"/>
    </row>
    <row r="822" spans="4:10" ht="19.5" customHeight="1">
      <c r="D822" s="7"/>
      <c r="E822" s="7"/>
      <c r="F822" s="7"/>
      <c r="G822" s="7"/>
      <c r="H822" s="7"/>
      <c r="I822" s="7"/>
      <c r="J822" s="7"/>
    </row>
    <row r="823" spans="4:10" ht="19.5" customHeight="1">
      <c r="D823" s="7"/>
      <c r="E823" s="7"/>
      <c r="F823" s="7"/>
      <c r="G823" s="7"/>
      <c r="H823" s="7"/>
      <c r="I823" s="7"/>
      <c r="J823" s="7"/>
    </row>
    <row r="824" spans="4:10" ht="19.5" customHeight="1">
      <c r="D824" s="7"/>
      <c r="E824" s="7"/>
      <c r="F824" s="7"/>
      <c r="G824" s="7"/>
      <c r="H824" s="7"/>
      <c r="I824" s="7"/>
      <c r="J824" s="7"/>
    </row>
    <row r="825" spans="4:10" ht="19.5" customHeight="1">
      <c r="D825" s="7"/>
      <c r="E825" s="7"/>
      <c r="F825" s="7"/>
      <c r="G825" s="7"/>
      <c r="H825" s="7"/>
      <c r="I825" s="7"/>
      <c r="J825" s="7"/>
    </row>
    <row r="826" spans="4:10" ht="19.5" customHeight="1">
      <c r="D826" s="7"/>
      <c r="E826" s="7"/>
      <c r="F826" s="7"/>
      <c r="G826" s="7"/>
      <c r="H826" s="7"/>
      <c r="I826" s="7"/>
      <c r="J826" s="7"/>
    </row>
    <row r="827" spans="4:10" ht="19.5" customHeight="1">
      <c r="D827" s="7"/>
      <c r="E827" s="7"/>
      <c r="F827" s="7"/>
      <c r="G827" s="7"/>
      <c r="H827" s="7"/>
      <c r="I827" s="7"/>
      <c r="J827" s="7"/>
    </row>
    <row r="828" spans="4:10" ht="19.5" customHeight="1">
      <c r="D828" s="7"/>
      <c r="E828" s="7"/>
      <c r="F828" s="7"/>
      <c r="G828" s="7"/>
      <c r="H828" s="7"/>
      <c r="I828" s="7"/>
      <c r="J828" s="7"/>
    </row>
    <row r="829" spans="4:10" ht="19.5" customHeight="1">
      <c r="D829" s="7"/>
      <c r="E829" s="7"/>
      <c r="F829" s="7"/>
      <c r="G829" s="7"/>
      <c r="H829" s="7"/>
      <c r="I829" s="7"/>
      <c r="J829" s="7"/>
    </row>
    <row r="830" spans="4:10" ht="19.5" customHeight="1">
      <c r="D830" s="7"/>
      <c r="E830" s="7"/>
      <c r="F830" s="7"/>
      <c r="G830" s="7"/>
      <c r="H830" s="7"/>
      <c r="I830" s="7"/>
      <c r="J830" s="7"/>
    </row>
    <row r="831" spans="4:10" ht="19.5" customHeight="1">
      <c r="D831" s="7"/>
      <c r="E831" s="7"/>
      <c r="F831" s="7"/>
      <c r="G831" s="7"/>
      <c r="H831" s="7"/>
      <c r="I831" s="7"/>
      <c r="J831" s="7"/>
    </row>
    <row r="832" spans="4:10" ht="19.5" customHeight="1">
      <c r="D832" s="7"/>
      <c r="E832" s="7"/>
      <c r="F832" s="7"/>
      <c r="G832" s="7"/>
      <c r="H832" s="7"/>
      <c r="I832" s="7"/>
      <c r="J832" s="7"/>
    </row>
    <row r="833" spans="4:10" ht="19.5" customHeight="1">
      <c r="D833" s="7"/>
      <c r="E833" s="7"/>
      <c r="F833" s="7"/>
      <c r="G833" s="7"/>
      <c r="H833" s="7"/>
      <c r="I833" s="7"/>
      <c r="J833" s="7"/>
    </row>
    <row r="834" spans="4:10" ht="19.5" customHeight="1">
      <c r="D834" s="7"/>
      <c r="E834" s="7"/>
      <c r="F834" s="7"/>
      <c r="G834" s="7"/>
      <c r="H834" s="7"/>
      <c r="I834" s="7"/>
      <c r="J834" s="7"/>
    </row>
    <row r="835" spans="4:10" ht="19.5" customHeight="1">
      <c r="D835" s="7"/>
      <c r="E835" s="7"/>
      <c r="F835" s="7"/>
      <c r="G835" s="7"/>
      <c r="H835" s="7"/>
      <c r="I835" s="7"/>
      <c r="J835" s="7"/>
    </row>
    <row r="836" spans="4:10" ht="19.5" customHeight="1">
      <c r="D836" s="7"/>
      <c r="E836" s="7"/>
      <c r="F836" s="7"/>
      <c r="G836" s="7"/>
      <c r="H836" s="7"/>
      <c r="I836" s="7"/>
      <c r="J836" s="7"/>
    </row>
    <row r="837" spans="4:10" ht="19.5" customHeight="1">
      <c r="D837" s="7"/>
      <c r="E837" s="7"/>
      <c r="F837" s="7"/>
      <c r="G837" s="7"/>
      <c r="H837" s="7"/>
      <c r="I837" s="7"/>
      <c r="J837" s="7"/>
    </row>
    <row r="838" spans="4:10" ht="19.5" customHeight="1">
      <c r="D838" s="7"/>
      <c r="E838" s="7"/>
      <c r="F838" s="7"/>
      <c r="G838" s="7"/>
      <c r="H838" s="7"/>
      <c r="I838" s="7"/>
      <c r="J838" s="7"/>
    </row>
    <row r="839" spans="4:10" ht="19.5" customHeight="1">
      <c r="D839" s="7"/>
      <c r="E839" s="7"/>
      <c r="F839" s="7"/>
      <c r="G839" s="7"/>
      <c r="H839" s="7"/>
      <c r="I839" s="7"/>
      <c r="J839" s="7"/>
    </row>
    <row r="840" spans="4:10" ht="19.5" customHeight="1">
      <c r="D840" s="7"/>
      <c r="E840" s="7"/>
      <c r="F840" s="7"/>
      <c r="G840" s="7"/>
      <c r="H840" s="7"/>
      <c r="I840" s="7"/>
      <c r="J840" s="7"/>
    </row>
    <row r="841" spans="4:10" ht="19.5" customHeight="1">
      <c r="D841" s="7"/>
      <c r="E841" s="7"/>
      <c r="F841" s="7"/>
      <c r="G841" s="7"/>
      <c r="H841" s="7"/>
      <c r="I841" s="7"/>
      <c r="J841" s="7"/>
    </row>
    <row r="842" spans="4:10" ht="19.5" customHeight="1">
      <c r="D842" s="7"/>
      <c r="E842" s="7"/>
      <c r="F842" s="7"/>
      <c r="G842" s="7"/>
      <c r="H842" s="7"/>
      <c r="I842" s="7"/>
      <c r="J842" s="7"/>
    </row>
    <row r="843" spans="4:10" ht="19.5" customHeight="1">
      <c r="D843" s="7"/>
      <c r="E843" s="7"/>
      <c r="F843" s="7"/>
      <c r="G843" s="7"/>
      <c r="H843" s="7"/>
      <c r="I843" s="7"/>
      <c r="J843" s="7"/>
    </row>
    <row r="844" spans="4:10" ht="19.5" customHeight="1">
      <c r="D844" s="7"/>
      <c r="E844" s="7"/>
      <c r="F844" s="7"/>
      <c r="G844" s="7"/>
      <c r="H844" s="7"/>
      <c r="I844" s="7"/>
      <c r="J844" s="7"/>
    </row>
    <row r="845" spans="4:10" ht="19.5" customHeight="1">
      <c r="D845" s="7"/>
      <c r="E845" s="7"/>
      <c r="F845" s="7"/>
      <c r="G845" s="7"/>
      <c r="H845" s="7"/>
      <c r="I845" s="7"/>
      <c r="J845" s="7"/>
    </row>
    <row r="846" spans="4:10" ht="19.5" customHeight="1">
      <c r="D846" s="7"/>
      <c r="E846" s="7"/>
      <c r="F846" s="7"/>
      <c r="G846" s="7"/>
      <c r="H846" s="7"/>
      <c r="I846" s="7"/>
      <c r="J846" s="7"/>
    </row>
    <row r="847" spans="4:10" ht="19.5" customHeight="1">
      <c r="D847" s="7"/>
      <c r="E847" s="7"/>
      <c r="F847" s="7"/>
      <c r="G847" s="7"/>
      <c r="H847" s="7"/>
      <c r="I847" s="7"/>
      <c r="J847" s="7"/>
    </row>
    <row r="848" spans="4:10" ht="19.5" customHeight="1">
      <c r="D848" s="7"/>
      <c r="E848" s="7"/>
      <c r="F848" s="7"/>
      <c r="G848" s="7"/>
      <c r="H848" s="7"/>
      <c r="I848" s="7"/>
      <c r="J848" s="7"/>
    </row>
    <row r="849" spans="4:10" ht="19.5" customHeight="1">
      <c r="D849" s="7"/>
      <c r="E849" s="7"/>
      <c r="F849" s="7"/>
      <c r="G849" s="7"/>
      <c r="H849" s="7"/>
      <c r="I849" s="7"/>
      <c r="J849" s="7"/>
    </row>
    <row r="850" spans="4:10" ht="19.5" customHeight="1">
      <c r="D850" s="7"/>
      <c r="E850" s="7"/>
      <c r="F850" s="7"/>
      <c r="G850" s="7"/>
      <c r="H850" s="7"/>
      <c r="I850" s="7"/>
      <c r="J850" s="7"/>
    </row>
    <row r="851" spans="4:10" ht="19.5" customHeight="1">
      <c r="D851" s="7"/>
      <c r="E851" s="7"/>
      <c r="F851" s="7"/>
      <c r="G851" s="7"/>
      <c r="H851" s="7"/>
      <c r="I851" s="7"/>
      <c r="J851" s="7"/>
    </row>
    <row r="852" spans="4:10" ht="19.5" customHeight="1">
      <c r="D852" s="7"/>
      <c r="E852" s="7"/>
      <c r="F852" s="7"/>
      <c r="G852" s="7"/>
      <c r="H852" s="7"/>
      <c r="I852" s="7"/>
      <c r="J852" s="7"/>
    </row>
    <row r="853" spans="4:10" ht="19.5" customHeight="1">
      <c r="D853" s="7"/>
      <c r="E853" s="7"/>
      <c r="F853" s="7"/>
      <c r="G853" s="7"/>
      <c r="H853" s="7"/>
      <c r="I853" s="7"/>
      <c r="J853" s="7"/>
    </row>
    <row r="854" spans="4:10" ht="19.5" customHeight="1">
      <c r="D854" s="7"/>
      <c r="E854" s="7"/>
      <c r="F854" s="7"/>
      <c r="G854" s="7"/>
      <c r="H854" s="7"/>
      <c r="I854" s="7"/>
      <c r="J854" s="7"/>
    </row>
    <row r="855" spans="4:10" ht="19.5" customHeight="1">
      <c r="D855" s="7"/>
      <c r="E855" s="7"/>
      <c r="F855" s="7"/>
      <c r="G855" s="7"/>
      <c r="H855" s="7"/>
      <c r="I855" s="7"/>
      <c r="J855" s="7"/>
    </row>
    <row r="856" spans="4:10" ht="19.5" customHeight="1">
      <c r="D856" s="7"/>
      <c r="E856" s="7"/>
      <c r="F856" s="7"/>
      <c r="G856" s="7"/>
      <c r="H856" s="7"/>
      <c r="I856" s="7"/>
      <c r="J856" s="7"/>
    </row>
    <row r="857" spans="4:10" ht="19.5" customHeight="1">
      <c r="D857" s="7"/>
      <c r="E857" s="7"/>
      <c r="F857" s="7"/>
      <c r="G857" s="7"/>
      <c r="H857" s="7"/>
      <c r="I857" s="7"/>
      <c r="J857" s="7"/>
    </row>
    <row r="858" spans="4:10" ht="19.5" customHeight="1">
      <c r="D858" s="7"/>
      <c r="E858" s="7"/>
      <c r="F858" s="7"/>
      <c r="G858" s="7"/>
      <c r="H858" s="7"/>
      <c r="I858" s="7"/>
      <c r="J858" s="7"/>
    </row>
    <row r="859" spans="4:10" ht="19.5" customHeight="1">
      <c r="D859" s="7"/>
      <c r="E859" s="7"/>
      <c r="F859" s="7"/>
      <c r="G859" s="7"/>
      <c r="H859" s="7"/>
      <c r="I859" s="7"/>
      <c r="J859" s="7"/>
    </row>
    <row r="860" spans="4:10" ht="19.5" customHeight="1">
      <c r="D860" s="7"/>
      <c r="E860" s="7"/>
      <c r="F860" s="7"/>
      <c r="G860" s="7"/>
      <c r="H860" s="7"/>
      <c r="I860" s="7"/>
      <c r="J860" s="7"/>
    </row>
    <row r="861" spans="4:10" ht="19.5" customHeight="1">
      <c r="D861" s="7"/>
      <c r="E861" s="7"/>
      <c r="F861" s="7"/>
      <c r="G861" s="7"/>
      <c r="H861" s="7"/>
      <c r="I861" s="7"/>
      <c r="J861" s="7"/>
    </row>
    <row r="862" spans="4:10" ht="19.5" customHeight="1">
      <c r="D862" s="7"/>
      <c r="E862" s="7"/>
      <c r="F862" s="7"/>
      <c r="G862" s="7"/>
      <c r="H862" s="7"/>
      <c r="I862" s="7"/>
      <c r="J862" s="7"/>
    </row>
    <row r="863" spans="4:10" ht="19.5" customHeight="1">
      <c r="D863" s="7"/>
      <c r="E863" s="7"/>
      <c r="F863" s="7"/>
      <c r="G863" s="7"/>
      <c r="H863" s="7"/>
      <c r="I863" s="7"/>
      <c r="J863" s="7"/>
    </row>
    <row r="864" spans="4:10" ht="19.5" customHeight="1">
      <c r="D864" s="7"/>
      <c r="E864" s="7"/>
      <c r="F864" s="7"/>
      <c r="G864" s="7"/>
      <c r="H864" s="7"/>
      <c r="I864" s="7"/>
      <c r="J864" s="7"/>
    </row>
    <row r="865" spans="4:10" ht="19.5" customHeight="1">
      <c r="D865" s="7"/>
      <c r="E865" s="7"/>
      <c r="F865" s="7"/>
      <c r="G865" s="7"/>
      <c r="H865" s="7"/>
      <c r="I865" s="7"/>
      <c r="J865" s="7"/>
    </row>
    <row r="866" spans="4:10" ht="19.5" customHeight="1">
      <c r="D866" s="7"/>
      <c r="E866" s="7"/>
      <c r="F866" s="7"/>
      <c r="G866" s="7"/>
      <c r="H866" s="7"/>
      <c r="I866" s="7"/>
      <c r="J866" s="7"/>
    </row>
    <row r="867" spans="4:10" ht="19.5" customHeight="1">
      <c r="D867" s="7"/>
      <c r="E867" s="7"/>
      <c r="F867" s="7"/>
      <c r="G867" s="7"/>
      <c r="H867" s="7"/>
      <c r="I867" s="7"/>
      <c r="J867" s="7"/>
    </row>
    <row r="868" spans="4:10" ht="19.5" customHeight="1">
      <c r="D868" s="7"/>
      <c r="E868" s="7"/>
      <c r="F868" s="7"/>
      <c r="G868" s="7"/>
      <c r="H868" s="7"/>
      <c r="I868" s="7"/>
      <c r="J868" s="7"/>
    </row>
    <row r="869" spans="4:10" ht="19.5" customHeight="1">
      <c r="D869" s="7"/>
      <c r="E869" s="7"/>
      <c r="F869" s="7"/>
      <c r="G869" s="7"/>
      <c r="H869" s="7"/>
      <c r="I869" s="7"/>
      <c r="J869" s="7"/>
    </row>
    <row r="870" spans="4:10" ht="19.5" customHeight="1">
      <c r="D870" s="7"/>
      <c r="E870" s="7"/>
      <c r="F870" s="7"/>
      <c r="G870" s="7"/>
      <c r="H870" s="7"/>
      <c r="I870" s="7"/>
      <c r="J870" s="7"/>
    </row>
    <row r="871" spans="4:10" ht="19.5" customHeight="1">
      <c r="D871" s="7"/>
      <c r="E871" s="7"/>
      <c r="F871" s="7"/>
      <c r="G871" s="7"/>
      <c r="H871" s="7"/>
      <c r="I871" s="7"/>
      <c r="J871" s="7"/>
    </row>
    <row r="872" spans="4:10" ht="19.5" customHeight="1">
      <c r="D872" s="7"/>
      <c r="E872" s="7"/>
      <c r="F872" s="7"/>
      <c r="G872" s="7"/>
      <c r="H872" s="7"/>
      <c r="I872" s="7"/>
      <c r="J872" s="7"/>
    </row>
    <row r="873" spans="4:10" ht="19.5" customHeight="1">
      <c r="D873" s="7"/>
      <c r="E873" s="7"/>
      <c r="F873" s="7"/>
      <c r="G873" s="7"/>
      <c r="H873" s="7"/>
      <c r="I873" s="7"/>
      <c r="J873" s="7"/>
    </row>
    <row r="874" spans="4:10" ht="19.5" customHeight="1">
      <c r="D874" s="7"/>
      <c r="E874" s="7"/>
      <c r="F874" s="7"/>
      <c r="G874" s="7"/>
      <c r="H874" s="7"/>
      <c r="I874" s="7"/>
      <c r="J874" s="7"/>
    </row>
    <row r="875" spans="4:10" ht="19.5" customHeight="1">
      <c r="D875" s="7"/>
      <c r="E875" s="7"/>
      <c r="F875" s="7"/>
      <c r="G875" s="7"/>
      <c r="H875" s="7"/>
      <c r="I875" s="7"/>
      <c r="J875" s="7"/>
    </row>
    <row r="876" spans="4:10" ht="19.5" customHeight="1">
      <c r="D876" s="7"/>
      <c r="E876" s="7"/>
      <c r="F876" s="7"/>
      <c r="G876" s="7"/>
      <c r="H876" s="7"/>
      <c r="I876" s="7"/>
      <c r="J876" s="7"/>
    </row>
    <row r="877" spans="4:10" ht="19.5" customHeight="1">
      <c r="D877" s="7"/>
      <c r="E877" s="7"/>
      <c r="F877" s="7"/>
      <c r="G877" s="7"/>
      <c r="H877" s="7"/>
      <c r="I877" s="7"/>
      <c r="J877" s="7"/>
    </row>
    <row r="878" spans="4:10" ht="19.5" customHeight="1">
      <c r="D878" s="7"/>
      <c r="E878" s="7"/>
      <c r="F878" s="7"/>
      <c r="G878" s="7"/>
      <c r="H878" s="7"/>
      <c r="I878" s="7"/>
      <c r="J878" s="7"/>
    </row>
    <row r="879" spans="4:10" ht="19.5" customHeight="1">
      <c r="D879" s="7"/>
      <c r="E879" s="7"/>
      <c r="F879" s="7"/>
      <c r="G879" s="7"/>
      <c r="H879" s="7"/>
      <c r="I879" s="7"/>
      <c r="J879" s="7"/>
    </row>
    <row r="880" spans="4:10" ht="19.5" customHeight="1">
      <c r="D880" s="7"/>
      <c r="E880" s="7"/>
      <c r="F880" s="7"/>
      <c r="G880" s="7"/>
      <c r="H880" s="7"/>
      <c r="I880" s="7"/>
      <c r="J880" s="7"/>
    </row>
    <row r="881" spans="4:10" ht="19.5" customHeight="1">
      <c r="D881" s="7"/>
      <c r="E881" s="7"/>
      <c r="F881" s="7"/>
      <c r="G881" s="7"/>
      <c r="H881" s="7"/>
      <c r="I881" s="7"/>
      <c r="J881" s="7"/>
    </row>
    <row r="882" spans="4:10" ht="19.5" customHeight="1">
      <c r="D882" s="7"/>
      <c r="E882" s="7"/>
      <c r="F882" s="7"/>
      <c r="G882" s="7"/>
      <c r="H882" s="7"/>
      <c r="I882" s="7"/>
      <c r="J882" s="7"/>
    </row>
    <row r="883" spans="4:10" ht="19.5" customHeight="1">
      <c r="D883" s="7"/>
      <c r="E883" s="7"/>
      <c r="F883" s="7"/>
      <c r="G883" s="7"/>
      <c r="H883" s="7"/>
      <c r="I883" s="7"/>
      <c r="J883" s="7"/>
    </row>
    <row r="884" spans="4:10" ht="19.5" customHeight="1">
      <c r="D884" s="7"/>
      <c r="E884" s="7"/>
      <c r="F884" s="7"/>
      <c r="G884" s="7"/>
      <c r="H884" s="7"/>
      <c r="I884" s="7"/>
      <c r="J884" s="7"/>
    </row>
    <row r="885" spans="4:10" ht="19.5" customHeight="1">
      <c r="D885" s="7"/>
      <c r="E885" s="7"/>
      <c r="F885" s="7"/>
      <c r="G885" s="7"/>
      <c r="H885" s="7"/>
      <c r="I885" s="7"/>
      <c r="J885" s="7"/>
    </row>
    <row r="886" spans="4:10" ht="19.5" customHeight="1">
      <c r="D886" s="7"/>
      <c r="E886" s="7"/>
      <c r="F886" s="7"/>
      <c r="G886" s="7"/>
      <c r="H886" s="7"/>
      <c r="I886" s="7"/>
      <c r="J886" s="7"/>
    </row>
    <row r="887" spans="4:10" ht="19.5" customHeight="1">
      <c r="D887" s="7"/>
      <c r="E887" s="7"/>
      <c r="F887" s="7"/>
      <c r="G887" s="7"/>
      <c r="H887" s="7"/>
      <c r="I887" s="7"/>
      <c r="J887" s="7"/>
    </row>
    <row r="888" spans="4:10" ht="19.5" customHeight="1">
      <c r="D888" s="7"/>
      <c r="E888" s="7"/>
      <c r="F888" s="7"/>
      <c r="G888" s="7"/>
      <c r="H888" s="7"/>
      <c r="I888" s="7"/>
      <c r="J888" s="7"/>
    </row>
    <row r="889" spans="4:10" ht="19.5" customHeight="1">
      <c r="D889" s="7"/>
      <c r="E889" s="7"/>
      <c r="F889" s="7"/>
      <c r="G889" s="7"/>
      <c r="H889" s="7"/>
      <c r="I889" s="7"/>
      <c r="J889" s="7"/>
    </row>
    <row r="890" spans="4:10" ht="19.5" customHeight="1">
      <c r="D890" s="7"/>
      <c r="E890" s="7"/>
      <c r="F890" s="7"/>
      <c r="G890" s="7"/>
      <c r="H890" s="7"/>
      <c r="I890" s="7"/>
      <c r="J890" s="7"/>
    </row>
    <row r="891" spans="4:10" ht="19.5" customHeight="1">
      <c r="D891" s="7"/>
      <c r="E891" s="7"/>
      <c r="F891" s="7"/>
      <c r="G891" s="7"/>
      <c r="H891" s="7"/>
      <c r="I891" s="7"/>
      <c r="J891" s="7"/>
    </row>
    <row r="892" spans="4:10" ht="19.5" customHeight="1">
      <c r="D892" s="7"/>
      <c r="E892" s="7"/>
      <c r="F892" s="7"/>
      <c r="G892" s="7"/>
      <c r="H892" s="7"/>
      <c r="I892" s="7"/>
      <c r="J892" s="7"/>
    </row>
    <row r="893" spans="4:10" ht="19.5" customHeight="1">
      <c r="D893" s="7"/>
      <c r="E893" s="7"/>
      <c r="F893" s="7"/>
      <c r="G893" s="7"/>
      <c r="H893" s="7"/>
      <c r="I893" s="7"/>
      <c r="J893" s="7"/>
    </row>
    <row r="894" spans="4:10" ht="19.5" customHeight="1">
      <c r="D894" s="7"/>
      <c r="E894" s="7"/>
      <c r="F894" s="7"/>
      <c r="G894" s="7"/>
      <c r="H894" s="7"/>
      <c r="I894" s="7"/>
      <c r="J894" s="7"/>
    </row>
    <row r="895" spans="4:10" ht="19.5" customHeight="1">
      <c r="D895" s="7"/>
      <c r="E895" s="7"/>
      <c r="F895" s="7"/>
      <c r="G895" s="7"/>
      <c r="H895" s="7"/>
      <c r="I895" s="7"/>
      <c r="J895" s="7"/>
    </row>
    <row r="896" spans="4:10" ht="19.5" customHeight="1">
      <c r="D896" s="7"/>
      <c r="E896" s="7"/>
      <c r="F896" s="7"/>
      <c r="G896" s="7"/>
      <c r="H896" s="7"/>
      <c r="I896" s="7"/>
      <c r="J896" s="7"/>
    </row>
    <row r="897" spans="4:10" ht="19.5" customHeight="1">
      <c r="D897" s="7"/>
      <c r="E897" s="7"/>
      <c r="F897" s="7"/>
      <c r="G897" s="7"/>
      <c r="H897" s="7"/>
      <c r="I897" s="7"/>
      <c r="J897" s="7"/>
    </row>
    <row r="898" spans="4:10" ht="19.5" customHeight="1">
      <c r="D898" s="7"/>
      <c r="E898" s="7"/>
      <c r="F898" s="7"/>
      <c r="G898" s="7"/>
      <c r="H898" s="7"/>
      <c r="I898" s="7"/>
      <c r="J898" s="7"/>
    </row>
    <row r="899" spans="4:10" ht="19.5" customHeight="1">
      <c r="D899" s="7"/>
      <c r="E899" s="7"/>
      <c r="F899" s="7"/>
      <c r="G899" s="7"/>
      <c r="H899" s="7"/>
      <c r="I899" s="7"/>
      <c r="J899" s="7"/>
    </row>
    <row r="900" spans="4:10" ht="19.5" customHeight="1">
      <c r="D900" s="7"/>
      <c r="E900" s="7"/>
      <c r="F900" s="7"/>
      <c r="G900" s="7"/>
      <c r="H900" s="7"/>
      <c r="I900" s="7"/>
      <c r="J900" s="7"/>
    </row>
    <row r="901" spans="4:10" ht="19.5" customHeight="1">
      <c r="D901" s="7"/>
      <c r="E901" s="7"/>
      <c r="F901" s="7"/>
      <c r="G901" s="7"/>
      <c r="H901" s="7"/>
      <c r="I901" s="7"/>
      <c r="J901" s="7"/>
    </row>
    <row r="902" spans="4:10" ht="19.5" customHeight="1">
      <c r="D902" s="7"/>
      <c r="E902" s="7"/>
      <c r="F902" s="7"/>
      <c r="G902" s="7"/>
      <c r="H902" s="7"/>
      <c r="I902" s="7"/>
      <c r="J902" s="7"/>
    </row>
    <row r="903" spans="4:10" ht="19.5" customHeight="1">
      <c r="D903" s="7"/>
      <c r="E903" s="7"/>
      <c r="F903" s="7"/>
      <c r="G903" s="7"/>
      <c r="H903" s="7"/>
      <c r="I903" s="7"/>
      <c r="J903" s="7"/>
    </row>
    <row r="904" spans="4:10" ht="19.5" customHeight="1">
      <c r="D904" s="7"/>
      <c r="E904" s="7"/>
      <c r="F904" s="7"/>
      <c r="G904" s="7"/>
      <c r="H904" s="7"/>
      <c r="I904" s="7"/>
      <c r="J904" s="7"/>
    </row>
    <row r="905" spans="4:10" ht="19.5" customHeight="1">
      <c r="D905" s="7"/>
      <c r="E905" s="7"/>
      <c r="F905" s="7"/>
      <c r="G905" s="7"/>
      <c r="H905" s="7"/>
      <c r="I905" s="7"/>
      <c r="J905" s="7"/>
    </row>
    <row r="906" spans="4:10" ht="19.5" customHeight="1">
      <c r="D906" s="7"/>
      <c r="E906" s="7"/>
      <c r="F906" s="7"/>
      <c r="G906" s="7"/>
      <c r="H906" s="7"/>
      <c r="I906" s="7"/>
      <c r="J906" s="7"/>
    </row>
    <row r="907" spans="4:10" ht="19.5" customHeight="1">
      <c r="D907" s="7"/>
      <c r="E907" s="7"/>
      <c r="F907" s="7"/>
      <c r="G907" s="7"/>
      <c r="H907" s="7"/>
      <c r="I907" s="7"/>
      <c r="J907" s="7"/>
    </row>
    <row r="908" spans="4:10" ht="19.5" customHeight="1">
      <c r="D908" s="7"/>
      <c r="E908" s="7"/>
      <c r="F908" s="7"/>
      <c r="G908" s="7"/>
      <c r="H908" s="7"/>
      <c r="I908" s="7"/>
      <c r="J908" s="7"/>
    </row>
    <row r="909" spans="4:10" ht="19.5" customHeight="1">
      <c r="D909" s="7"/>
      <c r="E909" s="7"/>
      <c r="F909" s="7"/>
      <c r="G909" s="7"/>
      <c r="H909" s="7"/>
      <c r="I909" s="7"/>
      <c r="J909" s="7"/>
    </row>
    <row r="910" spans="4:10" ht="19.5" customHeight="1">
      <c r="D910" s="7"/>
      <c r="E910" s="7"/>
      <c r="F910" s="7"/>
      <c r="G910" s="7"/>
      <c r="H910" s="7"/>
      <c r="I910" s="7"/>
      <c r="J910" s="7"/>
    </row>
    <row r="911" spans="4:10" ht="19.5" customHeight="1">
      <c r="D911" s="7"/>
      <c r="E911" s="7"/>
      <c r="F911" s="7"/>
      <c r="G911" s="7"/>
      <c r="H911" s="7"/>
      <c r="I911" s="7"/>
      <c r="J911" s="7"/>
    </row>
    <row r="912" spans="4:10" ht="19.5" customHeight="1">
      <c r="D912" s="7"/>
      <c r="E912" s="7"/>
      <c r="F912" s="7"/>
      <c r="G912" s="7"/>
      <c r="H912" s="7"/>
      <c r="I912" s="7"/>
      <c r="J912" s="7"/>
    </row>
    <row r="913" spans="4:10" ht="19.5" customHeight="1">
      <c r="D913" s="7"/>
      <c r="E913" s="7"/>
      <c r="F913" s="7"/>
      <c r="G913" s="7"/>
      <c r="H913" s="7"/>
      <c r="I913" s="7"/>
      <c r="J913" s="7"/>
    </row>
    <row r="914" spans="4:10" ht="19.5" customHeight="1">
      <c r="D914" s="7"/>
      <c r="E914" s="7"/>
      <c r="F914" s="7"/>
      <c r="G914" s="7"/>
      <c r="H914" s="7"/>
      <c r="I914" s="7"/>
      <c r="J914" s="7"/>
    </row>
    <row r="915" spans="4:10" ht="19.5" customHeight="1">
      <c r="D915" s="7"/>
      <c r="E915" s="7"/>
      <c r="F915" s="7"/>
      <c r="G915" s="7"/>
      <c r="H915" s="7"/>
      <c r="I915" s="7"/>
      <c r="J915" s="7"/>
    </row>
    <row r="916" spans="4:10" ht="19.5" customHeight="1">
      <c r="D916" s="7"/>
      <c r="E916" s="7"/>
      <c r="F916" s="7"/>
      <c r="G916" s="7"/>
      <c r="H916" s="7"/>
      <c r="I916" s="7"/>
      <c r="J916" s="7"/>
    </row>
    <row r="917" spans="4:10" ht="19.5" customHeight="1">
      <c r="D917" s="7"/>
      <c r="E917" s="7"/>
      <c r="F917" s="7"/>
      <c r="G917" s="7"/>
      <c r="H917" s="7"/>
      <c r="I917" s="7"/>
      <c r="J917" s="7"/>
    </row>
    <row r="918" spans="4:10" ht="19.5" customHeight="1">
      <c r="D918" s="7"/>
      <c r="E918" s="7"/>
      <c r="F918" s="7"/>
      <c r="G918" s="7"/>
      <c r="H918" s="7"/>
      <c r="I918" s="7"/>
      <c r="J918" s="7"/>
    </row>
    <row r="919" spans="4:10" ht="19.5" customHeight="1">
      <c r="D919" s="7"/>
      <c r="E919" s="7"/>
      <c r="F919" s="7"/>
      <c r="G919" s="7"/>
      <c r="H919" s="7"/>
      <c r="I919" s="7"/>
      <c r="J919" s="7"/>
    </row>
    <row r="920" spans="4:10" ht="19.5" customHeight="1">
      <c r="D920" s="7"/>
      <c r="E920" s="7"/>
      <c r="F920" s="7"/>
      <c r="G920" s="7"/>
      <c r="H920" s="7"/>
      <c r="I920" s="7"/>
      <c r="J920" s="7"/>
    </row>
    <row r="921" spans="4:10" ht="19.5" customHeight="1">
      <c r="D921" s="7"/>
      <c r="E921" s="7"/>
      <c r="F921" s="7"/>
      <c r="G921" s="7"/>
      <c r="H921" s="7"/>
      <c r="I921" s="7"/>
      <c r="J921" s="7"/>
    </row>
    <row r="922" spans="4:10" ht="19.5" customHeight="1">
      <c r="D922" s="7"/>
      <c r="E922" s="7"/>
      <c r="F922" s="7"/>
      <c r="G922" s="7"/>
      <c r="H922" s="7"/>
      <c r="I922" s="7"/>
      <c r="J922" s="7"/>
    </row>
    <row r="923" spans="4:10" ht="19.5" customHeight="1">
      <c r="D923" s="7"/>
      <c r="E923" s="7"/>
      <c r="F923" s="7"/>
      <c r="G923" s="7"/>
      <c r="H923" s="7"/>
      <c r="I923" s="7"/>
      <c r="J923" s="7"/>
    </row>
    <row r="924" spans="4:10" ht="19.5" customHeight="1">
      <c r="D924" s="7"/>
      <c r="E924" s="7"/>
      <c r="F924" s="7"/>
      <c r="G924" s="7"/>
      <c r="H924" s="7"/>
      <c r="I924" s="7"/>
      <c r="J924" s="7"/>
    </row>
    <row r="925" spans="4:10" ht="19.5" customHeight="1">
      <c r="D925" s="7"/>
      <c r="E925" s="7"/>
      <c r="F925" s="7"/>
      <c r="G925" s="7"/>
      <c r="H925" s="7"/>
      <c r="I925" s="7"/>
      <c r="J925" s="7"/>
    </row>
    <row r="926" spans="4:10" ht="19.5" customHeight="1">
      <c r="D926" s="7"/>
      <c r="E926" s="7"/>
      <c r="F926" s="7"/>
      <c r="G926" s="7"/>
      <c r="H926" s="7"/>
      <c r="I926" s="7"/>
      <c r="J926" s="7"/>
    </row>
    <row r="927" spans="4:10" ht="19.5" customHeight="1">
      <c r="D927" s="7"/>
      <c r="E927" s="7"/>
      <c r="F927" s="7"/>
      <c r="G927" s="7"/>
      <c r="H927" s="7"/>
      <c r="I927" s="7"/>
      <c r="J927" s="7"/>
    </row>
    <row r="928" spans="4:10" ht="19.5" customHeight="1">
      <c r="D928" s="7"/>
      <c r="E928" s="7"/>
      <c r="F928" s="7"/>
      <c r="G928" s="7"/>
      <c r="H928" s="7"/>
      <c r="I928" s="7"/>
      <c r="J928" s="7"/>
    </row>
    <row r="929" spans="4:10" ht="19.5" customHeight="1">
      <c r="D929" s="7"/>
      <c r="E929" s="7"/>
      <c r="F929" s="7"/>
      <c r="G929" s="7"/>
      <c r="H929" s="7"/>
      <c r="I929" s="7"/>
      <c r="J929" s="7"/>
    </row>
    <row r="930" spans="4:10" ht="19.5" customHeight="1">
      <c r="D930" s="7"/>
      <c r="E930" s="7"/>
      <c r="F930" s="7"/>
      <c r="G930" s="7"/>
      <c r="H930" s="7"/>
      <c r="I930" s="7"/>
      <c r="J930" s="7"/>
    </row>
    <row r="931" spans="4:10" ht="19.5" customHeight="1">
      <c r="D931" s="7"/>
      <c r="E931" s="7"/>
      <c r="F931" s="7"/>
      <c r="G931" s="7"/>
      <c r="H931" s="7"/>
      <c r="I931" s="7"/>
      <c r="J931" s="7"/>
    </row>
    <row r="932" spans="4:10" ht="19.5" customHeight="1">
      <c r="D932" s="7"/>
      <c r="E932" s="7"/>
      <c r="F932" s="7"/>
      <c r="G932" s="7"/>
      <c r="H932" s="7"/>
      <c r="I932" s="7"/>
      <c r="J932" s="7"/>
    </row>
    <row r="933" spans="4:10" ht="19.5" customHeight="1">
      <c r="D933" s="7"/>
      <c r="E933" s="7"/>
      <c r="F933" s="7"/>
      <c r="G933" s="7"/>
      <c r="H933" s="7"/>
      <c r="I933" s="7"/>
      <c r="J933" s="7"/>
    </row>
    <row r="934" spans="4:10" ht="19.5" customHeight="1">
      <c r="D934" s="7"/>
      <c r="E934" s="7"/>
      <c r="F934" s="7"/>
      <c r="G934" s="7"/>
      <c r="H934" s="7"/>
      <c r="I934" s="7"/>
      <c r="J934" s="7"/>
    </row>
    <row r="935" spans="4:10" ht="19.5" customHeight="1">
      <c r="D935" s="7"/>
      <c r="E935" s="7"/>
      <c r="F935" s="7"/>
      <c r="G935" s="7"/>
      <c r="H935" s="7"/>
      <c r="I935" s="7"/>
      <c r="J935" s="7"/>
    </row>
    <row r="936" spans="4:10" ht="19.5" customHeight="1">
      <c r="D936" s="7"/>
      <c r="E936" s="7"/>
      <c r="F936" s="7"/>
      <c r="G936" s="7"/>
      <c r="H936" s="7"/>
      <c r="I936" s="7"/>
      <c r="J936" s="7"/>
    </row>
    <row r="937" spans="4:10" ht="19.5" customHeight="1">
      <c r="D937" s="7"/>
      <c r="E937" s="7"/>
      <c r="F937" s="7"/>
      <c r="G937" s="7"/>
      <c r="H937" s="7"/>
      <c r="I937" s="7"/>
      <c r="J937" s="7"/>
    </row>
    <row r="938" spans="4:10" ht="19.5" customHeight="1">
      <c r="D938" s="7"/>
      <c r="E938" s="7"/>
      <c r="F938" s="7"/>
      <c r="G938" s="7"/>
      <c r="H938" s="7"/>
      <c r="I938" s="7"/>
      <c r="J938" s="7"/>
    </row>
    <row r="939" spans="4:10" ht="19.5" customHeight="1">
      <c r="D939" s="7"/>
      <c r="E939" s="7"/>
      <c r="F939" s="7"/>
      <c r="G939" s="7"/>
      <c r="H939" s="7"/>
      <c r="I939" s="7"/>
      <c r="J939" s="7"/>
    </row>
    <row r="940" spans="4:10" ht="19.5" customHeight="1">
      <c r="D940" s="7"/>
      <c r="E940" s="7"/>
      <c r="F940" s="7"/>
      <c r="G940" s="7"/>
      <c r="H940" s="7"/>
      <c r="I940" s="7"/>
      <c r="J940" s="7"/>
    </row>
    <row r="941" spans="4:10" ht="19.5" customHeight="1">
      <c r="D941" s="7"/>
      <c r="E941" s="7"/>
      <c r="F941" s="7"/>
      <c r="G941" s="7"/>
      <c r="H941" s="7"/>
      <c r="I941" s="7"/>
      <c r="J941" s="7"/>
    </row>
    <row r="942" spans="4:10" ht="19.5" customHeight="1">
      <c r="D942" s="7"/>
      <c r="E942" s="7"/>
      <c r="F942" s="7"/>
      <c r="G942" s="7"/>
      <c r="H942" s="7"/>
      <c r="I942" s="7"/>
      <c r="J942" s="7"/>
    </row>
    <row r="943" spans="4:10" ht="19.5" customHeight="1">
      <c r="D943" s="7"/>
      <c r="E943" s="7"/>
      <c r="F943" s="7"/>
      <c r="G943" s="7"/>
      <c r="H943" s="7"/>
      <c r="I943" s="7"/>
      <c r="J943" s="7"/>
    </row>
    <row r="944" spans="4:10" ht="19.5" customHeight="1">
      <c r="D944" s="7"/>
      <c r="E944" s="7"/>
      <c r="F944" s="7"/>
      <c r="G944" s="7"/>
      <c r="H944" s="7"/>
      <c r="I944" s="7"/>
      <c r="J944" s="7"/>
    </row>
    <row r="945" spans="4:10" ht="19.5" customHeight="1">
      <c r="D945" s="7"/>
      <c r="E945" s="7"/>
      <c r="F945" s="7"/>
      <c r="G945" s="7"/>
      <c r="H945" s="7"/>
      <c r="I945" s="7"/>
      <c r="J945" s="7"/>
    </row>
    <row r="946" spans="4:10" ht="19.5" customHeight="1">
      <c r="D946" s="7"/>
      <c r="E946" s="7"/>
      <c r="F946" s="7"/>
      <c r="G946" s="7"/>
      <c r="H946" s="7"/>
      <c r="I946" s="7"/>
      <c r="J946" s="7"/>
    </row>
    <row r="947" spans="4:10" ht="19.5" customHeight="1">
      <c r="D947" s="7"/>
      <c r="E947" s="7"/>
      <c r="F947" s="7"/>
      <c r="G947" s="7"/>
      <c r="H947" s="7"/>
      <c r="I947" s="7"/>
      <c r="J947" s="7"/>
    </row>
    <row r="948" spans="4:10" ht="19.5" customHeight="1">
      <c r="D948" s="7"/>
      <c r="E948" s="7"/>
      <c r="F948" s="7"/>
      <c r="G948" s="7"/>
      <c r="H948" s="7"/>
      <c r="I948" s="7"/>
      <c r="J948" s="7"/>
    </row>
    <row r="949" spans="4:10" ht="19.5" customHeight="1">
      <c r="D949" s="7"/>
      <c r="E949" s="7"/>
      <c r="F949" s="7"/>
      <c r="G949" s="7"/>
      <c r="H949" s="7"/>
      <c r="I949" s="7"/>
      <c r="J949" s="7"/>
    </row>
    <row r="950" spans="4:10" ht="19.5" customHeight="1">
      <c r="D950" s="7"/>
      <c r="E950" s="7"/>
      <c r="F950" s="7"/>
      <c r="G950" s="7"/>
      <c r="H950" s="7"/>
      <c r="I950" s="7"/>
      <c r="J950" s="7"/>
    </row>
    <row r="951" spans="4:10" ht="19.5" customHeight="1">
      <c r="D951" s="7"/>
      <c r="E951" s="7"/>
      <c r="F951" s="7"/>
      <c r="G951" s="7"/>
      <c r="H951" s="7"/>
      <c r="I951" s="7"/>
      <c r="J951" s="7"/>
    </row>
    <row r="952" spans="4:10" ht="19.5" customHeight="1">
      <c r="D952" s="7"/>
      <c r="E952" s="7"/>
      <c r="F952" s="7"/>
      <c r="G952" s="7"/>
      <c r="H952" s="7"/>
      <c r="I952" s="7"/>
      <c r="J952" s="7"/>
    </row>
    <row r="953" spans="4:10" ht="19.5" customHeight="1">
      <c r="D953" s="7"/>
      <c r="E953" s="7"/>
      <c r="F953" s="7"/>
      <c r="G953" s="7"/>
      <c r="H953" s="7"/>
      <c r="I953" s="7"/>
      <c r="J953" s="7"/>
    </row>
    <row r="954" spans="4:10" ht="19.5" customHeight="1">
      <c r="D954" s="7"/>
      <c r="E954" s="7"/>
      <c r="F954" s="7"/>
      <c r="G954" s="7"/>
      <c r="H954" s="7"/>
      <c r="I954" s="7"/>
      <c r="J954" s="7"/>
    </row>
    <row r="955" spans="4:10" ht="19.5" customHeight="1">
      <c r="D955" s="7"/>
      <c r="E955" s="7"/>
      <c r="F955" s="7"/>
      <c r="G955" s="7"/>
      <c r="H955" s="7"/>
      <c r="I955" s="7"/>
      <c r="J955" s="7"/>
    </row>
    <row r="956" spans="4:10" ht="19.5" customHeight="1">
      <c r="D956" s="7"/>
      <c r="E956" s="7"/>
      <c r="F956" s="7"/>
      <c r="G956" s="7"/>
      <c r="H956" s="7"/>
      <c r="I956" s="7"/>
      <c r="J956" s="7"/>
    </row>
    <row r="957" spans="4:10" ht="19.5" customHeight="1">
      <c r="D957" s="7"/>
      <c r="E957" s="7"/>
      <c r="F957" s="7"/>
      <c r="G957" s="7"/>
      <c r="H957" s="7"/>
      <c r="I957" s="7"/>
      <c r="J957" s="7"/>
    </row>
    <row r="958" spans="4:10" ht="19.5" customHeight="1">
      <c r="D958" s="7"/>
      <c r="E958" s="7"/>
      <c r="F958" s="7"/>
      <c r="G958" s="7"/>
      <c r="H958" s="7"/>
      <c r="I958" s="7"/>
      <c r="J958" s="7"/>
    </row>
    <row r="959" spans="4:10" ht="19.5" customHeight="1">
      <c r="D959" s="7"/>
      <c r="E959" s="7"/>
      <c r="F959" s="7"/>
      <c r="G959" s="7"/>
      <c r="H959" s="7"/>
      <c r="I959" s="7"/>
      <c r="J959" s="7"/>
    </row>
    <row r="960" spans="4:10" ht="19.5" customHeight="1">
      <c r="D960" s="7"/>
      <c r="E960" s="7"/>
      <c r="F960" s="7"/>
      <c r="G960" s="7"/>
      <c r="H960" s="7"/>
      <c r="I960" s="7"/>
      <c r="J960" s="7"/>
    </row>
    <row r="961" spans="4:10" ht="19.5" customHeight="1">
      <c r="D961" s="7"/>
      <c r="E961" s="7"/>
      <c r="F961" s="7"/>
      <c r="G961" s="7"/>
      <c r="H961" s="7"/>
      <c r="I961" s="7"/>
      <c r="J961" s="7"/>
    </row>
    <row r="962" spans="4:10" ht="19.5" customHeight="1">
      <c r="D962" s="7"/>
      <c r="E962" s="7"/>
      <c r="F962" s="7"/>
      <c r="G962" s="7"/>
      <c r="H962" s="7"/>
      <c r="I962" s="7"/>
      <c r="J962" s="7"/>
    </row>
    <row r="963" spans="4:10" ht="19.5" customHeight="1">
      <c r="D963" s="7"/>
      <c r="E963" s="7"/>
      <c r="F963" s="7"/>
      <c r="G963" s="7"/>
      <c r="H963" s="7"/>
      <c r="I963" s="7"/>
      <c r="J963" s="7"/>
    </row>
    <row r="964" spans="4:10" ht="19.5" customHeight="1">
      <c r="D964" s="7"/>
      <c r="E964" s="7"/>
      <c r="F964" s="7"/>
      <c r="G964" s="7"/>
      <c r="H964" s="7"/>
      <c r="I964" s="7"/>
      <c r="J964" s="7"/>
    </row>
    <row r="965" spans="4:10" ht="19.5" customHeight="1">
      <c r="D965" s="7"/>
      <c r="E965" s="7"/>
      <c r="F965" s="7"/>
      <c r="G965" s="7"/>
      <c r="H965" s="7"/>
      <c r="I965" s="7"/>
      <c r="J965" s="7"/>
    </row>
    <row r="966" spans="4:10" ht="19.5" customHeight="1">
      <c r="D966" s="7"/>
      <c r="E966" s="7"/>
      <c r="F966" s="7"/>
      <c r="G966" s="7"/>
      <c r="H966" s="7"/>
      <c r="I966" s="7"/>
      <c r="J966" s="7"/>
    </row>
    <row r="967" spans="4:10" ht="19.5" customHeight="1">
      <c r="D967" s="7"/>
      <c r="E967" s="7"/>
      <c r="F967" s="7"/>
      <c r="G967" s="7"/>
      <c r="H967" s="7"/>
      <c r="I967" s="7"/>
      <c r="J967" s="7"/>
    </row>
    <row r="968" spans="4:10" ht="19.5" customHeight="1">
      <c r="D968" s="7"/>
      <c r="E968" s="7"/>
      <c r="F968" s="7"/>
      <c r="G968" s="7"/>
      <c r="H968" s="7"/>
      <c r="I968" s="7"/>
      <c r="J968" s="7"/>
    </row>
    <row r="969" spans="4:10" ht="19.5" customHeight="1">
      <c r="D969" s="7"/>
      <c r="E969" s="7"/>
      <c r="F969" s="7"/>
      <c r="G969" s="7"/>
      <c r="H969" s="7"/>
      <c r="I969" s="7"/>
      <c r="J969" s="7"/>
    </row>
    <row r="970" spans="4:10" ht="19.5" customHeight="1">
      <c r="D970" s="7"/>
      <c r="E970" s="7"/>
      <c r="F970" s="7"/>
      <c r="G970" s="7"/>
      <c r="H970" s="7"/>
      <c r="I970" s="7"/>
      <c r="J970" s="7"/>
    </row>
    <row r="971" spans="4:10" ht="19.5" customHeight="1">
      <c r="D971" s="7"/>
      <c r="E971" s="7"/>
      <c r="F971" s="7"/>
      <c r="G971" s="7"/>
      <c r="H971" s="7"/>
      <c r="I971" s="7"/>
      <c r="J971" s="7"/>
    </row>
    <row r="972" spans="4:10" ht="19.5" customHeight="1">
      <c r="D972" s="7"/>
      <c r="E972" s="7"/>
      <c r="F972" s="7"/>
      <c r="G972" s="7"/>
      <c r="H972" s="7"/>
      <c r="I972" s="7"/>
      <c r="J972" s="7"/>
    </row>
    <row r="973" spans="4:10" ht="19.5" customHeight="1">
      <c r="D973" s="7"/>
      <c r="E973" s="7"/>
      <c r="F973" s="7"/>
      <c r="G973" s="7"/>
      <c r="H973" s="7"/>
      <c r="I973" s="7"/>
      <c r="J973" s="7"/>
    </row>
    <row r="974" spans="4:10" ht="19.5" customHeight="1">
      <c r="D974" s="7"/>
      <c r="E974" s="7"/>
      <c r="F974" s="7"/>
      <c r="G974" s="7"/>
      <c r="H974" s="7"/>
      <c r="I974" s="7"/>
      <c r="J974" s="7"/>
    </row>
    <row r="975" spans="4:10" ht="19.5" customHeight="1">
      <c r="D975" s="7"/>
      <c r="E975" s="7"/>
      <c r="F975" s="7"/>
      <c r="G975" s="7"/>
      <c r="H975" s="7"/>
      <c r="I975" s="7"/>
      <c r="J975" s="7"/>
    </row>
    <row r="976" spans="4:10" ht="19.5" customHeight="1">
      <c r="D976" s="7"/>
      <c r="E976" s="7"/>
      <c r="F976" s="7"/>
      <c r="G976" s="7"/>
      <c r="H976" s="7"/>
      <c r="I976" s="7"/>
      <c r="J976" s="7"/>
    </row>
    <row r="977" spans="4:10" ht="19.5" customHeight="1">
      <c r="D977" s="7"/>
      <c r="E977" s="7"/>
      <c r="F977" s="7"/>
      <c r="G977" s="7"/>
      <c r="H977" s="7"/>
      <c r="I977" s="7"/>
      <c r="J977" s="7"/>
    </row>
    <row r="978" spans="4:10" ht="19.5" customHeight="1">
      <c r="D978" s="7"/>
      <c r="E978" s="7"/>
      <c r="F978" s="7"/>
      <c r="G978" s="7"/>
      <c r="H978" s="7"/>
      <c r="I978" s="7"/>
      <c r="J978" s="7"/>
    </row>
    <row r="979" spans="4:10" ht="19.5" customHeight="1">
      <c r="D979" s="7"/>
      <c r="E979" s="7"/>
      <c r="F979" s="7"/>
      <c r="G979" s="7"/>
      <c r="H979" s="7"/>
      <c r="I979" s="7"/>
      <c r="J979" s="7"/>
    </row>
    <row r="980" spans="4:10" ht="19.5" customHeight="1">
      <c r="D980" s="7"/>
      <c r="E980" s="7"/>
      <c r="F980" s="7"/>
      <c r="G980" s="7"/>
      <c r="H980" s="7"/>
      <c r="I980" s="7"/>
      <c r="J980" s="7"/>
    </row>
    <row r="981" spans="4:10" ht="19.5" customHeight="1">
      <c r="D981" s="7"/>
      <c r="E981" s="7"/>
      <c r="F981" s="7"/>
      <c r="G981" s="7"/>
      <c r="H981" s="7"/>
      <c r="I981" s="7"/>
      <c r="J981" s="7"/>
    </row>
    <row r="982" spans="4:10" ht="19.5" customHeight="1">
      <c r="D982" s="7"/>
      <c r="E982" s="7"/>
      <c r="F982" s="7"/>
      <c r="G982" s="7"/>
      <c r="H982" s="7"/>
      <c r="I982" s="7"/>
      <c r="J982" s="7"/>
    </row>
    <row r="983" spans="4:10" ht="19.5" customHeight="1">
      <c r="D983" s="7"/>
      <c r="E983" s="7"/>
      <c r="F983" s="7"/>
      <c r="G983" s="7"/>
      <c r="H983" s="7"/>
      <c r="I983" s="7"/>
      <c r="J983" s="7"/>
    </row>
    <row r="984" spans="4:10" ht="19.5" customHeight="1">
      <c r="D984" s="7"/>
      <c r="E984" s="7"/>
      <c r="F984" s="7"/>
      <c r="G984" s="7"/>
      <c r="H984" s="7"/>
      <c r="I984" s="7"/>
      <c r="J984" s="7"/>
    </row>
    <row r="985" spans="4:10" ht="19.5" customHeight="1">
      <c r="D985" s="7"/>
      <c r="E985" s="7"/>
      <c r="F985" s="7"/>
      <c r="G985" s="7"/>
      <c r="H985" s="7"/>
      <c r="I985" s="7"/>
      <c r="J985" s="7"/>
    </row>
    <row r="986" spans="4:10" ht="19.5" customHeight="1">
      <c r="D986" s="7"/>
      <c r="E986" s="7"/>
      <c r="F986" s="7"/>
      <c r="G986" s="7"/>
      <c r="H986" s="7"/>
      <c r="I986" s="7"/>
      <c r="J986" s="7"/>
    </row>
    <row r="987" spans="4:10" ht="19.5" customHeight="1">
      <c r="D987" s="7"/>
      <c r="E987" s="7"/>
      <c r="F987" s="7"/>
      <c r="G987" s="7"/>
      <c r="H987" s="7"/>
      <c r="I987" s="7"/>
      <c r="J987" s="7"/>
    </row>
    <row r="988" spans="4:10" ht="19.5" customHeight="1">
      <c r="D988" s="7"/>
      <c r="E988" s="7"/>
      <c r="F988" s="7"/>
      <c r="G988" s="7"/>
      <c r="H988" s="7"/>
      <c r="I988" s="7"/>
      <c r="J988" s="7"/>
    </row>
    <row r="989" spans="4:10" ht="19.5" customHeight="1">
      <c r="D989" s="7"/>
      <c r="E989" s="7"/>
      <c r="F989" s="7"/>
      <c r="G989" s="7"/>
      <c r="H989" s="7"/>
      <c r="I989" s="7"/>
      <c r="J989" s="7"/>
    </row>
    <row r="990" spans="4:10" ht="19.5" customHeight="1">
      <c r="D990" s="7"/>
      <c r="E990" s="7"/>
      <c r="F990" s="7"/>
      <c r="G990" s="7"/>
      <c r="H990" s="7"/>
      <c r="I990" s="7"/>
      <c r="J990" s="7"/>
    </row>
    <row r="991" spans="4:10" ht="19.5" customHeight="1">
      <c r="D991" s="7"/>
      <c r="E991" s="7"/>
      <c r="F991" s="7"/>
      <c r="G991" s="7"/>
      <c r="H991" s="7"/>
      <c r="I991" s="7"/>
      <c r="J991" s="7"/>
    </row>
    <row r="992" spans="4:10" ht="19.5" customHeight="1">
      <c r="D992" s="7"/>
      <c r="E992" s="7"/>
      <c r="F992" s="7"/>
      <c r="G992" s="7"/>
      <c r="H992" s="7"/>
      <c r="I992" s="7"/>
      <c r="J992" s="7"/>
    </row>
    <row r="993" spans="4:10" ht="19.5" customHeight="1">
      <c r="D993" s="7"/>
      <c r="E993" s="7"/>
      <c r="F993" s="7"/>
      <c r="G993" s="7"/>
      <c r="H993" s="7"/>
      <c r="I993" s="7"/>
      <c r="J993" s="7"/>
    </row>
    <row r="994" spans="4:10" ht="19.5" customHeight="1">
      <c r="D994" s="7"/>
      <c r="E994" s="7"/>
      <c r="F994" s="7"/>
      <c r="G994" s="7"/>
      <c r="H994" s="7"/>
      <c r="I994" s="7"/>
      <c r="J994" s="7"/>
    </row>
    <row r="995" spans="4:10" ht="19.5" customHeight="1">
      <c r="D995" s="7"/>
      <c r="E995" s="7"/>
      <c r="F995" s="7"/>
      <c r="G995" s="7"/>
      <c r="H995" s="7"/>
      <c r="I995" s="7"/>
      <c r="J995" s="7"/>
    </row>
    <row r="996" spans="4:10" ht="19.5" customHeight="1">
      <c r="D996" s="7"/>
      <c r="E996" s="7"/>
      <c r="F996" s="7"/>
      <c r="G996" s="7"/>
      <c r="H996" s="7"/>
      <c r="I996" s="7"/>
      <c r="J996" s="7"/>
    </row>
    <row r="997" spans="4:10" ht="19.5" customHeight="1">
      <c r="D997" s="7"/>
      <c r="E997" s="7"/>
      <c r="F997" s="7"/>
      <c r="G997" s="7"/>
      <c r="H997" s="7"/>
      <c r="I997" s="7"/>
      <c r="J997" s="7"/>
    </row>
    <row r="998" spans="4:10" ht="19.5" customHeight="1">
      <c r="D998" s="7"/>
      <c r="E998" s="7"/>
      <c r="F998" s="7"/>
      <c r="G998" s="7"/>
      <c r="H998" s="7"/>
      <c r="I998" s="7"/>
      <c r="J998" s="7"/>
    </row>
    <row r="999" spans="4:10" ht="19.5" customHeight="1">
      <c r="D999" s="7"/>
      <c r="E999" s="7"/>
      <c r="F999" s="7"/>
      <c r="G999" s="7"/>
      <c r="H999" s="7"/>
      <c r="I999" s="7"/>
      <c r="J999" s="7"/>
    </row>
    <row r="1000" spans="4:10" ht="19.5" customHeight="1">
      <c r="D1000" s="7"/>
      <c r="E1000" s="7"/>
      <c r="F1000" s="7"/>
      <c r="G1000" s="7"/>
      <c r="H1000" s="7"/>
      <c r="I1000" s="7"/>
      <c r="J1000" s="7"/>
    </row>
    <row r="1001" spans="4:10" ht="19.5" customHeight="1">
      <c r="D1001" s="7"/>
      <c r="E1001" s="7"/>
      <c r="F1001" s="7"/>
      <c r="G1001" s="7"/>
      <c r="H1001" s="7"/>
      <c r="I1001" s="7"/>
      <c r="J1001" s="7"/>
    </row>
    <row r="1002" spans="4:10" ht="15" customHeight="1">
      <c r="D1002" s="7"/>
      <c r="E1002" s="7"/>
      <c r="F1002" s="7"/>
      <c r="G1002" s="7"/>
      <c r="H1002" s="7"/>
      <c r="I1002" s="7"/>
    </row>
    <row r="1003" spans="4:10" ht="15" customHeight="1">
      <c r="D1003" s="7"/>
      <c r="E1003" s="7"/>
      <c r="F1003" s="7"/>
      <c r="G1003" s="7"/>
      <c r="H1003" s="7"/>
      <c r="I1003" s="7"/>
    </row>
    <row r="1004" spans="4:10" ht="12.75">
      <c r="D1004" s="7"/>
      <c r="E1004" s="7"/>
      <c r="F1004" s="7"/>
      <c r="G1004" s="7"/>
      <c r="H1004" s="7"/>
      <c r="I1004" s="7"/>
    </row>
    <row r="1005" spans="4:10" ht="12.75">
      <c r="D1005" s="7"/>
      <c r="E1005" s="7"/>
      <c r="F1005" s="7"/>
      <c r="G1005" s="7"/>
      <c r="H1005" s="7"/>
      <c r="I1005" s="7"/>
    </row>
    <row r="1006" spans="4:10" ht="12.75">
      <c r="D1006" s="7"/>
      <c r="E1006" s="7"/>
      <c r="F1006" s="7"/>
      <c r="G1006" s="7"/>
      <c r="H1006" s="7"/>
      <c r="I1006" s="7"/>
    </row>
    <row r="1007" spans="4:10" ht="12.75"/>
    <row r="1008" spans="4:10" ht="12.75"/>
    <row r="1009" ht="12.75"/>
    <row r="1010" ht="12.75"/>
    <row r="1011" ht="12.75"/>
    <row r="1012" ht="12.75"/>
  </sheetData>
  <mergeCells count="2">
    <mergeCell ref="D3:F3"/>
    <mergeCell ref="J28:J29"/>
  </mergeCells>
  <conditionalFormatting sqref="H9:H23">
    <cfRule type="cellIs" dxfId="1466" priority="50" operator="between">
      <formula>10.1</formula>
      <formula>"∞"</formula>
    </cfRule>
  </conditionalFormatting>
  <conditionalFormatting sqref="H9">
    <cfRule type="expression" dxfId="1465" priority="47">
      <formula>IF($H$9=0,TRUE,FALSE)</formula>
    </cfRule>
  </conditionalFormatting>
  <conditionalFormatting sqref="H10">
    <cfRule type="expression" dxfId="1464" priority="46">
      <formula>IF($H$10=0,TRUE,FALSE)</formula>
    </cfRule>
  </conditionalFormatting>
  <conditionalFormatting sqref="H11">
    <cfRule type="expression" dxfId="1463" priority="45">
      <formula>IF($H$11=0,TRUE,FALSE)</formula>
    </cfRule>
  </conditionalFormatting>
  <conditionalFormatting sqref="H12">
    <cfRule type="expression" dxfId="1462" priority="44">
      <formula>IF($H$12=0,TRUE,FALSE)</formula>
    </cfRule>
  </conditionalFormatting>
  <conditionalFormatting sqref="H13">
    <cfRule type="expression" dxfId="1461" priority="43">
      <formula>IF($H$13=0,TRUE,FALSE)</formula>
    </cfRule>
  </conditionalFormatting>
  <conditionalFormatting sqref="H14">
    <cfRule type="expression" dxfId="1460" priority="42">
      <formula>IF($H$14=0,TRUE,FALSE)</formula>
    </cfRule>
  </conditionalFormatting>
  <conditionalFormatting sqref="H15">
    <cfRule type="expression" dxfId="1459" priority="41">
      <formula>IF($H$15=0,TRUE,FALSE)</formula>
    </cfRule>
  </conditionalFormatting>
  <conditionalFormatting sqref="H16">
    <cfRule type="expression" dxfId="1458" priority="40">
      <formula>IF($H$16=0,TRUE,FALSE)</formula>
    </cfRule>
  </conditionalFormatting>
  <conditionalFormatting sqref="H17">
    <cfRule type="expression" dxfId="1457" priority="39">
      <formula>IF($H$17=0,TRUE,FALSE)</formula>
    </cfRule>
  </conditionalFormatting>
  <conditionalFormatting sqref="H18">
    <cfRule type="expression" dxfId="1456" priority="38">
      <formula>IF($H$18=0,TRUE,FALSE)</formula>
    </cfRule>
  </conditionalFormatting>
  <conditionalFormatting sqref="H19">
    <cfRule type="expression" dxfId="1455" priority="37">
      <formula>IF($H$19=0,TRUE,FALSE)</formula>
    </cfRule>
  </conditionalFormatting>
  <conditionalFormatting sqref="H20">
    <cfRule type="expression" dxfId="1454" priority="36">
      <formula>IF($H$20=0,TRUE,FALSE)</formula>
    </cfRule>
  </conditionalFormatting>
  <conditionalFormatting sqref="H21">
    <cfRule type="expression" dxfId="1453" priority="35">
      <formula>IF($H$21=0,TRUE,FALSE)</formula>
    </cfRule>
  </conditionalFormatting>
  <conditionalFormatting sqref="H22">
    <cfRule type="expression" dxfId="1452" priority="34">
      <formula>IF($H$22=0,TRUE,FALSE)</formula>
    </cfRule>
  </conditionalFormatting>
  <conditionalFormatting sqref="H23">
    <cfRule type="expression" dxfId="1451" priority="33">
      <formula>IF($H$23=0,TRUE,FALSE)</formula>
    </cfRule>
  </conditionalFormatting>
  <conditionalFormatting sqref="H6:H7">
    <cfRule type="expression" dxfId="1450" priority="1">
      <formula>IF($H$7&lt;&gt;"",TRUE,FALSE)</formula>
    </cfRule>
  </conditionalFormatting>
  <pageMargins left="0.5" right="0.5" top="0.75" bottom="0.75" header="0" footer="0"/>
  <pageSetup paperSize="9" orientation="portrait" r:id="rId1"/>
  <headerFooter>
    <oddFooter>&amp;C000000&amp;P</oddFooter>
  </headerFooter>
  <ignoredErrors>
    <ignoredError sqref="D9 D21:D23 D11:D12" calculatedColumn="1"/>
  </ignoredErrors>
  <drawing r:id="rId2"/>
  <legacyDrawing r:id="rId3"/>
  <tableParts count="1">
    <tablePart r:id="rId4"/>
  </tableParts>
  <extLst>
    <ext xmlns:x14="http://schemas.microsoft.com/office/spreadsheetml/2009/9/main" uri="{CCE6A557-97BC-4b89-ADB6-D9C93CAAB3DF}">
      <x14:dataValidations xmlns:xm="http://schemas.microsoft.com/office/excel/2006/main" count="2">
        <x14:dataValidation type="list" allowBlank="1" showInputMessage="1" showErrorMessage="1" xr:uid="{5903746D-4352-4808-A508-38ED5EBC6CFA}">
          <x14:formula1>
            <xm:f>'Funktions-Tabelle'!$M$5:$M$19</xm:f>
          </x14:formula1>
          <xm:sqref>D9:D23</xm:sqref>
        </x14:dataValidation>
        <x14:dataValidation type="list" allowBlank="1" showInputMessage="1" showErrorMessage="1" xr:uid="{17C9FEA2-31A9-4FD6-80CC-6E06220630B5}">
          <x14:formula1>
            <xm:f>'Funktions-Tabelle'!$A$5:$A$7</xm:f>
          </x14:formula1>
          <xm:sqref>I9:I23</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pageSetUpPr fitToPage="1"/>
  </sheetPr>
  <dimension ref="A1:AC906"/>
  <sheetViews>
    <sheetView showGridLines="0" tabSelected="1" zoomScale="66" zoomScaleNormal="66" workbookViewId="0">
      <selection activeCell="F11" sqref="F11"/>
    </sheetView>
  </sheetViews>
  <sheetFormatPr baseColWidth="10" defaultColWidth="9" defaultRowHeight="15" customHeight="1"/>
  <cols>
    <col min="1" max="1" width="37.85546875" style="9" customWidth="1"/>
    <col min="2" max="2" width="26.28515625" style="9" customWidth="1"/>
    <col min="3" max="21" width="18.7109375" customWidth="1"/>
    <col min="22" max="25" width="16.28515625" customWidth="1"/>
    <col min="26" max="26" width="15.5703125" customWidth="1"/>
    <col min="27" max="256" width="14" customWidth="1"/>
  </cols>
  <sheetData>
    <row r="1" spans="1:26" ht="45" customHeight="1"/>
    <row r="2" spans="1:26" ht="37.5" customHeight="1" thickBot="1"/>
    <row r="3" spans="1:26" ht="37.5" customHeight="1">
      <c r="A3" s="1014"/>
      <c r="B3" s="1014"/>
      <c r="C3" s="1014"/>
      <c r="D3" s="1014"/>
      <c r="E3" s="1014"/>
      <c r="F3" s="1014"/>
      <c r="G3" s="1014"/>
      <c r="K3" s="977" t="str" cm="1">
        <f t="array" aca="1" ref="K3" ca="1">"Training Heute: "&amp;IF(OR(INDEX(Kalender!$B$6:$H$18,(IF(ISNA(MATCH(TODAY(),Kalender!$B$6:$B$18,0)),IF(ISNA(MATCH(TODAY(),Kalender!$C$6:$C$18,0)),IF(ISNA(MATCH(TODAY(),Kalender!$D$6:$D$18,0)),IF(ISNA(MATCH(TODAY(),Kalender!$E$6:$E$18,0)),IF(ISNA(MATCH(TODAY(),Kalender!$F$6:$F$18,0)),IF(ISNA(MATCH(TODAY(),Kalender!$G$6:$G$18,0)),IF(ISNA(MATCH(TODAY(),Kalender!$H$6:$H$18,0)),"NV",MATCH(TODAY(),Kalender!$H$6:$H$18,0)),MATCH(TODAY(),Kalender!$G$6:$G$18,0)),MATCH(TODAY(),Kalender!$F$6:$F$18,0)),MATCH(TODAY(),Kalender!$E$6:$E$18,0)),MATCH(TODAY(),Kalender!$D$6:$D$18,0)),MATCH(TODAY(),Kalender!$C$6:$C$18,0)),MATCH(TODAY(),Kalender!$B$6:$B$18,0))+1),IF(ISNA(MATCH(TODAY(),Kalender!$B$7:$H$7,0)),IF(ISNA(MATCH(TODAY(),Kalender!$B$9:$H$9,0)),IF(ISNA(MATCH(TODAY(),Kalender!$B$11:$H$11,0)),IF(ISNA(MATCH(TODAY(),Kalender!$B$13:$H$13,0)),IF(ISNA(MATCH(TODAY(),Kalender!$B$15:$H$15,0)),IF(ISNA(MATCH(TODAY(),Kalender!$B$17:$H$17,0)),"NV",MATCH(TODAY(),Kalender!$B$17:$H$17,0)),MATCH(TODAY(),Kalender!$B$15:$H$15,0)),MATCH(TODAY(),Kalender!$B$13:$H$13,0)),MATCH(TODAY(),Kalender!$B$11:$H$11,0)),MATCH(TODAY(),Kalender!$B$9:$H$9,0)),MATCH(TODAY(),Kalender!$B$7:$H$7,0)))="Frei",INDEX(Kalender!$B$6:$H$18,(IF(ISNA(MATCH(TODAY(),Kalender!$B$6:$B$18,0)),IF(ISNA(MATCH(TODAY(),Kalender!$C$6:$C$18,0)),IF(ISNA(MATCH(TODAY(),Kalender!$D$6:$D$18,0)),IF(ISNA(MATCH(TODAY(),Kalender!$E$6:$E$18,0)),IF(ISNA(MATCH(TODAY(),Kalender!$F$6:$F$18,0)),IF(ISNA(MATCH(TODAY(),Kalender!$G$6:$G$18,0)),IF(ISNA(MATCH(TODAY(),Kalender!$H$6:$H$18,0)),"NV",MATCH(TODAY(),Kalender!$H$6:$H$18,0)),MATCH(TODAY(),Kalender!$G$6:$G$18,0)),MATCH(TODAY(),Kalender!$F$6:$F$18,0)),MATCH(TODAY(),Kalender!$E$6:$E$18,0)),MATCH(TODAY(),Kalender!$D$6:$D$18,0)),MATCH(TODAY(),Kalender!$C$6:$C$18,0)),MATCH(TODAY(),Kalender!$B$6:$B$18,0))+1),IF(ISNA(MATCH(TODAY(),Kalender!$B$7:$H$7,0)),IF(ISNA(MATCH(TODAY(),Kalender!$B$9:$H$9,0)),IF(ISNA(MATCH(TODAY(),Kalender!$B$11:$H$11,0)),IF(ISNA(MATCH(TODAY(),Kalender!$B$13:$H$13,0)),IF(ISNA(MATCH(TODAY(),Kalender!$B$15:$H$15,0)),IF(ISNA(MATCH(TODAY(),Kalender!$B$17:$H$17,0)),"NV",MATCH(TODAY(),Kalender!$B$17:$H$17,0)),MATCH(TODAY(),Kalender!$B$15:$H$15,0)),MATCH(TODAY(),Kalender!$B$13:$H$13,0)),MATCH(TODAY(),Kalender!$B$11:$H$11,0)),MATCH(TODAY(),Kalender!$B$9:$H$9,0)),MATCH(TODAY(),Kalender!$B$7:$H$7,0)))="Skip",INDEX(Kalender!$B$6:$H$18,(IF(ISNA(MATCH(TODAY(),Kalender!$B$6:$B$18,0)),IF(ISNA(MATCH(TODAY(),Kalender!$C$6:$C$18,0)),IF(ISNA(MATCH(TODAY(),Kalender!$D$6:$D$18,0)),IF(ISNA(MATCH(TODAY(),Kalender!$E$6:$E$18,0)),IF(ISNA(MATCH(TODAY(),Kalender!$F$6:$F$18,0)),IF(ISNA(MATCH(TODAY(),Kalender!$G$6:$G$18,0)),IF(ISNA(MATCH(TODAY(),Kalender!$H$6:$H$18,0)),"NV",MATCH(TODAY(),Kalender!$H$6:$H$18,0)),MATCH(TODAY(),Kalender!$G$6:$G$18,0)),MATCH(TODAY(),Kalender!$F$6:$F$18,0)),MATCH(TODAY(),Kalender!$E$6:$E$18,0)),MATCH(TODAY(),Kalender!$D$6:$D$18,0)),MATCH(TODAY(),Kalender!$C$6:$C$18,0)),MATCH(TODAY(),Kalender!$B$6:$B$18,0))+1),IF(ISNA(MATCH(TODAY(),Kalender!$B$7:$H$7,0)),IF(ISNA(MATCH(TODAY(),Kalender!$B$9:$H$9,0)),IF(ISNA(MATCH(TODAY(),Kalender!$B$11:$H$11,0)),IF(ISNA(MATCH(TODAY(),Kalender!$B$13:$H$13,0)),IF(ISNA(MATCH(TODAY(),Kalender!$B$15:$H$15,0)),IF(ISNA(MATCH(TODAY(),Kalender!$B$17:$H$17,0)),"NV",MATCH(TODAY(),Kalender!$B$17:$H$17,0)),MATCH(TODAY(),Kalender!$B$15:$H$15,0)),MATCH(TODAY(),Kalender!$B$13:$H$13,0)),MATCH(TODAY(),Kalender!$B$11:$H$11,0)),MATCH(TODAY(),Kalender!$B$9:$H$9,0)),MATCH(TODAY(),Kalender!$B$7:$H$7,0)))="Keine Zeit"),                                                                                                                                                                                                           "Trainingsfrei",INDEX(Kalender!$B$6:$H$18,(IF(ISNA(MATCH(TODAY(),Kalender!$B$6:$B$18,0)),IF(ISNA(MATCH(TODAY(),Kalender!$C$6:$C$18,0)),IF(ISNA(MATCH(TODAY(),Kalender!$D$6:$D$18,0)),IF(ISNA(MATCH(TODAY(),Kalender!$E$6:$E$18,0)),IF(ISNA(MATCH(TODAY(),Kalender!$F$6:$F$18,0)),IF(ISNA(MATCH(TODAY(),Kalender!$G$6:$G$18,0)),IF(ISNA(MATCH(TODAY(),Kalender!$H$6:$H$18,0)),"NV",MATCH(TODAY(),Kalender!$H$6:$H$18,0)),MATCH(TODAY(),Kalender!$G$6:$G$18,0)),MATCH(TODAY(),Kalender!$F$6:$F$18,0)),MATCH(TODAY(),Kalender!$E$6:$E$18,0)),MATCH(TODAY(),Kalender!$D$6:$D$18,0)),MATCH(TODAY(),Kalender!$C$6:$C$18,0)),MATCH(TODAY(),Kalender!$B$6:$B$18,0))+1),IF(ISNA(MATCH(TODAY(),Kalender!$B$7:$H$7,0)),IF(ISNA(MATCH(TODAY(),Kalender!$B$9:$H$9,0)),IF(ISNA(MATCH(TODAY(),Kalender!$B$11:$H$11,0)),IF(ISNA(MATCH(TODAY(),Kalender!$B$13:$H$13,0)),IF(ISNA(MATCH(TODAY(),Kalender!$B$15:$H$15,0)),IF(ISNA(MATCH(TODAY(),Kalender!$B$17:$H$17,0)),"NV",MATCH(TODAY(),Kalender!$B$17:$H$17,0)),MATCH(TODAY(),Kalender!$B$15:$H$15,0)),MATCH(TODAY(),Kalender!$B$13:$H$13,0)),MATCH(TODAY(),Kalender!$B$11:$H$11,0)),MATCH(TODAY(),Kalender!$B$9:$H$9,0)),MATCH(TODAY(),Kalender!$B$7:$H$7,0))))</f>
        <v>Training Heute: Trainingsfrei</v>
      </c>
      <c r="L3" s="978"/>
      <c r="M3" s="978"/>
      <c r="N3" s="979"/>
      <c r="O3" s="983" t="str">
        <f ca="1">IF(OR($AB$24="",$AB$24="Frei",$AB$24="Skip",$AB$24="Keine Zeit"),"",IF(AND(Dashboard!$C$31="4 Wochen",VALUE($AB$23)=1),"A",IF(AND(Dashboard!$C$31="4 Wochen",VALUE($AB$23)=2),"C",IF(AND(Dashboard!$C$31="4 Wochen",VALUE($AB$23)=3),"D",IF(AND(Dashboard!$C$31="4 Wochen",VALUE($AB$23)=4),"E",IF(AND(Dashboard!$C$31="5 Wochen",VALUE($AB$23)=1),"A",IF(AND(Dashboard!$C$31="5 Wochen",VALUE($AB$23)=2),"B",IF(AND(Dashboard!$C$31="5 Wochen",VALUE($AB$23)=3),"C",IF(AND(Dashboard!$C$31="5 Wochen",VALUE($AB$23)=4),"D",IF(AND(Dashboard!$C$31="5 Wochen",VALUE($AB$23)=5),"E",IF(AND(Dashboard!$C$31="6 Wochen",VALUE($AB$23)=1),"A",IF(AND(Dashboard!$C$31="6 Wochen",VALUE($AB$23)=2),"B",IF(AND(Dashboard!$C$31="6 Wochen",VALUE($AB$23)=3),"C",IF(AND(Dashboard!$C$31="6 Wochen",VALUE($AB$23)=4),"C",IF(AND(Dashboard!$C$31="6 Wochen",VALUE($AB$23)=5),"D",IF(AND(Dashboard!$C$31="6 Wochen",VALUE($AB$23)=6),"E",IF(AND(Dashboard!$C$31="7 Wochen",VALUE($AB$23)=1),"A",IF(AND(Dashboard!$C$31="7 Wochen",VALUE($AB$23)=2),"B",IF(AND(Dashboard!$C$31="7 Wochen",VALUE($AB$23)=3),"B",IF(AND(Dashboard!$C$31="7 Wochen",VALUE($AB$23)=4),"C",IF(AND(Dashboard!$C$31="7 Wochen",VALUE($AB$23)=5),"C",IF(AND(Dashboard!$C$31="7 Wochen",VALUE($AB$23)=6),"D",IF(AND(Dashboard!$C$31="7 Wochen",VALUE($AB$23)=7),"E",IF(AND(Dashboard!$C$31="8 Wochen",VALUE($AB$23)=1),"A",IF(AND(Dashboard!$C$31="8 Wochen",VALUE($AB$23)=2),"B",IF(AND(Dashboard!$C$31="8 Wochen",VALUE($AB$23)=3),"B",IF(AND(Dashboard!$C$31="8 Wochen",VALUE($AB$23)=4),"B",IF(AND(Dashboard!$C$31="8 Wochen",VALUE($AB$23)=5),"C",IF(AND(Dashboard!$C$31="8 Wochen",VALUE($AB$23)=6),"C",IF(AND(Dashboard!$C$31="8 Wochen",VALUE($AB$23)=7),"D",IF(AND(Dashboard!$C$31="8 Wochen",VALUE($AB$23)=8),"E","ZYKLUS -DAUER?"))))))))))))))))))))))))))))))&amp;IF($AB$24=$A$13,"1",IF($AB$24=$A$24,"2",IF($AB$24=$A$32,"3",IF($AB$24=$A$44,"4",IF($AB$24=$A$54,"5",IF($AB$24=$A$66,"6","Frei")))))))</f>
        <v/>
      </c>
      <c r="Q3" s="977" t="str">
        <f ca="1">"WOCHE "&amp;$AB$23&amp;" "&amp;IF(AND(Dashboard!$C$31="4 Wochen",VALUE($AB$23)=1),"INTRO WEEK",IF(AND(Dashboard!$C$31="4 Wochen",VALUE($AB$23)=2),"AKKUMULATION ",IF(AND(Dashboard!$C$31="4 Wochen",VALUE($AB$23)=3),"OVERLOAD",IF(AND(Dashboard!$C$31="4 Wochen",VALUE($AB$23)=4),"DELOAD",IF(AND(Dashboard!$C$31="5 Wochen",VALUE($AB$23)=1),"INTRO WEEK",IF(AND(Dashboard!$C$31="5 Wochen",VALUE($AB$23)=2),"AKKUMULATION 1",IF(AND(Dashboard!$C$31="5 Wochen",VALUE($AB$23)=3),"AKKUMULATION 2",IF(AND(Dashboard!$C$31="5 Wochen",VALUE($AB$23)=4),"OVERLOAD",IF(AND(Dashboard!$C$31="5 Wochen",VALUE($AB$23)=5),"DELOAD",IF(AND(Dashboard!$C$31="6 Wochen",VALUE($AB$23)=1),"INTRO WEEK",IF(AND(Dashboard!$C$31="6 Wochen",VALUE($AB$23)=2),"AKKUMULATION",IF(AND(Dashboard!$C$31="6 Wochen",VALUE($AB$23)=3),"AKKUMULATION",IF(AND(Dashboard!$C$31="6 Wochen",VALUE($AB$23)=4),"AKKUMULATION",IF(AND(Dashboard!$C$31="6 Wochen",VALUE($AB$23)=5),"OVERLOAD",IF(AND(Dashboard!$C$31="6 Wochen",VALUE($AB$23)=6),"DELOAD",IF(AND(Dashboard!$C$31="7 Wochen",VALUE($AB$23)=1),"INTRO WEEK",IF(AND(Dashboard!$C$31="7 Wochen",VALUE($AB$23)=2),"AKKUMULATION",IF(AND(Dashboard!$C$31="7 Wochen",VALUE($AB$23)=3),"AKKUMULATION",IF(AND(Dashboard!$C$31="7 Wochen",VALUE($AB$23)=4),"AKKUMULATION",IF(AND(Dashboard!$C$31="7 Wochen",VALUE($AB$23)=5),"AKKUMULATION",IF(AND(Dashboard!$C$31="7 Wochen",VALUE($AB$23)=6),"OVERLOAD",IF(AND(Dashboard!$C$31="7 Wochen",VALUE($AB$23)=7),"DELOAD",IF(AND(Dashboard!$C$31="8 Wochen",VALUE($AB$23)=1),"INTRO WEEK",IF(AND(Dashboard!$C$31="8 Wochen",VALUE($AB$23)=2),"AKKUMULATION",IF(AND(Dashboard!$C$31="8 Wochen",VALUE($AB$23)=3),"AKKUMULATION",IF(AND(Dashboard!$C$31="8 Wochen",VALUE($AB$23)=4),"AKKUMULATION",IF(AND(Dashboard!$C$31="8 Wochen",VALUE($AB$23)=5),"AKKUMULATION",IF(AND(Dashboard!$C$31="8 Wochen",VALUE($AB$23)=6),"AKKUMULATION",IF(AND(Dashboard!$C$31="8 Wochen",VALUE($AB$23)=7),"OVERLOAD",IF(AND(Dashboard!$C$31="8 Wochen",VALUE($AB$23)=8),"DELOAD","ZYKLUS -DAUER?"))))))))))))))))))))))))))))))</f>
        <v>WOCHE 1 INTRO WEEK</v>
      </c>
      <c r="R3" s="978"/>
      <c r="S3" s="978"/>
      <c r="T3" s="979"/>
      <c r="V3" s="969">
        <f ca="1">NOW()</f>
        <v>43951.664176157406</v>
      </c>
      <c r="W3" s="970"/>
      <c r="X3" s="970"/>
      <c r="Y3" s="971"/>
    </row>
    <row r="4" spans="1:26" ht="20.25" customHeight="1" thickBot="1">
      <c r="A4" s="1014"/>
      <c r="B4" s="1014"/>
      <c r="C4" s="1014"/>
      <c r="D4" s="1014"/>
      <c r="E4" s="1014"/>
      <c r="F4" s="1014"/>
      <c r="G4" s="1014"/>
      <c r="K4" s="980"/>
      <c r="L4" s="981"/>
      <c r="M4" s="981"/>
      <c r="N4" s="982"/>
      <c r="O4" s="984"/>
      <c r="Q4" s="980"/>
      <c r="R4" s="981"/>
      <c r="S4" s="981"/>
      <c r="T4" s="982"/>
      <c r="V4" s="972"/>
      <c r="W4" s="973"/>
      <c r="X4" s="973"/>
      <c r="Y4" s="974"/>
    </row>
    <row r="5" spans="1:26" ht="20.25" customHeight="1">
      <c r="A5" s="328"/>
      <c r="B5" s="328"/>
      <c r="C5" s="328"/>
      <c r="D5" s="328"/>
      <c r="E5" s="328"/>
      <c r="F5" s="328"/>
      <c r="G5" s="328"/>
    </row>
    <row r="6" spans="1:26" ht="20.25" customHeight="1" thickBot="1">
      <c r="A6" s="327"/>
      <c r="B6" s="327"/>
      <c r="C6" s="327"/>
      <c r="D6" s="327"/>
      <c r="E6" s="327"/>
      <c r="F6" s="327"/>
      <c r="N6" s="858"/>
      <c r="O6" s="858"/>
    </row>
    <row r="7" spans="1:26" ht="26.1" customHeight="1">
      <c r="A7" s="624"/>
      <c r="B7" s="905"/>
      <c r="D7" s="1237" t="str">
        <f ca="1">IF(AND(Dashboard!$C$31="4 Wochen",Zyklus!$AB$23=1),"↓",IF(AND(Dashboard!$C$31="5 Wochen",Zyklus!$AB$23=1),"↓",IF(AND(Dashboard!$C$31="6 Wochen",Zyklus!$AB$23=1),"↓",IF(AND(Dashboard!$C$31="7 Wochen",Zyklus!$AB$23=1),"↓",IF(AND(Dashboard!$C$31="8 Wochen",Zyklus!$AB$23=1),"↓","")))))</f>
        <v>↓</v>
      </c>
      <c r="E7" s="327"/>
      <c r="F7" s="915"/>
      <c r="G7" s="915"/>
      <c r="H7" s="1236" t="str">
        <f ca="1">IF(AND(Dashboard!$C$31="5 Wochen",$AB$23=2),"↓",IF(AND(Dashboard!$C$31="6 Wochen",$AB$23=2),"↓",IF(AND(Dashboard!$C$31="7 Wochen",OR($AB$23=2,$AB$23=3)),TRUE,IF(AND(Dashboard!$C$31="8 Wochen",OR($AB$23=2,$AB$23=3)),"↓",""))))</f>
        <v/>
      </c>
      <c r="I7" s="915"/>
      <c r="J7" s="915"/>
      <c r="K7" s="915"/>
      <c r="L7" s="1235" t="str">
        <f ca="1">IF(AND(Dashboard!$C$31="4 Wochen",$AB$23=2),"↓",IF(AND(Dashboard!$C$31="5 Wochen",$AB$23=3),"↓",IF(AND(Dashboard!$C$31="6 Wochen",OR($AB$23=3,$AB$23=4)),"↓",IF(AND(Dashboard!$C$31="7 Wochen",OR($AB$23=4,$AB$23=5)),"↓",IF(AND(Dashboard!$C$31="8 Wochen",OR($AB$23=4,$AB$23=5,$AB$23=6)),"↓","")))))</f>
        <v/>
      </c>
      <c r="N7" s="858"/>
      <c r="O7" s="858"/>
      <c r="P7" s="1232" t="str">
        <f ca="1">IF(AND(Dashboard!$C$31="4 Wochen",Zyklus!$AB$23=3),"↓",IF(AND(Dashboard!$C$31="5 Wochen",Zyklus!$AB$23=4),"↓",IF(AND(Dashboard!$C$31="6 Wochen",Zyklus!$AB$23=5),"↓",IF(AND(Dashboard!$C$31="7 Wochen",Zyklus!$AB$23=6),"↓",IF(AND(Dashboard!$C$31="8 Wochen",Zyklus!$AB$23=7),"↓","")))))</f>
        <v/>
      </c>
      <c r="R7" s="1238"/>
      <c r="T7" s="1223" t="str">
        <f ca="1">IF(AND(Dashboard!$C$31="4 Wochen",Zyklus!$AB$23=4),"↓",IF(AND(Dashboard!$C$31="5 Wochen",Zyklus!$AB$23=5),"↓",IF(AND(Dashboard!$C$31="6 Wochen",Zyklus!$AB$23=6),"↓",IF(AND(Dashboard!$C$31="7 Wochen",Zyklus!$AB$23=7),"↓",IF(AND(Dashboard!$C$31="8 Wochen",Zyklus!$AB$23=8),"↓","")))))</f>
        <v/>
      </c>
      <c r="V7" s="963" t="str">
        <f>"Anzahl Zyklen ab Start "</f>
        <v xml:space="preserve">Anzahl Zyklen ab Start </v>
      </c>
      <c r="W7" s="964"/>
      <c r="X7" s="965"/>
      <c r="Y7" s="975">
        <f ca="1">$AB$21</f>
        <v>0</v>
      </c>
    </row>
    <row r="8" spans="1:26" ht="26.1" customHeight="1" thickBot="1">
      <c r="A8" s="327"/>
      <c r="B8" s="908">
        <f ca="1">MATCH($A13,OFFSET(Kalender!B6,$AB$25,0))+1</f>
        <v>2</v>
      </c>
      <c r="C8" s="327"/>
      <c r="D8" s="1237"/>
      <c r="E8" s="327"/>
      <c r="F8" s="915"/>
      <c r="G8" s="915"/>
      <c r="H8" s="1236"/>
      <c r="I8" s="915"/>
      <c r="J8" s="915"/>
      <c r="K8" s="915"/>
      <c r="L8" s="1235"/>
      <c r="O8" s="921"/>
      <c r="P8" s="1232"/>
      <c r="R8" s="1238"/>
      <c r="T8" s="1223"/>
      <c r="V8" s="966"/>
      <c r="W8" s="967"/>
      <c r="X8" s="968"/>
      <c r="Y8" s="976"/>
    </row>
    <row r="9" spans="1:26" ht="26.1" customHeight="1">
      <c r="D9" s="1237"/>
      <c r="F9" s="915"/>
      <c r="G9" s="915"/>
      <c r="H9" s="1236"/>
      <c r="I9" s="915"/>
      <c r="J9" s="915"/>
      <c r="K9" s="915"/>
      <c r="L9" s="1235"/>
      <c r="N9" s="858"/>
      <c r="O9" s="858"/>
      <c r="P9" s="1232"/>
      <c r="R9" s="1238"/>
      <c r="T9" s="1223"/>
      <c r="W9" s="646"/>
    </row>
    <row r="10" spans="1:26" ht="39.950000000000003" customHeight="1">
      <c r="A10" s="907"/>
      <c r="B10" s="907"/>
      <c r="C10" s="1224" t="s">
        <v>80</v>
      </c>
      <c r="D10" s="1224"/>
      <c r="E10" s="1224"/>
      <c r="F10" s="909"/>
      <c r="G10" s="1224" t="str">
        <f>IF(Dashboard!$C$31="4 Wochen","&gt;&gt;&gt;&gt;",IF(Dashboard!$C$31="5 Wochen","WOCHE 2: MAV",IF(Dashboard!$C$31="6 Wochen","WOCHE 2: MAV",IF(Dashboard!$C$31="7 Wochen","WOCHE 2-3: MAV",IF(Dashboard!$C$31="8 Wochen","WOCHE 2-3: MAV","Dauer des Meso-Zyklus?")))))</f>
        <v>WOCHE 2: MAV</v>
      </c>
      <c r="H10" s="1225"/>
      <c r="I10" s="1225"/>
      <c r="J10" s="7"/>
      <c r="K10" s="1226" t="str">
        <f>IF(Dashboard!$C$31="4 Wochen","WOCHE 2: MAV",IF(Dashboard!$C$31="5 Wochen","WOCHE 3: MAV",IF(Dashboard!$C$31="6 Wochen","WOCHE 3-4: MAV",IF(Dashboard!$C$31="7 Wochen","WOCHE 4-5: MAV",IF(Dashboard!$C$31="8 Wochen","WOCHE 4-6: MAV","Dauer des Meso-Zyklus?")))))</f>
        <v>WOCHE 3: MAV</v>
      </c>
      <c r="L10" s="1227"/>
      <c r="M10" s="1227"/>
      <c r="N10" s="7"/>
      <c r="O10" s="1224" t="str">
        <f>IF(Dashboard!$C$31="4 Wochen","WOCHE 3: MRV",IF(Dashboard!$C$31="5 Wochen","WOCHE 4: MRV",IF(Dashboard!$C$31="6 Wochen","WOCHE 5: MRV",IF(Dashboard!$C$31="7 Wochen","WOCHE 6: MRV",IF(Dashboard!$C$31="8 Wochen","WOCHE 7: MRV","Dauer des Meso-Zyklus?")))))</f>
        <v>WOCHE 4: MRV</v>
      </c>
      <c r="P10" s="1225"/>
      <c r="Q10" s="1225"/>
      <c r="R10" s="7"/>
      <c r="S10" s="1224" t="str">
        <f>IF(Dashboard!$C$31="4 Wochen","WOCHE 4: MV",IF(Dashboard!$C$31="5 Wochen","WOCHE 5: MV",IF(Dashboard!$C$31="6 Wochen","WOCHE 6: MV",IF(Dashboard!$C$31="7 Wochen","WOCHE 7: MV",IF(Dashboard!$C$31="8 Wochen","WOCHE 8: MV","Dauer des Meso-Zyklus?")))))</f>
        <v>WOCHE 5: MV</v>
      </c>
      <c r="T10" s="1225"/>
      <c r="U10" s="1225"/>
      <c r="V10" s="7"/>
      <c r="W10" s="646"/>
      <c r="X10" s="7"/>
      <c r="Y10" s="7"/>
    </row>
    <row r="11" spans="1:26" ht="39.950000000000003" customHeight="1">
      <c r="A11" s="10"/>
      <c r="B11" s="10"/>
      <c r="C11" s="1224" t="s">
        <v>78</v>
      </c>
      <c r="D11" s="1224"/>
      <c r="E11" s="1224"/>
      <c r="F11" s="896"/>
      <c r="G11" s="1224" t="str">
        <f>IF(Dashboard!$C$31="4 Wochen","",IF(Dashboard!$C$31="5 Wochen","AKKUMULATION 1",IF(Dashboard!$C$31="6 Wochen","AKKUMULATION ",IF(Dashboard!$C$31="7 Wochen","AKKUMULATION ",IF(Dashboard!$C$31="8 Wochen","AKKUMULATION ","Dauer des Meso-Zyklus?")))))</f>
        <v>AKKUMULATION 1</v>
      </c>
      <c r="H11" s="1225"/>
      <c r="I11" s="1225"/>
      <c r="J11" s="7"/>
      <c r="K11" s="1226" t="str">
        <f>IF(Dashboard!$C$31="4 Wochen","AKKUMULATION ",IF(Dashboard!$C$31="5 Wochen","AKKUMULATION 2",IF(Dashboard!$C$31="6 Wochen","AKKUMULATION ",IF(Dashboard!$C$31="7 Wochen","AKKUMULATION ",IF(Dashboard!$C$31="8 Wochen","AKKUMULATION ","Dauer des Meso-Zyklus?")))))</f>
        <v>AKKUMULATION 2</v>
      </c>
      <c r="L11" s="1227"/>
      <c r="M11" s="1227"/>
      <c r="N11" s="7"/>
      <c r="O11" s="1224" t="s">
        <v>434</v>
      </c>
      <c r="P11" s="1225"/>
      <c r="Q11" s="1225"/>
      <c r="R11" s="7"/>
      <c r="S11" s="1224" t="s">
        <v>79</v>
      </c>
      <c r="T11" s="1231"/>
      <c r="U11" s="1231"/>
      <c r="V11" s="7"/>
      <c r="W11" s="7"/>
      <c r="Y11" s="1232"/>
      <c r="Z11" s="1233"/>
    </row>
    <row r="12" spans="1:26" ht="26.1" customHeight="1">
      <c r="A12" s="10"/>
      <c r="B12" s="10"/>
      <c r="C12" s="11"/>
      <c r="G12" s="892"/>
      <c r="H12" s="893"/>
      <c r="I12" s="893"/>
      <c r="J12" s="7"/>
      <c r="K12" s="12"/>
      <c r="N12" s="7"/>
      <c r="O12" s="12"/>
      <c r="R12" s="8"/>
      <c r="S12" s="12"/>
      <c r="V12" s="7"/>
      <c r="W12" s="7"/>
      <c r="Y12" s="1232"/>
      <c r="Z12" s="1233"/>
    </row>
    <row r="13" spans="1:26" ht="33.950000000000003" customHeight="1" thickBot="1">
      <c r="A13" s="876" t="s">
        <v>49</v>
      </c>
      <c r="B13" s="914" cm="1">
        <f t="array" aca="1" ref="B13" ca="1">IF(INDEX(Kalender!$B$6:$H$18,Zyklus!$AB$25,1)=$A13,INDEX(Kalender!$B$6:$H$18,Zyklus!$AB$25-1,1),IF(INDEX(Kalender!$B$6:$H$18,Zyklus!$AB$25,2)=$A13,INDEX(Kalender!$B$6:$H$18,Zyklus!$AB$25-1,2),IF(INDEX(Kalender!$B$6:$H$18,Zyklus!$AB$25,3)=$A13,INDEX(Kalender!$B$6:$H$18,Zyklus!$AB$25-1,3),IF(INDEX(Kalender!$B$6:$H$18,Zyklus!$AB$25,4)=$A13,INDEX(Kalender!$B$6:$H$18,Zyklus!$AB$25-1,4),IF(INDEX(Kalender!$B$6:$H$18,Zyklus!$AB$25,5)=$A13,INDEX(Kalender!$B$6:$H$18,Zyklus!$AB$25-1,5),IF(INDEX(Kalender!$B$6:$H$18,Zyklus!$AB$25,6)=$A13,INDEX(Kalender!$B$6:$H$18,Zyklus!$AB$25-1,6),IF(INDEX(Kalender!$B$6:$H$18,Zyklus!$AB$25,7)=$A13,INDEX(Kalender!$B$6:$H$18,Zyklus!$AB$25-1,7),"Kalender?")))))))</f>
        <v>43949</v>
      </c>
      <c r="C13" s="962" t="s">
        <v>50</v>
      </c>
      <c r="D13" s="962"/>
      <c r="E13" s="962"/>
      <c r="F13" s="910"/>
      <c r="G13" s="962" t="s">
        <v>51</v>
      </c>
      <c r="H13" s="962"/>
      <c r="I13" s="962"/>
      <c r="J13" s="13"/>
      <c r="K13" s="962" t="s">
        <v>52</v>
      </c>
      <c r="L13" s="962"/>
      <c r="M13" s="962"/>
      <c r="N13" s="13"/>
      <c r="O13" s="962" t="s">
        <v>53</v>
      </c>
      <c r="P13" s="962"/>
      <c r="Q13" s="962"/>
      <c r="R13" s="14"/>
      <c r="S13" s="962" t="s">
        <v>54</v>
      </c>
      <c r="T13" s="962"/>
      <c r="U13" s="962"/>
      <c r="V13" s="7"/>
      <c r="W13" s="7"/>
      <c r="X13" s="7"/>
      <c r="Y13" s="1232"/>
      <c r="Z13" s="1233"/>
    </row>
    <row r="14" spans="1:26" ht="26.1" customHeight="1" thickTop="1" thickBot="1">
      <c r="A14" s="664" t="s">
        <v>0</v>
      </c>
      <c r="B14" s="664" t="s">
        <v>1</v>
      </c>
      <c r="C14" s="665" t="s">
        <v>55</v>
      </c>
      <c r="D14" s="666" t="s">
        <v>56</v>
      </c>
      <c r="E14" s="665" t="s">
        <v>57</v>
      </c>
      <c r="F14" s="317"/>
      <c r="G14" s="884" t="s">
        <v>55</v>
      </c>
      <c r="H14" s="885" t="s">
        <v>56</v>
      </c>
      <c r="I14" s="886" t="s">
        <v>57</v>
      </c>
      <c r="J14" s="13"/>
      <c r="K14" s="665" t="s">
        <v>55</v>
      </c>
      <c r="L14" s="665" t="s">
        <v>56</v>
      </c>
      <c r="M14" s="665" t="s">
        <v>57</v>
      </c>
      <c r="N14" s="13"/>
      <c r="O14" s="665" t="s">
        <v>55</v>
      </c>
      <c r="P14" s="665" t="s">
        <v>56</v>
      </c>
      <c r="Q14" s="665" t="s">
        <v>57</v>
      </c>
      <c r="R14" s="15"/>
      <c r="S14" s="665" t="s">
        <v>55</v>
      </c>
      <c r="T14" s="665" t="s">
        <v>56</v>
      </c>
      <c r="U14" s="665" t="s">
        <v>57</v>
      </c>
      <c r="Y14" s="1230"/>
    </row>
    <row r="15" spans="1:26" ht="26.1" customHeight="1" thickTop="1" thickBot="1">
      <c r="A15" s="668" t="s">
        <v>5</v>
      </c>
      <c r="B15" s="668" t="str">
        <f>IF(ISNA(IF(ISBLANK(VLOOKUP($A15,Übungsübersicht!$E$8:$F$83,2,FALSE)),"Muskelgruppe Auswählen",VLOOKUP($A15,Übungsübersicht!$E$8:$F$83,2,FALSE))),"Übung?",IF(ISBLANK(VLOOKUP($A15,Übungsübersicht!$E$8:$F$83,2,FALSE)),"Muskelgruppe Auswählen",VLOOKUP($A15,Übungsübersicht!$E$8:$F$83,2,FALSE)))</f>
        <v>Brust</v>
      </c>
      <c r="C15" s="670">
        <v>3</v>
      </c>
      <c r="D15" s="671">
        <f>IF(ISNA(IF($C15=0,"0",IF(VLOOKUP($A15,Übungsübersicht!$E$7:$K$83,4,FALSE)&lt;1,"RPE 7",VLOOKUP($A15,Übungsübersicht!$E$7:$K$83,4,FALSE)))),"Übung?",IF($C15=0,"0",IF(VLOOKUP($A15,Übungsübersicht!$E$7:$K$83,4,FALSE)&lt;1,"RPE 7",VLOOKUP($A15,Übungsübersicht!$E$7:$K$83,4,FALSE))))</f>
        <v>8</v>
      </c>
      <c r="E15" s="672" cm="1">
        <f t="array" ref="E15">IF(IFERROR((IF(ISNA(IF((IF(VLOOKUP($A15,Übungsübersicht!$E$6:$K$82,7,FALSE)="OK",(MROUND(((INDEX($A$1:$U$68,(ROW(E15)),17))*$Q$97),(((IF(VLOOKUP($A15,Übungsübersicht!$E$6:$K$82,3,FALSE)=0,0.1,(VLOOKUP($A15,Übungsübersicht!$E$6:$K$82,3,FALSE)))))))),IF(VLOOKUP($A15,Übungsübersicht!$E$6:$K$82,7,FALSE)="UK",(MROUND(((INDEX($A$1:$U$68,(ROW(E15)),17))*$Q$98),(((IF(VLOOKUP($A15,Übungsübersicht!$E$6:$K$82,3,FALSE)=0,0.1,(VLOOKUP($A15,Übungsübersicht!$E$6:$K$82,3,FALSE)))))))),"Übung OK/UK?")))&lt;3,"RPE 7",(IF(VLOOKUP($A15,Übungsübersicht!$E$6:$K$82,7,FALSE)="OK",(MROUND(((INDEX($A$1:$U$68,(ROW(E15)),17))*$Q$97),(((IF(VLOOKUP($A15,Übungsübersicht!$E$6:$K$82,3,FALSE)=0,0.1,(VLOOKUP($A15,Übungsübersicht!$E$6:$K$82,3,FALSE)))))))),IF(VLOOKUP($A15,Übungsübersicht!$E$6:$K$82,7,FALSE)="UK",(MROUND(((INDEX($A$1:$U$68,(ROW(E15)),17))*$Q$98),(((IF(VLOOKUP($A15,Übungsübersicht!$E$6:$K$82,3,FALSE)=0,0.1,(VLOOKUP($A15,Übungsübersicht!$E$6:$K$82,3,FALSE)))))))),"Übung OK/UK?"))))),"Übung?",IF((IF(VLOOKUP($A15,Übungsübersicht!$E$6:$K$82,7,FALSE)="OK",(MROUND(((INDEX($A$1:$U$68,(ROW(E15)),17))*$Q$97),(((IF(VLOOKUP($A15,Übungsübersicht!$E$6:$K$82,3,FALSE)=0,0.1,(VLOOKUP($A15,Übungsübersicht!$E$6:$K$82,3,FALSE)))))))),IF(VLOOKUP($A15,Übungsübersicht!$E$6:$K$82,7,FALSE)="UK",(MROUND(((INDEX($A$1:$U$68,(ROW(E15)),17))*$Q$98),(((IF(VLOOKUP($A15,Übungsübersicht!$E$6:$K$82,3,FALSE)=0,0.1,(VLOOKUP($A15,Übungsübersicht!$E$6:$K$82,3,FALSE)))))))),"Übung OK/UK?")))&lt;3,"RPE 7",(IF(VLOOKUP($A15,Übungsübersicht!$E$6:$K$82,7,FALSE)="OK",(MROUND(((INDEX($A$1:$U$68,(ROW(E15)),17))*$Q$97),(((IF(VLOOKUP($A15,Übungsübersicht!$E$6:$K$82,3,FALSE)=0,0.1,(VLOOKUP($A15,Übungsübersicht!$E$6:$K$82,3,FALSE)))))))),IF(VLOOKUP($A15,Übungsübersicht!$E$6:$K$82,7,FALSE)="UK",(MROUND(((INDEX($A$1:$U$68,(ROW(E15)),17))*$Q$98),(((IF(VLOOKUP($A15,Übungsübersicht!$E$6:$K$82,3,FALSE)=0,0.1,(VLOOKUP($A15,Übungsübersicht!$E$6:$K$82,3,FALSE)))))))),"Übung OK/UK?")))))),"RPE 6")=(INDEX($A$1:$U$68,(ROW(E15)),17)),(IFERROR((IF(ISNA(IF(INDEX($A$1:$U$68,(ROW(E15)),17)-(IF(VLOOKUP($A15,Übungsübersicht!$E$6:$K$82,3,FALSE)&lt;=0.5,0,(VLOOKUP($A15,Übungsübersicht!$E$6:$K$82,3,FALSE))))&lt;3,"RPE 7",INDEX($A$1:$U$68,(ROW(E15)),17)-(IF(VLOOKUP($A15,Übungsübersicht!$E$6:$K$82,3,FALSE)&lt;=0.5,0,(VLOOKUP($A15,Übungsübersicht!$E$6:$K$82,3,FALSE)))))),"Übung?",IF(INDEX($A$1:$U$68,(ROW(E15)),17)-(IF(VLOOKUP($A15,Übungsübersicht!$E$6:$K$82,3,FALSE)&lt;=0.5,0,(VLOOKUP($A15,Übungsübersicht!$E$6:$K$82,3,FALSE))))&lt;3,"RPE 7",INDEX($A$1:$U$68,(ROW(E15)),17)-(IF(VLOOKUP($A15,Übungsübersicht!$E$6:$K$82,3,FALSE)&lt;=0.5,0,(VLOOKUP($A15,Übungsübersicht!$E$6:$K$82,3,FALSE))))))),"RPE 7")),(IFERROR((IF(ISNA(IF((IF(VLOOKUP($A15,Übungsübersicht!$E$6:$K$82,7,FALSE)="OK",(MROUND(((INDEX($A$1:$U$68,(ROW(E15)),17))*$Q$97),(((IF(VLOOKUP($A15,Übungsübersicht!$E$6:$K$82,3,FALSE)=0,0.1,(VLOOKUP($A15,Übungsübersicht!$E$6:$K$82,3,FALSE)))))))),IF(VLOOKUP($A15,Übungsübersicht!$E$6:$K$82,7,FALSE)="UK",(MROUND(((INDEX($A$1:$U$68,(ROW(E15)),17))*$Q$98),(((IF(VLOOKUP($A15,Übungsübersicht!$E$6:$K$82,3,FALSE)=0,0.1,(VLOOKUP($A15,Übungsübersicht!$E$6:$K$82,3,FALSE)))))))),"Übung OK/UK?")))&lt;3,"RPE 7",(IF(VLOOKUP($A15,Übungsübersicht!$E$6:$K$82,7,FALSE)="OK",(MROUND(((INDEX($A$1:$U$68,(ROW(E15)),17))*$Q$97),(((IF(VLOOKUP($A15,Übungsübersicht!$E$6:$K$82,3,FALSE)=0,0.1,(VLOOKUP($A15,Übungsübersicht!$E$6:$K$82,3,FALSE)))))))),IF(VLOOKUP($A15,Übungsübersicht!$E$6:$K$82,7,FALSE)="UK",(MROUND(((INDEX($A$1:$U$68,(ROW(E15)),17))*$Q$98),(((IF(VLOOKUP($A15,Übungsübersicht!$E$6:$K$82,3,FALSE)=0,0.1,(VLOOKUP($A15,Übungsübersicht!$E$6:$K$82,3,FALSE)))))))),"Übung OK/UK?"))))),"Übung?",IF((IF(VLOOKUP($A15,Übungsübersicht!$E$6:$K$82,7,FALSE)="OK",(MROUND(((INDEX($A$1:$U$68,(ROW(E15)),17))*$Q$97),(((IF(VLOOKUP($A15,Übungsübersicht!$E$6:$K$82,3,FALSE)=0,0.1,(VLOOKUP($A15,Übungsübersicht!$E$6:$K$82,3,FALSE)))))))),IF(VLOOKUP($A15,Übungsübersicht!$E$6:$K$82,7,FALSE)="UK",(MROUND(((INDEX($A$1:$U$68,(ROW(E15)),17))*$Q$98),(((IF(VLOOKUP($A15,Übungsübersicht!$E$6:$K$82,3,FALSE)=0,0.1,(VLOOKUP($A15,Übungsübersicht!$E$6:$K$82,3,FALSE)))))))),"Übung OK/UK?")))&lt;3,"RPE 6",(IF(VLOOKUP($A15,Übungsübersicht!$E$6:$K$82,7,FALSE)="OK",(MROUND(((INDEX($A$1:$U$68,(ROW(E15)),17))*$Q$97),(((IF(VLOOKUP($A15,Übungsübersicht!$E$6:$K$82,3,FALSE)=0,0.1,(VLOOKUP($A15,Übungsübersicht!$E$6:$K$82,3,FALSE)))))))),IF(VLOOKUP($A15,Übungsübersicht!$E$6:$K$82,7,FALSE)="UK",(MROUND(((INDEX($A$1:$U$68,(ROW(E15)),17))*$Q$98),(((IF(VLOOKUP($A15,Übungsübersicht!$E$6:$K$82,3,FALSE)=0,0.1,(VLOOKUP($A15,Übungsübersicht!$E$6:$K$82,3,FALSE)))))))),"Übung OK/UK?")))))),"RPE 7")))</f>
        <v>42</v>
      </c>
      <c r="F15" s="598" t="str">
        <f>IF('Gewichts- Calculator'!$B$127="EINGEBEN","",(IF('Gewichts- Calculator'!$C$134="Ja Anzeigen",(IF($A15='Gewichts- Calculator'!$C$8," &gt;"&amp;'Gewichts- Calculator'!$B$127&amp;"  &gt; "&amp; 'Gewichts- Calculator'!$B$130,"")),"")))</f>
        <v/>
      </c>
      <c r="G15" s="887">
        <v>3</v>
      </c>
      <c r="H15" s="671">
        <f>IF(ISNA(IF($G15=0,"0",IF(VLOOKUP($A15,Übungsübersicht!$E$7:$K$83,4,FALSE)&lt;1,"RPE 8",VLOOKUP($A15,Übungsübersicht!$E$7:$K$83,4,FALSE)))),"Übung?",IF($G15=0,"0",IF(VLOOKUP($A15,Übungsübersicht!$E$7:$K$83,4,FALSE)&lt;1,"RPE 8",VLOOKUP($A15,Übungsübersicht!$E$7:$K$83,4,FALSE))))</f>
        <v>8</v>
      </c>
      <c r="I15" s="888">
        <v>44</v>
      </c>
      <c r="J15" s="598" t="str">
        <f>IF('Gewichts- Calculator'!$D$127="EINGEBEN","",(IF('Gewichts- Calculator'!$C$134="Ja Anzeigen",(IF($A15='Gewichts- Calculator'!$C$8," &gt;"&amp;'Gewichts- Calculator'!$D$127&amp;"  &gt; "&amp; 'Gewichts- Calculator'!$D$130,"")),"")))</f>
        <v/>
      </c>
      <c r="K15" s="670">
        <v>3</v>
      </c>
      <c r="L15" s="671">
        <f>IF(ISNA(IF($K15=0,"0",IF(VLOOKUP($A15,Übungsübersicht!$E$7:$K$83,4,FALSE)&lt;1,"RPE 8",VLOOKUP($A15,Übungsübersicht!$E$7:$K$83,4,FALSE)))),"Übung?",IF($K15=0,"0",IF(VLOOKUP($A15,Übungsübersicht!$E$7:$K$83,4,FALSE)&lt;1,"RPE 8",VLOOKUP($A15,Übungsübersicht!$E$7:$K$83,4,FALSE))))</f>
        <v>8</v>
      </c>
      <c r="M15" s="674">
        <v>44</v>
      </c>
      <c r="N15" s="598" t="str">
        <f>IF('Gewichts- Calculator'!$D$127="EINGEBEN","",(IF('Gewichts- Calculator'!$C$134="Ja Anzeigen",(IF($A15='Gewichts- Calculator'!$C$8," &gt;"&amp;'Gewichts- Calculator'!$D$127&amp;"  &gt; "&amp; 'Gewichts- Calculator'!$D$130,"")),"")))</f>
        <v/>
      </c>
      <c r="O15" s="670">
        <v>4</v>
      </c>
      <c r="P15" s="671">
        <f>IF(ISNA(IF($O15=0,"0",IF(VLOOKUP($A15,Übungsübersicht!$E$7:$K$83,5,FALSE)&lt;1,"RPE 9",VLOOKUP($A15,Übungsübersicht!$E$7:$K$83,5,FALSE)))),"Übung?",IF($O15=0,"0",IF(VLOOKUP($A15,Übungsübersicht!$E$7:$K$83,5,FALSE)&lt;1,"RPE 9",VLOOKUP($A15,Übungsübersicht!$E$7:$K$83,5,FALSE))))</f>
        <v>8</v>
      </c>
      <c r="Q15" s="675">
        <v>44</v>
      </c>
      <c r="R15" s="598" t="str">
        <f>IF('Gewichts- Calculator'!$F$127="EINGEBEN","",(IF('Gewichts- Calculator'!$C$134="Ja Anzeigen",(IF($A15='Gewichts- Calculator'!$C$8," &gt;"&amp;'Gewichts- Calculator'!$F$127&amp;"  &gt; "&amp; 'Gewichts- Calculator'!$F$130,"")),"")))</f>
        <v/>
      </c>
      <c r="S15" s="670">
        <v>3</v>
      </c>
      <c r="T15" s="671">
        <f>IF(ISNA(IF($S15=0,"0",IF(VLOOKUP($A15,Übungsübersicht!$E$7:$K$83,4,FALSE)&lt;1,"RPE 6",VLOOKUP($A15,Übungsübersicht!$E$7:$K$83,4,FALSE)))),"Übung?",IF($S15=0,"0",IF(VLOOKUP($A15,Übungsübersicht!$E$7:$K$83,4,FALSE)&lt;1,"RPE 6",VLOOKUP($A15,Übungsübersicht!$E$7:$K$83,4,FALSE))))</f>
        <v>8</v>
      </c>
      <c r="U15" s="674" cm="1">
        <f t="array" ref="U15">IFERROR((IF(ISNA(IF((IF(VLOOKUP($A15,Übungsübersicht!$E$6:$K$82,7,FALSE)="OK",(MROUND(((INDEX($A$1:$U$68,(ROW(U15)),17))*$T$97),(((IF(VLOOKUP($A15,Übungsübersicht!$E$6:$K$82,3,FALSE)=0,0.1,(VLOOKUP($A15,Übungsübersicht!$E$6:$K$82,3,FALSE)))))))),IF(VLOOKUP($A15,Übungsübersicht!$E$6:$K$82,7,FALSE)="UK",(MROUND(((INDEX($A$1:$U$68,(ROW(U15)),17))*$T$98),(((IF(VLOOKUP($A15,Übungsübersicht!$E$6:$K$82,3,FALSE)=0,0.1,(VLOOKUP($A15,Übungsübersicht!$E$6:$K$82,3,FALSE)))))))),"Übung OK/UK?")))&lt;3,"RPE 6",(IF(VLOOKUP($A15,Übungsübersicht!$E$6:$K$82,7,FALSE)="OK",(MROUND(((INDEX($A$1:$U$68,(ROW(U15)),17))*$T$97),(((IF(VLOOKUP($A15,Übungsübersicht!$E$6:$K$82,3,FALSE)=0,0.1,(VLOOKUP($A15,Übungsübersicht!$E$6:$K$82,3,FALSE)))))))),IF(VLOOKUP($A15,Übungsübersicht!$E$6:$K$82,7,FALSE)="UK",(MROUND(((INDEX($A$1:$U$68,(ROW(U15)),17))*$T$98),(((IF(VLOOKUP($A15,Übungsübersicht!$E$6:$K$82,3,FALSE)=0,0.1,(VLOOKUP($A15,Übungsübersicht!$E$6:$K$82,3,FALSE)))))))),"Übung OK/UK?"))))),"Übung?",IF((IF(VLOOKUP($A15,Übungsübersicht!$E$6:$K$82,7,FALSE)="OK",(MROUND(((INDEX($A$1:$U$68,(ROW(U15)),17))*$T$97),(((IF(VLOOKUP($A15,Übungsübersicht!$E$6:$K$82,3,FALSE)=0,0.1,(VLOOKUP($A15,Übungsübersicht!$E$6:$K$82,3,FALSE)))))))),IF(VLOOKUP($A15,Übungsübersicht!$E$6:$K$82,7,FALSE)="UK",(MROUND(((INDEX($A$1:$U$68,(ROW(U15)),17))*$T$98),(((IF(VLOOKUP($A15,Übungsübersicht!$E$6:$K$82,3,FALSE)=0,0.1,(VLOOKUP($A15,Übungsübersicht!$E$6:$K$82,3,FALSE)))))))),"Übung OK/UK?")))&lt;3,"RPE 6",(IF(VLOOKUP($A15,Übungsübersicht!$E$6:$K$82,7,FALSE)="OK",(MROUND(((INDEX($A$1:$U$68,(ROW(U15)),17))*$T$97),(((IF(VLOOKUP($A15,Übungsübersicht!$E$6:$K$82,3,FALSE)=0,0.1,(VLOOKUP($A15,Übungsübersicht!$E$6:$K$82,3,FALSE)))))))),IF(VLOOKUP($A15,Übungsübersicht!$E$6:$K$82,7,FALSE)="UK",(MROUND(((INDEX($A$1:$U$68,(ROW(U15)),17))*$T$98),(((IF(VLOOKUP($A15,Übungsübersicht!$E$6:$K$82,3,FALSE)=0,0.1,(VLOOKUP($A15,Übungsübersicht!$E$6:$K$82,3,FALSE)))))))),"Übung OK/UK?")))))),"RPE 6")</f>
        <v>30</v>
      </c>
      <c r="V15" s="850"/>
      <c r="Y15" s="852"/>
    </row>
    <row r="16" spans="1:26" ht="26.1" customHeight="1" thickTop="1" thickBot="1">
      <c r="A16" s="668" t="s">
        <v>135</v>
      </c>
      <c r="B16" s="668" t="str">
        <f>IF(ISNA(IF(ISBLANK(VLOOKUP($A16,Übungsübersicht!$E$8:$F$83,2,FALSE)),"Muskelgruppe Auswählen",VLOOKUP($A16,Übungsübersicht!$E$8:$F$83,2,FALSE))),"Übung?",IF(ISBLANK(VLOOKUP($A16,Übungsübersicht!$E$8:$F$83,2,FALSE)),"Muskelgruppe Auswählen",VLOOKUP($A16,Übungsübersicht!$E$8:$F$83,2,FALSE)))</f>
        <v>Rücken</v>
      </c>
      <c r="C16" s="670">
        <v>3</v>
      </c>
      <c r="D16" s="671">
        <f>IF(ISNA(IF($C16=0,"0",IF(VLOOKUP($A16,Übungsübersicht!$E$7:$K$83,4,FALSE)&lt;1,"RPE 7",VLOOKUP($A16,Übungsübersicht!$E$7:$K$83,4,FALSE)))),"Übung?",IF($C16=0,"0",IF(VLOOKUP($A16,Übungsübersicht!$E$7:$K$83,4,FALSE)&lt;1,"RPE 7",VLOOKUP($A16,Übungsübersicht!$E$7:$K$83,4,FALSE))))</f>
        <v>8</v>
      </c>
      <c r="E16" s="672" cm="1">
        <f t="array" ref="E16">IF(IFERROR((IF(ISNA(IF((IF(VLOOKUP($A16,Übungsübersicht!$E$6:$K$82,7,FALSE)="OK",(MROUND(((INDEX($A$1:$U$68,(ROW(E16)),17))*$Q$97),(((IF(VLOOKUP($A16,Übungsübersicht!$E$6:$K$82,3,FALSE)=0,0.1,(VLOOKUP($A16,Übungsübersicht!$E$6:$K$82,3,FALSE)))))))),IF(VLOOKUP($A16,Übungsübersicht!$E$6:$K$82,7,FALSE)="UK",(MROUND(((INDEX($A$1:$U$68,(ROW(E16)),17))*$Q$98),(((IF(VLOOKUP($A16,Übungsübersicht!$E$6:$K$82,3,FALSE)=0,0.1,(VLOOKUP($A16,Übungsübersicht!$E$6:$K$82,3,FALSE)))))))),"Übung OK/UK?")))&lt;3,"RPE 7",(IF(VLOOKUP($A16,Übungsübersicht!$E$6:$K$82,7,FALSE)="OK",(MROUND(((INDEX($A$1:$U$68,(ROW(E16)),17))*$Q$97),(((IF(VLOOKUP($A16,Übungsübersicht!$E$6:$K$82,3,FALSE)=0,0.1,(VLOOKUP($A16,Übungsübersicht!$E$6:$K$82,3,FALSE)))))))),IF(VLOOKUP($A16,Übungsübersicht!$E$6:$K$82,7,FALSE)="UK",(MROUND(((INDEX($A$1:$U$68,(ROW(E16)),17))*$Q$98),(((IF(VLOOKUP($A16,Übungsübersicht!$E$6:$K$82,3,FALSE)=0,0.1,(VLOOKUP($A16,Übungsübersicht!$E$6:$K$82,3,FALSE)))))))),"Übung OK/UK?"))))),"Übung?",IF((IF(VLOOKUP($A16,Übungsübersicht!$E$6:$K$82,7,FALSE)="OK",(MROUND(((INDEX($A$1:$U$68,(ROW(E16)),17))*$Q$97),(((IF(VLOOKUP($A16,Übungsübersicht!$E$6:$K$82,3,FALSE)=0,0.1,(VLOOKUP($A16,Übungsübersicht!$E$6:$K$82,3,FALSE)))))))),IF(VLOOKUP($A16,Übungsübersicht!$E$6:$K$82,7,FALSE)="UK",(MROUND(((INDEX($A$1:$U$68,(ROW(E16)),17))*$Q$98),(((IF(VLOOKUP($A16,Übungsübersicht!$E$6:$K$82,3,FALSE)=0,0.1,(VLOOKUP($A16,Übungsübersicht!$E$6:$K$82,3,FALSE)))))))),"Übung OK/UK?")))&lt;3,"RPE 7",(IF(VLOOKUP($A16,Übungsübersicht!$E$6:$K$82,7,FALSE)="OK",(MROUND(((INDEX($A$1:$U$68,(ROW(E16)),17))*$Q$97),(((IF(VLOOKUP($A16,Übungsübersicht!$E$6:$K$82,3,FALSE)=0,0.1,(VLOOKUP($A16,Übungsübersicht!$E$6:$K$82,3,FALSE)))))))),IF(VLOOKUP($A16,Übungsübersicht!$E$6:$K$82,7,FALSE)="UK",(MROUND(((INDEX($A$1:$U$68,(ROW(E16)),17))*$Q$98),(((IF(VLOOKUP($A16,Übungsübersicht!$E$6:$K$82,3,FALSE)=0,0.1,(VLOOKUP($A16,Übungsübersicht!$E$6:$K$82,3,FALSE)))))))),"Übung OK/UK?")))))),"RPE 6")=(INDEX($A$1:$U$68,(ROW(E16)),17)),(IFERROR((IF(ISNA(IF(INDEX($A$1:$U$68,(ROW(E16)),17)-(IF(VLOOKUP($A16,Übungsübersicht!$E$6:$K$82,3,FALSE)&lt;=0.5,0,(VLOOKUP($A16,Übungsübersicht!$E$6:$K$82,3,FALSE))))&lt;3,"RPE 7",INDEX($A$1:$U$68,(ROW(E16)),17)-(IF(VLOOKUP($A16,Übungsübersicht!$E$6:$K$82,3,FALSE)&lt;=0.5,0,(VLOOKUP($A16,Übungsübersicht!$E$6:$K$82,3,FALSE)))))),"Übung?",IF(INDEX($A$1:$U$68,(ROW(E16)),17)-(IF(VLOOKUP($A16,Übungsübersicht!$E$6:$K$82,3,FALSE)&lt;=0.5,0,(VLOOKUP($A16,Übungsübersicht!$E$6:$K$82,3,FALSE))))&lt;3,"RPE 7",INDEX($A$1:$U$68,(ROW(E16)),17)-(IF(VLOOKUP($A16,Übungsübersicht!$E$6:$K$82,3,FALSE)&lt;=0.5,0,(VLOOKUP($A16,Übungsübersicht!$E$6:$K$82,3,FALSE))))))),"RPE 7")),(IFERROR((IF(ISNA(IF((IF(VLOOKUP($A16,Übungsübersicht!$E$6:$K$82,7,FALSE)="OK",(MROUND(((INDEX($A$1:$U$68,(ROW(E16)),17))*$Q$97),(((IF(VLOOKUP($A16,Übungsübersicht!$E$6:$K$82,3,FALSE)=0,0.1,(VLOOKUP($A16,Übungsübersicht!$E$6:$K$82,3,FALSE)))))))),IF(VLOOKUP($A16,Übungsübersicht!$E$6:$K$82,7,FALSE)="UK",(MROUND(((INDEX($A$1:$U$68,(ROW(E16)),17))*$Q$98),(((IF(VLOOKUP($A16,Übungsübersicht!$E$6:$K$82,3,FALSE)=0,0.1,(VLOOKUP($A16,Übungsübersicht!$E$6:$K$82,3,FALSE)))))))),"Übung OK/UK?")))&lt;3,"RPE 7",(IF(VLOOKUP($A16,Übungsübersicht!$E$6:$K$82,7,FALSE)="OK",(MROUND(((INDEX($A$1:$U$68,(ROW(E16)),17))*$Q$97),(((IF(VLOOKUP($A16,Übungsübersicht!$E$6:$K$82,3,FALSE)=0,0.1,(VLOOKUP($A16,Übungsübersicht!$E$6:$K$82,3,FALSE)))))))),IF(VLOOKUP($A16,Übungsübersicht!$E$6:$K$82,7,FALSE)="UK",(MROUND(((INDEX($A$1:$U$68,(ROW(E16)),17))*$Q$98),(((IF(VLOOKUP($A16,Übungsübersicht!$E$6:$K$82,3,FALSE)=0,0.1,(VLOOKUP($A16,Übungsübersicht!$E$6:$K$82,3,FALSE)))))))),"Übung OK/UK?"))))),"Übung?",IF((IF(VLOOKUP($A16,Übungsübersicht!$E$6:$K$82,7,FALSE)="OK",(MROUND(((INDEX($A$1:$U$68,(ROW(E16)),17))*$Q$97),(((IF(VLOOKUP($A16,Übungsübersicht!$E$6:$K$82,3,FALSE)=0,0.1,(VLOOKUP($A16,Übungsübersicht!$E$6:$K$82,3,FALSE)))))))),IF(VLOOKUP($A16,Übungsübersicht!$E$6:$K$82,7,FALSE)="UK",(MROUND(((INDEX($A$1:$U$68,(ROW(E16)),17))*$Q$98),(((IF(VLOOKUP($A16,Übungsübersicht!$E$6:$K$82,3,FALSE)=0,0.1,(VLOOKUP($A16,Übungsübersicht!$E$6:$K$82,3,FALSE)))))))),"Übung OK/UK?")))&lt;3,"RPE 6",(IF(VLOOKUP($A16,Übungsübersicht!$E$6:$K$82,7,FALSE)="OK",(MROUND(((INDEX($A$1:$U$68,(ROW(E16)),17))*$Q$97),(((IF(VLOOKUP($A16,Übungsübersicht!$E$6:$K$82,3,FALSE)=0,0.1,(VLOOKUP($A16,Übungsübersicht!$E$6:$K$82,3,FALSE)))))))),IF(VLOOKUP($A16,Übungsübersicht!$E$6:$K$82,7,FALSE)="UK",(MROUND(((INDEX($A$1:$U$68,(ROW(E16)),17))*$Q$98),(((IF(VLOOKUP($A16,Übungsübersicht!$E$6:$K$82,3,FALSE)=0,0.1,(VLOOKUP($A16,Übungsübersicht!$E$6:$K$82,3,FALSE)))))))),"Übung OK/UK?")))))),"RPE 7")))</f>
        <v>90</v>
      </c>
      <c r="F16" s="598" t="str">
        <f>IF('Gewichts- Calculator'!$B$127="EINGEBEN","",(IF('Gewichts- Calculator'!$C$134="Ja Anzeigen",(IF($A16='Gewichts- Calculator'!$C$8," &gt;"&amp;'Gewichts- Calculator'!$B$127&amp;"  &gt; "&amp; 'Gewichts- Calculator'!$B$130,"")),"")))</f>
        <v/>
      </c>
      <c r="G16" s="887">
        <v>3</v>
      </c>
      <c r="H16" s="671">
        <f>IF(ISNA(IF($G16=0,"0",IF(VLOOKUP($A16,Übungsübersicht!$E$7:$K$83,4,FALSE)&lt;1,"RPE 8",VLOOKUP($A16,Übungsübersicht!$E$7:$K$83,4,FALSE)))),"Übung?",IF($G16=0,"0",IF(VLOOKUP($A16,Übungsübersicht!$E$7:$K$83,4,FALSE)&lt;1,"RPE 8",VLOOKUP($A16,Übungsübersicht!$E$7:$K$83,4,FALSE))))</f>
        <v>8</v>
      </c>
      <c r="I16" s="888">
        <v>95</v>
      </c>
      <c r="J16" s="598" t="str">
        <f>IF('Gewichts- Calculator'!$D$127="EINGEBEN","",(IF('Gewichts- Calculator'!$C$134="Ja Anzeigen",(IF($A16='Gewichts- Calculator'!$C$8," &gt;"&amp;'Gewichts- Calculator'!$D$127&amp;"  &gt; "&amp; 'Gewichts- Calculator'!$D$130,"")),"")))</f>
        <v/>
      </c>
      <c r="K16" s="670">
        <v>3</v>
      </c>
      <c r="L16" s="671">
        <f>IF(ISNA(IF($K16=0,"0",IF(VLOOKUP($A16,Übungsübersicht!$E$7:$K$83,4,FALSE)&lt;1,"RPE 8",VLOOKUP($A16,Übungsübersicht!$E$7:$K$83,4,FALSE)))),"Übung?",IF($K16=0,"0",IF(VLOOKUP($A16,Übungsübersicht!$E$7:$K$83,4,FALSE)&lt;1,"RPE 8",VLOOKUP($A16,Übungsübersicht!$E$7:$K$83,4,FALSE))))</f>
        <v>8</v>
      </c>
      <c r="M16" s="674">
        <v>95</v>
      </c>
      <c r="N16" s="598" t="str">
        <f>IF('Gewichts- Calculator'!$D$127="EINGEBEN","",(IF('Gewichts- Calculator'!$C$134="Ja Anzeigen",(IF($A16='Gewichts- Calculator'!$C$8," &gt;"&amp;'Gewichts- Calculator'!$D$127&amp;"  &gt; "&amp; 'Gewichts- Calculator'!$D$130,"")),"")))</f>
        <v/>
      </c>
      <c r="O16" s="670">
        <v>4</v>
      </c>
      <c r="P16" s="671">
        <f>IF(ISNA(IF($O16=0,"0",IF(VLOOKUP($A16,Übungsübersicht!$E$7:$K$83,5,FALSE)&lt;1,"RPE 9",VLOOKUP($A16,Übungsübersicht!$E$7:$K$83,5,FALSE)))),"Übung?",IF($O16=0,"0",IF(VLOOKUP($A16,Übungsübersicht!$E$7:$K$83,5,FALSE)&lt;1,"RPE 9",VLOOKUP($A16,Übungsübersicht!$E$7:$K$83,5,FALSE))))</f>
        <v>8</v>
      </c>
      <c r="Q16" s="675">
        <v>95</v>
      </c>
      <c r="R16" s="598" t="str">
        <f>IF('Gewichts- Calculator'!$F$127="EINGEBEN","",(IF('Gewichts- Calculator'!$C$134="Ja Anzeigen",(IF($A16='Gewichts- Calculator'!$C$8," &gt;"&amp;'Gewichts- Calculator'!$F$127&amp;"  &gt; "&amp; 'Gewichts- Calculator'!$F$130,"")),"")))</f>
        <v/>
      </c>
      <c r="S16" s="670">
        <v>3</v>
      </c>
      <c r="T16" s="671">
        <f>IF(ISNA(IF($S16=0,"0",IF(VLOOKUP($A16,Übungsübersicht!$E$7:$K$83,4,FALSE)&lt;1,"RPE 6",VLOOKUP($A16,Übungsübersicht!$E$7:$K$83,4,FALSE)))),"Übung?",IF($S16=0,"0",IF(VLOOKUP($A16,Übungsübersicht!$E$7:$K$83,4,FALSE)&lt;1,"RPE 6",VLOOKUP($A16,Übungsübersicht!$E$7:$K$83,4,FALSE))))</f>
        <v>8</v>
      </c>
      <c r="U16" s="674" cm="1">
        <f t="array" ref="U16">IFERROR((IF(ISNA(IF((IF(VLOOKUP($A16,Übungsübersicht!$E$6:$K$82,7,FALSE)="OK",(MROUND(((INDEX($A$1:$U$68,(ROW(U16)),17))*$T$97),(((IF(VLOOKUP($A16,Übungsübersicht!$E$6:$K$82,3,FALSE)=0,0.1,(VLOOKUP($A16,Übungsübersicht!$E$6:$K$82,3,FALSE)))))))),IF(VLOOKUP($A16,Übungsübersicht!$E$6:$K$82,7,FALSE)="UK",(MROUND(((INDEX($A$1:$U$68,(ROW(U16)),17))*$T$98),(((IF(VLOOKUP($A16,Übungsübersicht!$E$6:$K$82,3,FALSE)=0,0.1,(VLOOKUP($A16,Übungsübersicht!$E$6:$K$82,3,FALSE)))))))),"Übung OK/UK?")))&lt;3,"RPE 6",(IF(VLOOKUP($A16,Übungsübersicht!$E$6:$K$82,7,FALSE)="OK",(MROUND(((INDEX($A$1:$U$68,(ROW(U16)),17))*$T$97),(((IF(VLOOKUP($A16,Übungsübersicht!$E$6:$K$82,3,FALSE)=0,0.1,(VLOOKUP($A16,Übungsübersicht!$E$6:$K$82,3,FALSE)))))))),IF(VLOOKUP($A16,Übungsübersicht!$E$6:$K$82,7,FALSE)="UK",(MROUND(((INDEX($A$1:$U$68,(ROW(U16)),17))*$T$98),(((IF(VLOOKUP($A16,Übungsübersicht!$E$6:$K$82,3,FALSE)=0,0.1,(VLOOKUP($A16,Übungsübersicht!$E$6:$K$82,3,FALSE)))))))),"Übung OK/UK?"))))),"Übung?",IF((IF(VLOOKUP($A16,Übungsübersicht!$E$6:$K$82,7,FALSE)="OK",(MROUND(((INDEX($A$1:$U$68,(ROW(U16)),17))*$T$97),(((IF(VLOOKUP($A16,Übungsübersicht!$E$6:$K$82,3,FALSE)=0,0.1,(VLOOKUP($A16,Übungsübersicht!$E$6:$K$82,3,FALSE)))))))),IF(VLOOKUP($A16,Übungsübersicht!$E$6:$K$82,7,FALSE)="UK",(MROUND(((INDEX($A$1:$U$68,(ROW(U16)),17))*$T$98),(((IF(VLOOKUP($A16,Übungsübersicht!$E$6:$K$82,3,FALSE)=0,0.1,(VLOOKUP($A16,Übungsübersicht!$E$6:$K$82,3,FALSE)))))))),"Übung OK/UK?")))&lt;3,"RPE 6",(IF(VLOOKUP($A16,Übungsübersicht!$E$6:$K$82,7,FALSE)="OK",(MROUND(((INDEX($A$1:$U$68,(ROW(U16)),17))*$T$97),(((IF(VLOOKUP($A16,Übungsübersicht!$E$6:$K$82,3,FALSE)=0,0.1,(VLOOKUP($A16,Übungsübersicht!$E$6:$K$82,3,FALSE)))))))),IF(VLOOKUP($A16,Übungsübersicht!$E$6:$K$82,7,FALSE)="UK",(MROUND(((INDEX($A$1:$U$68,(ROW(U16)),17))*$T$98),(((IF(VLOOKUP($A16,Übungsübersicht!$E$6:$K$82,3,FALSE)=0,0.1,(VLOOKUP($A16,Übungsübersicht!$E$6:$K$82,3,FALSE)))))))),"Übung OK/UK?")))))),"RPE 6")</f>
        <v>67.5</v>
      </c>
      <c r="Y16" s="1229"/>
    </row>
    <row r="17" spans="1:29" ht="25.5" customHeight="1" thickTop="1" thickBot="1">
      <c r="A17" s="668" t="s">
        <v>147</v>
      </c>
      <c r="B17" s="668" t="str">
        <f>IF(ISNA(IF(ISBLANK(VLOOKUP($A17,Übungsübersicht!$E$8:$F$83,2,FALSE)),"Muskelgruppe Auswählen",VLOOKUP($A17,Übungsübersicht!$E$8:$F$83,2,FALSE))),"Übung?",IF(ISBLANK(VLOOKUP($A17,Übungsübersicht!$E$8:$F$83,2,FALSE)),"Muskelgruppe Auswählen",VLOOKUP($A17,Übungsübersicht!$E$8:$F$83,2,FALSE)))</f>
        <v>Brust</v>
      </c>
      <c r="C17" s="670">
        <v>2</v>
      </c>
      <c r="D17" s="671">
        <f>IF(ISNA(IF($C17=0,"0",IF(VLOOKUP($A17,Übungsübersicht!$E$7:$K$83,4,FALSE)&lt;1,"RPE 7",VLOOKUP($A17,Übungsübersicht!$E$7:$K$83,4,FALSE)))),"Übung?",IF($C17=0,"0",IF(VLOOKUP($A17,Übungsübersicht!$E$7:$K$83,4,FALSE)&lt;1,"RPE 7",VLOOKUP($A17,Übungsübersicht!$E$7:$K$83,4,FALSE))))</f>
        <v>10</v>
      </c>
      <c r="E17" s="672" cm="1">
        <f t="array" ref="E17">IF(IFERROR((IF(ISNA(IF((IF(VLOOKUP($A17,Übungsübersicht!$E$6:$K$82,7,FALSE)="OK",(MROUND(((INDEX($A$1:$U$68,(ROW(E17)),17))*$Q$97),(((IF(VLOOKUP($A17,Übungsübersicht!$E$6:$K$82,3,FALSE)=0,0.1,(VLOOKUP($A17,Übungsübersicht!$E$6:$K$82,3,FALSE)))))))),IF(VLOOKUP($A17,Übungsübersicht!$E$6:$K$82,7,FALSE)="UK",(MROUND(((INDEX($A$1:$U$68,(ROW(E17)),17))*$Q$98),(((IF(VLOOKUP($A17,Übungsübersicht!$E$6:$K$82,3,FALSE)=0,0.1,(VLOOKUP($A17,Übungsübersicht!$E$6:$K$82,3,FALSE)))))))),"Übung OK/UK?")))&lt;3,"RPE 7",(IF(VLOOKUP($A17,Übungsübersicht!$E$6:$K$82,7,FALSE)="OK",(MROUND(((INDEX($A$1:$U$68,(ROW(E17)),17))*$Q$97),(((IF(VLOOKUP($A17,Übungsübersicht!$E$6:$K$82,3,FALSE)=0,0.1,(VLOOKUP($A17,Übungsübersicht!$E$6:$K$82,3,FALSE)))))))),IF(VLOOKUP($A17,Übungsübersicht!$E$6:$K$82,7,FALSE)="UK",(MROUND(((INDEX($A$1:$U$68,(ROW(E17)),17))*$Q$98),(((IF(VLOOKUP($A17,Übungsübersicht!$E$6:$K$82,3,FALSE)=0,0.1,(VLOOKUP($A17,Übungsübersicht!$E$6:$K$82,3,FALSE)))))))),"Übung OK/UK?"))))),"Übung?",IF((IF(VLOOKUP($A17,Übungsübersicht!$E$6:$K$82,7,FALSE)="OK",(MROUND(((INDEX($A$1:$U$68,(ROW(E17)),17))*$Q$97),(((IF(VLOOKUP($A17,Übungsübersicht!$E$6:$K$82,3,FALSE)=0,0.1,(VLOOKUP($A17,Übungsübersicht!$E$6:$K$82,3,FALSE)))))))),IF(VLOOKUP($A17,Übungsübersicht!$E$6:$K$82,7,FALSE)="UK",(MROUND(((INDEX($A$1:$U$68,(ROW(E17)),17))*$Q$98),(((IF(VLOOKUP($A17,Übungsübersicht!$E$6:$K$82,3,FALSE)=0,0.1,(VLOOKUP($A17,Übungsübersicht!$E$6:$K$82,3,FALSE)))))))),"Übung OK/UK?")))&lt;3,"RPE 7",(IF(VLOOKUP($A17,Übungsübersicht!$E$6:$K$82,7,FALSE)="OK",(MROUND(((INDEX($A$1:$U$68,(ROW(E17)),17))*$Q$97),(((IF(VLOOKUP($A17,Übungsübersicht!$E$6:$K$82,3,FALSE)=0,0.1,(VLOOKUP($A17,Übungsübersicht!$E$6:$K$82,3,FALSE)))))))),IF(VLOOKUP($A17,Übungsübersicht!$E$6:$K$82,7,FALSE)="UK",(MROUND(((INDEX($A$1:$U$68,(ROW(E17)),17))*$Q$98),(((IF(VLOOKUP($A17,Übungsübersicht!$E$6:$K$82,3,FALSE)=0,0.1,(VLOOKUP($A17,Übungsübersicht!$E$6:$K$82,3,FALSE)))))))),"Übung OK/UK?")))))),"RPE 6")=(INDEX($A$1:$U$68,(ROW(E17)),17)),(IFERROR((IF(ISNA(IF(INDEX($A$1:$U$68,(ROW(E17)),17)-(IF(VLOOKUP($A17,Übungsübersicht!$E$6:$K$82,3,FALSE)&lt;=0.5,0,(VLOOKUP($A17,Übungsübersicht!$E$6:$K$82,3,FALSE))))&lt;3,"RPE 7",INDEX($A$1:$U$68,(ROW(E17)),17)-(IF(VLOOKUP($A17,Übungsübersicht!$E$6:$K$82,3,FALSE)&lt;=0.5,0,(VLOOKUP($A17,Übungsübersicht!$E$6:$K$82,3,FALSE)))))),"Übung?",IF(INDEX($A$1:$U$68,(ROW(E17)),17)-(IF(VLOOKUP($A17,Übungsübersicht!$E$6:$K$82,3,FALSE)&lt;=0.5,0,(VLOOKUP($A17,Übungsübersicht!$E$6:$K$82,3,FALSE))))&lt;3,"RPE 7",INDEX($A$1:$U$68,(ROW(E17)),17)-(IF(VLOOKUP($A17,Übungsübersicht!$E$6:$K$82,3,FALSE)&lt;=0.5,0,(VLOOKUP($A17,Übungsübersicht!$E$6:$K$82,3,FALSE))))))),"RPE 7")),(IFERROR((IF(ISNA(IF((IF(VLOOKUP($A17,Übungsübersicht!$E$6:$K$82,7,FALSE)="OK",(MROUND(((INDEX($A$1:$U$68,(ROW(E17)),17))*$Q$97),(((IF(VLOOKUP($A17,Übungsübersicht!$E$6:$K$82,3,FALSE)=0,0.1,(VLOOKUP($A17,Übungsübersicht!$E$6:$K$82,3,FALSE)))))))),IF(VLOOKUP($A17,Übungsübersicht!$E$6:$K$82,7,FALSE)="UK",(MROUND(((INDEX($A$1:$U$68,(ROW(E17)),17))*$Q$98),(((IF(VLOOKUP($A17,Übungsübersicht!$E$6:$K$82,3,FALSE)=0,0.1,(VLOOKUP($A17,Übungsübersicht!$E$6:$K$82,3,FALSE)))))))),"Übung OK/UK?")))&lt;3,"RPE 7",(IF(VLOOKUP($A17,Übungsübersicht!$E$6:$K$82,7,FALSE)="OK",(MROUND(((INDEX($A$1:$U$68,(ROW(E17)),17))*$Q$97),(((IF(VLOOKUP($A17,Übungsübersicht!$E$6:$K$82,3,FALSE)=0,0.1,(VLOOKUP($A17,Übungsübersicht!$E$6:$K$82,3,FALSE)))))))),IF(VLOOKUP($A17,Übungsübersicht!$E$6:$K$82,7,FALSE)="UK",(MROUND(((INDEX($A$1:$U$68,(ROW(E17)),17))*$Q$98),(((IF(VLOOKUP($A17,Übungsübersicht!$E$6:$K$82,3,FALSE)=0,0.1,(VLOOKUP($A17,Übungsübersicht!$E$6:$K$82,3,FALSE)))))))),"Übung OK/UK?"))))),"Übung?",IF((IF(VLOOKUP($A17,Übungsübersicht!$E$6:$K$82,7,FALSE)="OK",(MROUND(((INDEX($A$1:$U$68,(ROW(E17)),17))*$Q$97),(((IF(VLOOKUP($A17,Übungsübersicht!$E$6:$K$82,3,FALSE)=0,0.1,(VLOOKUP($A17,Übungsübersicht!$E$6:$K$82,3,FALSE)))))))),IF(VLOOKUP($A17,Übungsübersicht!$E$6:$K$82,7,FALSE)="UK",(MROUND(((INDEX($A$1:$U$68,(ROW(E17)),17))*$Q$98),(((IF(VLOOKUP($A17,Übungsübersicht!$E$6:$K$82,3,FALSE)=0,0.1,(VLOOKUP($A17,Übungsübersicht!$E$6:$K$82,3,FALSE)))))))),"Übung OK/UK?")))&lt;3,"RPE 6",(IF(VLOOKUP($A17,Übungsübersicht!$E$6:$K$82,7,FALSE)="OK",(MROUND(((INDEX($A$1:$U$68,(ROW(E17)),17))*$Q$97),(((IF(VLOOKUP($A17,Übungsübersicht!$E$6:$K$82,3,FALSE)=0,0.1,(VLOOKUP($A17,Übungsübersicht!$E$6:$K$82,3,FALSE)))))))),IF(VLOOKUP($A17,Übungsübersicht!$E$6:$K$82,7,FALSE)="UK",(MROUND(((INDEX($A$1:$U$68,(ROW(E17)),17))*$Q$98),(((IF(VLOOKUP($A17,Übungsübersicht!$E$6:$K$82,3,FALSE)=0,0.1,(VLOOKUP($A17,Übungsübersicht!$E$6:$K$82,3,FALSE)))))))),"Übung OK/UK?")))))),"RPE 7")))</f>
        <v>10</v>
      </c>
      <c r="F17" s="598" t="str">
        <f>IF('Gewichts- Calculator'!$B$127="EINGEBEN","",(IF('Gewichts- Calculator'!$C$134="Ja Anzeigen",(IF($A17='Gewichts- Calculator'!$C$8," &gt;"&amp;'Gewichts- Calculator'!$B$127&amp;"  &gt; "&amp; 'Gewichts- Calculator'!$B$130,"")),"")))</f>
        <v/>
      </c>
      <c r="G17" s="887">
        <v>3</v>
      </c>
      <c r="H17" s="671">
        <f>IF(ISNA(IF($G17=0,"0",IF(VLOOKUP($A17,Übungsübersicht!$E$7:$K$83,4,FALSE)&lt;1,"RPE 8",VLOOKUP($A17,Übungsübersicht!$E$7:$K$83,4,FALSE)))),"Übung?",IF($G17=0,"0",IF(VLOOKUP($A17,Übungsübersicht!$E$7:$K$83,4,FALSE)&lt;1,"RPE 8",VLOOKUP($A17,Übungsübersicht!$E$7:$K$83,4,FALSE))))</f>
        <v>10</v>
      </c>
      <c r="I17" s="888">
        <v>12.5</v>
      </c>
      <c r="J17" s="598" t="str">
        <f>IF('Gewichts- Calculator'!$D$127="EINGEBEN","",(IF('Gewichts- Calculator'!$C$134="Ja Anzeigen",(IF($A17='Gewichts- Calculator'!$C$8," &gt;"&amp;'Gewichts- Calculator'!$D$127&amp;"  &gt; "&amp; 'Gewichts- Calculator'!$D$130,"")),"")))</f>
        <v/>
      </c>
      <c r="K17" s="670">
        <v>3</v>
      </c>
      <c r="L17" s="671">
        <f>IF(ISNA(IF($K17=0,"0",IF(VLOOKUP($A17,Übungsübersicht!$E$7:$K$83,4,FALSE)&lt;1,"RPE 8",VLOOKUP($A17,Übungsübersicht!$E$7:$K$83,4,FALSE)))),"Übung?",IF($K17=0,"0",IF(VLOOKUP($A17,Übungsübersicht!$E$7:$K$83,4,FALSE)&lt;1,"RPE 8",VLOOKUP($A17,Übungsübersicht!$E$7:$K$83,4,FALSE))))</f>
        <v>10</v>
      </c>
      <c r="M17" s="674">
        <v>12.5</v>
      </c>
      <c r="N17" s="598" t="str">
        <f>IF('Gewichts- Calculator'!$D$127="EINGEBEN","",(IF('Gewichts- Calculator'!$C$134="Ja Anzeigen",(IF($A17='Gewichts- Calculator'!$C$8," &gt;"&amp;'Gewichts- Calculator'!$D$127&amp;"  &gt; "&amp; 'Gewichts- Calculator'!$D$130,"")),"")))</f>
        <v/>
      </c>
      <c r="O17" s="670">
        <v>3</v>
      </c>
      <c r="P17" s="671">
        <f>IF(ISNA(IF($O17=0,"0",IF(VLOOKUP($A17,Übungsübersicht!$E$7:$K$83,5,FALSE)&lt;1,"RPE 9",VLOOKUP($A17,Übungsübersicht!$E$7:$K$83,5,FALSE)))),"Übung?",IF($O17=0,"0",IF(VLOOKUP($A17,Übungsübersicht!$E$7:$K$83,5,FALSE)&lt;1,"RPE 9",VLOOKUP($A17,Übungsübersicht!$E$7:$K$83,5,FALSE))))</f>
        <v>10</v>
      </c>
      <c r="Q17" s="675">
        <v>12.5</v>
      </c>
      <c r="R17" s="598" t="str">
        <f>IF('Gewichts- Calculator'!$F$127="EINGEBEN","",(IF('Gewichts- Calculator'!$C$134="Ja Anzeigen",(IF($A17='Gewichts- Calculator'!$C$8," &gt;"&amp;'Gewichts- Calculator'!$F$127&amp;"  &gt; "&amp; 'Gewichts- Calculator'!$F$130,"")),"")))</f>
        <v/>
      </c>
      <c r="S17" s="670">
        <v>2</v>
      </c>
      <c r="T17" s="671">
        <f>IF(ISNA(IF($S17=0,"0",IF(VLOOKUP($A17,Übungsübersicht!$E$7:$K$83,4,FALSE)&lt;1,"RPE 6",VLOOKUP($A17,Übungsübersicht!$E$7:$K$83,4,FALSE)))),"Übung?",IF($S17=0,"0",IF(VLOOKUP($A17,Übungsübersicht!$E$7:$K$83,4,FALSE)&lt;1,"RPE 6",VLOOKUP($A17,Übungsübersicht!$E$7:$K$83,4,FALSE))))</f>
        <v>10</v>
      </c>
      <c r="U17" s="674" cm="1">
        <f t="array" ref="U17">IFERROR((IF(ISNA(IF((IF(VLOOKUP($A17,Übungsübersicht!$E$6:$K$82,7,FALSE)="OK",(MROUND(((INDEX($A$1:$U$68,(ROW(U17)),17))*$T$97),(((IF(VLOOKUP($A17,Übungsübersicht!$E$6:$K$82,3,FALSE)=0,0.1,(VLOOKUP($A17,Übungsübersicht!$E$6:$K$82,3,FALSE)))))))),IF(VLOOKUP($A17,Übungsübersicht!$E$6:$K$82,7,FALSE)="UK",(MROUND(((INDEX($A$1:$U$68,(ROW(U17)),17))*$T$98),(((IF(VLOOKUP($A17,Übungsübersicht!$E$6:$K$82,3,FALSE)=0,0.1,(VLOOKUP($A17,Übungsübersicht!$E$6:$K$82,3,FALSE)))))))),"Übung OK/UK?")))&lt;3,"RPE 6",(IF(VLOOKUP($A17,Übungsübersicht!$E$6:$K$82,7,FALSE)="OK",(MROUND(((INDEX($A$1:$U$68,(ROW(U17)),17))*$T$97),(((IF(VLOOKUP($A17,Übungsübersicht!$E$6:$K$82,3,FALSE)=0,0.1,(VLOOKUP($A17,Übungsübersicht!$E$6:$K$82,3,FALSE)))))))),IF(VLOOKUP($A17,Übungsübersicht!$E$6:$K$82,7,FALSE)="UK",(MROUND(((INDEX($A$1:$U$68,(ROW(U17)),17))*$T$98),(((IF(VLOOKUP($A17,Übungsübersicht!$E$6:$K$82,3,FALSE)=0,0.1,(VLOOKUP($A17,Übungsübersicht!$E$6:$K$82,3,FALSE)))))))),"Übung OK/UK?"))))),"Übung?",IF((IF(VLOOKUP($A17,Übungsübersicht!$E$6:$K$82,7,FALSE)="OK",(MROUND(((INDEX($A$1:$U$68,(ROW(U17)),17))*$T$97),(((IF(VLOOKUP($A17,Übungsübersicht!$E$6:$K$82,3,FALSE)=0,0.1,(VLOOKUP($A17,Übungsübersicht!$E$6:$K$82,3,FALSE)))))))),IF(VLOOKUP($A17,Übungsübersicht!$E$6:$K$82,7,FALSE)="UK",(MROUND(((INDEX($A$1:$U$68,(ROW(U17)),17))*$T$98),(((IF(VLOOKUP($A17,Übungsübersicht!$E$6:$K$82,3,FALSE)=0,0.1,(VLOOKUP($A17,Übungsübersicht!$E$6:$K$82,3,FALSE)))))))),"Übung OK/UK?")))&lt;3,"RPE 6",(IF(VLOOKUP($A17,Übungsübersicht!$E$6:$K$82,7,FALSE)="OK",(MROUND(((INDEX($A$1:$U$68,(ROW(U17)),17))*$T$97),(((IF(VLOOKUP($A17,Übungsübersicht!$E$6:$K$82,3,FALSE)=0,0.1,(VLOOKUP($A17,Übungsübersicht!$E$6:$K$82,3,FALSE)))))))),IF(VLOOKUP($A17,Übungsübersicht!$E$6:$K$82,7,FALSE)="UK",(MROUND(((INDEX($A$1:$U$68,(ROW(U17)),17))*$T$98),(((IF(VLOOKUP($A17,Übungsübersicht!$E$6:$K$82,3,FALSE)=0,0.1,(VLOOKUP($A17,Übungsübersicht!$E$6:$K$82,3,FALSE)))))))),"Übung OK/UK?")))))),"RPE 6")</f>
        <v>10</v>
      </c>
      <c r="W17" s="7"/>
      <c r="X17" s="7"/>
      <c r="Y17" s="1229"/>
    </row>
    <row r="18" spans="1:29" ht="26.1" customHeight="1" thickTop="1" thickBot="1">
      <c r="A18" s="668" t="s">
        <v>73</v>
      </c>
      <c r="B18" s="668" t="str">
        <f>IF(ISNA(IF(ISBLANK(VLOOKUP($A18,Übungsübersicht!$E$8:$F$83,2,FALSE)),"Muskelgruppe Auswählen",VLOOKUP($A18,Übungsübersicht!$E$8:$F$83,2,FALSE))),"Übung?",IF(ISBLANK(VLOOKUP($A18,Übungsübersicht!$E$8:$F$83,2,FALSE)),"Muskelgruppe Auswählen",VLOOKUP($A18,Übungsübersicht!$E$8:$F$83,2,FALSE)))</f>
        <v>Rücken</v>
      </c>
      <c r="C18" s="670">
        <v>3</v>
      </c>
      <c r="D18" s="671">
        <f>IF(ISNA(IF($C18=0,"0",IF(VLOOKUP($A18,Übungsübersicht!$E$7:$K$83,4,FALSE)&lt;1,"RPE 7",VLOOKUP($A18,Übungsübersicht!$E$7:$K$83,4,FALSE)))),"Übung?",IF($C18=0,"0",IF(VLOOKUP($A18,Übungsübersicht!$E$7:$K$83,4,FALSE)&lt;1,"RPE 7",VLOOKUP($A18,Übungsübersicht!$E$7:$K$83,4,FALSE))))</f>
        <v>10</v>
      </c>
      <c r="E18" s="672" cm="1">
        <f t="array" ref="E18">IF(IFERROR((IF(ISNA(IF((IF(VLOOKUP($A18,Übungsübersicht!$E$6:$K$82,7,FALSE)="OK",(MROUND(((INDEX($A$1:$U$68,(ROW(E18)),17))*$Q$97),(((IF(VLOOKUP($A18,Übungsübersicht!$E$6:$K$82,3,FALSE)=0,0.1,(VLOOKUP($A18,Übungsübersicht!$E$6:$K$82,3,FALSE)))))))),IF(VLOOKUP($A18,Übungsübersicht!$E$6:$K$82,7,FALSE)="UK",(MROUND(((INDEX($A$1:$U$68,(ROW(E18)),17))*$Q$98),(((IF(VLOOKUP($A18,Übungsübersicht!$E$6:$K$82,3,FALSE)=0,0.1,(VLOOKUP($A18,Übungsübersicht!$E$6:$K$82,3,FALSE)))))))),"Übung OK/UK?")))&lt;3,"RPE 7",(IF(VLOOKUP($A18,Übungsübersicht!$E$6:$K$82,7,FALSE)="OK",(MROUND(((INDEX($A$1:$U$68,(ROW(E18)),17))*$Q$97),(((IF(VLOOKUP($A18,Übungsübersicht!$E$6:$K$82,3,FALSE)=0,0.1,(VLOOKUP($A18,Übungsübersicht!$E$6:$K$82,3,FALSE)))))))),IF(VLOOKUP($A18,Übungsübersicht!$E$6:$K$82,7,FALSE)="UK",(MROUND(((INDEX($A$1:$U$68,(ROW(E18)),17))*$Q$98),(((IF(VLOOKUP($A18,Übungsübersicht!$E$6:$K$82,3,FALSE)=0,0.1,(VLOOKUP($A18,Übungsübersicht!$E$6:$K$82,3,FALSE)))))))),"Übung OK/UK?"))))),"Übung?",IF((IF(VLOOKUP($A18,Übungsübersicht!$E$6:$K$82,7,FALSE)="OK",(MROUND(((INDEX($A$1:$U$68,(ROW(E18)),17))*$Q$97),(((IF(VLOOKUP($A18,Übungsübersicht!$E$6:$K$82,3,FALSE)=0,0.1,(VLOOKUP($A18,Übungsübersicht!$E$6:$K$82,3,FALSE)))))))),IF(VLOOKUP($A18,Übungsübersicht!$E$6:$K$82,7,FALSE)="UK",(MROUND(((INDEX($A$1:$U$68,(ROW(E18)),17))*$Q$98),(((IF(VLOOKUP($A18,Übungsübersicht!$E$6:$K$82,3,FALSE)=0,0.1,(VLOOKUP($A18,Übungsübersicht!$E$6:$K$82,3,FALSE)))))))),"Übung OK/UK?")))&lt;3,"RPE 7",(IF(VLOOKUP($A18,Übungsübersicht!$E$6:$K$82,7,FALSE)="OK",(MROUND(((INDEX($A$1:$U$68,(ROW(E18)),17))*$Q$97),(((IF(VLOOKUP($A18,Übungsübersicht!$E$6:$K$82,3,FALSE)=0,0.1,(VLOOKUP($A18,Übungsübersicht!$E$6:$K$82,3,FALSE)))))))),IF(VLOOKUP($A18,Übungsübersicht!$E$6:$K$82,7,FALSE)="UK",(MROUND(((INDEX($A$1:$U$68,(ROW(E18)),17))*$Q$98),(((IF(VLOOKUP($A18,Übungsübersicht!$E$6:$K$82,3,FALSE)=0,0.1,(VLOOKUP($A18,Übungsübersicht!$E$6:$K$82,3,FALSE)))))))),"Übung OK/UK?")))))),"RPE 6")=(INDEX($A$1:$U$68,(ROW(E18)),17)),(IFERROR((IF(ISNA(IF(INDEX($A$1:$U$68,(ROW(E18)),17)-(IF(VLOOKUP($A18,Übungsübersicht!$E$6:$K$82,3,FALSE)&lt;=0.5,0,(VLOOKUP($A18,Übungsübersicht!$E$6:$K$82,3,FALSE))))&lt;3,"RPE 7",INDEX($A$1:$U$68,(ROW(E18)),17)-(IF(VLOOKUP($A18,Übungsübersicht!$E$6:$K$82,3,FALSE)&lt;=0.5,0,(VLOOKUP($A18,Übungsübersicht!$E$6:$K$82,3,FALSE)))))),"Übung?",IF(INDEX($A$1:$U$68,(ROW(E18)),17)-(IF(VLOOKUP($A18,Übungsübersicht!$E$6:$K$82,3,FALSE)&lt;=0.5,0,(VLOOKUP($A18,Übungsübersicht!$E$6:$K$82,3,FALSE))))&lt;3,"RPE 7",INDEX($A$1:$U$68,(ROW(E18)),17)-(IF(VLOOKUP($A18,Übungsübersicht!$E$6:$K$82,3,FALSE)&lt;=0.5,0,(VLOOKUP($A18,Übungsübersicht!$E$6:$K$82,3,FALSE))))))),"RPE 7")),(IFERROR((IF(ISNA(IF((IF(VLOOKUP($A18,Übungsübersicht!$E$6:$K$82,7,FALSE)="OK",(MROUND(((INDEX($A$1:$U$68,(ROW(E18)),17))*$Q$97),(((IF(VLOOKUP($A18,Übungsübersicht!$E$6:$K$82,3,FALSE)=0,0.1,(VLOOKUP($A18,Übungsübersicht!$E$6:$K$82,3,FALSE)))))))),IF(VLOOKUP($A18,Übungsübersicht!$E$6:$K$82,7,FALSE)="UK",(MROUND(((INDEX($A$1:$U$68,(ROW(E18)),17))*$Q$98),(((IF(VLOOKUP($A18,Übungsübersicht!$E$6:$K$82,3,FALSE)=0,0.1,(VLOOKUP($A18,Übungsübersicht!$E$6:$K$82,3,FALSE)))))))),"Übung OK/UK?")))&lt;3,"RPE 7",(IF(VLOOKUP($A18,Übungsübersicht!$E$6:$K$82,7,FALSE)="OK",(MROUND(((INDEX($A$1:$U$68,(ROW(E18)),17))*$Q$97),(((IF(VLOOKUP($A18,Übungsübersicht!$E$6:$K$82,3,FALSE)=0,0.1,(VLOOKUP($A18,Übungsübersicht!$E$6:$K$82,3,FALSE)))))))),IF(VLOOKUP($A18,Übungsübersicht!$E$6:$K$82,7,FALSE)="UK",(MROUND(((INDEX($A$1:$U$68,(ROW(E18)),17))*$Q$98),(((IF(VLOOKUP($A18,Übungsübersicht!$E$6:$K$82,3,FALSE)=0,0.1,(VLOOKUP($A18,Übungsübersicht!$E$6:$K$82,3,FALSE)))))))),"Übung OK/UK?"))))),"Übung?",IF((IF(VLOOKUP($A18,Übungsübersicht!$E$6:$K$82,7,FALSE)="OK",(MROUND(((INDEX($A$1:$U$68,(ROW(E18)),17))*$Q$97),(((IF(VLOOKUP($A18,Übungsübersicht!$E$6:$K$82,3,FALSE)=0,0.1,(VLOOKUP($A18,Übungsübersicht!$E$6:$K$82,3,FALSE)))))))),IF(VLOOKUP($A18,Übungsübersicht!$E$6:$K$82,7,FALSE)="UK",(MROUND(((INDEX($A$1:$U$68,(ROW(E18)),17))*$Q$98),(((IF(VLOOKUP($A18,Übungsübersicht!$E$6:$K$82,3,FALSE)=0,0.1,(VLOOKUP($A18,Übungsübersicht!$E$6:$K$82,3,FALSE)))))))),"Übung OK/UK?")))&lt;3,"RPE 6",(IF(VLOOKUP($A18,Übungsübersicht!$E$6:$K$82,7,FALSE)="OK",(MROUND(((INDEX($A$1:$U$68,(ROW(E18)),17))*$Q$97),(((IF(VLOOKUP($A18,Übungsübersicht!$E$6:$K$82,3,FALSE)=0,0.1,(VLOOKUP($A18,Übungsübersicht!$E$6:$K$82,3,FALSE)))))))),IF(VLOOKUP($A18,Übungsübersicht!$E$6:$K$82,7,FALSE)="UK",(MROUND(((INDEX($A$1:$U$68,(ROW(E18)),17))*$Q$98),(((IF(VLOOKUP($A18,Übungsübersicht!$E$6:$K$82,3,FALSE)=0,0.1,(VLOOKUP($A18,Übungsübersicht!$E$6:$K$82,3,FALSE)))))))),"Übung OK/UK?")))))),"RPE 7")))</f>
        <v>55</v>
      </c>
      <c r="F18" s="598" t="str">
        <f>IF('Gewichts- Calculator'!$B$127="EINGEBEN","",(IF('Gewichts- Calculator'!$C$134="Ja Anzeigen",(IF($A18='Gewichts- Calculator'!$C$8," &gt;"&amp;'Gewichts- Calculator'!$B$127&amp;"  &gt; "&amp; 'Gewichts- Calculator'!$B$130,"")),"")))</f>
        <v/>
      </c>
      <c r="G18" s="887">
        <v>3</v>
      </c>
      <c r="H18" s="671">
        <f>IF(ISNA(IF($G18=0,"0",IF(VLOOKUP($A18,Übungsübersicht!$E$7:$K$83,4,FALSE)&lt;1,"RPE 8",VLOOKUP($A18,Übungsübersicht!$E$7:$K$83,4,FALSE)))),"Übung?",IF($G18=0,"0",IF(VLOOKUP($A18,Übungsübersicht!$E$7:$K$83,4,FALSE)&lt;1,"RPE 8",VLOOKUP($A18,Übungsübersicht!$E$7:$K$83,4,FALSE))))</f>
        <v>10</v>
      </c>
      <c r="I18" s="888">
        <v>57.5</v>
      </c>
      <c r="J18" s="598" t="str">
        <f>IF('Gewichts- Calculator'!$D$127="EINGEBEN","",(IF('Gewichts- Calculator'!$C$134="Ja Anzeigen",(IF($A18='Gewichts- Calculator'!$C$8," &gt;"&amp;'Gewichts- Calculator'!$D$127&amp;"  &gt; "&amp; 'Gewichts- Calculator'!$D$130,"")),"")))</f>
        <v/>
      </c>
      <c r="K18" s="670">
        <v>3</v>
      </c>
      <c r="L18" s="671">
        <f>IF(ISNA(IF($K18=0,"0",IF(VLOOKUP($A18,Übungsübersicht!$E$7:$K$83,4,FALSE)&lt;1,"RPE 8",VLOOKUP($A18,Übungsübersicht!$E$7:$K$83,4,FALSE)))),"Übung?",IF($K18=0,"0",IF(VLOOKUP($A18,Übungsübersicht!$E$7:$K$83,4,FALSE)&lt;1,"RPE 8",VLOOKUP($A18,Übungsübersicht!$E$7:$K$83,4,FALSE))))</f>
        <v>10</v>
      </c>
      <c r="M18" s="674">
        <v>57.5</v>
      </c>
      <c r="N18" s="598" t="str">
        <f>IF('Gewichts- Calculator'!$D$127="EINGEBEN","",(IF('Gewichts- Calculator'!$C$134="Ja Anzeigen",(IF($A18='Gewichts- Calculator'!$C$8," &gt;"&amp;'Gewichts- Calculator'!$D$127&amp;"  &gt; "&amp; 'Gewichts- Calculator'!$D$130,"")),"")))</f>
        <v/>
      </c>
      <c r="O18" s="670">
        <v>3</v>
      </c>
      <c r="P18" s="671">
        <f>IF(ISNA(IF($O18=0,"0",IF(VLOOKUP($A18,Übungsübersicht!$E$7:$K$83,5,FALSE)&lt;1,"RPE 9",VLOOKUP($A18,Übungsübersicht!$E$7:$K$83,5,FALSE)))),"Übung?",IF($O18=0,"0",IF(VLOOKUP($A18,Übungsübersicht!$E$7:$K$83,5,FALSE)&lt;1,"RPE 9",VLOOKUP($A18,Übungsübersicht!$E$7:$K$83,5,FALSE))))</f>
        <v>10</v>
      </c>
      <c r="Q18" s="675">
        <v>57.5</v>
      </c>
      <c r="R18" s="598" t="str">
        <f>IF('Gewichts- Calculator'!$F$127="EINGEBEN","",(IF('Gewichts- Calculator'!$C$134="Ja Anzeigen",(IF($A18='Gewichts- Calculator'!$C$8," &gt;"&amp;'Gewichts- Calculator'!$F$127&amp;"  &gt; "&amp; 'Gewichts- Calculator'!$F$130,"")),"")))</f>
        <v/>
      </c>
      <c r="S18" s="670">
        <v>2</v>
      </c>
      <c r="T18" s="671">
        <f>IF(ISNA(IF($S18=0,"0",IF(VLOOKUP($A18,Übungsübersicht!$E$7:$K$83,4,FALSE)&lt;1,"RPE 6",VLOOKUP($A18,Übungsübersicht!$E$7:$K$83,4,FALSE)))),"Übung?",IF($S18=0,"0",IF(VLOOKUP($A18,Übungsübersicht!$E$7:$K$83,4,FALSE)&lt;1,"RPE 6",VLOOKUP($A18,Übungsübersicht!$E$7:$K$83,4,FALSE))))</f>
        <v>10</v>
      </c>
      <c r="U18" s="674" cm="1">
        <f t="array" ref="U18">IFERROR((IF(ISNA(IF((IF(VLOOKUP($A18,Übungsübersicht!$E$6:$K$82,7,FALSE)="OK",(MROUND(((INDEX($A$1:$U$68,(ROW(U18)),17))*$T$97),(((IF(VLOOKUP($A18,Übungsübersicht!$E$6:$K$82,3,FALSE)=0,0.1,(VLOOKUP($A18,Übungsübersicht!$E$6:$K$82,3,FALSE)))))))),IF(VLOOKUP($A18,Übungsübersicht!$E$6:$K$82,7,FALSE)="UK",(MROUND(((INDEX($A$1:$U$68,(ROW(U18)),17))*$T$98),(((IF(VLOOKUP($A18,Übungsübersicht!$E$6:$K$82,3,FALSE)=0,0.1,(VLOOKUP($A18,Übungsübersicht!$E$6:$K$82,3,FALSE)))))))),"Übung OK/UK?")))&lt;3,"RPE 6",(IF(VLOOKUP($A18,Übungsübersicht!$E$6:$K$82,7,FALSE)="OK",(MROUND(((INDEX($A$1:$U$68,(ROW(U18)),17))*$T$97),(((IF(VLOOKUP($A18,Übungsübersicht!$E$6:$K$82,3,FALSE)=0,0.1,(VLOOKUP($A18,Übungsübersicht!$E$6:$K$82,3,FALSE)))))))),IF(VLOOKUP($A18,Übungsübersicht!$E$6:$K$82,7,FALSE)="UK",(MROUND(((INDEX($A$1:$U$68,(ROW(U18)),17))*$T$98),(((IF(VLOOKUP($A18,Übungsübersicht!$E$6:$K$82,3,FALSE)=0,0.1,(VLOOKUP($A18,Übungsübersicht!$E$6:$K$82,3,FALSE)))))))),"Übung OK/UK?"))))),"Übung?",IF((IF(VLOOKUP($A18,Übungsübersicht!$E$6:$K$82,7,FALSE)="OK",(MROUND(((INDEX($A$1:$U$68,(ROW(U18)),17))*$T$97),(((IF(VLOOKUP($A18,Übungsübersicht!$E$6:$K$82,3,FALSE)=0,0.1,(VLOOKUP($A18,Übungsübersicht!$E$6:$K$82,3,FALSE)))))))),IF(VLOOKUP($A18,Übungsübersicht!$E$6:$K$82,7,FALSE)="UK",(MROUND(((INDEX($A$1:$U$68,(ROW(U18)),17))*$T$98),(((IF(VLOOKUP($A18,Übungsübersicht!$E$6:$K$82,3,FALSE)=0,0.1,(VLOOKUP($A18,Übungsübersicht!$E$6:$K$82,3,FALSE)))))))),"Übung OK/UK?")))&lt;3,"RPE 6",(IF(VLOOKUP($A18,Übungsübersicht!$E$6:$K$82,7,FALSE)="OK",(MROUND(((INDEX($A$1:$U$68,(ROW(U18)),17))*$T$97),(((IF(VLOOKUP($A18,Übungsübersicht!$E$6:$K$82,3,FALSE)=0,0.1,(VLOOKUP($A18,Übungsübersicht!$E$6:$K$82,3,FALSE)))))))),IF(VLOOKUP($A18,Übungsübersicht!$E$6:$K$82,7,FALSE)="UK",(MROUND(((INDEX($A$1:$U$68,(ROW(U18)),17))*$T$98),(((IF(VLOOKUP($A18,Übungsübersicht!$E$6:$K$82,3,FALSE)=0,0.1,(VLOOKUP($A18,Übungsübersicht!$E$6:$K$82,3,FALSE)))))))),"Übung OK/UK?")))))),"RPE 6")</f>
        <v>40</v>
      </c>
      <c r="V18" s="8"/>
      <c r="W18" s="1239"/>
      <c r="X18" s="7"/>
      <c r="Y18" s="1229"/>
    </row>
    <row r="19" spans="1:29" ht="26.1" customHeight="1" thickTop="1" thickBot="1">
      <c r="A19" s="668" t="s">
        <v>282</v>
      </c>
      <c r="B19" s="668" t="str">
        <f>IF(ISNA(IF(ISBLANK(VLOOKUP($A19,Übungsübersicht!$E$8:$F$83,2,FALSE)),"Muskelgruppe Auswählen",VLOOKUP($A19,Übungsübersicht!$E$8:$F$83,2,FALSE))),"Übung?",IF(ISBLANK(VLOOKUP($A19,Übungsübersicht!$E$8:$F$83,2,FALSE)),"Muskelgruppe Auswählen",VLOOKUP($A19,Übungsübersicht!$E$8:$F$83,2,FALSE)))</f>
        <v>Mittlere Schulter</v>
      </c>
      <c r="C19" s="670">
        <v>3</v>
      </c>
      <c r="D19" s="671">
        <f>IF(ISNA(IF($C19=0,"0",IF(VLOOKUP($A19,Übungsübersicht!$E$7:$K$83,4,FALSE)&lt;1,"RPE 7",VLOOKUP($A19,Übungsübersicht!$E$7:$K$83,4,FALSE)))),"Übung?",IF($C19=0,"0",IF(VLOOKUP($A19,Übungsübersicht!$E$7:$K$83,4,FALSE)&lt;1,"RPE 7",VLOOKUP($A19,Übungsübersicht!$E$7:$K$83,4,FALSE))))</f>
        <v>10</v>
      </c>
      <c r="E19" s="672" cm="1">
        <f t="array" ref="E19">IF(IFERROR((IF(ISNA(IF((IF(VLOOKUP($A19,Übungsübersicht!$E$6:$K$82,7,FALSE)="OK",(MROUND(((INDEX($A$1:$U$68,(ROW(E19)),17))*$Q$97),(((IF(VLOOKUP($A19,Übungsübersicht!$E$6:$K$82,3,FALSE)=0,0.1,(VLOOKUP($A19,Übungsübersicht!$E$6:$K$82,3,FALSE)))))))),IF(VLOOKUP($A19,Übungsübersicht!$E$6:$K$82,7,FALSE)="UK",(MROUND(((INDEX($A$1:$U$68,(ROW(E19)),17))*$Q$98),(((IF(VLOOKUP($A19,Übungsübersicht!$E$6:$K$82,3,FALSE)=0,0.1,(VLOOKUP($A19,Übungsübersicht!$E$6:$K$82,3,FALSE)))))))),"Übung OK/UK?")))&lt;3,"RPE 7",(IF(VLOOKUP($A19,Übungsübersicht!$E$6:$K$82,7,FALSE)="OK",(MROUND(((INDEX($A$1:$U$68,(ROW(E19)),17))*$Q$97),(((IF(VLOOKUP($A19,Übungsübersicht!$E$6:$K$82,3,FALSE)=0,0.1,(VLOOKUP($A19,Übungsübersicht!$E$6:$K$82,3,FALSE)))))))),IF(VLOOKUP($A19,Übungsübersicht!$E$6:$K$82,7,FALSE)="UK",(MROUND(((INDEX($A$1:$U$68,(ROW(E19)),17))*$Q$98),(((IF(VLOOKUP($A19,Übungsübersicht!$E$6:$K$82,3,FALSE)=0,0.1,(VLOOKUP($A19,Übungsübersicht!$E$6:$K$82,3,FALSE)))))))),"Übung OK/UK?"))))),"Übung?",IF((IF(VLOOKUP($A19,Übungsübersicht!$E$6:$K$82,7,FALSE)="OK",(MROUND(((INDEX($A$1:$U$68,(ROW(E19)),17))*$Q$97),(((IF(VLOOKUP($A19,Übungsübersicht!$E$6:$K$82,3,FALSE)=0,0.1,(VLOOKUP($A19,Übungsübersicht!$E$6:$K$82,3,FALSE)))))))),IF(VLOOKUP($A19,Übungsübersicht!$E$6:$K$82,7,FALSE)="UK",(MROUND(((INDEX($A$1:$U$68,(ROW(E19)),17))*$Q$98),(((IF(VLOOKUP($A19,Übungsübersicht!$E$6:$K$82,3,FALSE)=0,0.1,(VLOOKUP($A19,Übungsübersicht!$E$6:$K$82,3,FALSE)))))))),"Übung OK/UK?")))&lt;3,"RPE 7",(IF(VLOOKUP($A19,Übungsübersicht!$E$6:$K$82,7,FALSE)="OK",(MROUND(((INDEX($A$1:$U$68,(ROW(E19)),17))*$Q$97),(((IF(VLOOKUP($A19,Übungsübersicht!$E$6:$K$82,3,FALSE)=0,0.1,(VLOOKUP($A19,Übungsübersicht!$E$6:$K$82,3,FALSE)))))))),IF(VLOOKUP($A19,Übungsübersicht!$E$6:$K$82,7,FALSE)="UK",(MROUND(((INDEX($A$1:$U$68,(ROW(E19)),17))*$Q$98),(((IF(VLOOKUP($A19,Übungsübersicht!$E$6:$K$82,3,FALSE)=0,0.1,(VLOOKUP($A19,Übungsübersicht!$E$6:$K$82,3,FALSE)))))))),"Übung OK/UK?")))))),"RPE 6")=(INDEX($A$1:$U$68,(ROW(E19)),17)),(IFERROR((IF(ISNA(IF(INDEX($A$1:$U$68,(ROW(E19)),17)-(IF(VLOOKUP($A19,Übungsübersicht!$E$6:$K$82,3,FALSE)&lt;=0.5,0,(VLOOKUP($A19,Übungsübersicht!$E$6:$K$82,3,FALSE))))&lt;3,"RPE 7",INDEX($A$1:$U$68,(ROW(E19)),17)-(IF(VLOOKUP($A19,Übungsübersicht!$E$6:$K$82,3,FALSE)&lt;=0.5,0,(VLOOKUP($A19,Übungsübersicht!$E$6:$K$82,3,FALSE)))))),"Übung?",IF(INDEX($A$1:$U$68,(ROW(E19)),17)-(IF(VLOOKUP($A19,Übungsübersicht!$E$6:$K$82,3,FALSE)&lt;=0.5,0,(VLOOKUP($A19,Übungsübersicht!$E$6:$K$82,3,FALSE))))&lt;3,"RPE 7",INDEX($A$1:$U$68,(ROW(E19)),17)-(IF(VLOOKUP($A19,Übungsübersicht!$E$6:$K$82,3,FALSE)&lt;=0.5,0,(VLOOKUP($A19,Übungsübersicht!$E$6:$K$82,3,FALSE))))))),"RPE 7")),(IFERROR((IF(ISNA(IF((IF(VLOOKUP($A19,Übungsübersicht!$E$6:$K$82,7,FALSE)="OK",(MROUND(((INDEX($A$1:$U$68,(ROW(E19)),17))*$Q$97),(((IF(VLOOKUP($A19,Übungsübersicht!$E$6:$K$82,3,FALSE)=0,0.1,(VLOOKUP($A19,Übungsübersicht!$E$6:$K$82,3,FALSE)))))))),IF(VLOOKUP($A19,Übungsübersicht!$E$6:$K$82,7,FALSE)="UK",(MROUND(((INDEX($A$1:$U$68,(ROW(E19)),17))*$Q$98),(((IF(VLOOKUP($A19,Übungsübersicht!$E$6:$K$82,3,FALSE)=0,0.1,(VLOOKUP($A19,Übungsübersicht!$E$6:$K$82,3,FALSE)))))))),"Übung OK/UK?")))&lt;3,"RPE 7",(IF(VLOOKUP($A19,Übungsübersicht!$E$6:$K$82,7,FALSE)="OK",(MROUND(((INDEX($A$1:$U$68,(ROW(E19)),17))*$Q$97),(((IF(VLOOKUP($A19,Übungsübersicht!$E$6:$K$82,3,FALSE)=0,0.1,(VLOOKUP($A19,Übungsübersicht!$E$6:$K$82,3,FALSE)))))))),IF(VLOOKUP($A19,Übungsübersicht!$E$6:$K$82,7,FALSE)="UK",(MROUND(((INDEX($A$1:$U$68,(ROW(E19)),17))*$Q$98),(((IF(VLOOKUP($A19,Übungsübersicht!$E$6:$K$82,3,FALSE)=0,0.1,(VLOOKUP($A19,Übungsübersicht!$E$6:$K$82,3,FALSE)))))))),"Übung OK/UK?"))))),"Übung?",IF((IF(VLOOKUP($A19,Übungsübersicht!$E$6:$K$82,7,FALSE)="OK",(MROUND(((INDEX($A$1:$U$68,(ROW(E19)),17))*$Q$97),(((IF(VLOOKUP($A19,Übungsübersicht!$E$6:$K$82,3,FALSE)=0,0.1,(VLOOKUP($A19,Übungsübersicht!$E$6:$K$82,3,FALSE)))))))),IF(VLOOKUP($A19,Übungsübersicht!$E$6:$K$82,7,FALSE)="UK",(MROUND(((INDEX($A$1:$U$68,(ROW(E19)),17))*$Q$98),(((IF(VLOOKUP($A19,Übungsübersicht!$E$6:$K$82,3,FALSE)=0,0.1,(VLOOKUP($A19,Übungsübersicht!$E$6:$K$82,3,FALSE)))))))),"Übung OK/UK?")))&lt;3,"RPE 6",(IF(VLOOKUP($A19,Übungsübersicht!$E$6:$K$82,7,FALSE)="OK",(MROUND(((INDEX($A$1:$U$68,(ROW(E19)),17))*$Q$97),(((IF(VLOOKUP($A19,Übungsübersicht!$E$6:$K$82,3,FALSE)=0,0.1,(VLOOKUP($A19,Übungsübersicht!$E$6:$K$82,3,FALSE)))))))),IF(VLOOKUP($A19,Übungsübersicht!$E$6:$K$82,7,FALSE)="UK",(MROUND(((INDEX($A$1:$U$68,(ROW(E19)),17))*$Q$98),(((IF(VLOOKUP($A19,Übungsübersicht!$E$6:$K$82,3,FALSE)=0,0.1,(VLOOKUP($A19,Übungsübersicht!$E$6:$K$82,3,FALSE)))))))),"Übung OK/UK?")))))),"RPE 7")))</f>
        <v>16</v>
      </c>
      <c r="F19" s="598" t="str">
        <f>IF('Gewichts- Calculator'!$B$127="EINGEBEN","",(IF('Gewichts- Calculator'!$C$134="Ja Anzeigen",(IF($A19='Gewichts- Calculator'!$C$8," &gt;"&amp;'Gewichts- Calculator'!$B$127&amp;"  &gt; "&amp; 'Gewichts- Calculator'!$B$130,"")),"")))</f>
        <v/>
      </c>
      <c r="G19" s="887">
        <v>4</v>
      </c>
      <c r="H19" s="671">
        <f>IF(ISNA(IF($G19=0,"0",IF(VLOOKUP($A19,Übungsübersicht!$E$7:$K$83,4,FALSE)&lt;1,"RPE 8",VLOOKUP($A19,Übungsübersicht!$E$7:$K$83,4,FALSE)))),"Übung?",IF($G19=0,"0",IF(VLOOKUP($A19,Übungsübersicht!$E$7:$K$83,4,FALSE)&lt;1,"RPE 8",VLOOKUP($A19,Übungsübersicht!$E$7:$K$83,4,FALSE))))</f>
        <v>10</v>
      </c>
      <c r="I19" s="888">
        <v>18</v>
      </c>
      <c r="J19" s="895" t="str">
        <f>IF('Gewichts- Calculator'!$D$127="EINGEBEN","",(IF('Gewichts- Calculator'!$C$134="Ja Anzeigen",(IF($A19='Gewichts- Calculator'!$C$8," &gt;"&amp;'Gewichts- Calculator'!$D$127&amp;"  &gt; "&amp; 'Gewichts- Calculator'!$D$130,"")),"")))</f>
        <v/>
      </c>
      <c r="K19" s="670">
        <v>4</v>
      </c>
      <c r="L19" s="671">
        <f>IF(ISNA(IF($K19=0,"0",IF(VLOOKUP($A19,Übungsübersicht!$E$7:$K$83,4,FALSE)&lt;1,"RPE 8",VLOOKUP($A19,Übungsübersicht!$E$7:$K$83,4,FALSE)))),"Übung?",IF($K19=0,"0",IF(VLOOKUP($A19,Übungsübersicht!$E$7:$K$83,4,FALSE)&lt;1,"RPE 8",VLOOKUP($A19,Übungsübersicht!$E$7:$K$83,4,FALSE))))</f>
        <v>10</v>
      </c>
      <c r="M19" s="674">
        <v>18</v>
      </c>
      <c r="N19" s="598" t="str">
        <f>IF('Gewichts- Calculator'!$D$127="EINGEBEN","",(IF('Gewichts- Calculator'!$C$134="Ja Anzeigen",(IF($A19='Gewichts- Calculator'!$C$8," &gt;"&amp;'Gewichts- Calculator'!$D$127&amp;"  &gt; "&amp; 'Gewichts- Calculator'!$D$130,"")),"")))</f>
        <v/>
      </c>
      <c r="O19" s="670">
        <v>4</v>
      </c>
      <c r="P19" s="671">
        <f>IF(ISNA(IF($O19=0,"0",IF(VLOOKUP($A19,Übungsübersicht!$E$7:$K$83,5,FALSE)&lt;1,"RPE 9",VLOOKUP($A19,Übungsübersicht!$E$7:$K$83,5,FALSE)))),"Übung?",IF($O19=0,"0",IF(VLOOKUP($A19,Übungsübersicht!$E$7:$K$83,5,FALSE)&lt;1,"RPE 9",VLOOKUP($A19,Übungsübersicht!$E$7:$K$83,5,FALSE))))</f>
        <v>10</v>
      </c>
      <c r="Q19" s="675">
        <v>18</v>
      </c>
      <c r="R19" s="598" t="str">
        <f>IF('Gewichts- Calculator'!$F$127="EINGEBEN","",(IF('Gewichts- Calculator'!$C$134="Ja Anzeigen",(IF($A19='Gewichts- Calculator'!$C$8," &gt;"&amp;'Gewichts- Calculator'!$F$127&amp;"  &gt; "&amp; 'Gewichts- Calculator'!$F$130,"")),"")))</f>
        <v/>
      </c>
      <c r="S19" s="670">
        <v>3</v>
      </c>
      <c r="T19" s="671">
        <f>IF(ISNA(IF($S19=0,"0",IF(VLOOKUP($A19,Übungsübersicht!$E$7:$K$83,4,FALSE)&lt;1,"RPE 6",VLOOKUP($A19,Übungsübersicht!$E$7:$K$83,4,FALSE)))),"Übung?",IF($S19=0,"0",IF(VLOOKUP($A19,Übungsübersicht!$E$7:$K$83,4,FALSE)&lt;1,"RPE 6",VLOOKUP($A19,Übungsübersicht!$E$7:$K$83,4,FALSE))))</f>
        <v>10</v>
      </c>
      <c r="U19" s="674" cm="1">
        <f t="array" ref="U19">IFERROR((IF(ISNA(IF((IF(VLOOKUP($A19,Übungsübersicht!$E$6:$K$82,7,FALSE)="OK",(MROUND(((INDEX($A$1:$U$68,(ROW(U19)),17))*$T$97),(((IF(VLOOKUP($A19,Übungsübersicht!$E$6:$K$82,3,FALSE)=0,0.1,(VLOOKUP($A19,Übungsübersicht!$E$6:$K$82,3,FALSE)))))))),IF(VLOOKUP($A19,Übungsübersicht!$E$6:$K$82,7,FALSE)="UK",(MROUND(((INDEX($A$1:$U$68,(ROW(U19)),17))*$T$98),(((IF(VLOOKUP($A19,Übungsübersicht!$E$6:$K$82,3,FALSE)=0,0.1,(VLOOKUP($A19,Übungsübersicht!$E$6:$K$82,3,FALSE)))))))),"Übung OK/UK?")))&lt;3,"RPE 6",(IF(VLOOKUP($A19,Übungsübersicht!$E$6:$K$82,7,FALSE)="OK",(MROUND(((INDEX($A$1:$U$68,(ROW(U19)),17))*$T$97),(((IF(VLOOKUP($A19,Übungsübersicht!$E$6:$K$82,3,FALSE)=0,0.1,(VLOOKUP($A19,Übungsübersicht!$E$6:$K$82,3,FALSE)))))))),IF(VLOOKUP($A19,Übungsübersicht!$E$6:$K$82,7,FALSE)="UK",(MROUND(((INDEX($A$1:$U$68,(ROW(U19)),17))*$T$98),(((IF(VLOOKUP($A19,Übungsübersicht!$E$6:$K$82,3,FALSE)=0,0.1,(VLOOKUP($A19,Übungsübersicht!$E$6:$K$82,3,FALSE)))))))),"Übung OK/UK?"))))),"Übung?",IF((IF(VLOOKUP($A19,Übungsübersicht!$E$6:$K$82,7,FALSE)="OK",(MROUND(((INDEX($A$1:$U$68,(ROW(U19)),17))*$T$97),(((IF(VLOOKUP($A19,Übungsübersicht!$E$6:$K$82,3,FALSE)=0,0.1,(VLOOKUP($A19,Übungsübersicht!$E$6:$K$82,3,FALSE)))))))),IF(VLOOKUP($A19,Übungsübersicht!$E$6:$K$82,7,FALSE)="UK",(MROUND(((INDEX($A$1:$U$68,(ROW(U19)),17))*$T$98),(((IF(VLOOKUP($A19,Übungsübersicht!$E$6:$K$82,3,FALSE)=0,0.1,(VLOOKUP($A19,Übungsübersicht!$E$6:$K$82,3,FALSE)))))))),"Übung OK/UK?")))&lt;3,"RPE 6",(IF(VLOOKUP($A19,Übungsübersicht!$E$6:$K$82,7,FALSE)="OK",(MROUND(((INDEX($A$1:$U$68,(ROW(U19)),17))*$T$97),(((IF(VLOOKUP($A19,Übungsübersicht!$E$6:$K$82,3,FALSE)=0,0.1,(VLOOKUP($A19,Übungsübersicht!$E$6:$K$82,3,FALSE)))))))),IF(VLOOKUP($A19,Übungsübersicht!$E$6:$K$82,7,FALSE)="UK",(MROUND(((INDEX($A$1:$U$68,(ROW(U19)),17))*$T$98),(((IF(VLOOKUP($A19,Übungsübersicht!$E$6:$K$82,3,FALSE)=0,0.1,(VLOOKUP($A19,Übungsübersicht!$E$6:$K$82,3,FALSE)))))))),"Übung OK/UK?")))))),"RPE 6")</f>
        <v>12</v>
      </c>
      <c r="V19" s="8"/>
      <c r="W19" s="7"/>
      <c r="X19" s="7"/>
      <c r="Y19" s="853"/>
    </row>
    <row r="20" spans="1:29" ht="26.1" customHeight="1" thickTop="1" thickBot="1">
      <c r="A20" s="668" t="s">
        <v>146</v>
      </c>
      <c r="B20" s="668" t="str">
        <f>IF(ISNA(IF(ISBLANK(VLOOKUP($A20,Übungsübersicht!$E$8:$F$83,2,FALSE)),"Muskelgruppe Auswählen",VLOOKUP($A20,Übungsübersicht!$E$8:$F$83,2,FALSE))),"Übung?",IF(ISBLANK(VLOOKUP($A20,Übungsübersicht!$E$8:$F$83,2,FALSE)),"Muskelgruppe Auswählen",VLOOKUP($A20,Übungsübersicht!$E$8:$F$83,2,FALSE)))</f>
        <v>Hintere Schulter</v>
      </c>
      <c r="C20" s="670">
        <v>3</v>
      </c>
      <c r="D20" s="671">
        <f>IF(ISNA(IF($C20=0,"0",IF(VLOOKUP($A20,Übungsübersicht!$E$7:$K$83,4,FALSE)&lt;1,"RPE 7",VLOOKUP($A20,Übungsübersicht!$E$7:$K$83,4,FALSE)))),"Übung?",IF($C20=0,"0",IF(VLOOKUP($A20,Übungsübersicht!$E$7:$K$83,4,FALSE)&lt;1,"RPE 7",VLOOKUP($A20,Übungsübersicht!$E$7:$K$83,4,FALSE))))</f>
        <v>10</v>
      </c>
      <c r="E20" s="672" cm="1">
        <f t="array" ref="E20">IF(IFERROR((IF(ISNA(IF((IF(VLOOKUP($A20,Übungsübersicht!$E$6:$K$82,7,FALSE)="OK",(MROUND(((INDEX($A$1:$U$68,(ROW(E20)),17))*$Q$97),(((IF(VLOOKUP($A20,Übungsübersicht!$E$6:$K$82,3,FALSE)=0,0.1,(VLOOKUP($A20,Übungsübersicht!$E$6:$K$82,3,FALSE)))))))),IF(VLOOKUP($A20,Übungsübersicht!$E$6:$K$82,7,FALSE)="UK",(MROUND(((INDEX($A$1:$U$68,(ROW(E20)),17))*$Q$98),(((IF(VLOOKUP($A20,Übungsübersicht!$E$6:$K$82,3,FALSE)=0,0.1,(VLOOKUP($A20,Übungsübersicht!$E$6:$K$82,3,FALSE)))))))),"Übung OK/UK?")))&lt;3,"RPE 7",(IF(VLOOKUP($A20,Übungsübersicht!$E$6:$K$82,7,FALSE)="OK",(MROUND(((INDEX($A$1:$U$68,(ROW(E20)),17))*$Q$97),(((IF(VLOOKUP($A20,Übungsübersicht!$E$6:$K$82,3,FALSE)=0,0.1,(VLOOKUP($A20,Übungsübersicht!$E$6:$K$82,3,FALSE)))))))),IF(VLOOKUP($A20,Übungsübersicht!$E$6:$K$82,7,FALSE)="UK",(MROUND(((INDEX($A$1:$U$68,(ROW(E20)),17))*$Q$98),(((IF(VLOOKUP($A20,Übungsübersicht!$E$6:$K$82,3,FALSE)=0,0.1,(VLOOKUP($A20,Übungsübersicht!$E$6:$K$82,3,FALSE)))))))),"Übung OK/UK?"))))),"Übung?",IF((IF(VLOOKUP($A20,Übungsübersicht!$E$6:$K$82,7,FALSE)="OK",(MROUND(((INDEX($A$1:$U$68,(ROW(E20)),17))*$Q$97),(((IF(VLOOKUP($A20,Übungsübersicht!$E$6:$K$82,3,FALSE)=0,0.1,(VLOOKUP($A20,Übungsübersicht!$E$6:$K$82,3,FALSE)))))))),IF(VLOOKUP($A20,Übungsübersicht!$E$6:$K$82,7,FALSE)="UK",(MROUND(((INDEX($A$1:$U$68,(ROW(E20)),17))*$Q$98),(((IF(VLOOKUP($A20,Übungsübersicht!$E$6:$K$82,3,FALSE)=0,0.1,(VLOOKUP($A20,Übungsübersicht!$E$6:$K$82,3,FALSE)))))))),"Übung OK/UK?")))&lt;3,"RPE 7",(IF(VLOOKUP($A20,Übungsübersicht!$E$6:$K$82,7,FALSE)="OK",(MROUND(((INDEX($A$1:$U$68,(ROW(E20)),17))*$Q$97),(((IF(VLOOKUP($A20,Übungsübersicht!$E$6:$K$82,3,FALSE)=0,0.1,(VLOOKUP($A20,Übungsübersicht!$E$6:$K$82,3,FALSE)))))))),IF(VLOOKUP($A20,Übungsübersicht!$E$6:$K$82,7,FALSE)="UK",(MROUND(((INDEX($A$1:$U$68,(ROW(E20)),17))*$Q$98),(((IF(VLOOKUP($A20,Übungsübersicht!$E$6:$K$82,3,FALSE)=0,0.1,(VLOOKUP($A20,Übungsübersicht!$E$6:$K$82,3,FALSE)))))))),"Übung OK/UK?")))))),"RPE 6")=(INDEX($A$1:$U$68,(ROW(E20)),17)),(IFERROR((IF(ISNA(IF(INDEX($A$1:$U$68,(ROW(E20)),17)-(IF(VLOOKUP($A20,Übungsübersicht!$E$6:$K$82,3,FALSE)&lt;=0.5,0,(VLOOKUP($A20,Übungsübersicht!$E$6:$K$82,3,FALSE))))&lt;3,"RPE 7",INDEX($A$1:$U$68,(ROW(E20)),17)-(IF(VLOOKUP($A20,Übungsübersicht!$E$6:$K$82,3,FALSE)&lt;=0.5,0,(VLOOKUP($A20,Übungsübersicht!$E$6:$K$82,3,FALSE)))))),"Übung?",IF(INDEX($A$1:$U$68,(ROW(E20)),17)-(IF(VLOOKUP($A20,Übungsübersicht!$E$6:$K$82,3,FALSE)&lt;=0.5,0,(VLOOKUP($A20,Übungsübersicht!$E$6:$K$82,3,FALSE))))&lt;3,"RPE 7",INDEX($A$1:$U$68,(ROW(E20)),17)-(IF(VLOOKUP($A20,Übungsübersicht!$E$6:$K$82,3,FALSE)&lt;=0.5,0,(VLOOKUP($A20,Übungsübersicht!$E$6:$K$82,3,FALSE))))))),"RPE 7")),(IFERROR((IF(ISNA(IF((IF(VLOOKUP($A20,Übungsübersicht!$E$6:$K$82,7,FALSE)="OK",(MROUND(((INDEX($A$1:$U$68,(ROW(E20)),17))*$Q$97),(((IF(VLOOKUP($A20,Übungsübersicht!$E$6:$K$82,3,FALSE)=0,0.1,(VLOOKUP($A20,Übungsübersicht!$E$6:$K$82,3,FALSE)))))))),IF(VLOOKUP($A20,Übungsübersicht!$E$6:$K$82,7,FALSE)="UK",(MROUND(((INDEX($A$1:$U$68,(ROW(E20)),17))*$Q$98),(((IF(VLOOKUP($A20,Übungsübersicht!$E$6:$K$82,3,FALSE)=0,0.1,(VLOOKUP($A20,Übungsübersicht!$E$6:$K$82,3,FALSE)))))))),"Übung OK/UK?")))&lt;3,"RPE 7",(IF(VLOOKUP($A20,Übungsübersicht!$E$6:$K$82,7,FALSE)="OK",(MROUND(((INDEX($A$1:$U$68,(ROW(E20)),17))*$Q$97),(((IF(VLOOKUP($A20,Übungsübersicht!$E$6:$K$82,3,FALSE)=0,0.1,(VLOOKUP($A20,Übungsübersicht!$E$6:$K$82,3,FALSE)))))))),IF(VLOOKUP($A20,Übungsübersicht!$E$6:$K$82,7,FALSE)="UK",(MROUND(((INDEX($A$1:$U$68,(ROW(E20)),17))*$Q$98),(((IF(VLOOKUP($A20,Übungsübersicht!$E$6:$K$82,3,FALSE)=0,0.1,(VLOOKUP($A20,Übungsübersicht!$E$6:$K$82,3,FALSE)))))))),"Übung OK/UK?"))))),"Übung?",IF((IF(VLOOKUP($A20,Übungsübersicht!$E$6:$K$82,7,FALSE)="OK",(MROUND(((INDEX($A$1:$U$68,(ROW(E20)),17))*$Q$97),(((IF(VLOOKUP($A20,Übungsübersicht!$E$6:$K$82,3,FALSE)=0,0.1,(VLOOKUP($A20,Übungsübersicht!$E$6:$K$82,3,FALSE)))))))),IF(VLOOKUP($A20,Übungsübersicht!$E$6:$K$82,7,FALSE)="UK",(MROUND(((INDEX($A$1:$U$68,(ROW(E20)),17))*$Q$98),(((IF(VLOOKUP($A20,Übungsübersicht!$E$6:$K$82,3,FALSE)=0,0.1,(VLOOKUP($A20,Übungsübersicht!$E$6:$K$82,3,FALSE)))))))),"Übung OK/UK?")))&lt;3,"RPE 6",(IF(VLOOKUP($A20,Übungsübersicht!$E$6:$K$82,7,FALSE)="OK",(MROUND(((INDEX($A$1:$U$68,(ROW(E20)),17))*$Q$97),(((IF(VLOOKUP($A20,Übungsübersicht!$E$6:$K$82,3,FALSE)=0,0.1,(VLOOKUP($A20,Übungsübersicht!$E$6:$K$82,3,FALSE)))))))),IF(VLOOKUP($A20,Übungsübersicht!$E$6:$K$82,7,FALSE)="UK",(MROUND(((INDEX($A$1:$U$68,(ROW(E20)),17))*$Q$98),(((IF(VLOOKUP($A20,Übungsübersicht!$E$6:$K$82,3,FALSE)=0,0.1,(VLOOKUP($A20,Übungsübersicht!$E$6:$K$82,3,FALSE)))))))),"Übung OK/UK?")))))),"RPE 7")))</f>
        <v>20</v>
      </c>
      <c r="F20" s="598" t="str">
        <f>IF('Gewichts- Calculator'!$B$127="EINGEBEN","",(IF('Gewichts- Calculator'!$C$134="Ja Anzeigen",(IF($A20='Gewichts- Calculator'!$C$8," &gt;"&amp;'Gewichts- Calculator'!$B$127&amp;"  &gt; "&amp; 'Gewichts- Calculator'!$B$130,"")),"")))</f>
        <v/>
      </c>
      <c r="G20" s="887">
        <v>3</v>
      </c>
      <c r="H20" s="671">
        <f>IF(ISNA(IF($G20=0,"0",IF(VLOOKUP($A20,Übungsübersicht!$E$7:$K$83,4,FALSE)&lt;1,"RPE 8",VLOOKUP($A20,Übungsübersicht!$E$7:$K$83,4,FALSE)))),"Übung?",IF($G20=0,"0",IF(VLOOKUP($A20,Übungsübersicht!$E$7:$K$83,4,FALSE)&lt;1,"RPE 8",VLOOKUP($A20,Übungsübersicht!$E$7:$K$83,4,FALSE))))</f>
        <v>10</v>
      </c>
      <c r="I20" s="888">
        <v>25</v>
      </c>
      <c r="J20" s="598" t="str">
        <f>IF('Gewichts- Calculator'!$D$127="EINGEBEN","",(IF('Gewichts- Calculator'!$C$134="Ja Anzeigen",(IF($A20='Gewichts- Calculator'!$C$8," &gt;"&amp;'Gewichts- Calculator'!$D$127&amp;"  &gt; "&amp; 'Gewichts- Calculator'!$D$130,"")),"")))</f>
        <v/>
      </c>
      <c r="K20" s="670">
        <v>3</v>
      </c>
      <c r="L20" s="671">
        <f>IF(ISNA(IF($K20=0,"0",IF(VLOOKUP($A20,Übungsübersicht!$E$7:$K$83,4,FALSE)&lt;1,"RPE 8",VLOOKUP($A20,Übungsübersicht!$E$7:$K$83,4,FALSE)))),"Übung?",IF($K20=0,"0",IF(VLOOKUP($A20,Übungsübersicht!$E$7:$K$83,4,FALSE)&lt;1,"RPE 8",VLOOKUP($A20,Übungsübersicht!$E$7:$K$83,4,FALSE))))</f>
        <v>10</v>
      </c>
      <c r="M20" s="674">
        <v>25</v>
      </c>
      <c r="N20" s="598" t="str">
        <f>IF('Gewichts- Calculator'!$D$127="EINGEBEN","",(IF('Gewichts- Calculator'!$C$134="Ja Anzeigen",(IF($A20='Gewichts- Calculator'!$C$8," &gt;"&amp;'Gewichts- Calculator'!$D$127&amp;"  &gt; "&amp; 'Gewichts- Calculator'!$D$130,"")),"")))</f>
        <v/>
      </c>
      <c r="O20" s="670">
        <v>4</v>
      </c>
      <c r="P20" s="671">
        <f>IF(ISNA(IF($O20=0,"0",IF(VLOOKUP($A20,Übungsübersicht!$E$7:$K$83,5,FALSE)&lt;1,"RPE 9",VLOOKUP($A20,Übungsübersicht!$E$7:$K$83,5,FALSE)))),"Übung?",IF($O20=0,"0",IF(VLOOKUP($A20,Übungsübersicht!$E$7:$K$83,5,FALSE)&lt;1,"RPE 9",VLOOKUP($A20,Übungsübersicht!$E$7:$K$83,5,FALSE))))</f>
        <v>10</v>
      </c>
      <c r="Q20" s="675">
        <v>25</v>
      </c>
      <c r="R20" s="598" t="str">
        <f>IF('Gewichts- Calculator'!$F$127="EINGEBEN","",(IF('Gewichts- Calculator'!$C$134="Ja Anzeigen",(IF($A20='Gewichts- Calculator'!$C$8," &gt;"&amp;'Gewichts- Calculator'!$F$127&amp;"  &gt; "&amp; 'Gewichts- Calculator'!$F$130,"")),"")))</f>
        <v/>
      </c>
      <c r="S20" s="670">
        <v>3</v>
      </c>
      <c r="T20" s="671">
        <f>IF(ISNA(IF($S20=0,"0",IF(VLOOKUP($A20,Übungsübersicht!$E$7:$K$83,4,FALSE)&lt;1,"RPE 6",VLOOKUP($A20,Übungsübersicht!$E$7:$K$83,4,FALSE)))),"Übung?",IF($S20=0,"0",IF(VLOOKUP($A20,Übungsübersicht!$E$7:$K$83,4,FALSE)&lt;1,"RPE 6",VLOOKUP($A20,Übungsübersicht!$E$7:$K$83,4,FALSE))))</f>
        <v>10</v>
      </c>
      <c r="U20" s="674" cm="1">
        <f t="array" ref="U20">IFERROR((IF(ISNA(IF((IF(VLOOKUP($A20,Übungsübersicht!$E$6:$K$82,7,FALSE)="OK",(MROUND(((INDEX($A$1:$U$68,(ROW(U20)),17))*$T$97),(((IF(VLOOKUP($A20,Übungsübersicht!$E$6:$K$82,3,FALSE)=0,0.1,(VLOOKUP($A20,Übungsübersicht!$E$6:$K$82,3,FALSE)))))))),IF(VLOOKUP($A20,Übungsübersicht!$E$6:$K$82,7,FALSE)="UK",(MROUND(((INDEX($A$1:$U$68,(ROW(U20)),17))*$T$98),(((IF(VLOOKUP($A20,Übungsübersicht!$E$6:$K$82,3,FALSE)=0,0.1,(VLOOKUP($A20,Übungsübersicht!$E$6:$K$82,3,FALSE)))))))),"Übung OK/UK?")))&lt;3,"RPE 6",(IF(VLOOKUP($A20,Übungsübersicht!$E$6:$K$82,7,FALSE)="OK",(MROUND(((INDEX($A$1:$U$68,(ROW(U20)),17))*$T$97),(((IF(VLOOKUP($A20,Übungsübersicht!$E$6:$K$82,3,FALSE)=0,0.1,(VLOOKUP($A20,Übungsübersicht!$E$6:$K$82,3,FALSE)))))))),IF(VLOOKUP($A20,Übungsübersicht!$E$6:$K$82,7,FALSE)="UK",(MROUND(((INDEX($A$1:$U$68,(ROW(U20)),17))*$T$98),(((IF(VLOOKUP($A20,Übungsübersicht!$E$6:$K$82,3,FALSE)=0,0.1,(VLOOKUP($A20,Übungsübersicht!$E$6:$K$82,3,FALSE)))))))),"Übung OK/UK?"))))),"Übung?",IF((IF(VLOOKUP($A20,Übungsübersicht!$E$6:$K$82,7,FALSE)="OK",(MROUND(((INDEX($A$1:$U$68,(ROW(U20)),17))*$T$97),(((IF(VLOOKUP($A20,Übungsübersicht!$E$6:$K$82,3,FALSE)=0,0.1,(VLOOKUP($A20,Übungsübersicht!$E$6:$K$82,3,FALSE)))))))),IF(VLOOKUP($A20,Übungsübersicht!$E$6:$K$82,7,FALSE)="UK",(MROUND(((INDEX($A$1:$U$68,(ROW(U20)),17))*$T$98),(((IF(VLOOKUP($A20,Übungsübersicht!$E$6:$K$82,3,FALSE)=0,0.1,(VLOOKUP($A20,Übungsübersicht!$E$6:$K$82,3,FALSE)))))))),"Übung OK/UK?")))&lt;3,"RPE 6",(IF(VLOOKUP($A20,Übungsübersicht!$E$6:$K$82,7,FALSE)="OK",(MROUND(((INDEX($A$1:$U$68,(ROW(U20)),17))*$T$97),(((IF(VLOOKUP($A20,Übungsübersicht!$E$6:$K$82,3,FALSE)=0,0.1,(VLOOKUP($A20,Übungsübersicht!$E$6:$K$82,3,FALSE)))))))),IF(VLOOKUP($A20,Übungsübersicht!$E$6:$K$82,7,FALSE)="UK",(MROUND(((INDEX($A$1:$U$68,(ROW(U20)),17))*$T$98),(((IF(VLOOKUP($A20,Übungsübersicht!$E$6:$K$82,3,FALSE)=0,0.1,(VLOOKUP($A20,Übungsübersicht!$E$6:$K$82,3,FALSE)))))))),"Übung OK/UK?")))))),"RPE 6")</f>
        <v>20</v>
      </c>
      <c r="V20" s="8"/>
      <c r="W20" s="7"/>
      <c r="X20" s="7"/>
      <c r="AB20" s="899">
        <f ca="1">ROUNDDOWN((TODAY()-Dashboard!C33)/7,0)+1</f>
        <v>1</v>
      </c>
      <c r="AC20" s="900" t="s">
        <v>413</v>
      </c>
    </row>
    <row r="21" spans="1:29" ht="26.1" customHeight="1" thickTop="1" thickBot="1">
      <c r="A21" s="668" t="s">
        <v>76</v>
      </c>
      <c r="B21" s="668" t="str">
        <f>IF(ISNA(IF(ISBLANK(VLOOKUP($A21,Übungsübersicht!$E$8:$F$83,2,FALSE)),"Muskelgruppe Auswählen",VLOOKUP($A21,Übungsübersicht!$E$8:$F$83,2,FALSE))),"Übung?",IF(ISBLANK(VLOOKUP($A21,Übungsübersicht!$E$8:$F$83,2,FALSE)),"Muskelgruppe Auswählen",VLOOKUP($A21,Übungsübersicht!$E$8:$F$83,2,FALSE)))</f>
        <v>Trizeps</v>
      </c>
      <c r="C21" s="670">
        <v>3</v>
      </c>
      <c r="D21" s="671">
        <f>IF(ISNA(IF($C21=0,"0",IF(VLOOKUP($A21,Übungsübersicht!$E$7:$K$83,4,FALSE)&lt;1,"RPE 7",VLOOKUP($A21,Übungsübersicht!$E$7:$K$83,4,FALSE)))),"Übung?",IF($C21=0,"0",IF(VLOOKUP($A21,Übungsübersicht!$E$7:$K$83,4,FALSE)&lt;1,"RPE 7",VLOOKUP($A21,Übungsübersicht!$E$7:$K$83,4,FALSE))))</f>
        <v>10</v>
      </c>
      <c r="E21" s="672" cm="1">
        <f t="array" ref="E21">IF(IFERROR((IF(ISNA(IF((IF(VLOOKUP($A21,Übungsübersicht!$E$6:$K$82,7,FALSE)="OK",(MROUND(((INDEX($A$1:$U$68,(ROW(E21)),17))*$Q$97),(((IF(VLOOKUP($A21,Übungsübersicht!$E$6:$K$82,3,FALSE)=0,0.1,(VLOOKUP($A21,Übungsübersicht!$E$6:$K$82,3,FALSE)))))))),IF(VLOOKUP($A21,Übungsübersicht!$E$6:$K$82,7,FALSE)="UK",(MROUND(((INDEX($A$1:$U$68,(ROW(E21)),17))*$Q$98),(((IF(VLOOKUP($A21,Übungsübersicht!$E$6:$K$82,3,FALSE)=0,0.1,(VLOOKUP($A21,Übungsübersicht!$E$6:$K$82,3,FALSE)))))))),"Übung OK/UK?")))&lt;3,"RPE 7",(IF(VLOOKUP($A21,Übungsübersicht!$E$6:$K$82,7,FALSE)="OK",(MROUND(((INDEX($A$1:$U$68,(ROW(E21)),17))*$Q$97),(((IF(VLOOKUP($A21,Übungsübersicht!$E$6:$K$82,3,FALSE)=0,0.1,(VLOOKUP($A21,Übungsübersicht!$E$6:$K$82,3,FALSE)))))))),IF(VLOOKUP($A21,Übungsübersicht!$E$6:$K$82,7,FALSE)="UK",(MROUND(((INDEX($A$1:$U$68,(ROW(E21)),17))*$Q$98),(((IF(VLOOKUP($A21,Übungsübersicht!$E$6:$K$82,3,FALSE)=0,0.1,(VLOOKUP($A21,Übungsübersicht!$E$6:$K$82,3,FALSE)))))))),"Übung OK/UK?"))))),"Übung?",IF((IF(VLOOKUP($A21,Übungsübersicht!$E$6:$K$82,7,FALSE)="OK",(MROUND(((INDEX($A$1:$U$68,(ROW(E21)),17))*$Q$97),(((IF(VLOOKUP($A21,Übungsübersicht!$E$6:$K$82,3,FALSE)=0,0.1,(VLOOKUP($A21,Übungsübersicht!$E$6:$K$82,3,FALSE)))))))),IF(VLOOKUP($A21,Übungsübersicht!$E$6:$K$82,7,FALSE)="UK",(MROUND(((INDEX($A$1:$U$68,(ROW(E21)),17))*$Q$98),(((IF(VLOOKUP($A21,Übungsübersicht!$E$6:$K$82,3,FALSE)=0,0.1,(VLOOKUP($A21,Übungsübersicht!$E$6:$K$82,3,FALSE)))))))),"Übung OK/UK?")))&lt;3,"RPE 7",(IF(VLOOKUP($A21,Übungsübersicht!$E$6:$K$82,7,FALSE)="OK",(MROUND(((INDEX($A$1:$U$68,(ROW(E21)),17))*$Q$97),(((IF(VLOOKUP($A21,Übungsübersicht!$E$6:$K$82,3,FALSE)=0,0.1,(VLOOKUP($A21,Übungsübersicht!$E$6:$K$82,3,FALSE)))))))),IF(VLOOKUP($A21,Übungsübersicht!$E$6:$K$82,7,FALSE)="UK",(MROUND(((INDEX($A$1:$U$68,(ROW(E21)),17))*$Q$98),(((IF(VLOOKUP($A21,Übungsübersicht!$E$6:$K$82,3,FALSE)=0,0.1,(VLOOKUP($A21,Übungsübersicht!$E$6:$K$82,3,FALSE)))))))),"Übung OK/UK?")))))),"RPE 6")=(INDEX($A$1:$U$68,(ROW(E21)),17)),(IFERROR((IF(ISNA(IF(INDEX($A$1:$U$68,(ROW(E21)),17)-(IF(VLOOKUP($A21,Übungsübersicht!$E$6:$K$82,3,FALSE)&lt;=0.5,0,(VLOOKUP($A21,Übungsübersicht!$E$6:$K$82,3,FALSE))))&lt;3,"RPE 7",INDEX($A$1:$U$68,(ROW(E21)),17)-(IF(VLOOKUP($A21,Übungsübersicht!$E$6:$K$82,3,FALSE)&lt;=0.5,0,(VLOOKUP($A21,Übungsübersicht!$E$6:$K$82,3,FALSE)))))),"Übung?",IF(INDEX($A$1:$U$68,(ROW(E21)),17)-(IF(VLOOKUP($A21,Übungsübersicht!$E$6:$K$82,3,FALSE)&lt;=0.5,0,(VLOOKUP($A21,Übungsübersicht!$E$6:$K$82,3,FALSE))))&lt;3,"RPE 7",INDEX($A$1:$U$68,(ROW(E21)),17)-(IF(VLOOKUP($A21,Übungsübersicht!$E$6:$K$82,3,FALSE)&lt;=0.5,0,(VLOOKUP($A21,Übungsübersicht!$E$6:$K$82,3,FALSE))))))),"RPE 7")),(IFERROR((IF(ISNA(IF((IF(VLOOKUP($A21,Übungsübersicht!$E$6:$K$82,7,FALSE)="OK",(MROUND(((INDEX($A$1:$U$68,(ROW(E21)),17))*$Q$97),(((IF(VLOOKUP($A21,Übungsübersicht!$E$6:$K$82,3,FALSE)=0,0.1,(VLOOKUP($A21,Übungsübersicht!$E$6:$K$82,3,FALSE)))))))),IF(VLOOKUP($A21,Übungsübersicht!$E$6:$K$82,7,FALSE)="UK",(MROUND(((INDEX($A$1:$U$68,(ROW(E21)),17))*$Q$98),(((IF(VLOOKUP($A21,Übungsübersicht!$E$6:$K$82,3,FALSE)=0,0.1,(VLOOKUP($A21,Übungsübersicht!$E$6:$K$82,3,FALSE)))))))),"Übung OK/UK?")))&lt;3,"RPE 7",(IF(VLOOKUP($A21,Übungsübersicht!$E$6:$K$82,7,FALSE)="OK",(MROUND(((INDEX($A$1:$U$68,(ROW(E21)),17))*$Q$97),(((IF(VLOOKUP($A21,Übungsübersicht!$E$6:$K$82,3,FALSE)=0,0.1,(VLOOKUP($A21,Übungsübersicht!$E$6:$K$82,3,FALSE)))))))),IF(VLOOKUP($A21,Übungsübersicht!$E$6:$K$82,7,FALSE)="UK",(MROUND(((INDEX($A$1:$U$68,(ROW(E21)),17))*$Q$98),(((IF(VLOOKUP($A21,Übungsübersicht!$E$6:$K$82,3,FALSE)=0,0.1,(VLOOKUP($A21,Übungsübersicht!$E$6:$K$82,3,FALSE)))))))),"Übung OK/UK?"))))),"Übung?",IF((IF(VLOOKUP($A21,Übungsübersicht!$E$6:$K$82,7,FALSE)="OK",(MROUND(((INDEX($A$1:$U$68,(ROW(E21)),17))*$Q$97),(((IF(VLOOKUP($A21,Übungsübersicht!$E$6:$K$82,3,FALSE)=0,0.1,(VLOOKUP($A21,Übungsübersicht!$E$6:$K$82,3,FALSE)))))))),IF(VLOOKUP($A21,Übungsübersicht!$E$6:$K$82,7,FALSE)="UK",(MROUND(((INDEX($A$1:$U$68,(ROW(E21)),17))*$Q$98),(((IF(VLOOKUP($A21,Übungsübersicht!$E$6:$K$82,3,FALSE)=0,0.1,(VLOOKUP($A21,Übungsübersicht!$E$6:$K$82,3,FALSE)))))))),"Übung OK/UK?")))&lt;3,"RPE 6",(IF(VLOOKUP($A21,Übungsübersicht!$E$6:$K$82,7,FALSE)="OK",(MROUND(((INDEX($A$1:$U$68,(ROW(E21)),17))*$Q$97),(((IF(VLOOKUP($A21,Übungsübersicht!$E$6:$K$82,3,FALSE)=0,0.1,(VLOOKUP($A21,Übungsübersicht!$E$6:$K$82,3,FALSE)))))))),IF(VLOOKUP($A21,Übungsübersicht!$E$6:$K$82,7,FALSE)="UK",(MROUND(((INDEX($A$1:$U$68,(ROW(E21)),17))*$Q$98),(((IF(VLOOKUP($A21,Übungsübersicht!$E$6:$K$82,3,FALSE)=0,0.1,(VLOOKUP($A21,Übungsübersicht!$E$6:$K$82,3,FALSE)))))))),"Übung OK/UK?")))))),"RPE 7")))</f>
        <v>40</v>
      </c>
      <c r="F21" s="598" t="str">
        <f>IF('Gewichts- Calculator'!$B$127="EINGEBEN","",(IF('Gewichts- Calculator'!$C$134="Ja Anzeigen",(IF($A21='Gewichts- Calculator'!$C$8," &gt;"&amp;'Gewichts- Calculator'!$B$127&amp;"  &gt; "&amp; 'Gewichts- Calculator'!$B$130,"")),"")))</f>
        <v/>
      </c>
      <c r="G21" s="887">
        <v>3</v>
      </c>
      <c r="H21" s="671">
        <f>IF(ISNA(IF($G21=0,"0",IF(VLOOKUP($A21,Übungsübersicht!$E$7:$K$83,4,FALSE)&lt;1,"RPE 8",VLOOKUP($A21,Übungsübersicht!$E$7:$K$83,4,FALSE)))),"Übung?",IF($G21=0,"0",IF(VLOOKUP($A21,Übungsübersicht!$E$7:$K$83,4,FALSE)&lt;1,"RPE 8",VLOOKUP($A21,Übungsübersicht!$E$7:$K$83,4,FALSE))))</f>
        <v>10</v>
      </c>
      <c r="I21" s="888">
        <v>42.5</v>
      </c>
      <c r="J21" s="598" t="str">
        <f>IF('Gewichts- Calculator'!$D$127="EINGEBEN","",(IF('Gewichts- Calculator'!$C$134="Ja Anzeigen",(IF($A21='Gewichts- Calculator'!$C$8," &gt;"&amp;'Gewichts- Calculator'!$D$127&amp;"  &gt; "&amp; 'Gewichts- Calculator'!$D$130,"")),"")))</f>
        <v/>
      </c>
      <c r="K21" s="670">
        <v>3</v>
      </c>
      <c r="L21" s="671">
        <f>IF(ISNA(IF($K21=0,"0",IF(VLOOKUP($A21,Übungsübersicht!$E$7:$K$83,4,FALSE)&lt;1,"RPE 8",VLOOKUP($A21,Übungsübersicht!$E$7:$K$83,4,FALSE)))),"Übung?",IF($K21=0,"0",IF(VLOOKUP($A21,Übungsübersicht!$E$7:$K$83,4,FALSE)&lt;1,"RPE 8",VLOOKUP($A21,Übungsübersicht!$E$7:$K$83,4,FALSE))))</f>
        <v>10</v>
      </c>
      <c r="M21" s="674">
        <v>42.5</v>
      </c>
      <c r="N21" s="598" t="str">
        <f>IF('Gewichts- Calculator'!$D$127="EINGEBEN","",(IF('Gewichts- Calculator'!$C$134="Ja Anzeigen",(IF($A21='Gewichts- Calculator'!$C$8," &gt;"&amp;'Gewichts- Calculator'!$D$127&amp;"  &gt; "&amp; 'Gewichts- Calculator'!$D$130,"")),"")))</f>
        <v/>
      </c>
      <c r="O21" s="670">
        <v>3</v>
      </c>
      <c r="P21" s="671">
        <f>IF(ISNA(IF($O21=0,"0",IF(VLOOKUP($A21,Übungsübersicht!$E$7:$K$83,5,FALSE)&lt;1,"RPE 9",VLOOKUP($A21,Übungsübersicht!$E$7:$K$83,5,FALSE)))),"Übung?",IF($O21=0,"0",IF(VLOOKUP($A21,Übungsübersicht!$E$7:$K$83,5,FALSE)&lt;1,"RPE 9",VLOOKUP($A21,Übungsübersicht!$E$7:$K$83,5,FALSE))))</f>
        <v>10</v>
      </c>
      <c r="Q21" s="675">
        <v>42.5</v>
      </c>
      <c r="R21" s="598" t="str">
        <f>IF('Gewichts- Calculator'!$F$127="EINGEBEN","",(IF('Gewichts- Calculator'!$C$134="Ja Anzeigen",(IF($A21='Gewichts- Calculator'!$C$8," &gt;"&amp;'Gewichts- Calculator'!$F$127&amp;"  &gt; "&amp; 'Gewichts- Calculator'!$F$130,"")),"")))</f>
        <v/>
      </c>
      <c r="S21" s="670">
        <v>2</v>
      </c>
      <c r="T21" s="671">
        <f>IF(ISNA(IF($S21=0,"0",IF(VLOOKUP($A21,Übungsübersicht!$E$7:$K$83,4,FALSE)&lt;1,"RPE 6",VLOOKUP($A21,Übungsübersicht!$E$7:$K$83,4,FALSE)))),"Übung?",IF($S21=0,"0",IF(VLOOKUP($A21,Übungsübersicht!$E$7:$K$83,4,FALSE)&lt;1,"RPE 6",VLOOKUP($A21,Übungsübersicht!$E$7:$K$83,4,FALSE))))</f>
        <v>10</v>
      </c>
      <c r="U21" s="674" cm="1">
        <f t="array" ref="U21">IFERROR((IF(ISNA(IF((IF(VLOOKUP($A21,Übungsübersicht!$E$6:$K$82,7,FALSE)="OK",(MROUND(((INDEX($A$1:$U$68,(ROW(U21)),17))*$T$97),(((IF(VLOOKUP($A21,Übungsübersicht!$E$6:$K$82,3,FALSE)=0,0.1,(VLOOKUP($A21,Übungsübersicht!$E$6:$K$82,3,FALSE)))))))),IF(VLOOKUP($A21,Übungsübersicht!$E$6:$K$82,7,FALSE)="UK",(MROUND(((INDEX($A$1:$U$68,(ROW(U21)),17))*$T$98),(((IF(VLOOKUP($A21,Übungsübersicht!$E$6:$K$82,3,FALSE)=0,0.1,(VLOOKUP($A21,Übungsübersicht!$E$6:$K$82,3,FALSE)))))))),"Übung OK/UK?")))&lt;3,"RPE 6",(IF(VLOOKUP($A21,Übungsübersicht!$E$6:$K$82,7,FALSE)="OK",(MROUND(((INDEX($A$1:$U$68,(ROW(U21)),17))*$T$97),(((IF(VLOOKUP($A21,Übungsübersicht!$E$6:$K$82,3,FALSE)=0,0.1,(VLOOKUP($A21,Übungsübersicht!$E$6:$K$82,3,FALSE)))))))),IF(VLOOKUP($A21,Übungsübersicht!$E$6:$K$82,7,FALSE)="UK",(MROUND(((INDEX($A$1:$U$68,(ROW(U21)),17))*$T$98),(((IF(VLOOKUP($A21,Übungsübersicht!$E$6:$K$82,3,FALSE)=0,0.1,(VLOOKUP($A21,Übungsübersicht!$E$6:$K$82,3,FALSE)))))))),"Übung OK/UK?"))))),"Übung?",IF((IF(VLOOKUP($A21,Übungsübersicht!$E$6:$K$82,7,FALSE)="OK",(MROUND(((INDEX($A$1:$U$68,(ROW(U21)),17))*$T$97),(((IF(VLOOKUP($A21,Übungsübersicht!$E$6:$K$82,3,FALSE)=0,0.1,(VLOOKUP($A21,Übungsübersicht!$E$6:$K$82,3,FALSE)))))))),IF(VLOOKUP($A21,Übungsübersicht!$E$6:$K$82,7,FALSE)="UK",(MROUND(((INDEX($A$1:$U$68,(ROW(U21)),17))*$T$98),(((IF(VLOOKUP($A21,Übungsübersicht!$E$6:$K$82,3,FALSE)=0,0.1,(VLOOKUP($A21,Übungsübersicht!$E$6:$K$82,3,FALSE)))))))),"Übung OK/UK?")))&lt;3,"RPE 6",(IF(VLOOKUP($A21,Übungsübersicht!$E$6:$K$82,7,FALSE)="OK",(MROUND(((INDEX($A$1:$U$68,(ROW(U21)),17))*$T$97),(((IF(VLOOKUP($A21,Übungsübersicht!$E$6:$K$82,3,FALSE)=0,0.1,(VLOOKUP($A21,Übungsübersicht!$E$6:$K$82,3,FALSE)))))))),IF(VLOOKUP($A21,Übungsübersicht!$E$6:$K$82,7,FALSE)="UK",(MROUND(((INDEX($A$1:$U$68,(ROW(U21)),17))*$T$98),(((IF(VLOOKUP($A21,Übungsübersicht!$E$6:$K$82,3,FALSE)=0,0.1,(VLOOKUP($A21,Übungsübersicht!$E$6:$K$82,3,FALSE)))))))),"Übung OK/UK?")))))),"RPE 6")</f>
        <v>30</v>
      </c>
      <c r="V21" s="8"/>
      <c r="X21" s="7"/>
      <c r="AB21" s="897">
        <f ca="1">ROUNDDOWN(Zyklus!AB20/LEFT(Dashboard!C31,1),0)</f>
        <v>0</v>
      </c>
      <c r="AC21" s="898" t="s">
        <v>414</v>
      </c>
    </row>
    <row r="22" spans="1:29" ht="26.1" customHeight="1" thickTop="1" thickBot="1">
      <c r="A22" s="668" t="s">
        <v>41</v>
      </c>
      <c r="B22" s="668" t="str">
        <f>IF(ISNA(IF(ISBLANK(VLOOKUP($A22,Übungsübersicht!$E$8:$F$83,2,FALSE)),"Muskelgruppe Auswählen",VLOOKUP($A22,Übungsübersicht!$E$8:$F$83,2,FALSE))),"Übung?",IF(ISBLANK(VLOOKUP($A22,Übungsübersicht!$E$8:$F$83,2,FALSE)),"Muskelgruppe Auswählen",VLOOKUP($A22,Übungsübersicht!$E$8:$F$83,2,FALSE)))</f>
        <v>Bizeps</v>
      </c>
      <c r="C22" s="670">
        <v>4</v>
      </c>
      <c r="D22" s="671">
        <f>IF(ISNA(IF($C22=0,"0",IF(VLOOKUP($A22,Übungsübersicht!$E$7:$K$83,4,FALSE)&lt;1,"RPE 7",VLOOKUP($A22,Übungsübersicht!$E$7:$K$83,4,FALSE)))),"Übung?",IF($C22=0,"0",IF(VLOOKUP($A22,Übungsübersicht!$E$7:$K$83,4,FALSE)&lt;1,"RPE 7",VLOOKUP($A22,Übungsübersicht!$E$7:$K$83,4,FALSE))))</f>
        <v>8</v>
      </c>
      <c r="E22" s="672" cm="1">
        <f t="array" ref="E22">IF(IFERROR((IF(ISNA(IF((IF(VLOOKUP($A22,Übungsübersicht!$E$6:$K$82,7,FALSE)="OK",(MROUND(((INDEX($A$1:$U$68,(ROW(E22)),17))*$Q$97),(((IF(VLOOKUP($A22,Übungsübersicht!$E$6:$K$82,3,FALSE)=0,0.1,(VLOOKUP($A22,Übungsübersicht!$E$6:$K$82,3,FALSE)))))))),IF(VLOOKUP($A22,Übungsübersicht!$E$6:$K$82,7,FALSE)="UK",(MROUND(((INDEX($A$1:$U$68,(ROW(E22)),17))*$Q$98),(((IF(VLOOKUP($A22,Übungsübersicht!$E$6:$K$82,3,FALSE)=0,0.1,(VLOOKUP($A22,Übungsübersicht!$E$6:$K$82,3,FALSE)))))))),"Übung OK/UK?")))&lt;3,"RPE 7",(IF(VLOOKUP($A22,Übungsübersicht!$E$6:$K$82,7,FALSE)="OK",(MROUND(((INDEX($A$1:$U$68,(ROW(E22)),17))*$Q$97),(((IF(VLOOKUP($A22,Übungsübersicht!$E$6:$K$82,3,FALSE)=0,0.1,(VLOOKUP($A22,Übungsübersicht!$E$6:$K$82,3,FALSE)))))))),IF(VLOOKUP($A22,Übungsübersicht!$E$6:$K$82,7,FALSE)="UK",(MROUND(((INDEX($A$1:$U$68,(ROW(E22)),17))*$Q$98),(((IF(VLOOKUP($A22,Übungsübersicht!$E$6:$K$82,3,FALSE)=0,0.1,(VLOOKUP($A22,Übungsübersicht!$E$6:$K$82,3,FALSE)))))))),"Übung OK/UK?"))))),"Übung?",IF((IF(VLOOKUP($A22,Übungsübersicht!$E$6:$K$82,7,FALSE)="OK",(MROUND(((INDEX($A$1:$U$68,(ROW(E22)),17))*$Q$97),(((IF(VLOOKUP($A22,Übungsübersicht!$E$6:$K$82,3,FALSE)=0,0.1,(VLOOKUP($A22,Übungsübersicht!$E$6:$K$82,3,FALSE)))))))),IF(VLOOKUP($A22,Übungsübersicht!$E$6:$K$82,7,FALSE)="UK",(MROUND(((INDEX($A$1:$U$68,(ROW(E22)),17))*$Q$98),(((IF(VLOOKUP($A22,Übungsübersicht!$E$6:$K$82,3,FALSE)=0,0.1,(VLOOKUP($A22,Übungsübersicht!$E$6:$K$82,3,FALSE)))))))),"Übung OK/UK?")))&lt;3,"RPE 7",(IF(VLOOKUP($A22,Übungsübersicht!$E$6:$K$82,7,FALSE)="OK",(MROUND(((INDEX($A$1:$U$68,(ROW(E22)),17))*$Q$97),(((IF(VLOOKUP($A22,Übungsübersicht!$E$6:$K$82,3,FALSE)=0,0.1,(VLOOKUP($A22,Übungsübersicht!$E$6:$K$82,3,FALSE)))))))),IF(VLOOKUP($A22,Übungsübersicht!$E$6:$K$82,7,FALSE)="UK",(MROUND(((INDEX($A$1:$U$68,(ROW(E22)),17))*$Q$98),(((IF(VLOOKUP($A22,Übungsübersicht!$E$6:$K$82,3,FALSE)=0,0.1,(VLOOKUP($A22,Übungsübersicht!$E$6:$K$82,3,FALSE)))))))),"Übung OK/UK?")))))),"RPE 6")=(INDEX($A$1:$U$68,(ROW(E22)),17)),(IFERROR((IF(ISNA(IF(INDEX($A$1:$U$68,(ROW(E22)),17)-(IF(VLOOKUP($A22,Übungsübersicht!$E$6:$K$82,3,FALSE)&lt;=0.5,0,(VLOOKUP($A22,Übungsübersicht!$E$6:$K$82,3,FALSE))))&lt;3,"RPE 7",INDEX($A$1:$U$68,(ROW(E22)),17)-(IF(VLOOKUP($A22,Übungsübersicht!$E$6:$K$82,3,FALSE)&lt;=0.5,0,(VLOOKUP($A22,Übungsübersicht!$E$6:$K$82,3,FALSE)))))),"Übung?",IF(INDEX($A$1:$U$68,(ROW(E22)),17)-(IF(VLOOKUP($A22,Übungsübersicht!$E$6:$K$82,3,FALSE)&lt;=0.5,0,(VLOOKUP($A22,Übungsübersicht!$E$6:$K$82,3,FALSE))))&lt;3,"RPE 7",INDEX($A$1:$U$68,(ROW(E22)),17)-(IF(VLOOKUP($A22,Übungsübersicht!$E$6:$K$82,3,FALSE)&lt;=0.5,0,(VLOOKUP($A22,Übungsübersicht!$E$6:$K$82,3,FALSE))))))),"RPE 7")),(IFERROR((IF(ISNA(IF((IF(VLOOKUP($A22,Übungsübersicht!$E$6:$K$82,7,FALSE)="OK",(MROUND(((INDEX($A$1:$U$68,(ROW(E22)),17))*$Q$97),(((IF(VLOOKUP($A22,Übungsübersicht!$E$6:$K$82,3,FALSE)=0,0.1,(VLOOKUP($A22,Übungsübersicht!$E$6:$K$82,3,FALSE)))))))),IF(VLOOKUP($A22,Übungsübersicht!$E$6:$K$82,7,FALSE)="UK",(MROUND(((INDEX($A$1:$U$68,(ROW(E22)),17))*$Q$98),(((IF(VLOOKUP($A22,Übungsübersicht!$E$6:$K$82,3,FALSE)=0,0.1,(VLOOKUP($A22,Übungsübersicht!$E$6:$K$82,3,FALSE)))))))),"Übung OK/UK?")))&lt;3,"RPE 7",(IF(VLOOKUP($A22,Übungsübersicht!$E$6:$K$82,7,FALSE)="OK",(MROUND(((INDEX($A$1:$U$68,(ROW(E22)),17))*$Q$97),(((IF(VLOOKUP($A22,Übungsübersicht!$E$6:$K$82,3,FALSE)=0,0.1,(VLOOKUP($A22,Übungsübersicht!$E$6:$K$82,3,FALSE)))))))),IF(VLOOKUP($A22,Übungsübersicht!$E$6:$K$82,7,FALSE)="UK",(MROUND(((INDEX($A$1:$U$68,(ROW(E22)),17))*$Q$98),(((IF(VLOOKUP($A22,Übungsübersicht!$E$6:$K$82,3,FALSE)=0,0.1,(VLOOKUP($A22,Übungsübersicht!$E$6:$K$82,3,FALSE)))))))),"Übung OK/UK?"))))),"Übung?",IF((IF(VLOOKUP($A22,Übungsübersicht!$E$6:$K$82,7,FALSE)="OK",(MROUND(((INDEX($A$1:$U$68,(ROW(E22)),17))*$Q$97),(((IF(VLOOKUP($A22,Übungsübersicht!$E$6:$K$82,3,FALSE)=0,0.1,(VLOOKUP($A22,Übungsübersicht!$E$6:$K$82,3,FALSE)))))))),IF(VLOOKUP($A22,Übungsübersicht!$E$6:$K$82,7,FALSE)="UK",(MROUND(((INDEX($A$1:$U$68,(ROW(E22)),17))*$Q$98),(((IF(VLOOKUP($A22,Übungsübersicht!$E$6:$K$82,3,FALSE)=0,0.1,(VLOOKUP($A22,Übungsübersicht!$E$6:$K$82,3,FALSE)))))))),"Übung OK/UK?")))&lt;3,"RPE 6",(IF(VLOOKUP($A22,Übungsübersicht!$E$6:$K$82,7,FALSE)="OK",(MROUND(((INDEX($A$1:$U$68,(ROW(E22)),17))*$Q$97),(((IF(VLOOKUP($A22,Übungsübersicht!$E$6:$K$82,3,FALSE)=0,0.1,(VLOOKUP($A22,Übungsübersicht!$E$6:$K$82,3,FALSE)))))))),IF(VLOOKUP($A22,Übungsübersicht!$E$6:$K$82,7,FALSE)="UK",(MROUND(((INDEX($A$1:$U$68,(ROW(E22)),17))*$Q$98),(((IF(VLOOKUP($A22,Übungsübersicht!$E$6:$K$82,3,FALSE)=0,0.1,(VLOOKUP($A22,Übungsübersicht!$E$6:$K$82,3,FALSE)))))))),"Übung OK/UK?")))))),"RPE 7")))</f>
        <v>18</v>
      </c>
      <c r="F22" s="598" t="str">
        <f>IF('Gewichts- Calculator'!$B$127="EINGEBEN","",(IF('Gewichts- Calculator'!$C$134="Ja Anzeigen",(IF($A22='Gewichts- Calculator'!$C$8," &gt;"&amp;'Gewichts- Calculator'!$B$127&amp;"  &gt; "&amp; 'Gewichts- Calculator'!$B$130,"")),"")))</f>
        <v/>
      </c>
      <c r="G22" s="889">
        <v>4</v>
      </c>
      <c r="H22" s="890">
        <f>IF(ISNA(IF($G22=0,"0",IF(VLOOKUP($A22,Übungsübersicht!$E$7:$K$83,4,FALSE)&lt;1,"RPE 8",VLOOKUP($A22,Übungsübersicht!$E$7:$K$83,4,FALSE)))),"Übung?",IF($G22=0,"0",IF(VLOOKUP($A22,Übungsübersicht!$E$7:$K$83,4,FALSE)&lt;1,"RPE 8",VLOOKUP($A22,Übungsübersicht!$E$7:$K$83,4,FALSE))))</f>
        <v>8</v>
      </c>
      <c r="I22" s="891">
        <v>20</v>
      </c>
      <c r="J22" s="598" t="str">
        <f>IF('Gewichts- Calculator'!$D$127="EINGEBEN","",(IF('Gewichts- Calculator'!$C$134="Ja Anzeigen",(IF($A22='Gewichts- Calculator'!$C$8," &gt;"&amp;'Gewichts- Calculator'!$D$127&amp;"  &gt; "&amp; 'Gewichts- Calculator'!$D$130,"")),"")))</f>
        <v/>
      </c>
      <c r="K22" s="670">
        <v>4</v>
      </c>
      <c r="L22" s="671">
        <f>IF(ISNA(IF($K22=0,"0",IF(VLOOKUP($A22,Übungsübersicht!$E$7:$K$83,4,FALSE)&lt;1,"RPE 8",VLOOKUP($A22,Übungsübersicht!$E$7:$K$83,4,FALSE)))),"Übung?",IF($K22=0,"0",IF(VLOOKUP($A22,Übungsübersicht!$E$7:$K$83,4,FALSE)&lt;1,"RPE 8",VLOOKUP($A22,Übungsübersicht!$E$7:$K$83,4,FALSE))))</f>
        <v>8</v>
      </c>
      <c r="M22" s="674">
        <v>20</v>
      </c>
      <c r="N22" s="598" t="str">
        <f>IF('Gewichts- Calculator'!$D$127="EINGEBEN","",(IF('Gewichts- Calculator'!$C$134="Ja Anzeigen",(IF($A22='Gewichts- Calculator'!$C$8," &gt;"&amp;'Gewichts- Calculator'!$D$127&amp;"  &gt; "&amp; 'Gewichts- Calculator'!$D$130,"")),"")))</f>
        <v/>
      </c>
      <c r="O22" s="670">
        <v>4</v>
      </c>
      <c r="P22" s="671">
        <f>IF(ISNA(IF($O22=0,"0",IF(VLOOKUP($A22,Übungsübersicht!$E$7:$K$83,5,FALSE)&lt;1,"RPE 9",VLOOKUP($A22,Übungsübersicht!$E$7:$K$83,5,FALSE)))),"Übung?",IF($O22=0,"0",IF(VLOOKUP($A22,Übungsübersicht!$E$7:$K$83,5,FALSE)&lt;1,"RPE 9",VLOOKUP($A22,Übungsübersicht!$E$7:$K$83,5,FALSE))))</f>
        <v>8</v>
      </c>
      <c r="Q22" s="675">
        <v>20</v>
      </c>
      <c r="R22" s="598" t="str">
        <f>IF('Gewichts- Calculator'!$F$127="EINGEBEN","",(IF('Gewichts- Calculator'!$C$134="Ja Anzeigen",(IF($A22='Gewichts- Calculator'!$C$8," &gt;"&amp;'Gewichts- Calculator'!$F$127&amp;"  &gt; "&amp; 'Gewichts- Calculator'!$F$130,"")),"")))</f>
        <v/>
      </c>
      <c r="S22" s="670">
        <v>3</v>
      </c>
      <c r="T22" s="671">
        <f>IF(ISNA(IF($S22=0,"0",IF(VLOOKUP($A22,Übungsübersicht!$E$7:$K$83,4,FALSE)&lt;1,"RPE 6",VLOOKUP($A22,Übungsübersicht!$E$7:$K$83,4,FALSE)))),"Übung?",IF($S22=0,"0",IF(VLOOKUP($A22,Übungsübersicht!$E$7:$K$83,4,FALSE)&lt;1,"RPE 6",VLOOKUP($A22,Übungsübersicht!$E$7:$K$83,4,FALSE))))</f>
        <v>8</v>
      </c>
      <c r="U22" s="674" cm="1">
        <f t="array" ref="U22">IFERROR((IF(ISNA(IF((IF(VLOOKUP($A22,Übungsübersicht!$E$6:$K$82,7,FALSE)="OK",(MROUND(((INDEX($A$1:$U$68,(ROW(U22)),17))*$T$97),(((IF(VLOOKUP($A22,Übungsübersicht!$E$6:$K$82,3,FALSE)=0,0.1,(VLOOKUP($A22,Übungsübersicht!$E$6:$K$82,3,FALSE)))))))),IF(VLOOKUP($A22,Übungsübersicht!$E$6:$K$82,7,FALSE)="UK",(MROUND(((INDEX($A$1:$U$68,(ROW(U22)),17))*$T$98),(((IF(VLOOKUP($A22,Übungsübersicht!$E$6:$K$82,3,FALSE)=0,0.1,(VLOOKUP($A22,Übungsübersicht!$E$6:$K$82,3,FALSE)))))))),"Übung OK/UK?")))&lt;3,"RPE 6",(IF(VLOOKUP($A22,Übungsübersicht!$E$6:$K$82,7,FALSE)="OK",(MROUND(((INDEX($A$1:$U$68,(ROW(U22)),17))*$T$97),(((IF(VLOOKUP($A22,Übungsübersicht!$E$6:$K$82,3,FALSE)=0,0.1,(VLOOKUP($A22,Übungsübersicht!$E$6:$K$82,3,FALSE)))))))),IF(VLOOKUP($A22,Übungsübersicht!$E$6:$K$82,7,FALSE)="UK",(MROUND(((INDEX($A$1:$U$68,(ROW(U22)),17))*$T$98),(((IF(VLOOKUP($A22,Übungsübersicht!$E$6:$K$82,3,FALSE)=0,0.1,(VLOOKUP($A22,Übungsübersicht!$E$6:$K$82,3,FALSE)))))))),"Übung OK/UK?"))))),"Übung?",IF((IF(VLOOKUP($A22,Übungsübersicht!$E$6:$K$82,7,FALSE)="OK",(MROUND(((INDEX($A$1:$U$68,(ROW(U22)),17))*$T$97),(((IF(VLOOKUP($A22,Übungsübersicht!$E$6:$K$82,3,FALSE)=0,0.1,(VLOOKUP($A22,Übungsübersicht!$E$6:$K$82,3,FALSE)))))))),IF(VLOOKUP($A22,Übungsübersicht!$E$6:$K$82,7,FALSE)="UK",(MROUND(((INDEX($A$1:$U$68,(ROW(U22)),17))*$T$98),(((IF(VLOOKUP($A22,Übungsübersicht!$E$6:$K$82,3,FALSE)=0,0.1,(VLOOKUP($A22,Übungsübersicht!$E$6:$K$82,3,FALSE)))))))),"Übung OK/UK?")))&lt;3,"RPE 6",(IF(VLOOKUP($A22,Übungsübersicht!$E$6:$K$82,7,FALSE)="OK",(MROUND(((INDEX($A$1:$U$68,(ROW(U22)),17))*$T$97),(((IF(VLOOKUP($A22,Übungsübersicht!$E$6:$K$82,3,FALSE)=0,0.1,(VLOOKUP($A22,Übungsübersicht!$E$6:$K$82,3,FALSE)))))))),IF(VLOOKUP($A22,Übungsübersicht!$E$6:$K$82,7,FALSE)="UK",(MROUND(((INDEX($A$1:$U$68,(ROW(U22)),17))*$T$98),(((IF(VLOOKUP($A22,Übungsübersicht!$E$6:$K$82,3,FALSE)=0,0.1,(VLOOKUP($A22,Übungsübersicht!$E$6:$K$82,3,FALSE)))))))),"Übung OK/UK?")))))),"RPE 6")</f>
        <v>14</v>
      </c>
      <c r="V22" s="8"/>
      <c r="AB22" s="900"/>
      <c r="AC22" s="900"/>
    </row>
    <row r="23" spans="1:29" ht="26.1" customHeight="1" thickTop="1">
      <c r="A23" s="17"/>
      <c r="B23" s="17"/>
      <c r="C23" s="18"/>
      <c r="D23" s="18"/>
      <c r="E23" s="19"/>
      <c r="F23" s="598" t="str">
        <f>IF('Gewichts- Calculator'!$B$127="EINGEBEN","",(IF('Gewichts- Calculator'!$C$134="Ja Anzeigen",(IF($A23='Gewichts- Calculator'!$C$8," &gt;"&amp;'Gewichts- Calculator'!$B$127&amp;"  &gt; "&amp; 'Gewichts- Calculator'!$B$130,"")),"")))</f>
        <v/>
      </c>
      <c r="G23" s="27"/>
      <c r="H23" s="27"/>
      <c r="I23" s="27"/>
      <c r="J23" s="598" t="str">
        <f>IF('Gewichts- Calculator'!$D$127="EINGEBEN","",(IF('Gewichts- Calculator'!$C$134="Ja Anzeigen",(IF($A23='Gewichts- Calculator'!$C$8," &gt;"&amp;'Gewichts- Calculator'!$D$127&amp;"  &gt; "&amp; 'Gewichts- Calculator'!$D$130,"")),"")))</f>
        <v/>
      </c>
      <c r="K23" s="18"/>
      <c r="L23" s="18"/>
      <c r="M23" s="18"/>
      <c r="N23" s="598" t="str">
        <f>IF('Gewichts- Calculator'!$D$127="EINGEBEN","",(IF('Gewichts- Calculator'!$C$134="Ja Anzeigen",(IF($A23='Gewichts- Calculator'!$C$8," &gt;"&amp;'Gewichts- Calculator'!$D$127&amp;"  &gt; "&amp; 'Gewichts- Calculator'!$D$130,"")),"")))</f>
        <v/>
      </c>
      <c r="O23" s="14"/>
      <c r="P23" s="14"/>
      <c r="Q23" s="14"/>
      <c r="R23" s="598" t="str">
        <f>IF('Gewichts- Calculator'!$F$127="EINGEBEN","",(IF('Gewichts- Calculator'!$C$134="Ja Anzeigen",(IF($A23='Gewichts- Calculator'!$C$8," &gt;"&amp;'Gewichts- Calculator'!$F$127&amp;"  &gt; "&amp; 'Gewichts- Calculator'!$F$130,"")),"")))</f>
        <v/>
      </c>
      <c r="S23" s="18"/>
      <c r="T23" s="18"/>
      <c r="U23" s="18"/>
      <c r="V23" s="7"/>
      <c r="AB23" s="898">
        <f ca="1">IF(Dashboard!$C$35="Automatisch berechnen",Zyklus!AB20-(Zyklus!AB21*LEFT(Dashboard!C31,1)),VALUE(RIGHT(Dashboard!$C$35,1)))</f>
        <v>1</v>
      </c>
      <c r="AC23" s="898" t="s">
        <v>415</v>
      </c>
    </row>
    <row r="24" spans="1:29" ht="33.950000000000003" customHeight="1" thickBot="1">
      <c r="A24" s="876" t="s">
        <v>58</v>
      </c>
      <c r="B24" s="914" cm="1">
        <f t="array" aca="1" ref="B24" ca="1">IF(INDEX(Kalender!$B$6:$H$18,Zyklus!$AB$25,1)=$A24,INDEX(Kalender!$B$6:$H$18,Zyklus!$AB$25-1,1),IF(INDEX(Kalender!$B$6:$H$18,Zyklus!$AB$25,2)=$A24,INDEX(Kalender!$B$6:$H$18,Zyklus!$AB$25-1,2),IF(INDEX(Kalender!$B$6:$H$18,Zyklus!$AB$25,3)=$A24,INDEX(Kalender!$B$6:$H$18,Zyklus!$AB$25-1,3),IF(INDEX(Kalender!$B$6:$H$18,Zyklus!$AB$25,4)=$A24,INDEX(Kalender!$B$6:$H$18,Zyklus!$AB$25-1,4),IF(INDEX(Kalender!$B$6:$H$18,Zyklus!$AB$25,5)=$A24,INDEX(Kalender!$B$6:$H$18,Zyklus!$AB$25-1,5),IF(INDEX(Kalender!$B$6:$H$18,Zyklus!$AB$25,6)=$A24,INDEX(Kalender!$B$6:$H$18,Zyklus!$AB$25-1,6),IF(INDEX(Kalender!$B$6:$H$18,Zyklus!$AB$25,7)=$A24,INDEX(Kalender!$B$6:$H$18,Zyklus!$AB$25-1,7),"Kalender?")))))))</f>
        <v>43950</v>
      </c>
      <c r="C24" s="1228" t="s">
        <v>60</v>
      </c>
      <c r="D24" s="1228"/>
      <c r="E24" s="1228"/>
      <c r="F24" s="598" t="str">
        <f>IF('Gewichts- Calculator'!$B$127="EINGEBEN","",(IF('Gewichts- Calculator'!$C$134="Ja Anzeigen",(IF($A24='Gewichts- Calculator'!$C$8," &gt;"&amp;'Gewichts- Calculator'!$B$127&amp;"  &gt; "&amp; 'Gewichts- Calculator'!$B$130,"")),"")))</f>
        <v/>
      </c>
      <c r="G24" s="962" t="s">
        <v>61</v>
      </c>
      <c r="H24" s="962"/>
      <c r="I24" s="962"/>
      <c r="J24" s="598" t="str">
        <f>IF('Gewichts- Calculator'!$D$127="EINGEBEN","",(IF('Gewichts- Calculator'!$C$134="Ja Anzeigen",(IF($A24='Gewichts- Calculator'!$C$8," &gt;"&amp;'Gewichts- Calculator'!$D$127&amp;"  &gt; "&amp; 'Gewichts- Calculator'!$D$130,"")),"")))</f>
        <v/>
      </c>
      <c r="K24" s="962" t="s">
        <v>62</v>
      </c>
      <c r="L24" s="962"/>
      <c r="M24" s="962"/>
      <c r="N24" s="598" t="str">
        <f>IF('Gewichts- Calculator'!$D$127="EINGEBEN","",(IF('Gewichts- Calculator'!$C$134="Ja Anzeigen",(IF($A24='Gewichts- Calculator'!$C$8," &gt;"&amp;'Gewichts- Calculator'!$D$127&amp;"  &gt; "&amp; 'Gewichts- Calculator'!$D$130,"")),"")))</f>
        <v/>
      </c>
      <c r="O24" s="962" t="s">
        <v>63</v>
      </c>
      <c r="P24" s="962"/>
      <c r="Q24" s="962"/>
      <c r="R24" s="598" t="str">
        <f>IF('Gewichts- Calculator'!$F$127="EINGEBEN","",(IF('Gewichts- Calculator'!$C$134="Ja Anzeigen",(IF($A24='Gewichts- Calculator'!$C$8," &gt;"&amp;'Gewichts- Calculator'!$F$127&amp;"  &gt; "&amp; 'Gewichts- Calculator'!$F$130,"")),"")))</f>
        <v/>
      </c>
      <c r="S24" s="962" t="s">
        <v>64</v>
      </c>
      <c r="T24" s="962"/>
      <c r="U24" s="962"/>
      <c r="V24" s="8"/>
      <c r="W24" s="1234"/>
      <c r="AB24" s="901" t="str" cm="1">
        <f t="array" aca="1" ref="AB24" ca="1">INDEX(Kalender!$B$6:$H$18,(IF(ISNA(MATCH(TODAY(),Kalender!$B$6:$B$18,0)),IF(ISNA(MATCH(TODAY(),Kalender!$C$6:$C$18,0)),IF(ISNA(MATCH(TODAY(),Kalender!$D$6:$D$18,0)),IF(ISNA(MATCH(TODAY(),Kalender!$E$6:$E$18,0)),IF(ISNA(MATCH(TODAY(),Kalender!$F$6:$F$18,0)),IF(ISNA(MATCH(TODAY(),Kalender!$G$6:$G$18,0)),IF(ISNA(MATCH(TODAY(),Kalender!$H$6:$H$18,0)),"NV",MATCH(TODAY(),Kalender!$H$6:$H$18,0)),MATCH(TODAY(),Kalender!$G$6:$G$18,0)),MATCH(TODAY(),Kalender!$F$6:$F$18,0)),MATCH(TODAY(),Kalender!$E$6:$E$18,0)),MATCH(TODAY(),Kalender!$D$6:$D$18,0)),MATCH(TODAY(),Kalender!$C$6:$C$18,0)),MATCH(TODAY(),Kalender!$B$6:$B$18,0))+1),IF(ISNA(MATCH(TODAY(),Kalender!$B$7:$H$7,0)),IF(ISNA(MATCH(TODAY(),Kalender!$B$9:$H$9,0)),IF(ISNA(MATCH(TODAY(),Kalender!$B$11:$H$11,0)),IF(ISNA(MATCH(TODAY(),Kalender!$B$13:$H$13,0)),IF(ISNA(MATCH(TODAY(),Kalender!$B$15:$H$15,0)),IF(ISNA(MATCH(TODAY(),Kalender!$B$17:$H$17,0)),"NV",MATCH(TODAY(),Kalender!$B$17:$H$17,0)),MATCH(TODAY(),Kalender!$B$15:$H$15,0)),MATCH(TODAY(),Kalender!$B$13:$H$13,0)),MATCH(TODAY(),Kalender!$B$11:$H$11,0)),MATCH(TODAY(),Kalender!$B$9:$H$9,0)),MATCH(TODAY(),Kalender!$B$7:$H$7,0)))</f>
        <v>Frei</v>
      </c>
      <c r="AC24" s="903" t="s">
        <v>437</v>
      </c>
    </row>
    <row r="25" spans="1:29" ht="26.1" customHeight="1" thickTop="1" thickBot="1">
      <c r="A25" s="664" t="s">
        <v>0</v>
      </c>
      <c r="B25" s="664" t="s">
        <v>1</v>
      </c>
      <c r="C25" s="665" t="s">
        <v>55</v>
      </c>
      <c r="D25" s="665" t="s">
        <v>56</v>
      </c>
      <c r="E25" s="665" t="s">
        <v>57</v>
      </c>
      <c r="F25" s="598" t="str">
        <f>IF('Gewichts- Calculator'!$B$127="EINGEBEN","",(IF('Gewichts- Calculator'!$C$134="Ja Anzeigen",(IF($A25='Gewichts- Calculator'!$C$8," &gt;"&amp;'Gewichts- Calculator'!$B$127&amp;"  &gt; "&amp; 'Gewichts- Calculator'!$B$130,"")),"")))</f>
        <v/>
      </c>
      <c r="G25" s="665" t="s">
        <v>55</v>
      </c>
      <c r="H25" s="665" t="s">
        <v>56</v>
      </c>
      <c r="I25" s="665" t="s">
        <v>57</v>
      </c>
      <c r="J25" s="598" t="str">
        <f>IF('Gewichts- Calculator'!$D$127="EINGEBEN","",(IF('Gewichts- Calculator'!$C$134="Ja Anzeigen",(IF($A25='Gewichts- Calculator'!$C$8," &gt;"&amp;'Gewichts- Calculator'!$D$127&amp;"  &gt; "&amp; 'Gewichts- Calculator'!$D$130,"")),"")))</f>
        <v/>
      </c>
      <c r="K25" s="665" t="s">
        <v>55</v>
      </c>
      <c r="L25" s="665" t="s">
        <v>56</v>
      </c>
      <c r="M25" s="665" t="s">
        <v>57</v>
      </c>
      <c r="N25" s="598" t="str">
        <f>IF('Gewichts- Calculator'!$D$127="EINGEBEN","",(IF('Gewichts- Calculator'!$C$134="Ja Anzeigen",(IF($A25='Gewichts- Calculator'!$C$8," &gt;"&amp;'Gewichts- Calculator'!$D$127&amp;"  &gt; "&amp; 'Gewichts- Calculator'!$D$130,"")),"")))</f>
        <v/>
      </c>
      <c r="O25" s="665" t="s">
        <v>55</v>
      </c>
      <c r="P25" s="665" t="s">
        <v>56</v>
      </c>
      <c r="Q25" s="665" t="s">
        <v>57</v>
      </c>
      <c r="R25" s="598" t="str">
        <f>IF('Gewichts- Calculator'!$F$127="EINGEBEN","",(IF('Gewichts- Calculator'!$C$134="Ja Anzeigen",(IF($A25='Gewichts- Calculator'!$C$8," &gt;"&amp;'Gewichts- Calculator'!$F$127&amp;"  &gt; "&amp; 'Gewichts- Calculator'!$F$130,"")),"")))</f>
        <v/>
      </c>
      <c r="S25" s="665" t="s">
        <v>55</v>
      </c>
      <c r="T25" s="665" t="s">
        <v>56</v>
      </c>
      <c r="U25" s="665" t="s">
        <v>57</v>
      </c>
      <c r="V25" s="7"/>
      <c r="W25" s="1234"/>
      <c r="AB25" s="902">
        <f ca="1">(IF(ISNA(MATCH(TODAY(),Kalender!$B$6:$B$18,0)),IF(ISNA(MATCH(TODAY(),Kalender!$C$6:$C$18,0)),IF(ISNA(MATCH(TODAY(),Kalender!$D$6:$D$18,0)),IF(ISNA(MATCH(TODAY(),Kalender!$E$6:$E$18,0)),IF(ISNA(MATCH(TODAY(),Kalender!$F$6:$F$18,0)),IF(ISNA(MATCH(TODAY(),Kalender!$G$6:$G$18,0)),IF(ISNA(MATCH(TODAY(),Kalender!$H$6:$H$18,0)),"NV",MATCH(TODAY(),Kalender!$H$6:$H$18,0)),MATCH(TODAY(),Kalender!$G$6:$G$18,0)),MATCH(TODAY(),Kalender!$F$6:$F$18,0)),MATCH(TODAY(),Kalender!$E$6:$E$18,0)),MATCH(TODAY(),Kalender!$D$6:$D$18,0)),MATCH(TODAY(),Kalender!$C$6:$C$18,0)),MATCH(TODAY(),Kalender!$B$6:$B$18,0))+1)</f>
        <v>11</v>
      </c>
      <c r="AC25" s="904" t="s">
        <v>435</v>
      </c>
    </row>
    <row r="26" spans="1:29" ht="26.1" customHeight="1" thickTop="1" thickBot="1">
      <c r="A26" s="668" t="s">
        <v>177</v>
      </c>
      <c r="B26" s="669" t="str">
        <f>IF(ISNA(IF(ISBLANK(VLOOKUP($A26,Übungsübersicht!$E$8:$F$83,2,FALSE)),"Muskelgruppe Auswählen",VLOOKUP($A26,Übungsübersicht!$E$8:$F$83,2,FALSE))),"Übung?",IF(ISBLANK(VLOOKUP($A26,Übungsübersicht!$E$8:$F$83,2,FALSE)),"Muskelgruppe Auswählen",VLOOKUP($A26,Übungsübersicht!$E$8:$F$83,2,FALSE)))</f>
        <v>Quads</v>
      </c>
      <c r="C26" s="670">
        <v>3</v>
      </c>
      <c r="D26" s="671">
        <f>IF(ISNA(IF($C26=0,"0",IF(VLOOKUP($A26,Übungsübersicht!$E$7:$K$83,4,FALSE)&lt;1,"RPE 7",VLOOKUP($A26,Übungsübersicht!$E$7:$K$83,4,FALSE)))),"Übung?",IF($C26=0,"0",IF(VLOOKUP($A26,Übungsübersicht!$E$7:$K$83,4,FALSE)&lt;1,"RPE 7",VLOOKUP($A26,Übungsübersicht!$E$7:$K$83,4,FALSE))))</f>
        <v>8</v>
      </c>
      <c r="E26" s="672" cm="1">
        <f t="array" ref="E26">IF(IFERROR((IF(ISNA(IF((IF(VLOOKUP($A26,Übungsübersicht!$E$6:$K$82,7,FALSE)="OK",(MROUND(((INDEX($A$1:$U$68,(ROW(E26)),17))*$Q$97),(((IF(VLOOKUP($A26,Übungsübersicht!$E$6:$K$82,3,FALSE)=0,0.1,(VLOOKUP($A26,Übungsübersicht!$E$6:$K$82,3,FALSE)))))))),IF(VLOOKUP($A26,Übungsübersicht!$E$6:$K$82,7,FALSE)="UK",(MROUND(((INDEX($A$1:$U$68,(ROW(E26)),17))*$Q$98),(((IF(VLOOKUP($A26,Übungsübersicht!$E$6:$K$82,3,FALSE)=0,0.1,(VLOOKUP($A26,Übungsübersicht!$E$6:$K$82,3,FALSE)))))))),"Übung OK/UK?")))&lt;3,"RPE 7",(IF(VLOOKUP($A26,Übungsübersicht!$E$6:$K$82,7,FALSE)="OK",(MROUND(((INDEX($A$1:$U$68,(ROW(E26)),17))*$Q$97),(((IF(VLOOKUP($A26,Übungsübersicht!$E$6:$K$82,3,FALSE)=0,0.1,(VLOOKUP($A26,Übungsübersicht!$E$6:$K$82,3,FALSE)))))))),IF(VLOOKUP($A26,Übungsübersicht!$E$6:$K$82,7,FALSE)="UK",(MROUND(((INDEX($A$1:$U$68,(ROW(E26)),17))*$Q$98),(((IF(VLOOKUP($A26,Übungsübersicht!$E$6:$K$82,3,FALSE)=0,0.1,(VLOOKUP($A26,Übungsübersicht!$E$6:$K$82,3,FALSE)))))))),"Übung OK/UK?"))))),"Übung?",IF((IF(VLOOKUP($A26,Übungsübersicht!$E$6:$K$82,7,FALSE)="OK",(MROUND(((INDEX($A$1:$U$68,(ROW(E26)),17))*$Q$97),(((IF(VLOOKUP($A26,Übungsübersicht!$E$6:$K$82,3,FALSE)=0,0.1,(VLOOKUP($A26,Übungsübersicht!$E$6:$K$82,3,FALSE)))))))),IF(VLOOKUP($A26,Übungsübersicht!$E$6:$K$82,7,FALSE)="UK",(MROUND(((INDEX($A$1:$U$68,(ROW(E26)),17))*$Q$98),(((IF(VLOOKUP($A26,Übungsübersicht!$E$6:$K$82,3,FALSE)=0,0.1,(VLOOKUP($A26,Übungsübersicht!$E$6:$K$82,3,FALSE)))))))),"Übung OK/UK?")))&lt;3,"RPE 7",(IF(VLOOKUP($A26,Übungsübersicht!$E$6:$K$82,7,FALSE)="OK",(MROUND(((INDEX($A$1:$U$68,(ROW(E26)),17))*$Q$97),(((IF(VLOOKUP($A26,Übungsübersicht!$E$6:$K$82,3,FALSE)=0,0.1,(VLOOKUP($A26,Übungsübersicht!$E$6:$K$82,3,FALSE)))))))),IF(VLOOKUP($A26,Übungsübersicht!$E$6:$K$82,7,FALSE)="UK",(MROUND(((INDEX($A$1:$U$68,(ROW(E26)),17))*$Q$98),(((IF(VLOOKUP($A26,Übungsübersicht!$E$6:$K$82,3,FALSE)=0,0.1,(VLOOKUP($A26,Übungsübersicht!$E$6:$K$82,3,FALSE)))))))),"Übung OK/UK?")))))),"RPE 6")=(INDEX($A$1:$U$68,(ROW(E26)),17)),(IFERROR((IF(ISNA(IF(INDEX($A$1:$U$68,(ROW(E26)),17)-(IF(VLOOKUP($A26,Übungsübersicht!$E$6:$K$82,3,FALSE)&lt;=0.5,0,(VLOOKUP($A26,Übungsübersicht!$E$6:$K$82,3,FALSE))))&lt;3,"RPE 7",INDEX($A$1:$U$68,(ROW(E26)),17)-(IF(VLOOKUP($A26,Übungsübersicht!$E$6:$K$82,3,FALSE)&lt;=0.5,0,(VLOOKUP($A26,Übungsübersicht!$E$6:$K$82,3,FALSE)))))),"Übung?",IF(INDEX($A$1:$U$68,(ROW(E26)),17)-(IF(VLOOKUP($A26,Übungsübersicht!$E$6:$K$82,3,FALSE)&lt;=0.5,0,(VLOOKUP($A26,Übungsübersicht!$E$6:$K$82,3,FALSE))))&lt;3,"RPE 7",INDEX($A$1:$U$68,(ROW(E26)),17)-(IF(VLOOKUP($A26,Übungsübersicht!$E$6:$K$82,3,FALSE)&lt;=0.5,0,(VLOOKUP($A26,Übungsübersicht!$E$6:$K$82,3,FALSE))))))),"RPE 7")),(IFERROR((IF(ISNA(IF((IF(VLOOKUP($A26,Übungsübersicht!$E$6:$K$82,7,FALSE)="OK",(MROUND(((INDEX($A$1:$U$68,(ROW(E26)),17))*$Q$97),(((IF(VLOOKUP($A26,Übungsübersicht!$E$6:$K$82,3,FALSE)=0,0.1,(VLOOKUP($A26,Übungsübersicht!$E$6:$K$82,3,FALSE)))))))),IF(VLOOKUP($A26,Übungsübersicht!$E$6:$K$82,7,FALSE)="UK",(MROUND(((INDEX($A$1:$U$68,(ROW(E26)),17))*$Q$98),(((IF(VLOOKUP($A26,Übungsübersicht!$E$6:$K$82,3,FALSE)=0,0.1,(VLOOKUP($A26,Übungsübersicht!$E$6:$K$82,3,FALSE)))))))),"Übung OK/UK?")))&lt;3,"RPE 7",(IF(VLOOKUP($A26,Übungsübersicht!$E$6:$K$82,7,FALSE)="OK",(MROUND(((INDEX($A$1:$U$68,(ROW(E26)),17))*$Q$97),(((IF(VLOOKUP($A26,Übungsübersicht!$E$6:$K$82,3,FALSE)=0,0.1,(VLOOKUP($A26,Übungsübersicht!$E$6:$K$82,3,FALSE)))))))),IF(VLOOKUP($A26,Übungsübersicht!$E$6:$K$82,7,FALSE)="UK",(MROUND(((INDEX($A$1:$U$68,(ROW(E26)),17))*$Q$98),(((IF(VLOOKUP($A26,Übungsübersicht!$E$6:$K$82,3,FALSE)=0,0.1,(VLOOKUP($A26,Übungsübersicht!$E$6:$K$82,3,FALSE)))))))),"Übung OK/UK?"))))),"Übung?",IF((IF(VLOOKUP($A26,Übungsübersicht!$E$6:$K$82,7,FALSE)="OK",(MROUND(((INDEX($A$1:$U$68,(ROW(E26)),17))*$Q$97),(((IF(VLOOKUP($A26,Übungsübersicht!$E$6:$K$82,3,FALSE)=0,0.1,(VLOOKUP($A26,Übungsübersicht!$E$6:$K$82,3,FALSE)))))))),IF(VLOOKUP($A26,Übungsübersicht!$E$6:$K$82,7,FALSE)="UK",(MROUND(((INDEX($A$1:$U$68,(ROW(E26)),17))*$Q$98),(((IF(VLOOKUP($A26,Übungsübersicht!$E$6:$K$82,3,FALSE)=0,0.1,(VLOOKUP($A26,Übungsübersicht!$E$6:$K$82,3,FALSE)))))))),"Übung OK/UK?")))&lt;3,"RPE 6",(IF(VLOOKUP($A26,Übungsübersicht!$E$6:$K$82,7,FALSE)="OK",(MROUND(((INDEX($A$1:$U$68,(ROW(E26)),17))*$Q$97),(((IF(VLOOKUP($A26,Übungsübersicht!$E$6:$K$82,3,FALSE)=0,0.1,(VLOOKUP($A26,Übungsübersicht!$E$6:$K$82,3,FALSE)))))))),IF(VLOOKUP($A26,Übungsübersicht!$E$6:$K$82,7,FALSE)="UK",(MROUND(((INDEX($A$1:$U$68,(ROW(E26)),17))*$Q$98),(((IF(VLOOKUP($A26,Übungsübersicht!$E$6:$K$82,3,FALSE)=0,0.1,(VLOOKUP($A26,Übungsübersicht!$E$6:$K$82,3,FALSE)))))))),"Übung OK/UK?")))))),"RPE 7")))</f>
        <v>112.5</v>
      </c>
      <c r="F26" s="598" t="str">
        <f>IF('Gewichts- Calculator'!$B$127="EINGEBEN","",(IF('Gewichts- Calculator'!$C$134="Ja Anzeigen",(IF($A26='Gewichts- Calculator'!$C$8," &gt;"&amp;'Gewichts- Calculator'!$B$127&amp;"  &gt; "&amp; 'Gewichts- Calculator'!$B$130,"")),"")))</f>
        <v/>
      </c>
      <c r="G26" s="670">
        <v>3</v>
      </c>
      <c r="H26" s="671">
        <f>IF(ISNA(IF($G26=0,"0",IF(VLOOKUP($A26,Übungsübersicht!$E$7:$K$83,4,FALSE)&lt;1,"RPE 8",VLOOKUP($A26,Übungsübersicht!$E$7:$K$83,4,FALSE)))),"Übung?",IF($G26=0,"0",IF(VLOOKUP($A26,Übungsübersicht!$E$7:$K$83,4,FALSE)&lt;1,"RPE 8",VLOOKUP($A26,Übungsübersicht!$E$7:$K$83,4,FALSE))))</f>
        <v>8</v>
      </c>
      <c r="I26" s="673">
        <v>117.5</v>
      </c>
      <c r="J26" s="598" t="str">
        <f>IF('Gewichts- Calculator'!$D$127="EINGEBEN","",(IF('Gewichts- Calculator'!$C$134="Ja Anzeigen",(IF($A26='Gewichts- Calculator'!$C$8," &gt;"&amp;'Gewichts- Calculator'!$D$127&amp;"  &gt; "&amp; 'Gewichts- Calculator'!$D$130,"")),"")))</f>
        <v/>
      </c>
      <c r="K26" s="670">
        <v>3</v>
      </c>
      <c r="L26" s="671">
        <f>IF(ISNA(IF($K26=0,"0",IF(VLOOKUP($A26,Übungsübersicht!$E$7:$K$83,4,FALSE)&lt;1,"RPE 8",VLOOKUP($A26,Übungsübersicht!$E$7:$K$83,4,FALSE)))),"Übung?",IF($K26=0,"0",IF(VLOOKUP($A26,Übungsübersicht!$E$7:$K$83,4,FALSE)&lt;1,"RPE 8",VLOOKUP($A26,Übungsübersicht!$E$7:$K$83,4,FALSE))))</f>
        <v>8</v>
      </c>
      <c r="M26" s="674">
        <v>117.5</v>
      </c>
      <c r="N26" s="598" t="str">
        <f>IF('Gewichts- Calculator'!$D$127="EINGEBEN","",(IF('Gewichts- Calculator'!$C$134="Ja Anzeigen",(IF($A26='Gewichts- Calculator'!$C$8," &gt;"&amp;'Gewichts- Calculator'!$D$127&amp;"  &gt; "&amp; 'Gewichts- Calculator'!$D$130,"")),"")))</f>
        <v/>
      </c>
      <c r="O26" s="670">
        <v>4</v>
      </c>
      <c r="P26" s="671">
        <f>IF(ISNA(IF($O26=0,"0",IF(VLOOKUP($A26,Übungsübersicht!$E$7:$K$83,5,FALSE)&lt;1,"RPE 9",VLOOKUP($A26,Übungsübersicht!$E$7:$K$83,5,FALSE)))),"Übung?",IF($O26=0,"0",IF(VLOOKUP($A26,Übungsübersicht!$E$7:$K$83,5,FALSE)&lt;1,"RPE 9",VLOOKUP($A26,Übungsübersicht!$E$7:$K$83,5,FALSE))))</f>
        <v>8</v>
      </c>
      <c r="Q26" s="675">
        <v>117.5</v>
      </c>
      <c r="R26" s="598" t="str">
        <f>IF('Gewichts- Calculator'!$F$127="EINGEBEN","",(IF('Gewichts- Calculator'!$C$134="Ja Anzeigen",(IF($A26='Gewichts- Calculator'!$C$8," &gt;"&amp;'Gewichts- Calculator'!$F$127&amp;"  &gt; "&amp; 'Gewichts- Calculator'!$F$130,"")),"")))</f>
        <v/>
      </c>
      <c r="S26" s="670">
        <v>3</v>
      </c>
      <c r="T26" s="671">
        <f>IF(ISNA(IF($S26=0,"0",IF(VLOOKUP($A26,Übungsübersicht!$E$7:$K$83,4,FALSE)&lt;1,"RPE 6",VLOOKUP($A26,Übungsübersicht!$E$7:$K$83,4,FALSE)))),"Übung?",IF($S26=0,"0",IF(VLOOKUP($A26,Übungsübersicht!$E$7:$K$83,4,FALSE)&lt;1,"RPE 6",VLOOKUP($A26,Übungsübersicht!$E$7:$K$83,4,FALSE))))</f>
        <v>8</v>
      </c>
      <c r="U26" s="674" cm="1">
        <f t="array" ref="U26">IFERROR((IF(ISNA(IF((IF(VLOOKUP($A26,Übungsübersicht!$E$6:$K$82,7,FALSE)="OK",(MROUND(((INDEX($A$1:$U$68,(ROW(U26)),17))*$T$97),(((IF(VLOOKUP($A26,Übungsübersicht!$E$6:$K$82,3,FALSE)=0,0.1,(VLOOKUP($A26,Übungsübersicht!$E$6:$K$82,3,FALSE)))))))),IF(VLOOKUP($A26,Übungsübersicht!$E$6:$K$82,7,FALSE)="UK",(MROUND(((INDEX($A$1:$U$68,(ROW(U26)),17))*$T$98),(((IF(VLOOKUP($A26,Übungsübersicht!$E$6:$K$82,3,FALSE)=0,0.1,(VLOOKUP($A26,Übungsübersicht!$E$6:$K$82,3,FALSE)))))))),"Übung OK/UK?")))&lt;3,"RPE 6",(IF(VLOOKUP($A26,Übungsübersicht!$E$6:$K$82,7,FALSE)="OK",(MROUND(((INDEX($A$1:$U$68,(ROW(U26)),17))*$T$97),(((IF(VLOOKUP($A26,Übungsübersicht!$E$6:$K$82,3,FALSE)=0,0.1,(VLOOKUP($A26,Übungsübersicht!$E$6:$K$82,3,FALSE)))))))),IF(VLOOKUP($A26,Übungsübersicht!$E$6:$K$82,7,FALSE)="UK",(MROUND(((INDEX($A$1:$U$68,(ROW(U26)),17))*$T$98),(((IF(VLOOKUP($A26,Übungsübersicht!$E$6:$K$82,3,FALSE)=0,0.1,(VLOOKUP($A26,Übungsübersicht!$E$6:$K$82,3,FALSE)))))))),"Übung OK/UK?"))))),"Übung?",IF((IF(VLOOKUP($A26,Übungsübersicht!$E$6:$K$82,7,FALSE)="OK",(MROUND(((INDEX($A$1:$U$68,(ROW(U26)),17))*$T$97),(((IF(VLOOKUP($A26,Übungsübersicht!$E$6:$K$82,3,FALSE)=0,0.1,(VLOOKUP($A26,Übungsübersicht!$E$6:$K$82,3,FALSE)))))))),IF(VLOOKUP($A26,Übungsübersicht!$E$6:$K$82,7,FALSE)="UK",(MROUND(((INDEX($A$1:$U$68,(ROW(U26)),17))*$T$98),(((IF(VLOOKUP($A26,Übungsübersicht!$E$6:$K$82,3,FALSE)=0,0.1,(VLOOKUP($A26,Übungsübersicht!$E$6:$K$82,3,FALSE)))))))),"Übung OK/UK?")))&lt;3,"RPE 6",(IF(VLOOKUP($A26,Übungsübersicht!$E$6:$K$82,7,FALSE)="OK",(MROUND(((INDEX($A$1:$U$68,(ROW(U26)),17))*$T$97),(((IF(VLOOKUP($A26,Übungsübersicht!$E$6:$K$82,3,FALSE)=0,0.1,(VLOOKUP($A26,Übungsübersicht!$E$6:$K$82,3,FALSE)))))))),IF(VLOOKUP($A26,Übungsübersicht!$E$6:$K$82,7,FALSE)="UK",(MROUND(((INDEX($A$1:$U$68,(ROW(U26)),17))*$T$98),(((IF(VLOOKUP($A26,Übungsübersicht!$E$6:$K$82,3,FALSE)=0,0.1,(VLOOKUP($A26,Übungsübersicht!$E$6:$K$82,3,FALSE)))))))),"Übung OK/UK?")))))),"RPE 6")</f>
        <v>70</v>
      </c>
      <c r="V26" s="7"/>
      <c r="W26" s="1234"/>
      <c r="AB26" s="901">
        <f ca="1">IF(ISNA(MATCH(TODAY(),Kalender!$B$7:$H$7,0)),IF(ISNA(MATCH(TODAY(),Kalender!$B$9:$H$9,0)),IF(ISNA(MATCH(TODAY(),Kalender!$B$11:$H$11,0)),IF(ISNA(MATCH(TODAY(),Kalender!$B$13:$H$13,0)),IF(ISNA(MATCH(TODAY(),Kalender!$B$15:$H$15,0)),IF(ISNA(MATCH(TODAY(),Kalender!$B$17:$H$17,0)),"NV",MATCH(TODAY(),Kalender!$B$17:$H$17,0)),MATCH(TODAY(),Kalender!$B$15:$H$15,0)),MATCH(TODAY(),Kalender!$B$13:$H$13,0)),MATCH(TODAY(),Kalender!$B$11:$H$11,0)),MATCH(TODAY(),Kalender!$B$9:$H$9,0)),MATCH(TODAY(),Kalender!$B$7:$H$7,0))</f>
        <v>4</v>
      </c>
      <c r="AC26" s="903" t="s">
        <v>436</v>
      </c>
    </row>
    <row r="27" spans="1:29" ht="26.1" customHeight="1" thickTop="1" thickBot="1">
      <c r="A27" s="668" t="s">
        <v>228</v>
      </c>
      <c r="B27" s="669" t="str">
        <f>IF(ISNA(IF(ISBLANK(VLOOKUP($A27,Übungsübersicht!$E$8:$F$83,2,FALSE)),"Muskelgruppe Auswählen",VLOOKUP($A27,Übungsübersicht!$E$8:$F$83,2,FALSE))),"Übung?",IF(ISBLANK(VLOOKUP($A27,Übungsübersicht!$E$8:$F$83,2,FALSE)),"Muskelgruppe Auswählen",VLOOKUP($A27,Übungsübersicht!$E$8:$F$83,2,FALSE)))</f>
        <v>Hamstrings</v>
      </c>
      <c r="C27" s="670">
        <v>3</v>
      </c>
      <c r="D27" s="671">
        <f>IF(ISNA(IF($C27=0,"0",IF(VLOOKUP($A27,Übungsübersicht!$E$7:$K$83,4,FALSE)&lt;1,"RPE 7",VLOOKUP($A27,Übungsübersicht!$E$7:$K$83,4,FALSE)))),"Übung?",IF($C27=0,"0",IF(VLOOKUP($A27,Übungsübersicht!$E$7:$K$83,4,FALSE)&lt;1,"RPE 7",VLOOKUP($A27,Übungsübersicht!$E$7:$K$83,4,FALSE))))</f>
        <v>10</v>
      </c>
      <c r="E27" s="672" cm="1">
        <f t="array" ref="E27">IF(IFERROR((IF(ISNA(IF((IF(VLOOKUP($A27,Übungsübersicht!$E$6:$K$82,7,FALSE)="OK",(MROUND(((INDEX($A$1:$U$68,(ROW(E27)),17))*$Q$97),(((IF(VLOOKUP($A27,Übungsübersicht!$E$6:$K$82,3,FALSE)=0,0.1,(VLOOKUP($A27,Übungsübersicht!$E$6:$K$82,3,FALSE)))))))),IF(VLOOKUP($A27,Übungsübersicht!$E$6:$K$82,7,FALSE)="UK",(MROUND(((INDEX($A$1:$U$68,(ROW(E27)),17))*$Q$98),(((IF(VLOOKUP($A27,Übungsübersicht!$E$6:$K$82,3,FALSE)=0,0.1,(VLOOKUP($A27,Übungsübersicht!$E$6:$K$82,3,FALSE)))))))),"Übung OK/UK?")))&lt;3,"RPE 7",(IF(VLOOKUP($A27,Übungsübersicht!$E$6:$K$82,7,FALSE)="OK",(MROUND(((INDEX($A$1:$U$68,(ROW(E27)),17))*$Q$97),(((IF(VLOOKUP($A27,Übungsübersicht!$E$6:$K$82,3,FALSE)=0,0.1,(VLOOKUP($A27,Übungsübersicht!$E$6:$K$82,3,FALSE)))))))),IF(VLOOKUP($A27,Übungsübersicht!$E$6:$K$82,7,FALSE)="UK",(MROUND(((INDEX($A$1:$U$68,(ROW(E27)),17))*$Q$98),(((IF(VLOOKUP($A27,Übungsübersicht!$E$6:$K$82,3,FALSE)=0,0.1,(VLOOKUP($A27,Übungsübersicht!$E$6:$K$82,3,FALSE)))))))),"Übung OK/UK?"))))),"Übung?",IF((IF(VLOOKUP($A27,Übungsübersicht!$E$6:$K$82,7,FALSE)="OK",(MROUND(((INDEX($A$1:$U$68,(ROW(E27)),17))*$Q$97),(((IF(VLOOKUP($A27,Übungsübersicht!$E$6:$K$82,3,FALSE)=0,0.1,(VLOOKUP($A27,Übungsübersicht!$E$6:$K$82,3,FALSE)))))))),IF(VLOOKUP($A27,Übungsübersicht!$E$6:$K$82,7,FALSE)="UK",(MROUND(((INDEX($A$1:$U$68,(ROW(E27)),17))*$Q$98),(((IF(VLOOKUP($A27,Übungsübersicht!$E$6:$K$82,3,FALSE)=0,0.1,(VLOOKUP($A27,Übungsübersicht!$E$6:$K$82,3,FALSE)))))))),"Übung OK/UK?")))&lt;3,"RPE 7",(IF(VLOOKUP($A27,Übungsübersicht!$E$6:$K$82,7,FALSE)="OK",(MROUND(((INDEX($A$1:$U$68,(ROW(E27)),17))*$Q$97),(((IF(VLOOKUP($A27,Übungsübersicht!$E$6:$K$82,3,FALSE)=0,0.1,(VLOOKUP($A27,Übungsübersicht!$E$6:$K$82,3,FALSE)))))))),IF(VLOOKUP($A27,Übungsübersicht!$E$6:$K$82,7,FALSE)="UK",(MROUND(((INDEX($A$1:$U$68,(ROW(E27)),17))*$Q$98),(((IF(VLOOKUP($A27,Übungsübersicht!$E$6:$K$82,3,FALSE)=0,0.1,(VLOOKUP($A27,Übungsübersicht!$E$6:$K$82,3,FALSE)))))))),"Übung OK/UK?")))))),"RPE 6")=(INDEX($A$1:$U$68,(ROW(E27)),17)),(IFERROR((IF(ISNA(IF(INDEX($A$1:$U$68,(ROW(E27)),17)-(IF(VLOOKUP($A27,Übungsübersicht!$E$6:$K$82,3,FALSE)&lt;=0.5,0,(VLOOKUP($A27,Übungsübersicht!$E$6:$K$82,3,FALSE))))&lt;3,"RPE 7",INDEX($A$1:$U$68,(ROW(E27)),17)-(IF(VLOOKUP($A27,Übungsübersicht!$E$6:$K$82,3,FALSE)&lt;=0.5,0,(VLOOKUP($A27,Übungsübersicht!$E$6:$K$82,3,FALSE)))))),"Übung?",IF(INDEX($A$1:$U$68,(ROW(E27)),17)-(IF(VLOOKUP($A27,Übungsübersicht!$E$6:$K$82,3,FALSE)&lt;=0.5,0,(VLOOKUP($A27,Übungsübersicht!$E$6:$K$82,3,FALSE))))&lt;3,"RPE 7",INDEX($A$1:$U$68,(ROW(E27)),17)-(IF(VLOOKUP($A27,Übungsübersicht!$E$6:$K$82,3,FALSE)&lt;=0.5,0,(VLOOKUP($A27,Übungsübersicht!$E$6:$K$82,3,FALSE))))))),"RPE 7")),(IFERROR((IF(ISNA(IF((IF(VLOOKUP($A27,Übungsübersicht!$E$6:$K$82,7,FALSE)="OK",(MROUND(((INDEX($A$1:$U$68,(ROW(E27)),17))*$Q$97),(((IF(VLOOKUP($A27,Übungsübersicht!$E$6:$K$82,3,FALSE)=0,0.1,(VLOOKUP($A27,Übungsübersicht!$E$6:$K$82,3,FALSE)))))))),IF(VLOOKUP($A27,Übungsübersicht!$E$6:$K$82,7,FALSE)="UK",(MROUND(((INDEX($A$1:$U$68,(ROW(E27)),17))*$Q$98),(((IF(VLOOKUP($A27,Übungsübersicht!$E$6:$K$82,3,FALSE)=0,0.1,(VLOOKUP($A27,Übungsübersicht!$E$6:$K$82,3,FALSE)))))))),"Übung OK/UK?")))&lt;3,"RPE 7",(IF(VLOOKUP($A27,Übungsübersicht!$E$6:$K$82,7,FALSE)="OK",(MROUND(((INDEX($A$1:$U$68,(ROW(E27)),17))*$Q$97),(((IF(VLOOKUP($A27,Übungsübersicht!$E$6:$K$82,3,FALSE)=0,0.1,(VLOOKUP($A27,Übungsübersicht!$E$6:$K$82,3,FALSE)))))))),IF(VLOOKUP($A27,Übungsübersicht!$E$6:$K$82,7,FALSE)="UK",(MROUND(((INDEX($A$1:$U$68,(ROW(E27)),17))*$Q$98),(((IF(VLOOKUP($A27,Übungsübersicht!$E$6:$K$82,3,FALSE)=0,0.1,(VLOOKUP($A27,Übungsübersicht!$E$6:$K$82,3,FALSE)))))))),"Übung OK/UK?"))))),"Übung?",IF((IF(VLOOKUP($A27,Übungsübersicht!$E$6:$K$82,7,FALSE)="OK",(MROUND(((INDEX($A$1:$U$68,(ROW(E27)),17))*$Q$97),(((IF(VLOOKUP($A27,Übungsübersicht!$E$6:$K$82,3,FALSE)=0,0.1,(VLOOKUP($A27,Übungsübersicht!$E$6:$K$82,3,FALSE)))))))),IF(VLOOKUP($A27,Übungsübersicht!$E$6:$K$82,7,FALSE)="UK",(MROUND(((INDEX($A$1:$U$68,(ROW(E27)),17))*$Q$98),(((IF(VLOOKUP($A27,Übungsübersicht!$E$6:$K$82,3,FALSE)=0,0.1,(VLOOKUP($A27,Übungsübersicht!$E$6:$K$82,3,FALSE)))))))),"Übung OK/UK?")))&lt;3,"RPE 6",(IF(VLOOKUP($A27,Übungsübersicht!$E$6:$K$82,7,FALSE)="OK",(MROUND(((INDEX($A$1:$U$68,(ROW(E27)),17))*$Q$97),(((IF(VLOOKUP($A27,Übungsübersicht!$E$6:$K$82,3,FALSE)=0,0.1,(VLOOKUP($A27,Übungsübersicht!$E$6:$K$82,3,FALSE)))))))),IF(VLOOKUP($A27,Übungsübersicht!$E$6:$K$82,7,FALSE)="UK",(MROUND(((INDEX($A$1:$U$68,(ROW(E27)),17))*$Q$98),(((IF(VLOOKUP($A27,Übungsübersicht!$E$6:$K$82,3,FALSE)=0,0.1,(VLOOKUP($A27,Übungsübersicht!$E$6:$K$82,3,FALSE)))))))),"Übung OK/UK?")))))),"RPE 7")))</f>
        <v>230</v>
      </c>
      <c r="F27" s="598" t="str">
        <f>IF('Gewichts- Calculator'!$B$127="EINGEBEN","",(IF('Gewichts- Calculator'!$C$134="Ja Anzeigen",(IF($A27='Gewichts- Calculator'!$C$8," &gt;"&amp;'Gewichts- Calculator'!$B$127&amp;"  &gt; "&amp; 'Gewichts- Calculator'!$B$130,"")),"")))</f>
        <v/>
      </c>
      <c r="G27" s="670">
        <v>3</v>
      </c>
      <c r="H27" s="671">
        <f>IF(ISNA(IF($G27=0,"0",IF(VLOOKUP($A27,Übungsübersicht!$E$7:$K$83,4,FALSE)&lt;1,"RPE 8",VLOOKUP($A27,Übungsübersicht!$E$7:$K$83,4,FALSE)))),"Übung?",IF($G27=0,"0",IF(VLOOKUP($A27,Übungsübersicht!$E$7:$K$83,4,FALSE)&lt;1,"RPE 8",VLOOKUP($A27,Übungsübersicht!$E$7:$K$83,4,FALSE))))</f>
        <v>10</v>
      </c>
      <c r="I27" s="673">
        <v>240</v>
      </c>
      <c r="J27" s="598" t="str">
        <f>IF('Gewichts- Calculator'!$D$127="EINGEBEN","",(IF('Gewichts- Calculator'!$C$134="Ja Anzeigen",(IF($A27='Gewichts- Calculator'!$C$8," &gt;"&amp;'Gewichts- Calculator'!$D$127&amp;"  &gt; "&amp; 'Gewichts- Calculator'!$D$130,"")),"")))</f>
        <v/>
      </c>
      <c r="K27" s="670">
        <v>3</v>
      </c>
      <c r="L27" s="671">
        <f>IF(ISNA(IF($K27=0,"0",IF(VLOOKUP($A27,Übungsübersicht!$E$7:$K$83,4,FALSE)&lt;1,"RPE 8",VLOOKUP($A27,Übungsübersicht!$E$7:$K$83,4,FALSE)))),"Übung?",IF($K27=0,"0",IF(VLOOKUP($A27,Übungsübersicht!$E$7:$K$83,4,FALSE)&lt;1,"RPE 8",VLOOKUP($A27,Übungsübersicht!$E$7:$K$83,4,FALSE))))</f>
        <v>10</v>
      </c>
      <c r="M27" s="674">
        <v>240</v>
      </c>
      <c r="N27" s="598" t="str">
        <f>IF('Gewichts- Calculator'!$D$127="EINGEBEN","",(IF('Gewichts- Calculator'!$C$134="Ja Anzeigen",(IF($A27='Gewichts- Calculator'!$C$8," &gt;"&amp;'Gewichts- Calculator'!$D$127&amp;"  &gt; "&amp; 'Gewichts- Calculator'!$D$130,"")),"")))</f>
        <v/>
      </c>
      <c r="O27" s="670">
        <v>4</v>
      </c>
      <c r="P27" s="671">
        <f>IF(ISNA(IF($O27=0,"0",IF(VLOOKUP($A27,Übungsübersicht!$E$7:$K$83,5,FALSE)&lt;1,"RPE 9",VLOOKUP($A27,Übungsübersicht!$E$7:$K$83,5,FALSE)))),"Übung?",IF($O27=0,"0",IF(VLOOKUP($A27,Übungsübersicht!$E$7:$K$83,5,FALSE)&lt;1,"RPE 9",VLOOKUP($A27,Übungsübersicht!$E$7:$K$83,5,FALSE))))</f>
        <v>10</v>
      </c>
      <c r="Q27" s="675">
        <v>240</v>
      </c>
      <c r="R27" s="598" t="str">
        <f>IF('Gewichts- Calculator'!$F$127="EINGEBEN","",(IF('Gewichts- Calculator'!$C$134="Ja Anzeigen",(IF($A27='Gewichts- Calculator'!$C$8," &gt;"&amp;'Gewichts- Calculator'!$F$127&amp;"  &gt; "&amp; 'Gewichts- Calculator'!$F$130,"")),"")))</f>
        <v/>
      </c>
      <c r="S27" s="670">
        <v>2</v>
      </c>
      <c r="T27" s="671">
        <f>IF(ISNA(IF($S27=0,"0",IF(VLOOKUP($A27,Übungsübersicht!$E$7:$K$83,4,FALSE)&lt;1,"RPE 6",VLOOKUP($A27,Übungsübersicht!$E$7:$K$83,4,FALSE)))),"Übung?",IF($S27=0,"0",IF(VLOOKUP($A27,Übungsübersicht!$E$7:$K$83,4,FALSE)&lt;1,"RPE 6",VLOOKUP($A27,Übungsübersicht!$E$7:$K$83,4,FALSE))))</f>
        <v>10</v>
      </c>
      <c r="U27" s="674" cm="1">
        <f t="array" ref="U27">IFERROR((IF(ISNA(IF((IF(VLOOKUP($A27,Übungsübersicht!$E$6:$K$82,7,FALSE)="OK",(MROUND(((INDEX($A$1:$U$68,(ROW(U27)),17))*$T$97),(((IF(VLOOKUP($A27,Übungsübersicht!$E$6:$K$82,3,FALSE)=0,0.1,(VLOOKUP($A27,Übungsübersicht!$E$6:$K$82,3,FALSE)))))))),IF(VLOOKUP($A27,Übungsübersicht!$E$6:$K$82,7,FALSE)="UK",(MROUND(((INDEX($A$1:$U$68,(ROW(U27)),17))*$T$98),(((IF(VLOOKUP($A27,Übungsübersicht!$E$6:$K$82,3,FALSE)=0,0.1,(VLOOKUP($A27,Übungsübersicht!$E$6:$K$82,3,FALSE)))))))),"Übung OK/UK?")))&lt;3,"RPE 6",(IF(VLOOKUP($A27,Übungsübersicht!$E$6:$K$82,7,FALSE)="OK",(MROUND(((INDEX($A$1:$U$68,(ROW(U27)),17))*$T$97),(((IF(VLOOKUP($A27,Übungsübersicht!$E$6:$K$82,3,FALSE)=0,0.1,(VLOOKUP($A27,Übungsübersicht!$E$6:$K$82,3,FALSE)))))))),IF(VLOOKUP($A27,Übungsübersicht!$E$6:$K$82,7,FALSE)="UK",(MROUND(((INDEX($A$1:$U$68,(ROW(U27)),17))*$T$98),(((IF(VLOOKUP($A27,Übungsübersicht!$E$6:$K$82,3,FALSE)=0,0.1,(VLOOKUP($A27,Übungsübersicht!$E$6:$K$82,3,FALSE)))))))),"Übung OK/UK?"))))),"Übung?",IF((IF(VLOOKUP($A27,Übungsübersicht!$E$6:$K$82,7,FALSE)="OK",(MROUND(((INDEX($A$1:$U$68,(ROW(U27)),17))*$T$97),(((IF(VLOOKUP($A27,Übungsübersicht!$E$6:$K$82,3,FALSE)=0,0.1,(VLOOKUP($A27,Übungsübersicht!$E$6:$K$82,3,FALSE)))))))),IF(VLOOKUP($A27,Übungsübersicht!$E$6:$K$82,7,FALSE)="UK",(MROUND(((INDEX($A$1:$U$68,(ROW(U27)),17))*$T$98),(((IF(VLOOKUP($A27,Übungsübersicht!$E$6:$K$82,3,FALSE)=0,0.1,(VLOOKUP($A27,Übungsübersicht!$E$6:$K$82,3,FALSE)))))))),"Übung OK/UK?")))&lt;3,"RPE 6",(IF(VLOOKUP($A27,Übungsübersicht!$E$6:$K$82,7,FALSE)="OK",(MROUND(((INDEX($A$1:$U$68,(ROW(U27)),17))*$T$97),(((IF(VLOOKUP($A27,Übungsübersicht!$E$6:$K$82,3,FALSE)=0,0.1,(VLOOKUP($A27,Übungsübersicht!$E$6:$K$82,3,FALSE)))))))),IF(VLOOKUP($A27,Übungsübersicht!$E$6:$K$82,7,FALSE)="UK",(MROUND(((INDEX($A$1:$U$68,(ROW(U27)),17))*$T$98),(((IF(VLOOKUP($A27,Übungsübersicht!$E$6:$K$82,3,FALSE)=0,0.1,(VLOOKUP($A27,Übungsübersicht!$E$6:$K$82,3,FALSE)))))))),"Übung OK/UK?")))))),"RPE 6")</f>
        <v>145</v>
      </c>
      <c r="V27" s="8"/>
      <c r="W27" s="7"/>
      <c r="Y27" s="906"/>
    </row>
    <row r="28" spans="1:29" ht="26.1" customHeight="1" thickTop="1" thickBot="1">
      <c r="A28" s="668" t="s">
        <v>148</v>
      </c>
      <c r="B28" s="669" t="str">
        <f>IF(ISNA(IF(ISBLANK(VLOOKUP($A28,Übungsübersicht!$E$8:$F$83,2,FALSE)),"Muskelgruppe Auswählen",VLOOKUP($A28,Übungsübersicht!$E$8:$F$83,2,FALSE))),"Übung?",IF(ISBLANK(VLOOKUP($A28,Übungsübersicht!$E$8:$F$83,2,FALSE)),"Muskelgruppe Auswählen",VLOOKUP($A28,Übungsübersicht!$E$8:$F$83,2,FALSE)))</f>
        <v>Hamstrings</v>
      </c>
      <c r="C28" s="670">
        <v>2</v>
      </c>
      <c r="D28" s="671">
        <f>IF(ISNA(IF($C28=0,"0",IF(VLOOKUP($A28,Übungsübersicht!$E$7:$K$83,4,FALSE)&lt;1,"RPE 7",VLOOKUP($A28,Übungsübersicht!$E$7:$K$83,4,FALSE)))),"Übung?",IF($C28=0,"0",IF(VLOOKUP($A28,Übungsübersicht!$E$7:$K$83,4,FALSE)&lt;1,"RPE 7",VLOOKUP($A28,Übungsübersicht!$E$7:$K$83,4,FALSE))))</f>
        <v>12</v>
      </c>
      <c r="E28" s="672" cm="1">
        <f t="array" ref="E28">IF(IFERROR((IF(ISNA(IF((IF(VLOOKUP($A28,Übungsübersicht!$E$6:$K$82,7,FALSE)="OK",(MROUND(((INDEX($A$1:$U$68,(ROW(E28)),17))*$Q$97),(((IF(VLOOKUP($A28,Übungsübersicht!$E$6:$K$82,3,FALSE)=0,0.1,(VLOOKUP($A28,Übungsübersicht!$E$6:$K$82,3,FALSE)))))))),IF(VLOOKUP($A28,Übungsübersicht!$E$6:$K$82,7,FALSE)="UK",(MROUND(((INDEX($A$1:$U$68,(ROW(E28)),17))*$Q$98),(((IF(VLOOKUP($A28,Übungsübersicht!$E$6:$K$82,3,FALSE)=0,0.1,(VLOOKUP($A28,Übungsübersicht!$E$6:$K$82,3,FALSE)))))))),"Übung OK/UK?")))&lt;3,"RPE 7",(IF(VLOOKUP($A28,Übungsübersicht!$E$6:$K$82,7,FALSE)="OK",(MROUND(((INDEX($A$1:$U$68,(ROW(E28)),17))*$Q$97),(((IF(VLOOKUP($A28,Übungsübersicht!$E$6:$K$82,3,FALSE)=0,0.1,(VLOOKUP($A28,Übungsübersicht!$E$6:$K$82,3,FALSE)))))))),IF(VLOOKUP($A28,Übungsübersicht!$E$6:$K$82,7,FALSE)="UK",(MROUND(((INDEX($A$1:$U$68,(ROW(E28)),17))*$Q$98),(((IF(VLOOKUP($A28,Übungsübersicht!$E$6:$K$82,3,FALSE)=0,0.1,(VLOOKUP($A28,Übungsübersicht!$E$6:$K$82,3,FALSE)))))))),"Übung OK/UK?"))))),"Übung?",IF((IF(VLOOKUP($A28,Übungsübersicht!$E$6:$K$82,7,FALSE)="OK",(MROUND(((INDEX($A$1:$U$68,(ROW(E28)),17))*$Q$97),(((IF(VLOOKUP($A28,Übungsübersicht!$E$6:$K$82,3,FALSE)=0,0.1,(VLOOKUP($A28,Übungsübersicht!$E$6:$K$82,3,FALSE)))))))),IF(VLOOKUP($A28,Übungsübersicht!$E$6:$K$82,7,FALSE)="UK",(MROUND(((INDEX($A$1:$U$68,(ROW(E28)),17))*$Q$98),(((IF(VLOOKUP($A28,Übungsübersicht!$E$6:$K$82,3,FALSE)=0,0.1,(VLOOKUP($A28,Übungsübersicht!$E$6:$K$82,3,FALSE)))))))),"Übung OK/UK?")))&lt;3,"RPE 7",(IF(VLOOKUP($A28,Übungsübersicht!$E$6:$K$82,7,FALSE)="OK",(MROUND(((INDEX($A$1:$U$68,(ROW(E28)),17))*$Q$97),(((IF(VLOOKUP($A28,Übungsübersicht!$E$6:$K$82,3,FALSE)=0,0.1,(VLOOKUP($A28,Übungsübersicht!$E$6:$K$82,3,FALSE)))))))),IF(VLOOKUP($A28,Übungsübersicht!$E$6:$K$82,7,FALSE)="UK",(MROUND(((INDEX($A$1:$U$68,(ROW(E28)),17))*$Q$98),(((IF(VLOOKUP($A28,Übungsübersicht!$E$6:$K$82,3,FALSE)=0,0.1,(VLOOKUP($A28,Übungsübersicht!$E$6:$K$82,3,FALSE)))))))),"Übung OK/UK?")))))),"RPE 6")=(INDEX($A$1:$U$68,(ROW(E28)),17)),(IFERROR((IF(ISNA(IF(INDEX($A$1:$U$68,(ROW(E28)),17)-(IF(VLOOKUP($A28,Übungsübersicht!$E$6:$K$82,3,FALSE)&lt;=0.5,0,(VLOOKUP($A28,Übungsübersicht!$E$6:$K$82,3,FALSE))))&lt;3,"RPE 7",INDEX($A$1:$U$68,(ROW(E28)),17)-(IF(VLOOKUP($A28,Übungsübersicht!$E$6:$K$82,3,FALSE)&lt;=0.5,0,(VLOOKUP($A28,Übungsübersicht!$E$6:$K$82,3,FALSE)))))),"Übung?",IF(INDEX($A$1:$U$68,(ROW(E28)),17)-(IF(VLOOKUP($A28,Übungsübersicht!$E$6:$K$82,3,FALSE)&lt;=0.5,0,(VLOOKUP($A28,Übungsübersicht!$E$6:$K$82,3,FALSE))))&lt;3,"RPE 7",INDEX($A$1:$U$68,(ROW(E28)),17)-(IF(VLOOKUP($A28,Übungsübersicht!$E$6:$K$82,3,FALSE)&lt;=0.5,0,(VLOOKUP($A28,Übungsübersicht!$E$6:$K$82,3,FALSE))))))),"RPE 7")),(IFERROR((IF(ISNA(IF((IF(VLOOKUP($A28,Übungsübersicht!$E$6:$K$82,7,FALSE)="OK",(MROUND(((INDEX($A$1:$U$68,(ROW(E28)),17))*$Q$97),(((IF(VLOOKUP($A28,Übungsübersicht!$E$6:$K$82,3,FALSE)=0,0.1,(VLOOKUP($A28,Übungsübersicht!$E$6:$K$82,3,FALSE)))))))),IF(VLOOKUP($A28,Übungsübersicht!$E$6:$K$82,7,FALSE)="UK",(MROUND(((INDEX($A$1:$U$68,(ROW(E28)),17))*$Q$98),(((IF(VLOOKUP($A28,Übungsübersicht!$E$6:$K$82,3,FALSE)=0,0.1,(VLOOKUP($A28,Übungsübersicht!$E$6:$K$82,3,FALSE)))))))),"Übung OK/UK?")))&lt;3,"RPE 7",(IF(VLOOKUP($A28,Übungsübersicht!$E$6:$K$82,7,FALSE)="OK",(MROUND(((INDEX($A$1:$U$68,(ROW(E28)),17))*$Q$97),(((IF(VLOOKUP($A28,Übungsübersicht!$E$6:$K$82,3,FALSE)=0,0.1,(VLOOKUP($A28,Übungsübersicht!$E$6:$K$82,3,FALSE)))))))),IF(VLOOKUP($A28,Übungsübersicht!$E$6:$K$82,7,FALSE)="UK",(MROUND(((INDEX($A$1:$U$68,(ROW(E28)),17))*$Q$98),(((IF(VLOOKUP($A28,Übungsübersicht!$E$6:$K$82,3,FALSE)=0,0.1,(VLOOKUP($A28,Übungsübersicht!$E$6:$K$82,3,FALSE)))))))),"Übung OK/UK?"))))),"Übung?",IF((IF(VLOOKUP($A28,Übungsübersicht!$E$6:$K$82,7,FALSE)="OK",(MROUND(((INDEX($A$1:$U$68,(ROW(E28)),17))*$Q$97),(((IF(VLOOKUP($A28,Übungsübersicht!$E$6:$K$82,3,FALSE)=0,0.1,(VLOOKUP($A28,Übungsübersicht!$E$6:$K$82,3,FALSE)))))))),IF(VLOOKUP($A28,Übungsübersicht!$E$6:$K$82,7,FALSE)="UK",(MROUND(((INDEX($A$1:$U$68,(ROW(E28)),17))*$Q$98),(((IF(VLOOKUP($A28,Übungsübersicht!$E$6:$K$82,3,FALSE)=0,0.1,(VLOOKUP($A28,Übungsübersicht!$E$6:$K$82,3,FALSE)))))))),"Übung OK/UK?")))&lt;3,"RPE 6",(IF(VLOOKUP($A28,Übungsübersicht!$E$6:$K$82,7,FALSE)="OK",(MROUND(((INDEX($A$1:$U$68,(ROW(E28)),17))*$Q$97),(((IF(VLOOKUP($A28,Übungsübersicht!$E$6:$K$82,3,FALSE)=0,0.1,(VLOOKUP($A28,Übungsübersicht!$E$6:$K$82,3,FALSE)))))))),IF(VLOOKUP($A28,Übungsübersicht!$E$6:$K$82,7,FALSE)="UK",(MROUND(((INDEX($A$1:$U$68,(ROW(E28)),17))*$Q$98),(((IF(VLOOKUP($A28,Übungsübersicht!$E$6:$K$82,3,FALSE)=0,0.1,(VLOOKUP($A28,Übungsübersicht!$E$6:$K$82,3,FALSE)))))))),"Übung OK/UK?")))))),"RPE 7")))</f>
        <v>30</v>
      </c>
      <c r="F28" s="598" t="str">
        <f>IF('Gewichts- Calculator'!$B$127="EINGEBEN","",(IF('Gewichts- Calculator'!$C$134="Ja Anzeigen",(IF($A28='Gewichts- Calculator'!$C$8," &gt;"&amp;'Gewichts- Calculator'!$B$127&amp;"  &gt; "&amp; 'Gewichts- Calculator'!$B$130,"")),"")))</f>
        <v/>
      </c>
      <c r="G28" s="670">
        <v>3</v>
      </c>
      <c r="H28" s="671">
        <f>IF(ISNA(IF($G28=0,"0",IF(VLOOKUP($A28,Übungsübersicht!$E$7:$K$83,4,FALSE)&lt;1,"RPE 8",VLOOKUP($A28,Übungsübersicht!$E$7:$K$83,4,FALSE)))),"Übung?",IF($G28=0,"0",IF(VLOOKUP($A28,Übungsübersicht!$E$7:$K$83,4,FALSE)&lt;1,"RPE 8",VLOOKUP($A28,Übungsübersicht!$E$7:$K$83,4,FALSE))))</f>
        <v>12</v>
      </c>
      <c r="I28" s="673">
        <v>35</v>
      </c>
      <c r="J28" s="598" t="str">
        <f>IF('Gewichts- Calculator'!$D$127="EINGEBEN","",(IF('Gewichts- Calculator'!$C$134="Ja Anzeigen",(IF($A28='Gewichts- Calculator'!$C$8," &gt;"&amp;'Gewichts- Calculator'!$D$127&amp;"  &gt; "&amp; 'Gewichts- Calculator'!$D$130,"")),"")))</f>
        <v/>
      </c>
      <c r="K28" s="670">
        <v>3</v>
      </c>
      <c r="L28" s="671">
        <f>IF(ISNA(IF($K28=0,"0",IF(VLOOKUP($A28,Übungsübersicht!$E$7:$K$83,4,FALSE)&lt;1,"RPE 8",VLOOKUP($A28,Übungsübersicht!$E$7:$K$83,4,FALSE)))),"Übung?",IF($K28=0,"0",IF(VLOOKUP($A28,Übungsübersicht!$E$7:$K$83,4,FALSE)&lt;1,"RPE 8",VLOOKUP($A28,Übungsübersicht!$E$7:$K$83,4,FALSE))))</f>
        <v>12</v>
      </c>
      <c r="M28" s="674">
        <v>35</v>
      </c>
      <c r="N28" s="598" t="str">
        <f>IF('Gewichts- Calculator'!$D$127="EINGEBEN","",(IF('Gewichts- Calculator'!$C$134="Ja Anzeigen",(IF($A28='Gewichts- Calculator'!$C$8," &gt;"&amp;'Gewichts- Calculator'!$D$127&amp;"  &gt; "&amp; 'Gewichts- Calculator'!$D$130,"")),"")))</f>
        <v/>
      </c>
      <c r="O28" s="670">
        <v>4</v>
      </c>
      <c r="P28" s="671">
        <f>IF(ISNA(IF($O28=0,"0",IF(VLOOKUP($A28,Übungsübersicht!$E$7:$K$83,5,FALSE)&lt;1,"RPE 9",VLOOKUP($A28,Übungsübersicht!$E$7:$K$83,5,FALSE)))),"Übung?",IF($O28=0,"0",IF(VLOOKUP($A28,Übungsübersicht!$E$7:$K$83,5,FALSE)&lt;1,"RPE 9",VLOOKUP($A28,Übungsübersicht!$E$7:$K$83,5,FALSE))))</f>
        <v>12</v>
      </c>
      <c r="Q28" s="675">
        <v>35</v>
      </c>
      <c r="R28" s="598" t="str">
        <f>IF('Gewichts- Calculator'!$F$127="EINGEBEN","",(IF('Gewichts- Calculator'!$C$134="Ja Anzeigen",(IF($A28='Gewichts- Calculator'!$C$8," &gt;"&amp;'Gewichts- Calculator'!$F$127&amp;"  &gt; "&amp; 'Gewichts- Calculator'!$F$130,"")),"")))</f>
        <v/>
      </c>
      <c r="S28" s="670">
        <v>2</v>
      </c>
      <c r="T28" s="671">
        <f>IF(ISNA(IF($S28=0,"0",IF(VLOOKUP($A28,Übungsübersicht!$E$7:$K$83,4,FALSE)&lt;1,"RPE 6",VLOOKUP($A28,Übungsübersicht!$E$7:$K$83,4,FALSE)))),"Übung?",IF($S28=0,"0",IF(VLOOKUP($A28,Übungsübersicht!$E$7:$K$83,4,FALSE)&lt;1,"RPE 6",VLOOKUP($A28,Übungsübersicht!$E$7:$K$83,4,FALSE))))</f>
        <v>12</v>
      </c>
      <c r="U28" s="674" cm="1">
        <f t="array" ref="U28">IFERROR((IF(ISNA(IF((IF(VLOOKUP($A28,Übungsübersicht!$E$6:$K$82,7,FALSE)="OK",(MROUND(((INDEX($A$1:$U$68,(ROW(U28)),17))*$T$97),(((IF(VLOOKUP($A28,Übungsübersicht!$E$6:$K$82,3,FALSE)=0,0.1,(VLOOKUP($A28,Übungsübersicht!$E$6:$K$82,3,FALSE)))))))),IF(VLOOKUP($A28,Übungsübersicht!$E$6:$K$82,7,FALSE)="UK",(MROUND(((INDEX($A$1:$U$68,(ROW(U28)),17))*$T$98),(((IF(VLOOKUP($A28,Übungsübersicht!$E$6:$K$82,3,FALSE)=0,0.1,(VLOOKUP($A28,Übungsübersicht!$E$6:$K$82,3,FALSE)))))))),"Übung OK/UK?")))&lt;3,"RPE 6",(IF(VLOOKUP($A28,Übungsübersicht!$E$6:$K$82,7,FALSE)="OK",(MROUND(((INDEX($A$1:$U$68,(ROW(U28)),17))*$T$97),(((IF(VLOOKUP($A28,Übungsübersicht!$E$6:$K$82,3,FALSE)=0,0.1,(VLOOKUP($A28,Übungsübersicht!$E$6:$K$82,3,FALSE)))))))),IF(VLOOKUP($A28,Übungsübersicht!$E$6:$K$82,7,FALSE)="UK",(MROUND(((INDEX($A$1:$U$68,(ROW(U28)),17))*$T$98),(((IF(VLOOKUP($A28,Übungsübersicht!$E$6:$K$82,3,FALSE)=0,0.1,(VLOOKUP($A28,Übungsübersicht!$E$6:$K$82,3,FALSE)))))))),"Übung OK/UK?"))))),"Übung?",IF((IF(VLOOKUP($A28,Übungsübersicht!$E$6:$K$82,7,FALSE)="OK",(MROUND(((INDEX($A$1:$U$68,(ROW(U28)),17))*$T$97),(((IF(VLOOKUP($A28,Übungsübersicht!$E$6:$K$82,3,FALSE)=0,0.1,(VLOOKUP($A28,Übungsübersicht!$E$6:$K$82,3,FALSE)))))))),IF(VLOOKUP($A28,Übungsübersicht!$E$6:$K$82,7,FALSE)="UK",(MROUND(((INDEX($A$1:$U$68,(ROW(U28)),17))*$T$98),(((IF(VLOOKUP($A28,Übungsübersicht!$E$6:$K$82,3,FALSE)=0,0.1,(VLOOKUP($A28,Übungsübersicht!$E$6:$K$82,3,FALSE)))))))),"Übung OK/UK?")))&lt;3,"RPE 6",(IF(VLOOKUP($A28,Übungsübersicht!$E$6:$K$82,7,FALSE)="OK",(MROUND(((INDEX($A$1:$U$68,(ROW(U28)),17))*$T$97),(((IF(VLOOKUP($A28,Übungsübersicht!$E$6:$K$82,3,FALSE)=0,0.1,(VLOOKUP($A28,Übungsübersicht!$E$6:$K$82,3,FALSE)))))))),IF(VLOOKUP($A28,Übungsübersicht!$E$6:$K$82,7,FALSE)="UK",(MROUND(((INDEX($A$1:$U$68,(ROW(U28)),17))*$T$98),(((IF(VLOOKUP($A28,Übungsübersicht!$E$6:$K$82,3,FALSE)=0,0.1,(VLOOKUP($A28,Übungsübersicht!$E$6:$K$82,3,FALSE)))))))),"Übung OK/UK?")))))),"RPE 6")</f>
        <v>20</v>
      </c>
      <c r="V28" s="7"/>
      <c r="W28" s="7"/>
    </row>
    <row r="29" spans="1:29" ht="26.1" customHeight="1" thickTop="1" thickBot="1">
      <c r="A29" s="668" t="s">
        <v>281</v>
      </c>
      <c r="B29" s="669" t="str">
        <f>IF(ISNA(IF(ISBLANK(VLOOKUP($A29,Übungsübersicht!$E$8:$F$83,2,FALSE)),"Muskelgruppe Auswählen",VLOOKUP($A29,Übungsübersicht!$E$8:$F$83,2,FALSE))),"Übung?",IF(ISBLANK(VLOOKUP($A29,Übungsübersicht!$E$8:$F$83,2,FALSE)),"Muskelgruppe Auswählen",VLOOKUP($A29,Übungsübersicht!$E$8:$F$83,2,FALSE)))</f>
        <v>Quads</v>
      </c>
      <c r="C29" s="670">
        <v>0</v>
      </c>
      <c r="D29" s="671" t="str">
        <f>IF(ISNA(IF($C29=0,"0",IF(VLOOKUP($A29,Übungsübersicht!$E$7:$K$83,4,FALSE)&lt;1,"RPE 7",VLOOKUP($A29,Übungsübersicht!$E$7:$K$83,4,FALSE)))),"Übung?",IF($C29=0,"0",IF(VLOOKUP($A29,Übungsübersicht!$E$7:$K$83,4,FALSE)&lt;1,"RPE 7",VLOOKUP($A29,Übungsübersicht!$E$7:$K$83,4,FALSE))))</f>
        <v>0</v>
      </c>
      <c r="E29" s="672" cm="1">
        <f t="array" ref="E29">IF(IFERROR((IF(ISNA(IF((IF(VLOOKUP($A29,Übungsübersicht!$E$6:$K$82,7,FALSE)="OK",(MROUND(((INDEX($A$1:$U$68,(ROW(E29)),17))*$Q$97),(((IF(VLOOKUP($A29,Übungsübersicht!$E$6:$K$82,3,FALSE)=0,0.1,(VLOOKUP($A29,Übungsübersicht!$E$6:$K$82,3,FALSE)))))))),IF(VLOOKUP($A29,Übungsübersicht!$E$6:$K$82,7,FALSE)="UK",(MROUND(((INDEX($A$1:$U$68,(ROW(E29)),17))*$Q$98),(((IF(VLOOKUP($A29,Übungsübersicht!$E$6:$K$82,3,FALSE)=0,0.1,(VLOOKUP($A29,Übungsübersicht!$E$6:$K$82,3,FALSE)))))))),"Übung OK/UK?")))&lt;3,"RPE 7",(IF(VLOOKUP($A29,Übungsübersicht!$E$6:$K$82,7,FALSE)="OK",(MROUND(((INDEX($A$1:$U$68,(ROW(E29)),17))*$Q$97),(((IF(VLOOKUP($A29,Übungsübersicht!$E$6:$K$82,3,FALSE)=0,0.1,(VLOOKUP($A29,Übungsübersicht!$E$6:$K$82,3,FALSE)))))))),IF(VLOOKUP($A29,Übungsübersicht!$E$6:$K$82,7,FALSE)="UK",(MROUND(((INDEX($A$1:$U$68,(ROW(E29)),17))*$Q$98),(((IF(VLOOKUP($A29,Übungsübersicht!$E$6:$K$82,3,FALSE)=0,0.1,(VLOOKUP($A29,Übungsübersicht!$E$6:$K$82,3,FALSE)))))))),"Übung OK/UK?"))))),"Übung?",IF((IF(VLOOKUP($A29,Übungsübersicht!$E$6:$K$82,7,FALSE)="OK",(MROUND(((INDEX($A$1:$U$68,(ROW(E29)),17))*$Q$97),(((IF(VLOOKUP($A29,Übungsübersicht!$E$6:$K$82,3,FALSE)=0,0.1,(VLOOKUP($A29,Übungsübersicht!$E$6:$K$82,3,FALSE)))))))),IF(VLOOKUP($A29,Übungsübersicht!$E$6:$K$82,7,FALSE)="UK",(MROUND(((INDEX($A$1:$U$68,(ROW(E29)),17))*$Q$98),(((IF(VLOOKUP($A29,Übungsübersicht!$E$6:$K$82,3,FALSE)=0,0.1,(VLOOKUP($A29,Übungsübersicht!$E$6:$K$82,3,FALSE)))))))),"Übung OK/UK?")))&lt;3,"RPE 7",(IF(VLOOKUP($A29,Übungsübersicht!$E$6:$K$82,7,FALSE)="OK",(MROUND(((INDEX($A$1:$U$68,(ROW(E29)),17))*$Q$97),(((IF(VLOOKUP($A29,Übungsübersicht!$E$6:$K$82,3,FALSE)=0,0.1,(VLOOKUP($A29,Übungsübersicht!$E$6:$K$82,3,FALSE)))))))),IF(VLOOKUP($A29,Übungsübersicht!$E$6:$K$82,7,FALSE)="UK",(MROUND(((INDEX($A$1:$U$68,(ROW(E29)),17))*$Q$98),(((IF(VLOOKUP($A29,Übungsübersicht!$E$6:$K$82,3,FALSE)=0,0.1,(VLOOKUP($A29,Übungsübersicht!$E$6:$K$82,3,FALSE)))))))),"Übung OK/UK?")))))),"RPE 6")=(INDEX($A$1:$U$68,(ROW(E29)),17)),(IFERROR((IF(ISNA(IF(INDEX($A$1:$U$68,(ROW(E29)),17)-(IF(VLOOKUP($A29,Übungsübersicht!$E$6:$K$82,3,FALSE)&lt;=0.5,0,(VLOOKUP($A29,Übungsübersicht!$E$6:$K$82,3,FALSE))))&lt;3,"RPE 7",INDEX($A$1:$U$68,(ROW(E29)),17)-(IF(VLOOKUP($A29,Übungsübersicht!$E$6:$K$82,3,FALSE)&lt;=0.5,0,(VLOOKUP($A29,Übungsübersicht!$E$6:$K$82,3,FALSE)))))),"Übung?",IF(INDEX($A$1:$U$68,(ROW(E29)),17)-(IF(VLOOKUP($A29,Übungsübersicht!$E$6:$K$82,3,FALSE)&lt;=0.5,0,(VLOOKUP($A29,Übungsübersicht!$E$6:$K$82,3,FALSE))))&lt;3,"RPE 7",INDEX($A$1:$U$68,(ROW(E29)),17)-(IF(VLOOKUP($A29,Übungsübersicht!$E$6:$K$82,3,FALSE)&lt;=0.5,0,(VLOOKUP($A29,Übungsübersicht!$E$6:$K$82,3,FALSE))))))),"RPE 7")),(IFERROR((IF(ISNA(IF((IF(VLOOKUP($A29,Übungsübersicht!$E$6:$K$82,7,FALSE)="OK",(MROUND(((INDEX($A$1:$U$68,(ROW(E29)),17))*$Q$97),(((IF(VLOOKUP($A29,Übungsübersicht!$E$6:$K$82,3,FALSE)=0,0.1,(VLOOKUP($A29,Übungsübersicht!$E$6:$K$82,3,FALSE)))))))),IF(VLOOKUP($A29,Übungsübersicht!$E$6:$K$82,7,FALSE)="UK",(MROUND(((INDEX($A$1:$U$68,(ROW(E29)),17))*$Q$98),(((IF(VLOOKUP($A29,Übungsübersicht!$E$6:$K$82,3,FALSE)=0,0.1,(VLOOKUP($A29,Übungsübersicht!$E$6:$K$82,3,FALSE)))))))),"Übung OK/UK?")))&lt;3,"RPE 7",(IF(VLOOKUP($A29,Übungsübersicht!$E$6:$K$82,7,FALSE)="OK",(MROUND(((INDEX($A$1:$U$68,(ROW(E29)),17))*$Q$97),(((IF(VLOOKUP($A29,Übungsübersicht!$E$6:$K$82,3,FALSE)=0,0.1,(VLOOKUP($A29,Übungsübersicht!$E$6:$K$82,3,FALSE)))))))),IF(VLOOKUP($A29,Übungsübersicht!$E$6:$K$82,7,FALSE)="UK",(MROUND(((INDEX($A$1:$U$68,(ROW(E29)),17))*$Q$98),(((IF(VLOOKUP($A29,Übungsübersicht!$E$6:$K$82,3,FALSE)=0,0.1,(VLOOKUP($A29,Übungsübersicht!$E$6:$K$82,3,FALSE)))))))),"Übung OK/UK?"))))),"Übung?",IF((IF(VLOOKUP($A29,Übungsübersicht!$E$6:$K$82,7,FALSE)="OK",(MROUND(((INDEX($A$1:$U$68,(ROW(E29)),17))*$Q$97),(((IF(VLOOKUP($A29,Übungsübersicht!$E$6:$K$82,3,FALSE)=0,0.1,(VLOOKUP($A29,Übungsübersicht!$E$6:$K$82,3,FALSE)))))))),IF(VLOOKUP($A29,Übungsübersicht!$E$6:$K$82,7,FALSE)="UK",(MROUND(((INDEX($A$1:$U$68,(ROW(E29)),17))*$Q$98),(((IF(VLOOKUP($A29,Übungsübersicht!$E$6:$K$82,3,FALSE)=0,0.1,(VLOOKUP($A29,Übungsübersicht!$E$6:$K$82,3,FALSE)))))))),"Übung OK/UK?")))&lt;3,"RPE 6",(IF(VLOOKUP($A29,Übungsübersicht!$E$6:$K$82,7,FALSE)="OK",(MROUND(((INDEX($A$1:$U$68,(ROW(E29)),17))*$Q$97),(((IF(VLOOKUP($A29,Übungsübersicht!$E$6:$K$82,3,FALSE)=0,0.1,(VLOOKUP($A29,Übungsübersicht!$E$6:$K$82,3,FALSE)))))))),IF(VLOOKUP($A29,Übungsübersicht!$E$6:$K$82,7,FALSE)="UK",(MROUND(((INDEX($A$1:$U$68,(ROW(E29)),17))*$Q$98),(((IF(VLOOKUP($A29,Übungsübersicht!$E$6:$K$82,3,FALSE)=0,0.1,(VLOOKUP($A29,Übungsübersicht!$E$6:$K$82,3,FALSE)))))))),"Übung OK/UK?")))))),"RPE 7")))</f>
        <v>10</v>
      </c>
      <c r="F29" s="598" t="str">
        <f>IF('Gewichts- Calculator'!$B$127="EINGEBEN","",(IF('Gewichts- Calculator'!$C$134="Ja Anzeigen",(IF($A29='Gewichts- Calculator'!$C$8," &gt;"&amp;'Gewichts- Calculator'!$B$127&amp;"  &gt; "&amp; 'Gewichts- Calculator'!$B$130,"")),"")))</f>
        <v/>
      </c>
      <c r="G29" s="670">
        <v>0</v>
      </c>
      <c r="H29" s="671" t="str">
        <f>IF(ISNA(IF($G29=0,"0",IF(VLOOKUP($A29,Übungsübersicht!$E$7:$K$83,4,FALSE)&lt;1,"RPE 8",VLOOKUP($A29,Übungsübersicht!$E$7:$K$83,4,FALSE)))),"Übung?",IF($G29=0,"0",IF(VLOOKUP($A29,Übungsübersicht!$E$7:$K$83,4,FALSE)&lt;1,"RPE 8",VLOOKUP($A29,Übungsübersicht!$E$7:$K$83,4,FALSE))))</f>
        <v>0</v>
      </c>
      <c r="I29" s="673">
        <v>15</v>
      </c>
      <c r="J29" s="598" t="str">
        <f>IF('Gewichts- Calculator'!$D$127="EINGEBEN","",(IF('Gewichts- Calculator'!$C$134="Ja Anzeigen",(IF($A29='Gewichts- Calculator'!$C$8," &gt;"&amp;'Gewichts- Calculator'!$D$127&amp;"  &gt; "&amp; 'Gewichts- Calculator'!$D$130,"")),"")))</f>
        <v/>
      </c>
      <c r="K29" s="670">
        <v>0</v>
      </c>
      <c r="L29" s="671" t="str">
        <f>IF(ISNA(IF($K29=0,"0",IF(VLOOKUP($A29,Übungsübersicht!$E$7:$K$83,4,FALSE)&lt;1,"RPE 8",VLOOKUP($A29,Übungsübersicht!$E$7:$K$83,4,FALSE)))),"Übung?",IF($K29=0,"0",IF(VLOOKUP($A29,Übungsübersicht!$E$7:$K$83,4,FALSE)&lt;1,"RPE 8",VLOOKUP($A29,Übungsübersicht!$E$7:$K$83,4,FALSE))))</f>
        <v>0</v>
      </c>
      <c r="M29" s="674">
        <v>15</v>
      </c>
      <c r="N29" s="598" t="str">
        <f>IF('Gewichts- Calculator'!$D$127="EINGEBEN","",(IF('Gewichts- Calculator'!$C$134="Ja Anzeigen",(IF($A29='Gewichts- Calculator'!$C$8," &gt;"&amp;'Gewichts- Calculator'!$D$127&amp;"  &gt; "&amp; 'Gewichts- Calculator'!$D$130,"")),"")))</f>
        <v/>
      </c>
      <c r="O29" s="670">
        <v>0</v>
      </c>
      <c r="P29" s="671" t="str">
        <f>IF(ISNA(IF($O29=0,"0",IF(VLOOKUP($A29,Übungsübersicht!$E$7:$K$83,5,FALSE)&lt;1,"RPE 9",VLOOKUP($A29,Übungsübersicht!$E$7:$K$83,5,FALSE)))),"Übung?",IF($O29=0,"0",IF(VLOOKUP($A29,Übungsübersicht!$E$7:$K$83,5,FALSE)&lt;1,"RPE 9",VLOOKUP($A29,Übungsübersicht!$E$7:$K$83,5,FALSE))))</f>
        <v>0</v>
      </c>
      <c r="Q29" s="675">
        <v>15</v>
      </c>
      <c r="R29" s="598" t="str">
        <f>IF('Gewichts- Calculator'!$F$127="EINGEBEN","",(IF('Gewichts- Calculator'!$C$134="Ja Anzeigen",(IF($A29='Gewichts- Calculator'!$C$8," &gt;"&amp;'Gewichts- Calculator'!$F$127&amp;"  &gt; "&amp; 'Gewichts- Calculator'!$F$130,"")),"")))</f>
        <v/>
      </c>
      <c r="S29" s="670">
        <v>0</v>
      </c>
      <c r="T29" s="671" t="str">
        <f>IF(ISNA(IF($S29=0,"0",IF(VLOOKUP($A29,Übungsübersicht!$E$7:$K$83,4,FALSE)&lt;1,"RPE 6",VLOOKUP($A29,Übungsübersicht!$E$7:$K$83,4,FALSE)))),"Übung?",IF($S29=0,"0",IF(VLOOKUP($A29,Übungsübersicht!$E$7:$K$83,4,FALSE)&lt;1,"RPE 6",VLOOKUP($A29,Übungsübersicht!$E$7:$K$83,4,FALSE))))</f>
        <v>0</v>
      </c>
      <c r="U29" s="674" cm="1">
        <f t="array" ref="U29">IFERROR((IF(ISNA(IF((IF(VLOOKUP($A29,Übungsübersicht!$E$6:$K$82,7,FALSE)="OK",(MROUND(((INDEX($A$1:$U$68,(ROW(U29)),17))*$T$97),(((IF(VLOOKUP($A29,Übungsübersicht!$E$6:$K$82,3,FALSE)=0,0.1,(VLOOKUP($A29,Übungsübersicht!$E$6:$K$82,3,FALSE)))))))),IF(VLOOKUP($A29,Übungsübersicht!$E$6:$K$82,7,FALSE)="UK",(MROUND(((INDEX($A$1:$U$68,(ROW(U29)),17))*$T$98),(((IF(VLOOKUP($A29,Übungsübersicht!$E$6:$K$82,3,FALSE)=0,0.1,(VLOOKUP($A29,Übungsübersicht!$E$6:$K$82,3,FALSE)))))))),"Übung OK/UK?")))&lt;3,"RPE 6",(IF(VLOOKUP($A29,Übungsübersicht!$E$6:$K$82,7,FALSE)="OK",(MROUND(((INDEX($A$1:$U$68,(ROW(U29)),17))*$T$97),(((IF(VLOOKUP($A29,Übungsübersicht!$E$6:$K$82,3,FALSE)=0,0.1,(VLOOKUP($A29,Übungsübersicht!$E$6:$K$82,3,FALSE)))))))),IF(VLOOKUP($A29,Übungsübersicht!$E$6:$K$82,7,FALSE)="UK",(MROUND(((INDEX($A$1:$U$68,(ROW(U29)),17))*$T$98),(((IF(VLOOKUP($A29,Übungsübersicht!$E$6:$K$82,3,FALSE)=0,0.1,(VLOOKUP($A29,Übungsübersicht!$E$6:$K$82,3,FALSE)))))))),"Übung OK/UK?"))))),"Übung?",IF((IF(VLOOKUP($A29,Übungsübersicht!$E$6:$K$82,7,FALSE)="OK",(MROUND(((INDEX($A$1:$U$68,(ROW(U29)),17))*$T$97),(((IF(VLOOKUP($A29,Übungsübersicht!$E$6:$K$82,3,FALSE)=0,0.1,(VLOOKUP($A29,Übungsübersicht!$E$6:$K$82,3,FALSE)))))))),IF(VLOOKUP($A29,Übungsübersicht!$E$6:$K$82,7,FALSE)="UK",(MROUND(((INDEX($A$1:$U$68,(ROW(U29)),17))*$T$98),(((IF(VLOOKUP($A29,Übungsübersicht!$E$6:$K$82,3,FALSE)=0,0.1,(VLOOKUP($A29,Übungsübersicht!$E$6:$K$82,3,FALSE)))))))),"Übung OK/UK?")))&lt;3,"RPE 6",(IF(VLOOKUP($A29,Übungsübersicht!$E$6:$K$82,7,FALSE)="OK",(MROUND(((INDEX($A$1:$U$68,(ROW(U29)),17))*$T$97),(((IF(VLOOKUP($A29,Übungsübersicht!$E$6:$K$82,3,FALSE)=0,0.1,(VLOOKUP($A29,Übungsübersicht!$E$6:$K$82,3,FALSE)))))))),IF(VLOOKUP($A29,Übungsübersicht!$E$6:$K$82,7,FALSE)="UK",(MROUND(((INDEX($A$1:$U$68,(ROW(U29)),17))*$T$98),(((IF(VLOOKUP($A29,Übungsübersicht!$E$6:$K$82,3,FALSE)=0,0.1,(VLOOKUP($A29,Übungsübersicht!$E$6:$K$82,3,FALSE)))))))),"Übung OK/UK?")))))),"RPE 6")</f>
        <v>10</v>
      </c>
      <c r="V29" s="7"/>
      <c r="W29" s="7"/>
    </row>
    <row r="30" spans="1:29" ht="26.1" customHeight="1" thickTop="1" thickBot="1">
      <c r="A30" s="668" t="s">
        <v>45</v>
      </c>
      <c r="B30" s="669" t="str">
        <f>IF(ISNA(IF(ISBLANK(VLOOKUP($A30,Übungsübersicht!$E$8:$F$83,2,FALSE)),"Muskelgruppe Auswählen",VLOOKUP($A30,Übungsübersicht!$E$8:$F$83,2,FALSE))),"Übung?",IF(ISBLANK(VLOOKUP($A30,Übungsübersicht!$E$8:$F$83,2,FALSE)),"Muskelgruppe Auswählen",VLOOKUP($A30,Übungsübersicht!$E$8:$F$83,2,FALSE)))</f>
        <v>Bauch</v>
      </c>
      <c r="C30" s="670">
        <v>5</v>
      </c>
      <c r="D30" s="671" t="str">
        <f>IF(ISNA(IF($C30=0,"0",IF(VLOOKUP($A30,Übungsübersicht!$E$7:$K$83,4,FALSE)&lt;1,"RPE 7",VLOOKUP($A30,Übungsübersicht!$E$7:$K$83,4,FALSE)))),"Übung?",IF($C30=0,"0",IF(VLOOKUP($A30,Übungsübersicht!$E$7:$K$83,4,FALSE)&lt;1,"RPE 7",VLOOKUP($A30,Übungsübersicht!$E$7:$K$83,4,FALSE))))</f>
        <v>RPE 7</v>
      </c>
      <c r="E30" s="672" t="str" cm="1">
        <f t="array" ref="E30">IF(IFERROR((IF(ISNA(IF((IF(VLOOKUP($A30,Übungsübersicht!$E$6:$K$82,7,FALSE)="OK",(MROUND(((INDEX($A$1:$U$68,(ROW(E30)),17))*$Q$97),(((IF(VLOOKUP($A30,Übungsübersicht!$E$6:$K$82,3,FALSE)=0,0.1,(VLOOKUP($A30,Übungsübersicht!$E$6:$K$82,3,FALSE)))))))),IF(VLOOKUP($A30,Übungsübersicht!$E$6:$K$82,7,FALSE)="UK",(MROUND(((INDEX($A$1:$U$68,(ROW(E30)),17))*$Q$98),(((IF(VLOOKUP($A30,Übungsübersicht!$E$6:$K$82,3,FALSE)=0,0.1,(VLOOKUP($A30,Übungsübersicht!$E$6:$K$82,3,FALSE)))))))),"Übung OK/UK?")))&lt;3,"RPE 7",(IF(VLOOKUP($A30,Übungsübersicht!$E$6:$K$82,7,FALSE)="OK",(MROUND(((INDEX($A$1:$U$68,(ROW(E30)),17))*$Q$97),(((IF(VLOOKUP($A30,Übungsübersicht!$E$6:$K$82,3,FALSE)=0,0.1,(VLOOKUP($A30,Übungsübersicht!$E$6:$K$82,3,FALSE)))))))),IF(VLOOKUP($A30,Übungsübersicht!$E$6:$K$82,7,FALSE)="UK",(MROUND(((INDEX($A$1:$U$68,(ROW(E30)),17))*$Q$98),(((IF(VLOOKUP($A30,Übungsübersicht!$E$6:$K$82,3,FALSE)=0,0.1,(VLOOKUP($A30,Übungsübersicht!$E$6:$K$82,3,FALSE)))))))),"Übung OK/UK?"))))),"Übung?",IF((IF(VLOOKUP($A30,Übungsübersicht!$E$6:$K$82,7,FALSE)="OK",(MROUND(((INDEX($A$1:$U$68,(ROW(E30)),17))*$Q$97),(((IF(VLOOKUP($A30,Übungsübersicht!$E$6:$K$82,3,FALSE)=0,0.1,(VLOOKUP($A30,Übungsübersicht!$E$6:$K$82,3,FALSE)))))))),IF(VLOOKUP($A30,Übungsübersicht!$E$6:$K$82,7,FALSE)="UK",(MROUND(((INDEX($A$1:$U$68,(ROW(E30)),17))*$Q$98),(((IF(VLOOKUP($A30,Übungsübersicht!$E$6:$K$82,3,FALSE)=0,0.1,(VLOOKUP($A30,Übungsübersicht!$E$6:$K$82,3,FALSE)))))))),"Übung OK/UK?")))&lt;3,"RPE 7",(IF(VLOOKUP($A30,Übungsübersicht!$E$6:$K$82,7,FALSE)="OK",(MROUND(((INDEX($A$1:$U$68,(ROW(E30)),17))*$Q$97),(((IF(VLOOKUP($A30,Übungsübersicht!$E$6:$K$82,3,FALSE)=0,0.1,(VLOOKUP($A30,Übungsübersicht!$E$6:$K$82,3,FALSE)))))))),IF(VLOOKUP($A30,Übungsübersicht!$E$6:$K$82,7,FALSE)="UK",(MROUND(((INDEX($A$1:$U$68,(ROW(E30)),17))*$Q$98),(((IF(VLOOKUP($A30,Übungsübersicht!$E$6:$K$82,3,FALSE)=0,0.1,(VLOOKUP($A30,Übungsübersicht!$E$6:$K$82,3,FALSE)))))))),"Übung OK/UK?")))))),"RPE 6")=(INDEX($A$1:$U$68,(ROW(E30)),17)),(IFERROR((IF(ISNA(IF(INDEX($A$1:$U$68,(ROW(E30)),17)-(IF(VLOOKUP($A30,Übungsübersicht!$E$6:$K$82,3,FALSE)&lt;=0.5,0,(VLOOKUP($A30,Übungsübersicht!$E$6:$K$82,3,FALSE))))&lt;3,"RPE 7",INDEX($A$1:$U$68,(ROW(E30)),17)-(IF(VLOOKUP($A30,Übungsübersicht!$E$6:$K$82,3,FALSE)&lt;=0.5,0,(VLOOKUP($A30,Übungsübersicht!$E$6:$K$82,3,FALSE)))))),"Übung?",IF(INDEX($A$1:$U$68,(ROW(E30)),17)-(IF(VLOOKUP($A30,Übungsübersicht!$E$6:$K$82,3,FALSE)&lt;=0.5,0,(VLOOKUP($A30,Übungsübersicht!$E$6:$K$82,3,FALSE))))&lt;3,"RPE 7",INDEX($A$1:$U$68,(ROW(E30)),17)-(IF(VLOOKUP($A30,Übungsübersicht!$E$6:$K$82,3,FALSE)&lt;=0.5,0,(VLOOKUP($A30,Übungsübersicht!$E$6:$K$82,3,FALSE))))))),"RPE 7")),(IFERROR((IF(ISNA(IF((IF(VLOOKUP($A30,Übungsübersicht!$E$6:$K$82,7,FALSE)="OK",(MROUND(((INDEX($A$1:$U$68,(ROW(E30)),17))*$Q$97),(((IF(VLOOKUP($A30,Übungsübersicht!$E$6:$K$82,3,FALSE)=0,0.1,(VLOOKUP($A30,Übungsübersicht!$E$6:$K$82,3,FALSE)))))))),IF(VLOOKUP($A30,Übungsübersicht!$E$6:$K$82,7,FALSE)="UK",(MROUND(((INDEX($A$1:$U$68,(ROW(E30)),17))*$Q$98),(((IF(VLOOKUP($A30,Übungsübersicht!$E$6:$K$82,3,FALSE)=0,0.1,(VLOOKUP($A30,Übungsübersicht!$E$6:$K$82,3,FALSE)))))))),"Übung OK/UK?")))&lt;3,"RPE 7",(IF(VLOOKUP($A30,Übungsübersicht!$E$6:$K$82,7,FALSE)="OK",(MROUND(((INDEX($A$1:$U$68,(ROW(E30)),17))*$Q$97),(((IF(VLOOKUP($A30,Übungsübersicht!$E$6:$K$82,3,FALSE)=0,0.1,(VLOOKUP($A30,Übungsübersicht!$E$6:$K$82,3,FALSE)))))))),IF(VLOOKUP($A30,Übungsübersicht!$E$6:$K$82,7,FALSE)="UK",(MROUND(((INDEX($A$1:$U$68,(ROW(E30)),17))*$Q$98),(((IF(VLOOKUP($A30,Übungsübersicht!$E$6:$K$82,3,FALSE)=0,0.1,(VLOOKUP($A30,Übungsübersicht!$E$6:$K$82,3,FALSE)))))))),"Übung OK/UK?"))))),"Übung?",IF((IF(VLOOKUP($A30,Übungsübersicht!$E$6:$K$82,7,FALSE)="OK",(MROUND(((INDEX($A$1:$U$68,(ROW(E30)),17))*$Q$97),(((IF(VLOOKUP($A30,Übungsübersicht!$E$6:$K$82,3,FALSE)=0,0.1,(VLOOKUP($A30,Übungsübersicht!$E$6:$K$82,3,FALSE)))))))),IF(VLOOKUP($A30,Übungsübersicht!$E$6:$K$82,7,FALSE)="UK",(MROUND(((INDEX($A$1:$U$68,(ROW(E30)),17))*$Q$98),(((IF(VLOOKUP($A30,Übungsübersicht!$E$6:$K$82,3,FALSE)=0,0.1,(VLOOKUP($A30,Übungsübersicht!$E$6:$K$82,3,FALSE)))))))),"Übung OK/UK?")))&lt;3,"RPE 6",(IF(VLOOKUP($A30,Übungsübersicht!$E$6:$K$82,7,FALSE)="OK",(MROUND(((INDEX($A$1:$U$68,(ROW(E30)),17))*$Q$97),(((IF(VLOOKUP($A30,Übungsübersicht!$E$6:$K$82,3,FALSE)=0,0.1,(VLOOKUP($A30,Übungsübersicht!$E$6:$K$82,3,FALSE)))))))),IF(VLOOKUP($A30,Übungsübersicht!$E$6:$K$82,7,FALSE)="UK",(MROUND(((INDEX($A$1:$U$68,(ROW(E30)),17))*$Q$98),(((IF(VLOOKUP($A30,Übungsübersicht!$E$6:$K$82,3,FALSE)=0,0.1,(VLOOKUP($A30,Übungsübersicht!$E$6:$K$82,3,FALSE)))))))),"Übung OK/UK?")))))),"RPE 7")))</f>
        <v>RPE 7</v>
      </c>
      <c r="F30" s="598" t="str">
        <f>IF('Gewichts- Calculator'!$B$127="EINGEBEN","",(IF('Gewichts- Calculator'!$C$134="Ja Anzeigen",(IF($A30='Gewichts- Calculator'!$C$8," &gt;"&amp;'Gewichts- Calculator'!$B$127&amp;"  &gt; "&amp; 'Gewichts- Calculator'!$B$130,"")),"")))</f>
        <v/>
      </c>
      <c r="G30" s="670">
        <v>5</v>
      </c>
      <c r="H30" s="671" t="str">
        <f>IF(ISNA(IF($G30=0,"0",IF(VLOOKUP($A30,Übungsübersicht!$E$7:$K$83,4,FALSE)&lt;1,"RPE 8",VLOOKUP($A30,Übungsübersicht!$E$7:$K$83,4,FALSE)))),"Übung?",IF($G30=0,"0",IF(VLOOKUP($A30,Übungsübersicht!$E$7:$K$83,4,FALSE)&lt;1,"RPE 8",VLOOKUP($A30,Übungsübersicht!$E$7:$K$83,4,FALSE))))</f>
        <v>RPE 8</v>
      </c>
      <c r="I30" s="673">
        <v>0</v>
      </c>
      <c r="J30" s="598" t="str">
        <f>IF('Gewichts- Calculator'!$D$127="EINGEBEN","",(IF('Gewichts- Calculator'!$C$134="Ja Anzeigen",(IF($A30='Gewichts- Calculator'!$C$8," &gt;"&amp;'Gewichts- Calculator'!$D$127&amp;"  &gt; "&amp; 'Gewichts- Calculator'!$D$130,"")),"")))</f>
        <v/>
      </c>
      <c r="K30" s="670">
        <v>5</v>
      </c>
      <c r="L30" s="671" t="str">
        <f>IF(ISNA(IF($K30=0,"0",IF(VLOOKUP($A30,Übungsübersicht!$E$7:$K$83,4,FALSE)&lt;1,"RPE 8",VLOOKUP($A30,Übungsübersicht!$E$7:$K$83,4,FALSE)))),"Übung?",IF($K30=0,"0",IF(VLOOKUP($A30,Übungsübersicht!$E$7:$K$83,4,FALSE)&lt;1,"RPE 8",VLOOKUP($A30,Übungsübersicht!$E$7:$K$83,4,FALSE))))</f>
        <v>RPE 8</v>
      </c>
      <c r="M30" s="674" t="s">
        <v>360</v>
      </c>
      <c r="N30" s="598" t="str">
        <f>IF('Gewichts- Calculator'!$D$127="EINGEBEN","",(IF('Gewichts- Calculator'!$C$134="Ja Anzeigen",(IF($A30='Gewichts- Calculator'!$C$8," &gt;"&amp;'Gewichts- Calculator'!$D$127&amp;"  &gt; "&amp; 'Gewichts- Calculator'!$D$130,"")),"")))</f>
        <v/>
      </c>
      <c r="O30" s="670">
        <v>0</v>
      </c>
      <c r="P30" s="671" t="str">
        <f>IF(ISNA(IF($O30=0,"0",IF(VLOOKUP($A30,Übungsübersicht!$E$7:$K$83,5,FALSE)&lt;1,"RPE 9",VLOOKUP($A30,Übungsübersicht!$E$7:$K$83,5,FALSE)))),"Übung?",IF($O30=0,"0",IF(VLOOKUP($A30,Übungsübersicht!$E$7:$K$83,5,FALSE)&lt;1,"RPE 9",VLOOKUP($A30,Übungsübersicht!$E$7:$K$83,5,FALSE))))</f>
        <v>0</v>
      </c>
      <c r="Q30" s="675" t="s">
        <v>361</v>
      </c>
      <c r="R30" s="598" t="str">
        <f>IF('Gewichts- Calculator'!$F$127="EINGEBEN","",(IF('Gewichts- Calculator'!$C$134="Ja Anzeigen",(IF($A30='Gewichts- Calculator'!$C$8," &gt;"&amp;'Gewichts- Calculator'!$F$127&amp;"  &gt; "&amp; 'Gewichts- Calculator'!$F$130,"")),"")))</f>
        <v/>
      </c>
      <c r="S30" s="670">
        <v>9</v>
      </c>
      <c r="T30" s="671" t="str">
        <f>IF(ISNA(IF($S30=0,"0",IF(VLOOKUP($A30,Übungsübersicht!$E$7:$K$83,4,FALSE)&lt;1,"RPE 6",VLOOKUP($A30,Übungsübersicht!$E$7:$K$83,4,FALSE)))),"Übung?",IF($S30=0,"0",IF(VLOOKUP($A30,Übungsübersicht!$E$7:$K$83,4,FALSE)&lt;1,"RPE 6",VLOOKUP($A30,Übungsübersicht!$E$7:$K$83,4,FALSE))))</f>
        <v>RPE 6</v>
      </c>
      <c r="U30" s="674" t="str" cm="1">
        <f t="array" ref="U30">IFERROR((IF(ISNA(IF((IF(VLOOKUP($A30,Übungsübersicht!$E$6:$K$82,7,FALSE)="OK",(MROUND(((INDEX($A$1:$U$68,(ROW(U30)),17))*$T$97),(((IF(VLOOKUP($A30,Übungsübersicht!$E$6:$K$82,3,FALSE)=0,0.1,(VLOOKUP($A30,Übungsübersicht!$E$6:$K$82,3,FALSE)))))))),IF(VLOOKUP($A30,Übungsübersicht!$E$6:$K$82,7,FALSE)="UK",(MROUND(((INDEX($A$1:$U$68,(ROW(U30)),17))*$T$98),(((IF(VLOOKUP($A30,Übungsübersicht!$E$6:$K$82,3,FALSE)=0,0.1,(VLOOKUP($A30,Übungsübersicht!$E$6:$K$82,3,FALSE)))))))),"Übung OK/UK?")))&lt;3,"RPE 6",(IF(VLOOKUP($A30,Übungsübersicht!$E$6:$K$82,7,FALSE)="OK",(MROUND(((INDEX($A$1:$U$68,(ROW(U30)),17))*$T$97),(((IF(VLOOKUP($A30,Übungsübersicht!$E$6:$K$82,3,FALSE)=0,0.1,(VLOOKUP($A30,Übungsübersicht!$E$6:$K$82,3,FALSE)))))))),IF(VLOOKUP($A30,Übungsübersicht!$E$6:$K$82,7,FALSE)="UK",(MROUND(((INDEX($A$1:$U$68,(ROW(U30)),17))*$T$98),(((IF(VLOOKUP($A30,Übungsübersicht!$E$6:$K$82,3,FALSE)=0,0.1,(VLOOKUP($A30,Übungsübersicht!$E$6:$K$82,3,FALSE)))))))),"Übung OK/UK?"))))),"Übung?",IF((IF(VLOOKUP($A30,Übungsübersicht!$E$6:$K$82,7,FALSE)="OK",(MROUND(((INDEX($A$1:$U$68,(ROW(U30)),17))*$T$97),(((IF(VLOOKUP($A30,Übungsübersicht!$E$6:$K$82,3,FALSE)=0,0.1,(VLOOKUP($A30,Übungsübersicht!$E$6:$K$82,3,FALSE)))))))),IF(VLOOKUP($A30,Übungsübersicht!$E$6:$K$82,7,FALSE)="UK",(MROUND(((INDEX($A$1:$U$68,(ROW(U30)),17))*$T$98),(((IF(VLOOKUP($A30,Übungsübersicht!$E$6:$K$82,3,FALSE)=0,0.1,(VLOOKUP($A30,Übungsübersicht!$E$6:$K$82,3,FALSE)))))))),"Übung OK/UK?")))&lt;3,"RPE 6",(IF(VLOOKUP($A30,Übungsübersicht!$E$6:$K$82,7,FALSE)="OK",(MROUND(((INDEX($A$1:$U$68,(ROW(U30)),17))*$T$97),(((IF(VLOOKUP($A30,Übungsübersicht!$E$6:$K$82,3,FALSE)=0,0.1,(VLOOKUP($A30,Übungsübersicht!$E$6:$K$82,3,FALSE)))))))),IF(VLOOKUP($A30,Übungsübersicht!$E$6:$K$82,7,FALSE)="UK",(MROUND(((INDEX($A$1:$U$68,(ROW(U30)),17))*$T$98),(((IF(VLOOKUP($A30,Übungsübersicht!$E$6:$K$82,3,FALSE)=0,0.1,(VLOOKUP($A30,Übungsübersicht!$E$6:$K$82,3,FALSE)))))))),"Übung OK/UK?")))))),"RPE 6")</f>
        <v>RPE 6</v>
      </c>
      <c r="V30" s="7"/>
      <c r="W30" s="7"/>
    </row>
    <row r="31" spans="1:29" ht="26.1" customHeight="1" thickTop="1">
      <c r="A31"/>
      <c r="B31"/>
      <c r="F31" s="598" t="str">
        <f>IF('Gewichts- Calculator'!$B$127="EINGEBEN","",(IF('Gewichts- Calculator'!$C$134="Ja Anzeigen",(IF($A31='Gewichts- Calculator'!$C$8," &gt;"&amp;'Gewichts- Calculator'!$B$127&amp;"  &gt; "&amp; 'Gewichts- Calculator'!$B$130,"")),"")))</f>
        <v/>
      </c>
      <c r="J31" s="598" t="str">
        <f>IF('Gewichts- Calculator'!$D$127="EINGEBEN","",(IF('Gewichts- Calculator'!$C$134="Ja Anzeigen",(IF($A31='Gewichts- Calculator'!$C$8," &gt;"&amp;'Gewichts- Calculator'!$D$127&amp;"  &gt; "&amp; 'Gewichts- Calculator'!$D$130,"")),"")))</f>
        <v/>
      </c>
      <c r="N31" s="598" t="str">
        <f>IF('Gewichts- Calculator'!$D$127="EINGEBEN","",(IF('Gewichts- Calculator'!$C$134="Ja Anzeigen",(IF($A31='Gewichts- Calculator'!$C$8," &gt;"&amp;'Gewichts- Calculator'!$D$127&amp;"  &gt; "&amp; 'Gewichts- Calculator'!$D$130,"")),"")))</f>
        <v/>
      </c>
      <c r="O31" s="20"/>
      <c r="Q31" s="20"/>
      <c r="R31" s="598" t="str">
        <f>IF('Gewichts- Calculator'!$F$127="EINGEBEN","",(IF('Gewichts- Calculator'!$C$134="Ja Anzeigen",(IF($A31='Gewichts- Calculator'!$C$8," &gt;"&amp;'Gewichts- Calculator'!$F$127&amp;"  &gt; "&amp; 'Gewichts- Calculator'!$F$130,"")),"")))</f>
        <v/>
      </c>
      <c r="V31" s="8"/>
      <c r="W31" s="7"/>
    </row>
    <row r="32" spans="1:29" s="21" customFormat="1" ht="33.950000000000003" customHeight="1" thickBot="1">
      <c r="A32" s="876" t="s">
        <v>59</v>
      </c>
      <c r="B32" s="914" cm="1">
        <f t="array" aca="1" ref="B32" ca="1">IF(INDEX(Kalender!$B$6:$H$18,Zyklus!$AB$25,1)=$A32,INDEX(Kalender!$B$6:$H$18,Zyklus!$AB$25-1,1),IF(INDEX(Kalender!$B$6:$H$18,Zyklus!$AB$25,2)=$A32,INDEX(Kalender!$B$6:$H$18,Zyklus!$AB$25-1,2),IF(INDEX(Kalender!$B$6:$H$18,Zyklus!$AB$25,3)=$A32,INDEX(Kalender!$B$6:$H$18,Zyklus!$AB$25-1,3),IF(INDEX(Kalender!$B$6:$H$18,Zyklus!$AB$25,4)=$A32,INDEX(Kalender!$B$6:$H$18,Zyklus!$AB$25-1,4),IF(INDEX(Kalender!$B$6:$H$18,Zyklus!$AB$25,5)=$A32,INDEX(Kalender!$B$6:$H$18,Zyklus!$AB$25-1,5),IF(INDEX(Kalender!$B$6:$H$18,Zyklus!$AB$25,6)=$A32,INDEX(Kalender!$B$6:$H$18,Zyklus!$AB$25-1,6),IF(INDEX(Kalender!$B$6:$H$18,Zyklus!$AB$25,7)=$A32,INDEX(Kalender!$B$6:$H$18,Zyklus!$AB$25-1,7),"Kalender?")))))))</f>
        <v>43952</v>
      </c>
      <c r="C32" s="962" t="s">
        <v>126</v>
      </c>
      <c r="D32" s="962"/>
      <c r="E32" s="962"/>
      <c r="F32" s="894" t="str">
        <f>IF('Gewichts- Calculator'!$B$127="EINGEBEN","",(IF('Gewichts- Calculator'!$C$134="Ja Anzeigen",(IF($A32='Gewichts- Calculator'!$C$8," &gt;"&amp;'Gewichts- Calculator'!$B$127&amp;"  &gt; "&amp; 'Gewichts- Calculator'!$B$130,"")),"")))</f>
        <v/>
      </c>
      <c r="G32" s="962" t="s">
        <v>127</v>
      </c>
      <c r="H32" s="962"/>
      <c r="I32" s="962"/>
      <c r="J32" s="598" t="str">
        <f>IF('Gewichts- Calculator'!$D$127="EINGEBEN","",(IF('Gewichts- Calculator'!$C$134="Ja Anzeigen",(IF($A32='Gewichts- Calculator'!$C$8," &gt;"&amp;'Gewichts- Calculator'!$D$127&amp;"  &gt; "&amp; 'Gewichts- Calculator'!$D$130,"")),"")))</f>
        <v/>
      </c>
      <c r="K32" s="962" t="s">
        <v>128</v>
      </c>
      <c r="L32" s="962"/>
      <c r="M32" s="962"/>
      <c r="N32" s="598" t="str">
        <f>IF('Gewichts- Calculator'!$D$127="EINGEBEN","",(IF('Gewichts- Calculator'!$C$134="Ja Anzeigen",(IF($A32='Gewichts- Calculator'!$C$8," &gt;"&amp;'Gewichts- Calculator'!$D$127&amp;"  &gt; "&amp; 'Gewichts- Calculator'!$D$130,"")),"")))</f>
        <v/>
      </c>
      <c r="O32" s="962" t="s">
        <v>129</v>
      </c>
      <c r="P32" s="962"/>
      <c r="Q32" s="962"/>
      <c r="R32" s="598" t="str">
        <f>IF('Gewichts- Calculator'!$F$127="EINGEBEN","",(IF('Gewichts- Calculator'!$C$134="Ja Anzeigen",(IF($A32='Gewichts- Calculator'!$C$8," &gt;"&amp;'Gewichts- Calculator'!$F$127&amp;"  &gt; "&amp; 'Gewichts- Calculator'!$F$130,"")),"")))</f>
        <v/>
      </c>
      <c r="S32" s="962" t="s">
        <v>130</v>
      </c>
      <c r="T32" s="962"/>
      <c r="U32" s="962"/>
      <c r="V32" s="22"/>
      <c r="W32" s="7"/>
    </row>
    <row r="33" spans="1:25" ht="26.1" customHeight="1" thickTop="1" thickBot="1">
      <c r="A33" s="664" t="s">
        <v>0</v>
      </c>
      <c r="B33" s="664" t="s">
        <v>1</v>
      </c>
      <c r="C33" s="665" t="s">
        <v>55</v>
      </c>
      <c r="D33" s="665" t="s">
        <v>56</v>
      </c>
      <c r="E33" s="665" t="s">
        <v>57</v>
      </c>
      <c r="F33" s="598" t="str">
        <f>IF('Gewichts- Calculator'!$B$127="EINGEBEN","",(IF('Gewichts- Calculator'!$C$134="Ja Anzeigen",(IF($A33='Gewichts- Calculator'!$C$8," &gt;"&amp;'Gewichts- Calculator'!$B$127&amp;"  &gt; "&amp; 'Gewichts- Calculator'!$B$130,"")),"")))</f>
        <v/>
      </c>
      <c r="G33" s="665" t="s">
        <v>55</v>
      </c>
      <c r="H33" s="665" t="s">
        <v>56</v>
      </c>
      <c r="I33" s="665" t="s">
        <v>57</v>
      </c>
      <c r="J33" s="598" t="str">
        <f>IF('Gewichts- Calculator'!$D$127="EINGEBEN","",(IF('Gewichts- Calculator'!$C$134="Ja Anzeigen",(IF($A33='Gewichts- Calculator'!$C$8," &gt;"&amp;'Gewichts- Calculator'!$D$127&amp;"  &gt; "&amp; 'Gewichts- Calculator'!$D$130,"")),"")))</f>
        <v/>
      </c>
      <c r="K33" s="665" t="s">
        <v>55</v>
      </c>
      <c r="L33" s="665" t="s">
        <v>56</v>
      </c>
      <c r="M33" s="665" t="s">
        <v>57</v>
      </c>
      <c r="N33" s="598" t="str">
        <f>IF('Gewichts- Calculator'!$D$127="EINGEBEN","",(IF('Gewichts- Calculator'!$C$134="Ja Anzeigen",(IF($A33='Gewichts- Calculator'!$C$8," &gt;"&amp;'Gewichts- Calculator'!$D$127&amp;"  &gt; "&amp; 'Gewichts- Calculator'!$D$130,"")),"")))</f>
        <v/>
      </c>
      <c r="O33" s="665" t="s">
        <v>55</v>
      </c>
      <c r="P33" s="665" t="s">
        <v>56</v>
      </c>
      <c r="Q33" s="665" t="s">
        <v>57</v>
      </c>
      <c r="R33" s="598" t="str">
        <f>IF('Gewichts- Calculator'!$F$127="EINGEBEN","",(IF('Gewichts- Calculator'!$C$134="Ja Anzeigen",(IF($A33='Gewichts- Calculator'!$C$8," &gt;"&amp;'Gewichts- Calculator'!$F$127&amp;"  &gt; "&amp; 'Gewichts- Calculator'!$F$130,"")),"")))</f>
        <v/>
      </c>
      <c r="S33" s="665" t="s">
        <v>55</v>
      </c>
      <c r="T33" s="665" t="s">
        <v>56</v>
      </c>
      <c r="U33" s="667" t="s">
        <v>57</v>
      </c>
      <c r="W33" s="7"/>
    </row>
    <row r="34" spans="1:25" ht="26.1" customHeight="1" thickTop="1" thickBot="1">
      <c r="A34" s="668" t="s">
        <v>2</v>
      </c>
      <c r="B34" s="669" t="str">
        <f>IF(ISNA(IF(ISBLANK(VLOOKUP($A34,Übungsübersicht!$E$8:$F$83,2,FALSE)),"Muskelgruppe Auswählen",VLOOKUP($A34,Übungsübersicht!$E$8:$F$83,2,FALSE))),"Übung?",IF(ISBLANK(VLOOKUP($A34,Übungsübersicht!$E$8:$F$83,2,FALSE)),"Muskelgruppe Auswählen",VLOOKUP($A34,Übungsübersicht!$E$8:$F$83,2,FALSE)))</f>
        <v>Brust</v>
      </c>
      <c r="C34" s="670">
        <v>3</v>
      </c>
      <c r="D34" s="671">
        <f>IF(ISNA(IF($C34=0,"0",IF(VLOOKUP($A34,Übungsübersicht!$E$7:$K$83,4,FALSE)&lt;1,"RPE 7",VLOOKUP($A34,Übungsübersicht!$E$7:$K$83,4,FALSE)))),"Übung?",IF($C34=0,"0",IF(VLOOKUP($A34,Übungsübersicht!$E$7:$K$83,4,FALSE)&lt;1,"RPE 7",VLOOKUP($A34,Übungsübersicht!$E$7:$K$83,4,FALSE))))</f>
        <v>5</v>
      </c>
      <c r="E34" s="672" cm="1">
        <f t="array" ref="E34">IF(IFERROR((IF(ISNA(IF((IF(VLOOKUP($A34,Übungsübersicht!$E$6:$K$82,7,FALSE)="OK",(MROUND(((INDEX($A$1:$U$68,(ROW(E34)),17))*$Q$97),(((IF(VLOOKUP($A34,Übungsübersicht!$E$6:$K$82,3,FALSE)=0,0.1,(VLOOKUP($A34,Übungsübersicht!$E$6:$K$82,3,FALSE)))))))),IF(VLOOKUP($A34,Übungsübersicht!$E$6:$K$82,7,FALSE)="UK",(MROUND(((INDEX($A$1:$U$68,(ROW(E34)),17))*$Q$98),(((IF(VLOOKUP($A34,Übungsübersicht!$E$6:$K$82,3,FALSE)=0,0.1,(VLOOKUP($A34,Übungsübersicht!$E$6:$K$82,3,FALSE)))))))),"Übung OK/UK?")))&lt;3,"RPE 7",(IF(VLOOKUP($A34,Übungsübersicht!$E$6:$K$82,7,FALSE)="OK",(MROUND(((INDEX($A$1:$U$68,(ROW(E34)),17))*$Q$97),(((IF(VLOOKUP($A34,Übungsübersicht!$E$6:$K$82,3,FALSE)=0,0.1,(VLOOKUP($A34,Übungsübersicht!$E$6:$K$82,3,FALSE)))))))),IF(VLOOKUP($A34,Übungsübersicht!$E$6:$K$82,7,FALSE)="UK",(MROUND(((INDEX($A$1:$U$68,(ROW(E34)),17))*$Q$98),(((IF(VLOOKUP($A34,Übungsübersicht!$E$6:$K$82,3,FALSE)=0,0.1,(VLOOKUP($A34,Übungsübersicht!$E$6:$K$82,3,FALSE)))))))),"Übung OK/UK?"))))),"Übung?",IF((IF(VLOOKUP($A34,Übungsübersicht!$E$6:$K$82,7,FALSE)="OK",(MROUND(((INDEX($A$1:$U$68,(ROW(E34)),17))*$Q$97),(((IF(VLOOKUP($A34,Übungsübersicht!$E$6:$K$82,3,FALSE)=0,0.1,(VLOOKUP($A34,Übungsübersicht!$E$6:$K$82,3,FALSE)))))))),IF(VLOOKUP($A34,Übungsübersicht!$E$6:$K$82,7,FALSE)="UK",(MROUND(((INDEX($A$1:$U$68,(ROW(E34)),17))*$Q$98),(((IF(VLOOKUP($A34,Übungsübersicht!$E$6:$K$82,3,FALSE)=0,0.1,(VLOOKUP($A34,Übungsübersicht!$E$6:$K$82,3,FALSE)))))))),"Übung OK/UK?")))&lt;3,"RPE 7",(IF(VLOOKUP($A34,Übungsübersicht!$E$6:$K$82,7,FALSE)="OK",(MROUND(((INDEX($A$1:$U$68,(ROW(E34)),17))*$Q$97),(((IF(VLOOKUP($A34,Übungsübersicht!$E$6:$K$82,3,FALSE)=0,0.1,(VLOOKUP($A34,Übungsübersicht!$E$6:$K$82,3,FALSE)))))))),IF(VLOOKUP($A34,Übungsübersicht!$E$6:$K$82,7,FALSE)="UK",(MROUND(((INDEX($A$1:$U$68,(ROW(E34)),17))*$Q$98),(((IF(VLOOKUP($A34,Übungsübersicht!$E$6:$K$82,3,FALSE)=0,0.1,(VLOOKUP($A34,Übungsübersicht!$E$6:$K$82,3,FALSE)))))))),"Übung OK/UK?")))))),"RPE 6")=(INDEX($A$1:$U$68,(ROW(E34)),17)),(IFERROR((IF(ISNA(IF(INDEX($A$1:$U$68,(ROW(E34)),17)-(IF(VLOOKUP($A34,Übungsübersicht!$E$6:$K$82,3,FALSE)&lt;=0.5,0,(VLOOKUP($A34,Übungsübersicht!$E$6:$K$82,3,FALSE))))&lt;3,"RPE 7",INDEX($A$1:$U$68,(ROW(E34)),17)-(IF(VLOOKUP($A34,Übungsübersicht!$E$6:$K$82,3,FALSE)&lt;=0.5,0,(VLOOKUP($A34,Übungsübersicht!$E$6:$K$82,3,FALSE)))))),"Übung?",IF(INDEX($A$1:$U$68,(ROW(E34)),17)-(IF(VLOOKUP($A34,Übungsübersicht!$E$6:$K$82,3,FALSE)&lt;=0.5,0,(VLOOKUP($A34,Übungsübersicht!$E$6:$K$82,3,FALSE))))&lt;3,"RPE 7",INDEX($A$1:$U$68,(ROW(E34)),17)-(IF(VLOOKUP($A34,Übungsübersicht!$E$6:$K$82,3,FALSE)&lt;=0.5,0,(VLOOKUP($A34,Übungsübersicht!$E$6:$K$82,3,FALSE))))))),"RPE 7")),(IFERROR((IF(ISNA(IF((IF(VLOOKUP($A34,Übungsübersicht!$E$6:$K$82,7,FALSE)="OK",(MROUND(((INDEX($A$1:$U$68,(ROW(E34)),17))*$Q$97),(((IF(VLOOKUP($A34,Übungsübersicht!$E$6:$K$82,3,FALSE)=0,0.1,(VLOOKUP($A34,Übungsübersicht!$E$6:$K$82,3,FALSE)))))))),IF(VLOOKUP($A34,Übungsübersicht!$E$6:$K$82,7,FALSE)="UK",(MROUND(((INDEX($A$1:$U$68,(ROW(E34)),17))*$Q$98),(((IF(VLOOKUP($A34,Übungsübersicht!$E$6:$K$82,3,FALSE)=0,0.1,(VLOOKUP($A34,Übungsübersicht!$E$6:$K$82,3,FALSE)))))))),"Übung OK/UK?")))&lt;3,"RPE 7",(IF(VLOOKUP($A34,Übungsübersicht!$E$6:$K$82,7,FALSE)="OK",(MROUND(((INDEX($A$1:$U$68,(ROW(E34)),17))*$Q$97),(((IF(VLOOKUP($A34,Übungsübersicht!$E$6:$K$82,3,FALSE)=0,0.1,(VLOOKUP($A34,Übungsübersicht!$E$6:$K$82,3,FALSE)))))))),IF(VLOOKUP($A34,Übungsübersicht!$E$6:$K$82,7,FALSE)="UK",(MROUND(((INDEX($A$1:$U$68,(ROW(E34)),17))*$Q$98),(((IF(VLOOKUP($A34,Übungsübersicht!$E$6:$K$82,3,FALSE)=0,0.1,(VLOOKUP($A34,Übungsübersicht!$E$6:$K$82,3,FALSE)))))))),"Übung OK/UK?"))))),"Übung?",IF((IF(VLOOKUP($A34,Übungsübersicht!$E$6:$K$82,7,FALSE)="OK",(MROUND(((INDEX($A$1:$U$68,(ROW(E34)),17))*$Q$97),(((IF(VLOOKUP($A34,Übungsübersicht!$E$6:$K$82,3,FALSE)=0,0.1,(VLOOKUP($A34,Übungsübersicht!$E$6:$K$82,3,FALSE)))))))),IF(VLOOKUP($A34,Übungsübersicht!$E$6:$K$82,7,FALSE)="UK",(MROUND(((INDEX($A$1:$U$68,(ROW(E34)),17))*$Q$98),(((IF(VLOOKUP($A34,Übungsübersicht!$E$6:$K$82,3,FALSE)=0,0.1,(VLOOKUP($A34,Übungsübersicht!$E$6:$K$82,3,FALSE)))))))),"Übung OK/UK?")))&lt;3,"RPE 6",(IF(VLOOKUP($A34,Übungsübersicht!$E$6:$K$82,7,FALSE)="OK",(MROUND(((INDEX($A$1:$U$68,(ROW(E34)),17))*$Q$97),(((IF(VLOOKUP($A34,Übungsübersicht!$E$6:$K$82,3,FALSE)=0,0.1,(VLOOKUP($A34,Übungsübersicht!$E$6:$K$82,3,FALSE)))))))),IF(VLOOKUP($A34,Übungsübersicht!$E$6:$K$82,7,FALSE)="UK",(MROUND(((INDEX($A$1:$U$68,(ROW(E34)),17))*$Q$98),(((IF(VLOOKUP($A34,Übungsübersicht!$E$6:$K$82,3,FALSE)=0,0.1,(VLOOKUP($A34,Übungsübersicht!$E$6:$K$82,3,FALSE)))))))),"Übung OK/UK?")))))),"RPE 7")))</f>
        <v>95</v>
      </c>
      <c r="F34" s="598" t="str">
        <f>IF('Gewichts- Calculator'!$B$127="EINGEBEN","",(IF('Gewichts- Calculator'!$C$134="Ja Anzeigen",(IF($A34='Gewichts- Calculator'!$C$8," &gt;"&amp;'Gewichts- Calculator'!$B$127&amp;"  &gt; "&amp; 'Gewichts- Calculator'!$B$130,"")),"")))</f>
        <v/>
      </c>
      <c r="G34" s="670">
        <v>4</v>
      </c>
      <c r="H34" s="671">
        <f>IF(ISNA(IF($G34=0,"0",IF(VLOOKUP($A34,Übungsübersicht!$E$7:$K$83,4,FALSE)&lt;1,"RPE 8",VLOOKUP($A34,Übungsübersicht!$E$7:$K$83,4,FALSE)))),"Übung?",IF($G34=0,"0",IF(VLOOKUP($A34,Übungsübersicht!$E$7:$K$83,4,FALSE)&lt;1,"RPE 8",VLOOKUP($A34,Übungsübersicht!$E$7:$K$83,4,FALSE))))</f>
        <v>5</v>
      </c>
      <c r="I34" s="673">
        <v>100</v>
      </c>
      <c r="J34" s="598" t="str">
        <f>IF('Gewichts- Calculator'!$D$127="EINGEBEN","",(IF('Gewichts- Calculator'!$C$134="Ja Anzeigen",(IF($A34='Gewichts- Calculator'!$C$8," &gt;"&amp;'Gewichts- Calculator'!$D$127&amp;"  &gt; "&amp; 'Gewichts- Calculator'!$D$130,"")),"")))</f>
        <v/>
      </c>
      <c r="K34" s="670">
        <v>4</v>
      </c>
      <c r="L34" s="671">
        <f>IF(ISNA(IF($K34=0,"0",IF(VLOOKUP($A34,Übungsübersicht!$E$7:$K$83,4,FALSE)&lt;1,"RPE 8",VLOOKUP($A34,Übungsübersicht!$E$7:$K$83,4,FALSE)))),"Übung?",IF($K34=0,"0",IF(VLOOKUP($A34,Übungsübersicht!$E$7:$K$83,4,FALSE)&lt;1,"RPE 8",VLOOKUP($A34,Übungsübersicht!$E$7:$K$83,4,FALSE))))</f>
        <v>5</v>
      </c>
      <c r="M34" s="674">
        <v>100</v>
      </c>
      <c r="N34" s="598" t="str">
        <f>IF('Gewichts- Calculator'!$D$127="EINGEBEN","",(IF('Gewichts- Calculator'!$C$134="Ja Anzeigen",(IF($A34='Gewichts- Calculator'!$C$8," &gt;"&amp;'Gewichts- Calculator'!$D$127&amp;"  &gt; "&amp; 'Gewichts- Calculator'!$D$130,"")),"")))</f>
        <v/>
      </c>
      <c r="O34" s="670">
        <v>5</v>
      </c>
      <c r="P34" s="671">
        <f>IF(ISNA(IF($O34=0,"0",IF(VLOOKUP($A34,Übungsübersicht!$E$7:$K$83,5,FALSE)&lt;1,"RPE 9",VLOOKUP($A34,Übungsübersicht!$E$7:$K$83,5,FALSE)))),"Übung?",IF($O34=0,"0",IF(VLOOKUP($A34,Übungsübersicht!$E$7:$K$83,5,FALSE)&lt;1,"RPE 9",VLOOKUP($A34,Übungsübersicht!$E$7:$K$83,5,FALSE))))</f>
        <v>5</v>
      </c>
      <c r="Q34" s="675">
        <v>100</v>
      </c>
      <c r="R34" s="598" t="str">
        <f>IF('Gewichts- Calculator'!$F$127="EINGEBEN","",(IF('Gewichts- Calculator'!$C$134="Ja Anzeigen",(IF($A34='Gewichts- Calculator'!$C$8," &gt;"&amp;'Gewichts- Calculator'!$F$127&amp;"  &gt; "&amp; 'Gewichts- Calculator'!$F$130,"")),"")))</f>
        <v/>
      </c>
      <c r="S34" s="670">
        <v>3</v>
      </c>
      <c r="T34" s="671">
        <f>IF(ISNA(IF($S34=0,"0",IF(VLOOKUP($A34,Übungsübersicht!$E$7:$K$83,4,FALSE)&lt;1,"RPE 6",VLOOKUP($A34,Übungsübersicht!$E$7:$K$83,4,FALSE)))),"Übung?",IF($S34=0,"0",IF(VLOOKUP($A34,Übungsübersicht!$E$7:$K$83,4,FALSE)&lt;1,"RPE 6",VLOOKUP($A34,Übungsübersicht!$E$7:$K$83,4,FALSE))))</f>
        <v>5</v>
      </c>
      <c r="U34" s="674" cm="1">
        <f t="array" ref="U34">IFERROR((IF(ISNA(IF((IF(VLOOKUP($A34,Übungsübersicht!$E$6:$K$82,7,FALSE)="OK",(MROUND(((INDEX($A$1:$U$68,(ROW(U34)),17))*$T$97),(((IF(VLOOKUP($A34,Übungsübersicht!$E$6:$K$82,3,FALSE)=0,0.1,(VLOOKUP($A34,Übungsübersicht!$E$6:$K$82,3,FALSE)))))))),IF(VLOOKUP($A34,Übungsübersicht!$E$6:$K$82,7,FALSE)="UK",(MROUND(((INDEX($A$1:$U$68,(ROW(U34)),17))*$T$98),(((IF(VLOOKUP($A34,Übungsübersicht!$E$6:$K$82,3,FALSE)=0,0.1,(VLOOKUP($A34,Übungsübersicht!$E$6:$K$82,3,FALSE)))))))),"Übung OK/UK?")))&lt;3,"RPE 6",(IF(VLOOKUP($A34,Übungsübersicht!$E$6:$K$82,7,FALSE)="OK",(MROUND(((INDEX($A$1:$U$68,(ROW(U34)),17))*$T$97),(((IF(VLOOKUP($A34,Übungsübersicht!$E$6:$K$82,3,FALSE)=0,0.1,(VLOOKUP($A34,Übungsübersicht!$E$6:$K$82,3,FALSE)))))))),IF(VLOOKUP($A34,Übungsübersicht!$E$6:$K$82,7,FALSE)="UK",(MROUND(((INDEX($A$1:$U$68,(ROW(U34)),17))*$T$98),(((IF(VLOOKUP($A34,Übungsübersicht!$E$6:$K$82,3,FALSE)=0,0.1,(VLOOKUP($A34,Übungsübersicht!$E$6:$K$82,3,FALSE)))))))),"Übung OK/UK?"))))),"Übung?",IF((IF(VLOOKUP($A34,Übungsübersicht!$E$6:$K$82,7,FALSE)="OK",(MROUND(((INDEX($A$1:$U$68,(ROW(U34)),17))*$T$97),(((IF(VLOOKUP($A34,Übungsübersicht!$E$6:$K$82,3,FALSE)=0,0.1,(VLOOKUP($A34,Übungsübersicht!$E$6:$K$82,3,FALSE)))))))),IF(VLOOKUP($A34,Übungsübersicht!$E$6:$K$82,7,FALSE)="UK",(MROUND(((INDEX($A$1:$U$68,(ROW(U34)),17))*$T$98),(((IF(VLOOKUP($A34,Übungsübersicht!$E$6:$K$82,3,FALSE)=0,0.1,(VLOOKUP($A34,Übungsübersicht!$E$6:$K$82,3,FALSE)))))))),"Übung OK/UK?")))&lt;3,"RPE 6",(IF(VLOOKUP($A34,Übungsübersicht!$E$6:$K$82,7,FALSE)="OK",(MROUND(((INDEX($A$1:$U$68,(ROW(U34)),17))*$T$97),(((IF(VLOOKUP($A34,Übungsübersicht!$E$6:$K$82,3,FALSE)=0,0.1,(VLOOKUP($A34,Übungsübersicht!$E$6:$K$82,3,FALSE)))))))),IF(VLOOKUP($A34,Übungsübersicht!$E$6:$K$82,7,FALSE)="UK",(MROUND(((INDEX($A$1:$U$68,(ROW(U34)),17))*$T$98),(((IF(VLOOKUP($A34,Übungsübersicht!$E$6:$K$82,3,FALSE)=0,0.1,(VLOOKUP($A34,Übungsübersicht!$E$6:$K$82,3,FALSE)))))))),"Übung OK/UK?")))))),"RPE 6")</f>
        <v>70</v>
      </c>
    </row>
    <row r="35" spans="1:25" ht="26.1" customHeight="1" thickTop="1" thickBot="1">
      <c r="A35" s="668" t="s">
        <v>14</v>
      </c>
      <c r="B35" s="669" t="str">
        <f>IF(ISNA(IF(ISBLANK(VLOOKUP($A35,Übungsübersicht!$E$8:$F$83,2,FALSE)),"Muskelgruppe Auswählen",VLOOKUP($A35,Übungsübersicht!$E$8:$F$83,2,FALSE))),"Übung?",IF(ISBLANK(VLOOKUP($A35,Übungsübersicht!$E$8:$F$83,2,FALSE)),"Muskelgruppe Auswählen",VLOOKUP($A35,Übungsübersicht!$E$8:$F$83,2,FALSE)))</f>
        <v>Rücken</v>
      </c>
      <c r="C35" s="670">
        <v>3</v>
      </c>
      <c r="D35" s="671">
        <f>IF(ISNA(IF($C35=0,"0",IF(VLOOKUP($A35,Übungsübersicht!$E$7:$K$83,4,FALSE)&lt;1,"RPE 7",VLOOKUP($A35,Übungsübersicht!$E$7:$K$83,4,FALSE)))),"Übung?",IF($C35=0,"0",IF(VLOOKUP($A35,Übungsübersicht!$E$7:$K$83,4,FALSE)&lt;1,"RPE 7",VLOOKUP($A35,Übungsübersicht!$E$7:$K$83,4,FALSE))))</f>
        <v>8</v>
      </c>
      <c r="E35" s="672" cm="1">
        <f t="array" ref="E35">IF(IFERROR((IF(ISNA(IF((IF(VLOOKUP($A35,Übungsübersicht!$E$6:$K$82,7,FALSE)="OK",(MROUND(((INDEX($A$1:$U$68,(ROW(E35)),17))*$Q$97),(((IF(VLOOKUP($A35,Übungsübersicht!$E$6:$K$82,3,FALSE)=0,0.1,(VLOOKUP($A35,Übungsübersicht!$E$6:$K$82,3,FALSE)))))))),IF(VLOOKUP($A35,Übungsübersicht!$E$6:$K$82,7,FALSE)="UK",(MROUND(((INDEX($A$1:$U$68,(ROW(E35)),17))*$Q$98),(((IF(VLOOKUP($A35,Übungsübersicht!$E$6:$K$82,3,FALSE)=0,0.1,(VLOOKUP($A35,Übungsübersicht!$E$6:$K$82,3,FALSE)))))))),"Übung OK/UK?")))&lt;3,"RPE 7",(IF(VLOOKUP($A35,Übungsübersicht!$E$6:$K$82,7,FALSE)="OK",(MROUND(((INDEX($A$1:$U$68,(ROW(E35)),17))*$Q$97),(((IF(VLOOKUP($A35,Übungsübersicht!$E$6:$K$82,3,FALSE)=0,0.1,(VLOOKUP($A35,Übungsübersicht!$E$6:$K$82,3,FALSE)))))))),IF(VLOOKUP($A35,Übungsübersicht!$E$6:$K$82,7,FALSE)="UK",(MROUND(((INDEX($A$1:$U$68,(ROW(E35)),17))*$Q$98),(((IF(VLOOKUP($A35,Übungsübersicht!$E$6:$K$82,3,FALSE)=0,0.1,(VLOOKUP($A35,Übungsübersicht!$E$6:$K$82,3,FALSE)))))))),"Übung OK/UK?"))))),"Übung?",IF((IF(VLOOKUP($A35,Übungsübersicht!$E$6:$K$82,7,FALSE)="OK",(MROUND(((INDEX($A$1:$U$68,(ROW(E35)),17))*$Q$97),(((IF(VLOOKUP($A35,Übungsübersicht!$E$6:$K$82,3,FALSE)=0,0.1,(VLOOKUP($A35,Übungsübersicht!$E$6:$K$82,3,FALSE)))))))),IF(VLOOKUP($A35,Übungsübersicht!$E$6:$K$82,7,FALSE)="UK",(MROUND(((INDEX($A$1:$U$68,(ROW(E35)),17))*$Q$98),(((IF(VLOOKUP($A35,Übungsübersicht!$E$6:$K$82,3,FALSE)=0,0.1,(VLOOKUP($A35,Übungsübersicht!$E$6:$K$82,3,FALSE)))))))),"Übung OK/UK?")))&lt;3,"RPE 7",(IF(VLOOKUP($A35,Übungsübersicht!$E$6:$K$82,7,FALSE)="OK",(MROUND(((INDEX($A$1:$U$68,(ROW(E35)),17))*$Q$97),(((IF(VLOOKUP($A35,Übungsübersicht!$E$6:$K$82,3,FALSE)=0,0.1,(VLOOKUP($A35,Übungsübersicht!$E$6:$K$82,3,FALSE)))))))),IF(VLOOKUP($A35,Übungsübersicht!$E$6:$K$82,7,FALSE)="UK",(MROUND(((INDEX($A$1:$U$68,(ROW(E35)),17))*$Q$98),(((IF(VLOOKUP($A35,Übungsübersicht!$E$6:$K$82,3,FALSE)=0,0.1,(VLOOKUP($A35,Übungsübersicht!$E$6:$K$82,3,FALSE)))))))),"Übung OK/UK?")))))),"RPE 6")=(INDEX($A$1:$U$68,(ROW(E35)),17)),(IFERROR((IF(ISNA(IF(INDEX($A$1:$U$68,(ROW(E35)),17)-(IF(VLOOKUP($A35,Übungsübersicht!$E$6:$K$82,3,FALSE)&lt;=0.5,0,(VLOOKUP($A35,Übungsübersicht!$E$6:$K$82,3,FALSE))))&lt;3,"RPE 7",INDEX($A$1:$U$68,(ROW(E35)),17)-(IF(VLOOKUP($A35,Übungsübersicht!$E$6:$K$82,3,FALSE)&lt;=0.5,0,(VLOOKUP($A35,Übungsübersicht!$E$6:$K$82,3,FALSE)))))),"Übung?",IF(INDEX($A$1:$U$68,(ROW(E35)),17)-(IF(VLOOKUP($A35,Übungsübersicht!$E$6:$K$82,3,FALSE)&lt;=0.5,0,(VLOOKUP($A35,Übungsübersicht!$E$6:$K$82,3,FALSE))))&lt;3,"RPE 7",INDEX($A$1:$U$68,(ROW(E35)),17)-(IF(VLOOKUP($A35,Übungsübersicht!$E$6:$K$82,3,FALSE)&lt;=0.5,0,(VLOOKUP($A35,Übungsübersicht!$E$6:$K$82,3,FALSE))))))),"RPE 7")),(IFERROR((IF(ISNA(IF((IF(VLOOKUP($A35,Übungsübersicht!$E$6:$K$82,7,FALSE)="OK",(MROUND(((INDEX($A$1:$U$68,(ROW(E35)),17))*$Q$97),(((IF(VLOOKUP($A35,Übungsübersicht!$E$6:$K$82,3,FALSE)=0,0.1,(VLOOKUP($A35,Übungsübersicht!$E$6:$K$82,3,FALSE)))))))),IF(VLOOKUP($A35,Übungsübersicht!$E$6:$K$82,7,FALSE)="UK",(MROUND(((INDEX($A$1:$U$68,(ROW(E35)),17))*$Q$98),(((IF(VLOOKUP($A35,Übungsübersicht!$E$6:$K$82,3,FALSE)=0,0.1,(VLOOKUP($A35,Übungsübersicht!$E$6:$K$82,3,FALSE)))))))),"Übung OK/UK?")))&lt;3,"RPE 7",(IF(VLOOKUP($A35,Übungsübersicht!$E$6:$K$82,7,FALSE)="OK",(MROUND(((INDEX($A$1:$U$68,(ROW(E35)),17))*$Q$97),(((IF(VLOOKUP($A35,Übungsübersicht!$E$6:$K$82,3,FALSE)=0,0.1,(VLOOKUP($A35,Übungsübersicht!$E$6:$K$82,3,FALSE)))))))),IF(VLOOKUP($A35,Übungsübersicht!$E$6:$K$82,7,FALSE)="UK",(MROUND(((INDEX($A$1:$U$68,(ROW(E35)),17))*$Q$98),(((IF(VLOOKUP($A35,Übungsübersicht!$E$6:$K$82,3,FALSE)=0,0.1,(VLOOKUP($A35,Übungsübersicht!$E$6:$K$82,3,FALSE)))))))),"Übung OK/UK?"))))),"Übung?",IF((IF(VLOOKUP($A35,Übungsübersicht!$E$6:$K$82,7,FALSE)="OK",(MROUND(((INDEX($A$1:$U$68,(ROW(E35)),17))*$Q$97),(((IF(VLOOKUP($A35,Übungsübersicht!$E$6:$K$82,3,FALSE)=0,0.1,(VLOOKUP($A35,Übungsübersicht!$E$6:$K$82,3,FALSE)))))))),IF(VLOOKUP($A35,Übungsübersicht!$E$6:$K$82,7,FALSE)="UK",(MROUND(((INDEX($A$1:$U$68,(ROW(E35)),17))*$Q$98),(((IF(VLOOKUP($A35,Übungsübersicht!$E$6:$K$82,3,FALSE)=0,0.1,(VLOOKUP($A35,Übungsübersicht!$E$6:$K$82,3,FALSE)))))))),"Übung OK/UK?")))&lt;3,"RPE 6",(IF(VLOOKUP($A35,Übungsübersicht!$E$6:$K$82,7,FALSE)="OK",(MROUND(((INDEX($A$1:$U$68,(ROW(E35)),17))*$Q$97),(((IF(VLOOKUP($A35,Übungsübersicht!$E$6:$K$82,3,FALSE)=0,0.1,(VLOOKUP($A35,Übungsübersicht!$E$6:$K$82,3,FALSE)))))))),IF(VLOOKUP($A35,Übungsübersicht!$E$6:$K$82,7,FALSE)="UK",(MROUND(((INDEX($A$1:$U$68,(ROW(E35)),17))*$Q$98),(((IF(VLOOKUP($A35,Übungsübersicht!$E$6:$K$82,3,FALSE)=0,0.1,(VLOOKUP($A35,Übungsübersicht!$E$6:$K$82,3,FALSE)))))))),"Übung OK/UK?")))))),"RPE 7")))</f>
        <v>82.5</v>
      </c>
      <c r="F35" s="598" t="str">
        <f>IF('Gewichts- Calculator'!$B$127="EINGEBEN","",(IF('Gewichts- Calculator'!$C$134="Ja Anzeigen",(IF($A35='Gewichts- Calculator'!$C$8," &gt;"&amp;'Gewichts- Calculator'!$B$127&amp;"  &gt; "&amp; 'Gewichts- Calculator'!$B$130,"")),"")))</f>
        <v/>
      </c>
      <c r="G35" s="670">
        <v>3</v>
      </c>
      <c r="H35" s="671">
        <f>IF(ISNA(IF($G35=0,"0",IF(VLOOKUP($A35,Übungsübersicht!$E$7:$K$83,4,FALSE)&lt;1,"RPE 8",VLOOKUP($A35,Übungsübersicht!$E$7:$K$83,4,FALSE)))),"Übung?",IF($G35=0,"0",IF(VLOOKUP($A35,Übungsübersicht!$E$7:$K$83,4,FALSE)&lt;1,"RPE 8",VLOOKUP($A35,Übungsübersicht!$E$7:$K$83,4,FALSE))))</f>
        <v>8</v>
      </c>
      <c r="I35" s="673">
        <v>87.5</v>
      </c>
      <c r="J35" s="598" t="str">
        <f>IF('Gewichts- Calculator'!$D$127="EINGEBEN","",(IF('Gewichts- Calculator'!$C$134="Ja Anzeigen",(IF($A35='Gewichts- Calculator'!$C$8," &gt;"&amp;'Gewichts- Calculator'!$D$127&amp;"  &gt; "&amp; 'Gewichts- Calculator'!$D$130,"")),"")))</f>
        <v/>
      </c>
      <c r="K35" s="670">
        <v>3</v>
      </c>
      <c r="L35" s="671">
        <f>IF(ISNA(IF($K35=0,"0",IF(VLOOKUP($A35,Übungsübersicht!$E$7:$K$83,4,FALSE)&lt;1,"RPE 8",VLOOKUP($A35,Übungsübersicht!$E$7:$K$83,4,FALSE)))),"Übung?",IF($K35=0,"0",IF(VLOOKUP($A35,Übungsübersicht!$E$7:$K$83,4,FALSE)&lt;1,"RPE 8",VLOOKUP($A35,Übungsübersicht!$E$7:$K$83,4,FALSE))))</f>
        <v>8</v>
      </c>
      <c r="M35" s="674">
        <v>87.5</v>
      </c>
      <c r="N35" s="598" t="str">
        <f>IF('Gewichts- Calculator'!$D$127="EINGEBEN","",(IF('Gewichts- Calculator'!$C$134="Ja Anzeigen",(IF($A35='Gewichts- Calculator'!$C$8," &gt;"&amp;'Gewichts- Calculator'!$D$127&amp;"  &gt; "&amp; 'Gewichts- Calculator'!$D$130,"")),"")))</f>
        <v/>
      </c>
      <c r="O35" s="670">
        <v>4</v>
      </c>
      <c r="P35" s="671">
        <f>IF(ISNA(IF($O35=0,"0",IF(VLOOKUP($A35,Übungsübersicht!$E$7:$K$83,5,FALSE)&lt;1,"RPE 9",VLOOKUP($A35,Übungsübersicht!$E$7:$K$83,5,FALSE)))),"Übung?",IF($O35=0,"0",IF(VLOOKUP($A35,Übungsübersicht!$E$7:$K$83,5,FALSE)&lt;1,"RPE 9",VLOOKUP($A35,Übungsübersicht!$E$7:$K$83,5,FALSE))))</f>
        <v>8</v>
      </c>
      <c r="Q35" s="675">
        <v>87.5</v>
      </c>
      <c r="R35" s="598" t="str">
        <f>IF('Gewichts- Calculator'!$F$127="EINGEBEN","",(IF('Gewichts- Calculator'!$C$134="Ja Anzeigen",(IF($A35='Gewichts- Calculator'!$C$8," &gt;"&amp;'Gewichts- Calculator'!$F$127&amp;"  &gt; "&amp; 'Gewichts- Calculator'!$F$130,"")),"")))</f>
        <v/>
      </c>
      <c r="S35" s="670">
        <v>3</v>
      </c>
      <c r="T35" s="671">
        <f>IF(ISNA(IF($S35=0,"0",IF(VLOOKUP($A35,Übungsübersicht!$E$7:$K$83,4,FALSE)&lt;1,"RPE 6",VLOOKUP($A35,Übungsübersicht!$E$7:$K$83,4,FALSE)))),"Übung?",IF($S35=0,"0",IF(VLOOKUP($A35,Übungsübersicht!$E$7:$K$83,4,FALSE)&lt;1,"RPE 6",VLOOKUP($A35,Übungsübersicht!$E$7:$K$83,4,FALSE))))</f>
        <v>8</v>
      </c>
      <c r="U35" s="674" cm="1">
        <f t="array" ref="U35">IFERROR((IF(ISNA(IF((IF(VLOOKUP($A35,Übungsübersicht!$E$6:$K$82,7,FALSE)="OK",(MROUND(((INDEX($A$1:$U$68,(ROW(U35)),17))*$T$97),(((IF(VLOOKUP($A35,Übungsübersicht!$E$6:$K$82,3,FALSE)=0,0.1,(VLOOKUP($A35,Übungsübersicht!$E$6:$K$82,3,FALSE)))))))),IF(VLOOKUP($A35,Übungsübersicht!$E$6:$K$82,7,FALSE)="UK",(MROUND(((INDEX($A$1:$U$68,(ROW(U35)),17))*$T$98),(((IF(VLOOKUP($A35,Übungsübersicht!$E$6:$K$82,3,FALSE)=0,0.1,(VLOOKUP($A35,Übungsübersicht!$E$6:$K$82,3,FALSE)))))))),"Übung OK/UK?")))&lt;3,"RPE 6",(IF(VLOOKUP($A35,Übungsübersicht!$E$6:$K$82,7,FALSE)="OK",(MROUND(((INDEX($A$1:$U$68,(ROW(U35)),17))*$T$97),(((IF(VLOOKUP($A35,Übungsübersicht!$E$6:$K$82,3,FALSE)=0,0.1,(VLOOKUP($A35,Übungsübersicht!$E$6:$K$82,3,FALSE)))))))),IF(VLOOKUP($A35,Übungsübersicht!$E$6:$K$82,7,FALSE)="UK",(MROUND(((INDEX($A$1:$U$68,(ROW(U35)),17))*$T$98),(((IF(VLOOKUP($A35,Übungsübersicht!$E$6:$K$82,3,FALSE)=0,0.1,(VLOOKUP($A35,Übungsübersicht!$E$6:$K$82,3,FALSE)))))))),"Übung OK/UK?"))))),"Übung?",IF((IF(VLOOKUP($A35,Übungsübersicht!$E$6:$K$82,7,FALSE)="OK",(MROUND(((INDEX($A$1:$U$68,(ROW(U35)),17))*$T$97),(((IF(VLOOKUP($A35,Übungsübersicht!$E$6:$K$82,3,FALSE)=0,0.1,(VLOOKUP($A35,Übungsübersicht!$E$6:$K$82,3,FALSE)))))))),IF(VLOOKUP($A35,Übungsübersicht!$E$6:$K$82,7,FALSE)="UK",(MROUND(((INDEX($A$1:$U$68,(ROW(U35)),17))*$T$98),(((IF(VLOOKUP($A35,Übungsübersicht!$E$6:$K$82,3,FALSE)=0,0.1,(VLOOKUP($A35,Übungsübersicht!$E$6:$K$82,3,FALSE)))))))),"Übung OK/UK?")))&lt;3,"RPE 6",(IF(VLOOKUP($A35,Übungsübersicht!$E$6:$K$82,7,FALSE)="OK",(MROUND(((INDEX($A$1:$U$68,(ROW(U35)),17))*$T$97),(((IF(VLOOKUP($A35,Übungsübersicht!$E$6:$K$82,3,FALSE)=0,0.1,(VLOOKUP($A35,Übungsübersicht!$E$6:$K$82,3,FALSE)))))))),IF(VLOOKUP($A35,Übungsübersicht!$E$6:$K$82,7,FALSE)="UK",(MROUND(((INDEX($A$1:$U$68,(ROW(U35)),17))*$T$98),(((IF(VLOOKUP($A35,Übungsübersicht!$E$6:$K$82,3,FALSE)=0,0.1,(VLOOKUP($A35,Übungsübersicht!$E$6:$K$82,3,FALSE)))))))),"Übung OK/UK?")))))),"RPE 6")</f>
        <v>62.5</v>
      </c>
    </row>
    <row r="36" spans="1:25" ht="26.1" customHeight="1" thickTop="1" thickBot="1">
      <c r="A36" s="668" t="s">
        <v>72</v>
      </c>
      <c r="B36" s="669" t="str">
        <f>IF(ISNA(IF(ISBLANK(VLOOKUP($A36,Übungsübersicht!$E$8:$F$83,2,FALSE)),"Muskelgruppe Auswählen",VLOOKUP($A36,Übungsübersicht!$E$8:$F$83,2,FALSE))),"Übung?",IF(ISBLANK(VLOOKUP($A36,Übungsübersicht!$E$8:$F$83,2,FALSE)),"Muskelgruppe Auswählen",VLOOKUP($A36,Übungsübersicht!$E$8:$F$83,2,FALSE)))</f>
        <v>Brust</v>
      </c>
      <c r="C36" s="670">
        <v>2</v>
      </c>
      <c r="D36" s="671">
        <f>IF(ISNA(IF($C36=0,"0",IF(VLOOKUP($A36,Übungsübersicht!$E$7:$K$83,4,FALSE)&lt;1,"RPE 7",VLOOKUP($A36,Übungsübersicht!$E$7:$K$83,4,FALSE)))),"Übung?",IF($C36=0,"0",IF(VLOOKUP($A36,Übungsübersicht!$E$7:$K$83,4,FALSE)&lt;1,"RPE 7",VLOOKUP($A36,Übungsübersicht!$E$7:$K$83,4,FALSE))))</f>
        <v>8</v>
      </c>
      <c r="E36" s="672" cm="1">
        <f t="array" ref="E36">IF(IFERROR((IF(ISNA(IF((IF(VLOOKUP($A36,Übungsübersicht!$E$6:$K$82,7,FALSE)="OK",(MROUND(((INDEX($A$1:$U$68,(ROW(E36)),17))*$Q$97),(((IF(VLOOKUP($A36,Übungsübersicht!$E$6:$K$82,3,FALSE)=0,0.1,(VLOOKUP($A36,Übungsübersicht!$E$6:$K$82,3,FALSE)))))))),IF(VLOOKUP($A36,Übungsübersicht!$E$6:$K$82,7,FALSE)="UK",(MROUND(((INDEX($A$1:$U$68,(ROW(E36)),17))*$Q$98),(((IF(VLOOKUP($A36,Übungsübersicht!$E$6:$K$82,3,FALSE)=0,0.1,(VLOOKUP($A36,Übungsübersicht!$E$6:$K$82,3,FALSE)))))))),"Übung OK/UK?")))&lt;3,"RPE 7",(IF(VLOOKUP($A36,Übungsübersicht!$E$6:$K$82,7,FALSE)="OK",(MROUND(((INDEX($A$1:$U$68,(ROW(E36)),17))*$Q$97),(((IF(VLOOKUP($A36,Übungsübersicht!$E$6:$K$82,3,FALSE)=0,0.1,(VLOOKUP($A36,Übungsübersicht!$E$6:$K$82,3,FALSE)))))))),IF(VLOOKUP($A36,Übungsübersicht!$E$6:$K$82,7,FALSE)="UK",(MROUND(((INDEX($A$1:$U$68,(ROW(E36)),17))*$Q$98),(((IF(VLOOKUP($A36,Übungsübersicht!$E$6:$K$82,3,FALSE)=0,0.1,(VLOOKUP($A36,Übungsübersicht!$E$6:$K$82,3,FALSE)))))))),"Übung OK/UK?"))))),"Übung?",IF((IF(VLOOKUP($A36,Übungsübersicht!$E$6:$K$82,7,FALSE)="OK",(MROUND(((INDEX($A$1:$U$68,(ROW(E36)),17))*$Q$97),(((IF(VLOOKUP($A36,Übungsübersicht!$E$6:$K$82,3,FALSE)=0,0.1,(VLOOKUP($A36,Übungsübersicht!$E$6:$K$82,3,FALSE)))))))),IF(VLOOKUP($A36,Übungsübersicht!$E$6:$K$82,7,FALSE)="UK",(MROUND(((INDEX($A$1:$U$68,(ROW(E36)),17))*$Q$98),(((IF(VLOOKUP($A36,Übungsübersicht!$E$6:$K$82,3,FALSE)=0,0.1,(VLOOKUP($A36,Übungsübersicht!$E$6:$K$82,3,FALSE)))))))),"Übung OK/UK?")))&lt;3,"RPE 7",(IF(VLOOKUP($A36,Übungsübersicht!$E$6:$K$82,7,FALSE)="OK",(MROUND(((INDEX($A$1:$U$68,(ROW(E36)),17))*$Q$97),(((IF(VLOOKUP($A36,Übungsübersicht!$E$6:$K$82,3,FALSE)=0,0.1,(VLOOKUP($A36,Übungsübersicht!$E$6:$K$82,3,FALSE)))))))),IF(VLOOKUP($A36,Übungsübersicht!$E$6:$K$82,7,FALSE)="UK",(MROUND(((INDEX($A$1:$U$68,(ROW(E36)),17))*$Q$98),(((IF(VLOOKUP($A36,Übungsübersicht!$E$6:$K$82,3,FALSE)=0,0.1,(VLOOKUP($A36,Übungsübersicht!$E$6:$K$82,3,FALSE)))))))),"Übung OK/UK?")))))),"RPE 6")=(INDEX($A$1:$U$68,(ROW(E36)),17)),(IFERROR((IF(ISNA(IF(INDEX($A$1:$U$68,(ROW(E36)),17)-(IF(VLOOKUP($A36,Übungsübersicht!$E$6:$K$82,3,FALSE)&lt;=0.5,0,(VLOOKUP($A36,Übungsübersicht!$E$6:$K$82,3,FALSE))))&lt;3,"RPE 7",INDEX($A$1:$U$68,(ROW(E36)),17)-(IF(VLOOKUP($A36,Übungsübersicht!$E$6:$K$82,3,FALSE)&lt;=0.5,0,(VLOOKUP($A36,Übungsübersicht!$E$6:$K$82,3,FALSE)))))),"Übung?",IF(INDEX($A$1:$U$68,(ROW(E36)),17)-(IF(VLOOKUP($A36,Übungsübersicht!$E$6:$K$82,3,FALSE)&lt;=0.5,0,(VLOOKUP($A36,Übungsübersicht!$E$6:$K$82,3,FALSE))))&lt;3,"RPE 7",INDEX($A$1:$U$68,(ROW(E36)),17)-(IF(VLOOKUP($A36,Übungsübersicht!$E$6:$K$82,3,FALSE)&lt;=0.5,0,(VLOOKUP($A36,Übungsübersicht!$E$6:$K$82,3,FALSE))))))),"RPE 7")),(IFERROR((IF(ISNA(IF((IF(VLOOKUP($A36,Übungsübersicht!$E$6:$K$82,7,FALSE)="OK",(MROUND(((INDEX($A$1:$U$68,(ROW(E36)),17))*$Q$97),(((IF(VLOOKUP($A36,Übungsübersicht!$E$6:$K$82,3,FALSE)=0,0.1,(VLOOKUP($A36,Übungsübersicht!$E$6:$K$82,3,FALSE)))))))),IF(VLOOKUP($A36,Übungsübersicht!$E$6:$K$82,7,FALSE)="UK",(MROUND(((INDEX($A$1:$U$68,(ROW(E36)),17))*$Q$98),(((IF(VLOOKUP($A36,Übungsübersicht!$E$6:$K$82,3,FALSE)=0,0.1,(VLOOKUP($A36,Übungsübersicht!$E$6:$K$82,3,FALSE)))))))),"Übung OK/UK?")))&lt;3,"RPE 7",(IF(VLOOKUP($A36,Übungsübersicht!$E$6:$K$82,7,FALSE)="OK",(MROUND(((INDEX($A$1:$U$68,(ROW(E36)),17))*$Q$97),(((IF(VLOOKUP($A36,Übungsübersicht!$E$6:$K$82,3,FALSE)=0,0.1,(VLOOKUP($A36,Übungsübersicht!$E$6:$K$82,3,FALSE)))))))),IF(VLOOKUP($A36,Übungsübersicht!$E$6:$K$82,7,FALSE)="UK",(MROUND(((INDEX($A$1:$U$68,(ROW(E36)),17))*$Q$98),(((IF(VLOOKUP($A36,Übungsübersicht!$E$6:$K$82,3,FALSE)=0,0.1,(VLOOKUP($A36,Übungsübersicht!$E$6:$K$82,3,FALSE)))))))),"Übung OK/UK?"))))),"Übung?",IF((IF(VLOOKUP($A36,Übungsübersicht!$E$6:$K$82,7,FALSE)="OK",(MROUND(((INDEX($A$1:$U$68,(ROW(E36)),17))*$Q$97),(((IF(VLOOKUP($A36,Übungsübersicht!$E$6:$K$82,3,FALSE)=0,0.1,(VLOOKUP($A36,Übungsübersicht!$E$6:$K$82,3,FALSE)))))))),IF(VLOOKUP($A36,Übungsübersicht!$E$6:$K$82,7,FALSE)="UK",(MROUND(((INDEX($A$1:$U$68,(ROW(E36)),17))*$Q$98),(((IF(VLOOKUP($A36,Übungsübersicht!$E$6:$K$82,3,FALSE)=0,0.1,(VLOOKUP($A36,Übungsübersicht!$E$6:$K$82,3,FALSE)))))))),"Übung OK/UK?")))&lt;3,"RPE 6",(IF(VLOOKUP($A36,Übungsübersicht!$E$6:$K$82,7,FALSE)="OK",(MROUND(((INDEX($A$1:$U$68,(ROW(E36)),17))*$Q$97),(((IF(VLOOKUP($A36,Übungsübersicht!$E$6:$K$82,3,FALSE)=0,0.1,(VLOOKUP($A36,Übungsübersicht!$E$6:$K$82,3,FALSE)))))))),IF(VLOOKUP($A36,Übungsübersicht!$E$6:$K$82,7,FALSE)="UK",(MROUND(((INDEX($A$1:$U$68,(ROW(E36)),17))*$Q$98),(((IF(VLOOKUP($A36,Übungsübersicht!$E$6:$K$82,3,FALSE)=0,0.1,(VLOOKUP($A36,Übungsübersicht!$E$6:$K$82,3,FALSE)))))))),"Übung OK/UK?")))))),"RPE 7")))</f>
        <v>97.5</v>
      </c>
      <c r="F36" s="598" t="str">
        <f>IF('Gewichts- Calculator'!$B$127="EINGEBEN","",(IF('Gewichts- Calculator'!$C$134="Ja Anzeigen",(IF($A36='Gewichts- Calculator'!$C$8," &gt;"&amp;'Gewichts- Calculator'!$B$127&amp;"  &gt; "&amp; 'Gewichts- Calculator'!$B$130,"")),"")))</f>
        <v/>
      </c>
      <c r="G36" s="670">
        <v>3</v>
      </c>
      <c r="H36" s="671">
        <f>IF(ISNA(IF($G36=0,"0",IF(VLOOKUP($A36,Übungsübersicht!$E$7:$K$83,4,FALSE)&lt;1,"RPE 8",VLOOKUP($A36,Übungsübersicht!$E$7:$K$83,4,FALSE)))),"Übung?",IF($G36=0,"0",IF(VLOOKUP($A36,Übungsübersicht!$E$7:$K$83,4,FALSE)&lt;1,"RPE 8",VLOOKUP($A36,Übungsübersicht!$E$7:$K$83,4,FALSE))))</f>
        <v>8</v>
      </c>
      <c r="I36" s="673">
        <v>102.5</v>
      </c>
      <c r="J36" s="598" t="str">
        <f>IF('Gewichts- Calculator'!$D$127="EINGEBEN","",(IF('Gewichts- Calculator'!$C$134="Ja Anzeigen",(IF($A36='Gewichts- Calculator'!$C$8," &gt;"&amp;'Gewichts- Calculator'!$D$127&amp;"  &gt; "&amp; 'Gewichts- Calculator'!$D$130,"")),"")))</f>
        <v/>
      </c>
      <c r="K36" s="670">
        <v>3</v>
      </c>
      <c r="L36" s="671">
        <f>IF(ISNA(IF($K36=0,"0",IF(VLOOKUP($A36,Übungsübersicht!$E$7:$K$83,4,FALSE)&lt;1,"RPE 8",VLOOKUP($A36,Übungsübersicht!$E$7:$K$83,4,FALSE)))),"Übung?",IF($K36=0,"0",IF(VLOOKUP($A36,Übungsübersicht!$E$7:$K$83,4,FALSE)&lt;1,"RPE 8",VLOOKUP($A36,Übungsübersicht!$E$7:$K$83,4,FALSE))))</f>
        <v>8</v>
      </c>
      <c r="M36" s="674">
        <v>102.5</v>
      </c>
      <c r="N36" s="598" t="str">
        <f>IF('Gewichts- Calculator'!$D$127="EINGEBEN","",(IF('Gewichts- Calculator'!$C$134="Ja Anzeigen",(IF($A36='Gewichts- Calculator'!$C$8," &gt;"&amp;'Gewichts- Calculator'!$D$127&amp;"  &gt; "&amp; 'Gewichts- Calculator'!$D$130,"")),"")))</f>
        <v/>
      </c>
      <c r="O36" s="670">
        <v>3</v>
      </c>
      <c r="P36" s="671">
        <f>IF(ISNA(IF($O36=0,"0",IF(VLOOKUP($A36,Übungsübersicht!$E$7:$K$83,5,FALSE)&lt;1,"RPE 9",VLOOKUP($A36,Übungsübersicht!$E$7:$K$83,5,FALSE)))),"Übung?",IF($O36=0,"0",IF(VLOOKUP($A36,Übungsübersicht!$E$7:$K$83,5,FALSE)&lt;1,"RPE 9",VLOOKUP($A36,Übungsübersicht!$E$7:$K$83,5,FALSE))))</f>
        <v>8</v>
      </c>
      <c r="Q36" s="675">
        <v>102.5</v>
      </c>
      <c r="R36" s="598" t="str">
        <f>IF('Gewichts- Calculator'!$F$127="EINGEBEN","",(IF('Gewichts- Calculator'!$C$134="Ja Anzeigen",(IF($A36='Gewichts- Calculator'!$C$8," &gt;"&amp;'Gewichts- Calculator'!$F$127&amp;"  &gt; "&amp; 'Gewichts- Calculator'!$F$130,"")),"")))</f>
        <v/>
      </c>
      <c r="S36" s="670">
        <v>2</v>
      </c>
      <c r="T36" s="671">
        <f>IF(ISNA(IF($S36=0,"0",IF(VLOOKUP($A36,Übungsübersicht!$E$7:$K$83,4,FALSE)&lt;1,"RPE 6",VLOOKUP($A36,Übungsübersicht!$E$7:$K$83,4,FALSE)))),"Übung?",IF($S36=0,"0",IF(VLOOKUP($A36,Übungsübersicht!$E$7:$K$83,4,FALSE)&lt;1,"RPE 6",VLOOKUP($A36,Übungsübersicht!$E$7:$K$83,4,FALSE))))</f>
        <v>8</v>
      </c>
      <c r="U36" s="674" cm="1">
        <f t="array" ref="U36">IFERROR((IF(ISNA(IF((IF(VLOOKUP($A36,Übungsübersicht!$E$6:$K$82,7,FALSE)="OK",(MROUND(((INDEX($A$1:$U$68,(ROW(U36)),17))*$T$97),(((IF(VLOOKUP($A36,Übungsübersicht!$E$6:$K$82,3,FALSE)=0,0.1,(VLOOKUP($A36,Übungsübersicht!$E$6:$K$82,3,FALSE)))))))),IF(VLOOKUP($A36,Übungsübersicht!$E$6:$K$82,7,FALSE)="UK",(MROUND(((INDEX($A$1:$U$68,(ROW(U36)),17))*$T$98),(((IF(VLOOKUP($A36,Übungsübersicht!$E$6:$K$82,3,FALSE)=0,0.1,(VLOOKUP($A36,Übungsübersicht!$E$6:$K$82,3,FALSE)))))))),"Übung OK/UK?")))&lt;3,"RPE 6",(IF(VLOOKUP($A36,Übungsübersicht!$E$6:$K$82,7,FALSE)="OK",(MROUND(((INDEX($A$1:$U$68,(ROW(U36)),17))*$T$97),(((IF(VLOOKUP($A36,Übungsübersicht!$E$6:$K$82,3,FALSE)=0,0.1,(VLOOKUP($A36,Übungsübersicht!$E$6:$K$82,3,FALSE)))))))),IF(VLOOKUP($A36,Übungsübersicht!$E$6:$K$82,7,FALSE)="UK",(MROUND(((INDEX($A$1:$U$68,(ROW(U36)),17))*$T$98),(((IF(VLOOKUP($A36,Übungsübersicht!$E$6:$K$82,3,FALSE)=0,0.1,(VLOOKUP($A36,Übungsübersicht!$E$6:$K$82,3,FALSE)))))))),"Übung OK/UK?"))))),"Übung?",IF((IF(VLOOKUP($A36,Übungsübersicht!$E$6:$K$82,7,FALSE)="OK",(MROUND(((INDEX($A$1:$U$68,(ROW(U36)),17))*$T$97),(((IF(VLOOKUP($A36,Übungsübersicht!$E$6:$K$82,3,FALSE)=0,0.1,(VLOOKUP($A36,Übungsübersicht!$E$6:$K$82,3,FALSE)))))))),IF(VLOOKUP($A36,Übungsübersicht!$E$6:$K$82,7,FALSE)="UK",(MROUND(((INDEX($A$1:$U$68,(ROW(U36)),17))*$T$98),(((IF(VLOOKUP($A36,Übungsübersicht!$E$6:$K$82,3,FALSE)=0,0.1,(VLOOKUP($A36,Übungsübersicht!$E$6:$K$82,3,FALSE)))))))),"Übung OK/UK?")))&lt;3,"RPE 6",(IF(VLOOKUP($A36,Übungsübersicht!$E$6:$K$82,7,FALSE)="OK",(MROUND(((INDEX($A$1:$U$68,(ROW(U36)),17))*$T$97),(((IF(VLOOKUP($A36,Übungsübersicht!$E$6:$K$82,3,FALSE)=0,0.1,(VLOOKUP($A36,Übungsübersicht!$E$6:$K$82,3,FALSE)))))))),IF(VLOOKUP($A36,Übungsübersicht!$E$6:$K$82,7,FALSE)="UK",(MROUND(((INDEX($A$1:$U$68,(ROW(U36)),17))*$T$98),(((IF(VLOOKUP($A36,Übungsübersicht!$E$6:$K$82,3,FALSE)=0,0.1,(VLOOKUP($A36,Übungsübersicht!$E$6:$K$82,3,FALSE)))))))),"Übung OK/UK?")))))),"RPE 6")</f>
        <v>72.5</v>
      </c>
    </row>
    <row r="37" spans="1:25" ht="26.1" customHeight="1" thickTop="1" thickBot="1">
      <c r="A37" s="668" t="s">
        <v>152</v>
      </c>
      <c r="B37" s="669" t="str">
        <f>IF(ISNA(IF(ISBLANK(VLOOKUP($A37,Übungsübersicht!$E$8:$F$83,2,FALSE)),"Muskelgruppe Auswählen",VLOOKUP($A37,Übungsübersicht!$E$8:$F$83,2,FALSE))),"Übung?",IF(ISBLANK(VLOOKUP($A37,Übungsübersicht!$E$8:$F$83,2,FALSE)),"Muskelgruppe Auswählen",VLOOKUP($A37,Übungsübersicht!$E$8:$F$83,2,FALSE)))</f>
        <v>Rücken</v>
      </c>
      <c r="C37" s="670">
        <v>2</v>
      </c>
      <c r="D37" s="671">
        <f>IF(ISNA(IF($C37=0,"0",IF(VLOOKUP($A37,Übungsübersicht!$E$7:$K$83,4,FALSE)&lt;1,"RPE 7",VLOOKUP($A37,Übungsübersicht!$E$7:$K$83,4,FALSE)))),"Übung?",IF($C37=0,"0",IF(VLOOKUP($A37,Übungsübersicht!$E$7:$K$83,4,FALSE)&lt;1,"RPE 7",VLOOKUP($A37,Übungsübersicht!$E$7:$K$83,4,FALSE))))</f>
        <v>8</v>
      </c>
      <c r="E37" s="672" cm="1">
        <f t="array" ref="E37">IF(IFERROR((IF(ISNA(IF((IF(VLOOKUP($A37,Übungsübersicht!$E$6:$K$82,7,FALSE)="OK",(MROUND(((INDEX($A$1:$U$68,(ROW(E37)),17))*$Q$97),(((IF(VLOOKUP($A37,Übungsübersicht!$E$6:$K$82,3,FALSE)=0,0.1,(VLOOKUP($A37,Übungsübersicht!$E$6:$K$82,3,FALSE)))))))),IF(VLOOKUP($A37,Übungsübersicht!$E$6:$K$82,7,FALSE)="UK",(MROUND(((INDEX($A$1:$U$68,(ROW(E37)),17))*$Q$98),(((IF(VLOOKUP($A37,Übungsübersicht!$E$6:$K$82,3,FALSE)=0,0.1,(VLOOKUP($A37,Übungsübersicht!$E$6:$K$82,3,FALSE)))))))),"Übung OK/UK?")))&lt;3,"RPE 7",(IF(VLOOKUP($A37,Übungsübersicht!$E$6:$K$82,7,FALSE)="OK",(MROUND(((INDEX($A$1:$U$68,(ROW(E37)),17))*$Q$97),(((IF(VLOOKUP($A37,Übungsübersicht!$E$6:$K$82,3,FALSE)=0,0.1,(VLOOKUP($A37,Übungsübersicht!$E$6:$K$82,3,FALSE)))))))),IF(VLOOKUP($A37,Übungsübersicht!$E$6:$K$82,7,FALSE)="UK",(MROUND(((INDEX($A$1:$U$68,(ROW(E37)),17))*$Q$98),(((IF(VLOOKUP($A37,Übungsübersicht!$E$6:$K$82,3,FALSE)=0,0.1,(VLOOKUP($A37,Übungsübersicht!$E$6:$K$82,3,FALSE)))))))),"Übung OK/UK?"))))),"Übung?",IF((IF(VLOOKUP($A37,Übungsübersicht!$E$6:$K$82,7,FALSE)="OK",(MROUND(((INDEX($A$1:$U$68,(ROW(E37)),17))*$Q$97),(((IF(VLOOKUP($A37,Übungsübersicht!$E$6:$K$82,3,FALSE)=0,0.1,(VLOOKUP($A37,Übungsübersicht!$E$6:$K$82,3,FALSE)))))))),IF(VLOOKUP($A37,Übungsübersicht!$E$6:$K$82,7,FALSE)="UK",(MROUND(((INDEX($A$1:$U$68,(ROW(E37)),17))*$Q$98),(((IF(VLOOKUP($A37,Übungsübersicht!$E$6:$K$82,3,FALSE)=0,0.1,(VLOOKUP($A37,Übungsübersicht!$E$6:$K$82,3,FALSE)))))))),"Übung OK/UK?")))&lt;3,"RPE 7",(IF(VLOOKUP($A37,Übungsübersicht!$E$6:$K$82,7,FALSE)="OK",(MROUND(((INDEX($A$1:$U$68,(ROW(E37)),17))*$Q$97),(((IF(VLOOKUP($A37,Übungsübersicht!$E$6:$K$82,3,FALSE)=0,0.1,(VLOOKUP($A37,Übungsübersicht!$E$6:$K$82,3,FALSE)))))))),IF(VLOOKUP($A37,Übungsübersicht!$E$6:$K$82,7,FALSE)="UK",(MROUND(((INDEX($A$1:$U$68,(ROW(E37)),17))*$Q$98),(((IF(VLOOKUP($A37,Übungsübersicht!$E$6:$K$82,3,FALSE)=0,0.1,(VLOOKUP($A37,Übungsübersicht!$E$6:$K$82,3,FALSE)))))))),"Übung OK/UK?")))))),"RPE 6")=(INDEX($A$1:$U$68,(ROW(E37)),17)),(IFERROR((IF(ISNA(IF(INDEX($A$1:$U$68,(ROW(E37)),17)-(IF(VLOOKUP($A37,Übungsübersicht!$E$6:$K$82,3,FALSE)&lt;=0.5,0,(VLOOKUP($A37,Übungsübersicht!$E$6:$K$82,3,FALSE))))&lt;3,"RPE 7",INDEX($A$1:$U$68,(ROW(E37)),17)-(IF(VLOOKUP($A37,Übungsübersicht!$E$6:$K$82,3,FALSE)&lt;=0.5,0,(VLOOKUP($A37,Übungsübersicht!$E$6:$K$82,3,FALSE)))))),"Übung?",IF(INDEX($A$1:$U$68,(ROW(E37)),17)-(IF(VLOOKUP($A37,Übungsübersicht!$E$6:$K$82,3,FALSE)&lt;=0.5,0,(VLOOKUP($A37,Übungsübersicht!$E$6:$K$82,3,FALSE))))&lt;3,"RPE 7",INDEX($A$1:$U$68,(ROW(E37)),17)-(IF(VLOOKUP($A37,Übungsübersicht!$E$6:$K$82,3,FALSE)&lt;=0.5,0,(VLOOKUP($A37,Übungsübersicht!$E$6:$K$82,3,FALSE))))))),"RPE 7")),(IFERROR((IF(ISNA(IF((IF(VLOOKUP($A37,Übungsübersicht!$E$6:$K$82,7,FALSE)="OK",(MROUND(((INDEX($A$1:$U$68,(ROW(E37)),17))*$Q$97),(((IF(VLOOKUP($A37,Übungsübersicht!$E$6:$K$82,3,FALSE)=0,0.1,(VLOOKUP($A37,Übungsübersicht!$E$6:$K$82,3,FALSE)))))))),IF(VLOOKUP($A37,Übungsübersicht!$E$6:$K$82,7,FALSE)="UK",(MROUND(((INDEX($A$1:$U$68,(ROW(E37)),17))*$Q$98),(((IF(VLOOKUP($A37,Übungsübersicht!$E$6:$K$82,3,FALSE)=0,0.1,(VLOOKUP($A37,Übungsübersicht!$E$6:$K$82,3,FALSE)))))))),"Übung OK/UK?")))&lt;3,"RPE 7",(IF(VLOOKUP($A37,Übungsübersicht!$E$6:$K$82,7,FALSE)="OK",(MROUND(((INDEX($A$1:$U$68,(ROW(E37)),17))*$Q$97),(((IF(VLOOKUP($A37,Übungsübersicht!$E$6:$K$82,3,FALSE)=0,0.1,(VLOOKUP($A37,Übungsübersicht!$E$6:$K$82,3,FALSE)))))))),IF(VLOOKUP($A37,Übungsübersicht!$E$6:$K$82,7,FALSE)="UK",(MROUND(((INDEX($A$1:$U$68,(ROW(E37)),17))*$Q$98),(((IF(VLOOKUP($A37,Übungsübersicht!$E$6:$K$82,3,FALSE)=0,0.1,(VLOOKUP($A37,Übungsübersicht!$E$6:$K$82,3,FALSE)))))))),"Übung OK/UK?"))))),"Übung?",IF((IF(VLOOKUP($A37,Übungsübersicht!$E$6:$K$82,7,FALSE)="OK",(MROUND(((INDEX($A$1:$U$68,(ROW(E37)),17))*$Q$97),(((IF(VLOOKUP($A37,Übungsübersicht!$E$6:$K$82,3,FALSE)=0,0.1,(VLOOKUP($A37,Übungsübersicht!$E$6:$K$82,3,FALSE)))))))),IF(VLOOKUP($A37,Übungsübersicht!$E$6:$K$82,7,FALSE)="UK",(MROUND(((INDEX($A$1:$U$68,(ROW(E37)),17))*$Q$98),(((IF(VLOOKUP($A37,Übungsübersicht!$E$6:$K$82,3,FALSE)=0,0.1,(VLOOKUP($A37,Übungsübersicht!$E$6:$K$82,3,FALSE)))))))),"Übung OK/UK?")))&lt;3,"RPE 6",(IF(VLOOKUP($A37,Übungsübersicht!$E$6:$K$82,7,FALSE)="OK",(MROUND(((INDEX($A$1:$U$68,(ROW(E37)),17))*$Q$97),(((IF(VLOOKUP($A37,Übungsübersicht!$E$6:$K$82,3,FALSE)=0,0.1,(VLOOKUP($A37,Übungsübersicht!$E$6:$K$82,3,FALSE)))))))),IF(VLOOKUP($A37,Übungsübersicht!$E$6:$K$82,7,FALSE)="UK",(MROUND(((INDEX($A$1:$U$68,(ROW(E37)),17))*$Q$98),(((IF(VLOOKUP($A37,Übungsübersicht!$E$6:$K$82,3,FALSE)=0,0.1,(VLOOKUP($A37,Übungsübersicht!$E$6:$K$82,3,FALSE)))))))),"Übung OK/UK?")))))),"RPE 7")))</f>
        <v>65</v>
      </c>
      <c r="F37" s="598" t="str">
        <f>IF('Gewichts- Calculator'!$B$127="EINGEBEN","",(IF('Gewichts- Calculator'!$C$134="Ja Anzeigen",(IF($A37='Gewichts- Calculator'!$C$8," &gt;"&amp;'Gewichts- Calculator'!$B$127&amp;"  &gt; "&amp; 'Gewichts- Calculator'!$B$130,"")),"")))</f>
        <v/>
      </c>
      <c r="G37" s="670">
        <v>4</v>
      </c>
      <c r="H37" s="671">
        <f>IF(ISNA(IF($G37=0,"0",IF(VLOOKUP($A37,Übungsübersicht!$E$7:$K$83,4,FALSE)&lt;1,"RPE 8",VLOOKUP($A37,Übungsübersicht!$E$7:$K$83,4,FALSE)))),"Übung?",IF($G37=0,"0",IF(VLOOKUP($A37,Übungsübersicht!$E$7:$K$83,4,FALSE)&lt;1,"RPE 8",VLOOKUP($A37,Übungsübersicht!$E$7:$K$83,4,FALSE))))</f>
        <v>8</v>
      </c>
      <c r="I37" s="673">
        <v>70</v>
      </c>
      <c r="J37" s="598" t="str">
        <f>IF('Gewichts- Calculator'!$D$127="EINGEBEN","",(IF('Gewichts- Calculator'!$C$134="Ja Anzeigen",(IF($A37='Gewichts- Calculator'!$C$8," &gt;"&amp;'Gewichts- Calculator'!$D$127&amp;"  &gt; "&amp; 'Gewichts- Calculator'!$D$130,"")),"")))</f>
        <v/>
      </c>
      <c r="K37" s="670">
        <v>4</v>
      </c>
      <c r="L37" s="671">
        <f>IF(ISNA(IF($K37=0,"0",IF(VLOOKUP($A37,Übungsübersicht!$E$7:$K$83,4,FALSE)&lt;1,"RPE 8",VLOOKUP($A37,Übungsübersicht!$E$7:$K$83,4,FALSE)))),"Übung?",IF($K37=0,"0",IF(VLOOKUP($A37,Übungsübersicht!$E$7:$K$83,4,FALSE)&lt;1,"RPE 8",VLOOKUP($A37,Übungsübersicht!$E$7:$K$83,4,FALSE))))</f>
        <v>8</v>
      </c>
      <c r="M37" s="674">
        <v>70</v>
      </c>
      <c r="N37" s="598" t="str">
        <f>IF('Gewichts- Calculator'!$D$127="EINGEBEN","",(IF('Gewichts- Calculator'!$C$134="Ja Anzeigen",(IF($A37='Gewichts- Calculator'!$C$8," &gt;"&amp;'Gewichts- Calculator'!$D$127&amp;"  &gt; "&amp; 'Gewichts- Calculator'!$D$130,"")),"")))</f>
        <v/>
      </c>
      <c r="O37" s="670">
        <v>4</v>
      </c>
      <c r="P37" s="671">
        <f>IF(ISNA(IF($O37=0,"0",IF(VLOOKUP($A37,Übungsübersicht!$E$7:$K$83,5,FALSE)&lt;1,"RPE 9",VLOOKUP($A37,Übungsübersicht!$E$7:$K$83,5,FALSE)))),"Übung?",IF($O37=0,"0",IF(VLOOKUP($A37,Übungsübersicht!$E$7:$K$83,5,FALSE)&lt;1,"RPE 9",VLOOKUP($A37,Übungsübersicht!$E$7:$K$83,5,FALSE))))</f>
        <v>8</v>
      </c>
      <c r="Q37" s="675">
        <v>70</v>
      </c>
      <c r="R37" s="598" t="str">
        <f>IF('Gewichts- Calculator'!$F$127="EINGEBEN","",(IF('Gewichts- Calculator'!$C$134="Ja Anzeigen",(IF($A37='Gewichts- Calculator'!$C$8," &gt;"&amp;'Gewichts- Calculator'!$F$127&amp;"  &gt; "&amp; 'Gewichts- Calculator'!$F$130,"")),"")))</f>
        <v/>
      </c>
      <c r="S37" s="670">
        <v>2</v>
      </c>
      <c r="T37" s="671">
        <f>IF(ISNA(IF($S37=0,"0",IF(VLOOKUP($A37,Übungsübersicht!$E$7:$K$83,4,FALSE)&lt;1,"RPE 6",VLOOKUP($A37,Übungsübersicht!$E$7:$K$83,4,FALSE)))),"Übung?",IF($S37=0,"0",IF(VLOOKUP($A37,Übungsübersicht!$E$7:$K$83,4,FALSE)&lt;1,"RPE 6",VLOOKUP($A37,Übungsübersicht!$E$7:$K$83,4,FALSE))))</f>
        <v>8</v>
      </c>
      <c r="U37" s="674" cm="1">
        <f t="array" ref="U37">IFERROR((IF(ISNA(IF((IF(VLOOKUP($A37,Übungsübersicht!$E$6:$K$82,7,FALSE)="OK",(MROUND(((INDEX($A$1:$U$68,(ROW(U37)),17))*$T$97),(((IF(VLOOKUP($A37,Übungsübersicht!$E$6:$K$82,3,FALSE)=0,0.1,(VLOOKUP($A37,Übungsübersicht!$E$6:$K$82,3,FALSE)))))))),IF(VLOOKUP($A37,Übungsübersicht!$E$6:$K$82,7,FALSE)="UK",(MROUND(((INDEX($A$1:$U$68,(ROW(U37)),17))*$T$98),(((IF(VLOOKUP($A37,Übungsübersicht!$E$6:$K$82,3,FALSE)=0,0.1,(VLOOKUP($A37,Übungsübersicht!$E$6:$K$82,3,FALSE)))))))),"Übung OK/UK?")))&lt;3,"RPE 6",(IF(VLOOKUP($A37,Übungsübersicht!$E$6:$K$82,7,FALSE)="OK",(MROUND(((INDEX($A$1:$U$68,(ROW(U37)),17))*$T$97),(((IF(VLOOKUP($A37,Übungsübersicht!$E$6:$K$82,3,FALSE)=0,0.1,(VLOOKUP($A37,Übungsübersicht!$E$6:$K$82,3,FALSE)))))))),IF(VLOOKUP($A37,Übungsübersicht!$E$6:$K$82,7,FALSE)="UK",(MROUND(((INDEX($A$1:$U$68,(ROW(U37)),17))*$T$98),(((IF(VLOOKUP($A37,Übungsübersicht!$E$6:$K$82,3,FALSE)=0,0.1,(VLOOKUP($A37,Übungsübersicht!$E$6:$K$82,3,FALSE)))))))),"Übung OK/UK?"))))),"Übung?",IF((IF(VLOOKUP($A37,Übungsübersicht!$E$6:$K$82,7,FALSE)="OK",(MROUND(((INDEX($A$1:$U$68,(ROW(U37)),17))*$T$97),(((IF(VLOOKUP($A37,Übungsübersicht!$E$6:$K$82,3,FALSE)=0,0.1,(VLOOKUP($A37,Übungsübersicht!$E$6:$K$82,3,FALSE)))))))),IF(VLOOKUP($A37,Übungsübersicht!$E$6:$K$82,7,FALSE)="UK",(MROUND(((INDEX($A$1:$U$68,(ROW(U37)),17))*$T$98),(((IF(VLOOKUP($A37,Übungsübersicht!$E$6:$K$82,3,FALSE)=0,0.1,(VLOOKUP($A37,Übungsübersicht!$E$6:$K$82,3,FALSE)))))))),"Übung OK/UK?")))&lt;3,"RPE 6",(IF(VLOOKUP($A37,Übungsübersicht!$E$6:$K$82,7,FALSE)="OK",(MROUND(((INDEX($A$1:$U$68,(ROW(U37)),17))*$T$97),(((IF(VLOOKUP($A37,Übungsübersicht!$E$6:$K$82,3,FALSE)=0,0.1,(VLOOKUP($A37,Übungsübersicht!$E$6:$K$82,3,FALSE)))))))),IF(VLOOKUP($A37,Übungsübersicht!$E$6:$K$82,7,FALSE)="UK",(MROUND(((INDEX($A$1:$U$68,(ROW(U37)),17))*$T$98),(((IF(VLOOKUP($A37,Übungsübersicht!$E$6:$K$82,3,FALSE)=0,0.1,(VLOOKUP($A37,Übungsübersicht!$E$6:$K$82,3,FALSE)))))))),"Übung OK/UK?")))))),"RPE 6")</f>
        <v>50</v>
      </c>
    </row>
    <row r="38" spans="1:25" ht="26.1" customHeight="1" thickTop="1" thickBot="1">
      <c r="A38" s="668" t="s">
        <v>151</v>
      </c>
      <c r="B38" s="669" t="str">
        <f>IF(ISNA(IF(ISBLANK(VLOOKUP($A38,Übungsübersicht!$E$8:$F$83,2,FALSE)),"Muskelgruppe Auswählen",VLOOKUP($A38,Übungsübersicht!$E$8:$F$83,2,FALSE))),"Übung?",IF(ISBLANK(VLOOKUP($A38,Übungsübersicht!$E$8:$F$83,2,FALSE)),"Muskelgruppe Auswählen",VLOOKUP($A38,Übungsübersicht!$E$8:$F$83,2,FALSE)))</f>
        <v>Brust</v>
      </c>
      <c r="C38" s="670">
        <v>2</v>
      </c>
      <c r="D38" s="671">
        <f>IF(ISNA(IF($C38=0,"0",IF(VLOOKUP($A38,Übungsübersicht!$E$7:$K$83,4,FALSE)&lt;1,"RPE 7",VLOOKUP($A38,Übungsübersicht!$E$7:$K$83,4,FALSE)))),"Übung?",IF($C38=0,"0",IF(VLOOKUP($A38,Übungsübersicht!$E$7:$K$83,4,FALSE)&lt;1,"RPE 7",VLOOKUP($A38,Übungsübersicht!$E$7:$K$83,4,FALSE))))</f>
        <v>12</v>
      </c>
      <c r="E38" s="672" cm="1">
        <f t="array" ref="E38">IF(IFERROR((IF(ISNA(IF((IF(VLOOKUP($A38,Übungsübersicht!$E$6:$K$82,7,FALSE)="OK",(MROUND(((INDEX($A$1:$U$68,(ROW(E38)),17))*$Q$97),(((IF(VLOOKUP($A38,Übungsübersicht!$E$6:$K$82,3,FALSE)=0,0.1,(VLOOKUP($A38,Übungsübersicht!$E$6:$K$82,3,FALSE)))))))),IF(VLOOKUP($A38,Übungsübersicht!$E$6:$K$82,7,FALSE)="UK",(MROUND(((INDEX($A$1:$U$68,(ROW(E38)),17))*$Q$98),(((IF(VLOOKUP($A38,Übungsübersicht!$E$6:$K$82,3,FALSE)=0,0.1,(VLOOKUP($A38,Übungsübersicht!$E$6:$K$82,3,FALSE)))))))),"Übung OK/UK?")))&lt;3,"RPE 7",(IF(VLOOKUP($A38,Übungsübersicht!$E$6:$K$82,7,FALSE)="OK",(MROUND(((INDEX($A$1:$U$68,(ROW(E38)),17))*$Q$97),(((IF(VLOOKUP($A38,Übungsübersicht!$E$6:$K$82,3,FALSE)=0,0.1,(VLOOKUP($A38,Übungsübersicht!$E$6:$K$82,3,FALSE)))))))),IF(VLOOKUP($A38,Übungsübersicht!$E$6:$K$82,7,FALSE)="UK",(MROUND(((INDEX($A$1:$U$68,(ROW(E38)),17))*$Q$98),(((IF(VLOOKUP($A38,Übungsübersicht!$E$6:$K$82,3,FALSE)=0,0.1,(VLOOKUP($A38,Übungsübersicht!$E$6:$K$82,3,FALSE)))))))),"Übung OK/UK?"))))),"Übung?",IF((IF(VLOOKUP($A38,Übungsübersicht!$E$6:$K$82,7,FALSE)="OK",(MROUND(((INDEX($A$1:$U$68,(ROW(E38)),17))*$Q$97),(((IF(VLOOKUP($A38,Übungsübersicht!$E$6:$K$82,3,FALSE)=0,0.1,(VLOOKUP($A38,Übungsübersicht!$E$6:$K$82,3,FALSE)))))))),IF(VLOOKUP($A38,Übungsübersicht!$E$6:$K$82,7,FALSE)="UK",(MROUND(((INDEX($A$1:$U$68,(ROW(E38)),17))*$Q$98),(((IF(VLOOKUP($A38,Übungsübersicht!$E$6:$K$82,3,FALSE)=0,0.1,(VLOOKUP($A38,Übungsübersicht!$E$6:$K$82,3,FALSE)))))))),"Übung OK/UK?")))&lt;3,"RPE 7",(IF(VLOOKUP($A38,Übungsübersicht!$E$6:$K$82,7,FALSE)="OK",(MROUND(((INDEX($A$1:$U$68,(ROW(E38)),17))*$Q$97),(((IF(VLOOKUP($A38,Übungsübersicht!$E$6:$K$82,3,FALSE)=0,0.1,(VLOOKUP($A38,Übungsübersicht!$E$6:$K$82,3,FALSE)))))))),IF(VLOOKUP($A38,Übungsübersicht!$E$6:$K$82,7,FALSE)="UK",(MROUND(((INDEX($A$1:$U$68,(ROW(E38)),17))*$Q$98),(((IF(VLOOKUP($A38,Übungsübersicht!$E$6:$K$82,3,FALSE)=0,0.1,(VLOOKUP($A38,Übungsübersicht!$E$6:$K$82,3,FALSE)))))))),"Übung OK/UK?")))))),"RPE 6")=(INDEX($A$1:$U$68,(ROW(E38)),17)),(IFERROR((IF(ISNA(IF(INDEX($A$1:$U$68,(ROW(E38)),17)-(IF(VLOOKUP($A38,Übungsübersicht!$E$6:$K$82,3,FALSE)&lt;=0.5,0,(VLOOKUP($A38,Übungsübersicht!$E$6:$K$82,3,FALSE))))&lt;3,"RPE 7",INDEX($A$1:$U$68,(ROW(E38)),17)-(IF(VLOOKUP($A38,Übungsübersicht!$E$6:$K$82,3,FALSE)&lt;=0.5,0,(VLOOKUP($A38,Übungsübersicht!$E$6:$K$82,3,FALSE)))))),"Übung?",IF(INDEX($A$1:$U$68,(ROW(E38)),17)-(IF(VLOOKUP($A38,Übungsübersicht!$E$6:$K$82,3,FALSE)&lt;=0.5,0,(VLOOKUP($A38,Übungsübersicht!$E$6:$K$82,3,FALSE))))&lt;3,"RPE 7",INDEX($A$1:$U$68,(ROW(E38)),17)-(IF(VLOOKUP($A38,Übungsübersicht!$E$6:$K$82,3,FALSE)&lt;=0.5,0,(VLOOKUP($A38,Übungsübersicht!$E$6:$K$82,3,FALSE))))))),"RPE 7")),(IFERROR((IF(ISNA(IF((IF(VLOOKUP($A38,Übungsübersicht!$E$6:$K$82,7,FALSE)="OK",(MROUND(((INDEX($A$1:$U$68,(ROW(E38)),17))*$Q$97),(((IF(VLOOKUP($A38,Übungsübersicht!$E$6:$K$82,3,FALSE)=0,0.1,(VLOOKUP($A38,Übungsübersicht!$E$6:$K$82,3,FALSE)))))))),IF(VLOOKUP($A38,Übungsübersicht!$E$6:$K$82,7,FALSE)="UK",(MROUND(((INDEX($A$1:$U$68,(ROW(E38)),17))*$Q$98),(((IF(VLOOKUP($A38,Übungsübersicht!$E$6:$K$82,3,FALSE)=0,0.1,(VLOOKUP($A38,Übungsübersicht!$E$6:$K$82,3,FALSE)))))))),"Übung OK/UK?")))&lt;3,"RPE 7",(IF(VLOOKUP($A38,Übungsübersicht!$E$6:$K$82,7,FALSE)="OK",(MROUND(((INDEX($A$1:$U$68,(ROW(E38)),17))*$Q$97),(((IF(VLOOKUP($A38,Übungsübersicht!$E$6:$K$82,3,FALSE)=0,0.1,(VLOOKUP($A38,Übungsübersicht!$E$6:$K$82,3,FALSE)))))))),IF(VLOOKUP($A38,Übungsübersicht!$E$6:$K$82,7,FALSE)="UK",(MROUND(((INDEX($A$1:$U$68,(ROW(E38)),17))*$Q$98),(((IF(VLOOKUP($A38,Übungsübersicht!$E$6:$K$82,3,FALSE)=0,0.1,(VLOOKUP($A38,Übungsübersicht!$E$6:$K$82,3,FALSE)))))))),"Übung OK/UK?"))))),"Übung?",IF((IF(VLOOKUP($A38,Übungsübersicht!$E$6:$K$82,7,FALSE)="OK",(MROUND(((INDEX($A$1:$U$68,(ROW(E38)),17))*$Q$97),(((IF(VLOOKUP($A38,Übungsübersicht!$E$6:$K$82,3,FALSE)=0,0.1,(VLOOKUP($A38,Übungsübersicht!$E$6:$K$82,3,FALSE)))))))),IF(VLOOKUP($A38,Übungsübersicht!$E$6:$K$82,7,FALSE)="UK",(MROUND(((INDEX($A$1:$U$68,(ROW(E38)),17))*$Q$98),(((IF(VLOOKUP($A38,Übungsübersicht!$E$6:$K$82,3,FALSE)=0,0.1,(VLOOKUP($A38,Übungsübersicht!$E$6:$K$82,3,FALSE)))))))),"Übung OK/UK?")))&lt;3,"RPE 6",(IF(VLOOKUP($A38,Übungsübersicht!$E$6:$K$82,7,FALSE)="OK",(MROUND(((INDEX($A$1:$U$68,(ROW(E38)),17))*$Q$97),(((IF(VLOOKUP($A38,Übungsübersicht!$E$6:$K$82,3,FALSE)=0,0.1,(VLOOKUP($A38,Übungsübersicht!$E$6:$K$82,3,FALSE)))))))),IF(VLOOKUP($A38,Übungsübersicht!$E$6:$K$82,7,FALSE)="UK",(MROUND(((INDEX($A$1:$U$68,(ROW(E38)),17))*$Q$98),(((IF(VLOOKUP($A38,Übungsübersicht!$E$6:$K$82,3,FALSE)=0,0.1,(VLOOKUP($A38,Übungsübersicht!$E$6:$K$82,3,FALSE)))))))),"Übung OK/UK?")))))),"RPE 7")))</f>
        <v>45</v>
      </c>
      <c r="F38" s="598" t="str">
        <f>IF('Gewichts- Calculator'!$B$127="EINGEBEN","",(IF('Gewichts- Calculator'!$C$134="Ja Anzeigen",(IF($A38='Gewichts- Calculator'!$C$8," &gt;"&amp;'Gewichts- Calculator'!$B$127&amp;"  &gt; "&amp; 'Gewichts- Calculator'!$B$130,"")),"")))</f>
        <v/>
      </c>
      <c r="G38" s="670">
        <v>2</v>
      </c>
      <c r="H38" s="671">
        <f>IF(ISNA(IF($G38=0,"0",IF(VLOOKUP($A38,Übungsübersicht!$E$7:$K$83,4,FALSE)&lt;1,"RPE 8",VLOOKUP($A38,Übungsübersicht!$E$7:$K$83,4,FALSE)))),"Übung?",IF($G38=0,"0",IF(VLOOKUP($A38,Übungsübersicht!$E$7:$K$83,4,FALSE)&lt;1,"RPE 8",VLOOKUP($A38,Übungsübersicht!$E$7:$K$83,4,FALSE))))</f>
        <v>12</v>
      </c>
      <c r="I38" s="673">
        <v>50</v>
      </c>
      <c r="J38" s="598" t="str">
        <f>IF('Gewichts- Calculator'!$D$127="EINGEBEN","",(IF('Gewichts- Calculator'!$C$134="Ja Anzeigen",(IF($A38='Gewichts- Calculator'!$C$8," &gt;"&amp;'Gewichts- Calculator'!$D$127&amp;"  &gt; "&amp; 'Gewichts- Calculator'!$D$130,"")),"")))</f>
        <v/>
      </c>
      <c r="K38" s="670">
        <v>2</v>
      </c>
      <c r="L38" s="671">
        <f>IF(ISNA(IF($K38=0,"0",IF(VLOOKUP($A38,Übungsübersicht!$E$7:$K$83,4,FALSE)&lt;1,"RPE 8",VLOOKUP($A38,Übungsübersicht!$E$7:$K$83,4,FALSE)))),"Übung?",IF($K38=0,"0",IF(VLOOKUP($A38,Übungsübersicht!$E$7:$K$83,4,FALSE)&lt;1,"RPE 8",VLOOKUP($A38,Übungsübersicht!$E$7:$K$83,4,FALSE))))</f>
        <v>12</v>
      </c>
      <c r="M38" s="674">
        <v>50</v>
      </c>
      <c r="N38" s="598" t="str">
        <f>IF('Gewichts- Calculator'!$D$127="EINGEBEN","",(IF('Gewichts- Calculator'!$C$134="Ja Anzeigen",(IF($A38='Gewichts- Calculator'!$C$8," &gt;"&amp;'Gewichts- Calculator'!$D$127&amp;"  &gt; "&amp; 'Gewichts- Calculator'!$D$130,"")),"")))</f>
        <v/>
      </c>
      <c r="O38" s="670">
        <v>3</v>
      </c>
      <c r="P38" s="671">
        <f>IF(ISNA(IF($O38=0,"0",IF(VLOOKUP($A38,Übungsübersicht!$E$7:$K$83,5,FALSE)&lt;1,"RPE 9",VLOOKUP($A38,Übungsübersicht!$E$7:$K$83,5,FALSE)))),"Übung?",IF($O38=0,"0",IF(VLOOKUP($A38,Übungsübersicht!$E$7:$K$83,5,FALSE)&lt;1,"RPE 9",VLOOKUP($A38,Übungsübersicht!$E$7:$K$83,5,FALSE))))</f>
        <v>12</v>
      </c>
      <c r="Q38" s="675">
        <v>50</v>
      </c>
      <c r="R38" s="598" t="str">
        <f>IF('Gewichts- Calculator'!$F$127="EINGEBEN","",(IF('Gewichts- Calculator'!$C$134="Ja Anzeigen",(IF($A38='Gewichts- Calculator'!$C$8," &gt;"&amp;'Gewichts- Calculator'!$F$127&amp;"  &gt; "&amp; 'Gewichts- Calculator'!$F$130,"")),"")))</f>
        <v/>
      </c>
      <c r="S38" s="670">
        <v>0</v>
      </c>
      <c r="T38" s="671" t="str">
        <f>IF(ISNA(IF($S38=0,"0",IF(VLOOKUP($A38,Übungsübersicht!$E$7:$K$83,4,FALSE)&lt;1,"RPE 6",VLOOKUP($A38,Übungsübersicht!$E$7:$K$83,4,FALSE)))),"Übung?",IF($S38=0,"0",IF(VLOOKUP($A38,Übungsübersicht!$E$7:$K$83,4,FALSE)&lt;1,"RPE 6",VLOOKUP($A38,Übungsübersicht!$E$7:$K$83,4,FALSE))))</f>
        <v>0</v>
      </c>
      <c r="U38" s="674" cm="1">
        <f t="array" ref="U38">IFERROR((IF(ISNA(IF((IF(VLOOKUP($A38,Übungsübersicht!$E$6:$K$82,7,FALSE)="OK",(MROUND(((INDEX($A$1:$U$68,(ROW(U38)),17))*$T$97),(((IF(VLOOKUP($A38,Übungsübersicht!$E$6:$K$82,3,FALSE)=0,0.1,(VLOOKUP($A38,Übungsübersicht!$E$6:$K$82,3,FALSE)))))))),IF(VLOOKUP($A38,Übungsübersicht!$E$6:$K$82,7,FALSE)="UK",(MROUND(((INDEX($A$1:$U$68,(ROW(U38)),17))*$T$98),(((IF(VLOOKUP($A38,Übungsübersicht!$E$6:$K$82,3,FALSE)=0,0.1,(VLOOKUP($A38,Übungsübersicht!$E$6:$K$82,3,FALSE)))))))),"Übung OK/UK?")))&lt;3,"RPE 6",(IF(VLOOKUP($A38,Übungsübersicht!$E$6:$K$82,7,FALSE)="OK",(MROUND(((INDEX($A$1:$U$68,(ROW(U38)),17))*$T$97),(((IF(VLOOKUP($A38,Übungsübersicht!$E$6:$K$82,3,FALSE)=0,0.1,(VLOOKUP($A38,Übungsübersicht!$E$6:$K$82,3,FALSE)))))))),IF(VLOOKUP($A38,Übungsübersicht!$E$6:$K$82,7,FALSE)="UK",(MROUND(((INDEX($A$1:$U$68,(ROW(U38)),17))*$T$98),(((IF(VLOOKUP($A38,Übungsübersicht!$E$6:$K$82,3,FALSE)=0,0.1,(VLOOKUP($A38,Übungsübersicht!$E$6:$K$82,3,FALSE)))))))),"Übung OK/UK?"))))),"Übung?",IF((IF(VLOOKUP($A38,Übungsübersicht!$E$6:$K$82,7,FALSE)="OK",(MROUND(((INDEX($A$1:$U$68,(ROW(U38)),17))*$T$97),(((IF(VLOOKUP($A38,Übungsübersicht!$E$6:$K$82,3,FALSE)=0,0.1,(VLOOKUP($A38,Übungsübersicht!$E$6:$K$82,3,FALSE)))))))),IF(VLOOKUP($A38,Übungsübersicht!$E$6:$K$82,7,FALSE)="UK",(MROUND(((INDEX($A$1:$U$68,(ROW(U38)),17))*$T$98),(((IF(VLOOKUP($A38,Übungsübersicht!$E$6:$K$82,3,FALSE)=0,0.1,(VLOOKUP($A38,Übungsübersicht!$E$6:$K$82,3,FALSE)))))))),"Übung OK/UK?")))&lt;3,"RPE 6",(IF(VLOOKUP($A38,Übungsübersicht!$E$6:$K$82,7,FALSE)="OK",(MROUND(((INDEX($A$1:$U$68,(ROW(U38)),17))*$T$97),(((IF(VLOOKUP($A38,Übungsübersicht!$E$6:$K$82,3,FALSE)=0,0.1,(VLOOKUP($A38,Übungsübersicht!$E$6:$K$82,3,FALSE)))))))),IF(VLOOKUP($A38,Übungsübersicht!$E$6:$K$82,7,FALSE)="UK",(MROUND(((INDEX($A$1:$U$68,(ROW(U38)),17))*$T$98),(((IF(VLOOKUP($A38,Übungsübersicht!$E$6:$K$82,3,FALSE)=0,0.1,(VLOOKUP($A38,Übungsübersicht!$E$6:$K$82,3,FALSE)))))))),"Übung OK/UK?")))))),"RPE 6")</f>
        <v>35</v>
      </c>
    </row>
    <row r="39" spans="1:25" ht="26.1" customHeight="1" thickTop="1" thickBot="1">
      <c r="A39" s="668" t="s">
        <v>150</v>
      </c>
      <c r="B39" s="669" t="str">
        <f>IF(ISNA(IF(ISBLANK(VLOOKUP($A39,Übungsübersicht!$E$8:$F$83,2,FALSE)),"Muskelgruppe Auswählen",VLOOKUP($A39,Übungsübersicht!$E$8:$F$83,2,FALSE))),"Übung?",IF(ISBLANK(VLOOKUP($A39,Übungsübersicht!$E$8:$F$83,2,FALSE)),"Muskelgruppe Auswählen",VLOOKUP($A39,Übungsübersicht!$E$8:$F$83,2,FALSE)))</f>
        <v>Rücken</v>
      </c>
      <c r="C39" s="670">
        <v>2</v>
      </c>
      <c r="D39" s="671">
        <f>IF(ISNA(IF($C39=0,"0",IF(VLOOKUP($A39,Übungsübersicht!$E$7:$K$83,4,FALSE)&lt;1,"RPE 7",VLOOKUP($A39,Übungsübersicht!$E$7:$K$83,4,FALSE)))),"Übung?",IF($C39=0,"0",IF(VLOOKUP($A39,Übungsübersicht!$E$7:$K$83,4,FALSE)&lt;1,"RPE 7",VLOOKUP($A39,Übungsübersicht!$E$7:$K$83,4,FALSE))))</f>
        <v>12</v>
      </c>
      <c r="E39" s="672" cm="1">
        <f t="array" ref="E39">IF(IFERROR((IF(ISNA(IF((IF(VLOOKUP($A39,Übungsübersicht!$E$6:$K$82,7,FALSE)="OK",(MROUND(((INDEX($A$1:$U$68,(ROW(E39)),17))*$Q$97),(((IF(VLOOKUP($A39,Übungsübersicht!$E$6:$K$82,3,FALSE)=0,0.1,(VLOOKUP($A39,Übungsübersicht!$E$6:$K$82,3,FALSE)))))))),IF(VLOOKUP($A39,Übungsübersicht!$E$6:$K$82,7,FALSE)="UK",(MROUND(((INDEX($A$1:$U$68,(ROW(E39)),17))*$Q$98),(((IF(VLOOKUP($A39,Übungsübersicht!$E$6:$K$82,3,FALSE)=0,0.1,(VLOOKUP($A39,Übungsübersicht!$E$6:$K$82,3,FALSE)))))))),"Übung OK/UK?")))&lt;3,"RPE 7",(IF(VLOOKUP($A39,Übungsübersicht!$E$6:$K$82,7,FALSE)="OK",(MROUND(((INDEX($A$1:$U$68,(ROW(E39)),17))*$Q$97),(((IF(VLOOKUP($A39,Übungsübersicht!$E$6:$K$82,3,FALSE)=0,0.1,(VLOOKUP($A39,Übungsübersicht!$E$6:$K$82,3,FALSE)))))))),IF(VLOOKUP($A39,Übungsübersicht!$E$6:$K$82,7,FALSE)="UK",(MROUND(((INDEX($A$1:$U$68,(ROW(E39)),17))*$Q$98),(((IF(VLOOKUP($A39,Übungsübersicht!$E$6:$K$82,3,FALSE)=0,0.1,(VLOOKUP($A39,Übungsübersicht!$E$6:$K$82,3,FALSE)))))))),"Übung OK/UK?"))))),"Übung?",IF((IF(VLOOKUP($A39,Übungsübersicht!$E$6:$K$82,7,FALSE)="OK",(MROUND(((INDEX($A$1:$U$68,(ROW(E39)),17))*$Q$97),(((IF(VLOOKUP($A39,Übungsübersicht!$E$6:$K$82,3,FALSE)=0,0.1,(VLOOKUP($A39,Übungsübersicht!$E$6:$K$82,3,FALSE)))))))),IF(VLOOKUP($A39,Übungsübersicht!$E$6:$K$82,7,FALSE)="UK",(MROUND(((INDEX($A$1:$U$68,(ROW(E39)),17))*$Q$98),(((IF(VLOOKUP($A39,Übungsübersicht!$E$6:$K$82,3,FALSE)=0,0.1,(VLOOKUP($A39,Übungsübersicht!$E$6:$K$82,3,FALSE)))))))),"Übung OK/UK?")))&lt;3,"RPE 7",(IF(VLOOKUP($A39,Übungsübersicht!$E$6:$K$82,7,FALSE)="OK",(MROUND(((INDEX($A$1:$U$68,(ROW(E39)),17))*$Q$97),(((IF(VLOOKUP($A39,Übungsübersicht!$E$6:$K$82,3,FALSE)=0,0.1,(VLOOKUP($A39,Übungsübersicht!$E$6:$K$82,3,FALSE)))))))),IF(VLOOKUP($A39,Übungsübersicht!$E$6:$K$82,7,FALSE)="UK",(MROUND(((INDEX($A$1:$U$68,(ROW(E39)),17))*$Q$98),(((IF(VLOOKUP($A39,Übungsübersicht!$E$6:$K$82,3,FALSE)=0,0.1,(VLOOKUP($A39,Übungsübersicht!$E$6:$K$82,3,FALSE)))))))),"Übung OK/UK?")))))),"RPE 6")=(INDEX($A$1:$U$68,(ROW(E39)),17)),(IFERROR((IF(ISNA(IF(INDEX($A$1:$U$68,(ROW(E39)),17)-(IF(VLOOKUP($A39,Übungsübersicht!$E$6:$K$82,3,FALSE)&lt;=0.5,0,(VLOOKUP($A39,Übungsübersicht!$E$6:$K$82,3,FALSE))))&lt;3,"RPE 7",INDEX($A$1:$U$68,(ROW(E39)),17)-(IF(VLOOKUP($A39,Übungsübersicht!$E$6:$K$82,3,FALSE)&lt;=0.5,0,(VLOOKUP($A39,Übungsübersicht!$E$6:$K$82,3,FALSE)))))),"Übung?",IF(INDEX($A$1:$U$68,(ROW(E39)),17)-(IF(VLOOKUP($A39,Übungsübersicht!$E$6:$K$82,3,FALSE)&lt;=0.5,0,(VLOOKUP($A39,Übungsübersicht!$E$6:$K$82,3,FALSE))))&lt;3,"RPE 7",INDEX($A$1:$U$68,(ROW(E39)),17)-(IF(VLOOKUP($A39,Übungsübersicht!$E$6:$K$82,3,FALSE)&lt;=0.5,0,(VLOOKUP($A39,Übungsübersicht!$E$6:$K$82,3,FALSE))))))),"RPE 7")),(IFERROR((IF(ISNA(IF((IF(VLOOKUP($A39,Übungsübersicht!$E$6:$K$82,7,FALSE)="OK",(MROUND(((INDEX($A$1:$U$68,(ROW(E39)),17))*$Q$97),(((IF(VLOOKUP($A39,Übungsübersicht!$E$6:$K$82,3,FALSE)=0,0.1,(VLOOKUP($A39,Übungsübersicht!$E$6:$K$82,3,FALSE)))))))),IF(VLOOKUP($A39,Übungsübersicht!$E$6:$K$82,7,FALSE)="UK",(MROUND(((INDEX($A$1:$U$68,(ROW(E39)),17))*$Q$98),(((IF(VLOOKUP($A39,Übungsübersicht!$E$6:$K$82,3,FALSE)=0,0.1,(VLOOKUP($A39,Übungsübersicht!$E$6:$K$82,3,FALSE)))))))),"Übung OK/UK?")))&lt;3,"RPE 7",(IF(VLOOKUP($A39,Übungsübersicht!$E$6:$K$82,7,FALSE)="OK",(MROUND(((INDEX($A$1:$U$68,(ROW(E39)),17))*$Q$97),(((IF(VLOOKUP($A39,Übungsübersicht!$E$6:$K$82,3,FALSE)=0,0.1,(VLOOKUP($A39,Übungsübersicht!$E$6:$K$82,3,FALSE)))))))),IF(VLOOKUP($A39,Übungsübersicht!$E$6:$K$82,7,FALSE)="UK",(MROUND(((INDEX($A$1:$U$68,(ROW(E39)),17))*$Q$98),(((IF(VLOOKUP($A39,Übungsübersicht!$E$6:$K$82,3,FALSE)=0,0.1,(VLOOKUP($A39,Übungsübersicht!$E$6:$K$82,3,FALSE)))))))),"Übung OK/UK?"))))),"Übung?",IF((IF(VLOOKUP($A39,Übungsübersicht!$E$6:$K$82,7,FALSE)="OK",(MROUND(((INDEX($A$1:$U$68,(ROW(E39)),17))*$Q$97),(((IF(VLOOKUP($A39,Übungsübersicht!$E$6:$K$82,3,FALSE)=0,0.1,(VLOOKUP($A39,Übungsübersicht!$E$6:$K$82,3,FALSE)))))))),IF(VLOOKUP($A39,Übungsübersicht!$E$6:$K$82,7,FALSE)="UK",(MROUND(((INDEX($A$1:$U$68,(ROW(E39)),17))*$Q$98),(((IF(VLOOKUP($A39,Übungsübersicht!$E$6:$K$82,3,FALSE)=0,0.1,(VLOOKUP($A39,Übungsübersicht!$E$6:$K$82,3,FALSE)))))))),"Übung OK/UK?")))&lt;3,"RPE 6",(IF(VLOOKUP($A39,Übungsübersicht!$E$6:$K$82,7,FALSE)="OK",(MROUND(((INDEX($A$1:$U$68,(ROW(E39)),17))*$Q$97),(((IF(VLOOKUP($A39,Übungsübersicht!$E$6:$K$82,3,FALSE)=0,0.1,(VLOOKUP($A39,Übungsübersicht!$E$6:$K$82,3,FALSE)))))))),IF(VLOOKUP($A39,Übungsübersicht!$E$6:$K$82,7,FALSE)="UK",(MROUND(((INDEX($A$1:$U$68,(ROW(E39)),17))*$Q$98),(((IF(VLOOKUP($A39,Übungsübersicht!$E$6:$K$82,3,FALSE)=0,0.1,(VLOOKUP($A39,Übungsübersicht!$E$6:$K$82,3,FALSE)))))))),"Übung OK/UK?")))))),"RPE 7")))</f>
        <v>60</v>
      </c>
      <c r="F39" s="598" t="str">
        <f>IF('Gewichts- Calculator'!$B$127="EINGEBEN","",(IF('Gewichts- Calculator'!$C$134="Ja Anzeigen",(IF($A39='Gewichts- Calculator'!$C$8," &gt;"&amp;'Gewichts- Calculator'!$B$127&amp;"  &gt; "&amp; 'Gewichts- Calculator'!$B$130,"")),"")))</f>
        <v/>
      </c>
      <c r="G39" s="670">
        <v>3</v>
      </c>
      <c r="H39" s="671">
        <f>IF(ISNA(IF($G39=0,"0",IF(VLOOKUP($A39,Übungsübersicht!$E$7:$K$83,4,FALSE)&lt;1,"RPE 8",VLOOKUP($A39,Übungsübersicht!$E$7:$K$83,4,FALSE)))),"Übung?",IF($G39=0,"0",IF(VLOOKUP($A39,Übungsübersicht!$E$7:$K$83,4,FALSE)&lt;1,"RPE 8",VLOOKUP($A39,Übungsübersicht!$E$7:$K$83,4,FALSE))))</f>
        <v>12</v>
      </c>
      <c r="I39" s="673">
        <v>65</v>
      </c>
      <c r="J39" s="598" t="str">
        <f>IF('Gewichts- Calculator'!$D$127="EINGEBEN","",(IF('Gewichts- Calculator'!$C$134="Ja Anzeigen",(IF($A39='Gewichts- Calculator'!$C$8," &gt;"&amp;'Gewichts- Calculator'!$D$127&amp;"  &gt; "&amp; 'Gewichts- Calculator'!$D$130,"")),"")))</f>
        <v/>
      </c>
      <c r="K39" s="670">
        <v>3</v>
      </c>
      <c r="L39" s="671">
        <f>IF(ISNA(IF($K39=0,"0",IF(VLOOKUP($A39,Übungsübersicht!$E$7:$K$83,4,FALSE)&lt;1,"RPE 8",VLOOKUP($A39,Übungsübersicht!$E$7:$K$83,4,FALSE)))),"Übung?",IF($K39=0,"0",IF(VLOOKUP($A39,Übungsübersicht!$E$7:$K$83,4,FALSE)&lt;1,"RPE 8",VLOOKUP($A39,Übungsübersicht!$E$7:$K$83,4,FALSE))))</f>
        <v>12</v>
      </c>
      <c r="M39" s="674">
        <v>65</v>
      </c>
      <c r="N39" s="598" t="str">
        <f>IF('Gewichts- Calculator'!$D$127="EINGEBEN","",(IF('Gewichts- Calculator'!$C$134="Ja Anzeigen",(IF($A39='Gewichts- Calculator'!$C$8," &gt;"&amp;'Gewichts- Calculator'!$D$127&amp;"  &gt; "&amp; 'Gewichts- Calculator'!$D$130,"")),"")))</f>
        <v/>
      </c>
      <c r="O39" s="670">
        <v>4</v>
      </c>
      <c r="P39" s="671">
        <f>IF(ISNA(IF($O39=0,"0",IF(VLOOKUP($A39,Übungsübersicht!$E$7:$K$83,5,FALSE)&lt;1,"RPE 9",VLOOKUP($A39,Übungsübersicht!$E$7:$K$83,5,FALSE)))),"Übung?",IF($O39=0,"0",IF(VLOOKUP($A39,Übungsübersicht!$E$7:$K$83,5,FALSE)&lt;1,"RPE 9",VLOOKUP($A39,Übungsübersicht!$E$7:$K$83,5,FALSE))))</f>
        <v>12</v>
      </c>
      <c r="Q39" s="675">
        <v>65</v>
      </c>
      <c r="R39" s="598" t="str">
        <f>IF('Gewichts- Calculator'!$F$127="EINGEBEN","",(IF('Gewichts- Calculator'!$C$134="Ja Anzeigen",(IF($A39='Gewichts- Calculator'!$C$8," &gt;"&amp;'Gewichts- Calculator'!$F$127&amp;"  &gt; "&amp; 'Gewichts- Calculator'!$F$130,"")),"")))</f>
        <v/>
      </c>
      <c r="S39" s="670">
        <v>0</v>
      </c>
      <c r="T39" s="671" t="str">
        <f>IF(ISNA(IF($S39=0,"0",IF(VLOOKUP($A39,Übungsübersicht!$E$7:$K$83,4,FALSE)&lt;1,"RPE 6",VLOOKUP($A39,Übungsübersicht!$E$7:$K$83,4,FALSE)))),"Übung?",IF($S39=0,"0",IF(VLOOKUP($A39,Übungsübersicht!$E$7:$K$83,4,FALSE)&lt;1,"RPE 6",VLOOKUP($A39,Übungsübersicht!$E$7:$K$83,4,FALSE))))</f>
        <v>0</v>
      </c>
      <c r="U39" s="674" cm="1">
        <f t="array" ref="U39">IFERROR((IF(ISNA(IF((IF(VLOOKUP($A39,Übungsübersicht!$E$6:$K$82,7,FALSE)="OK",(MROUND(((INDEX($A$1:$U$68,(ROW(U39)),17))*$T$97),(((IF(VLOOKUP($A39,Übungsübersicht!$E$6:$K$82,3,FALSE)=0,0.1,(VLOOKUP($A39,Übungsübersicht!$E$6:$K$82,3,FALSE)))))))),IF(VLOOKUP($A39,Übungsübersicht!$E$6:$K$82,7,FALSE)="UK",(MROUND(((INDEX($A$1:$U$68,(ROW(U39)),17))*$T$98),(((IF(VLOOKUP($A39,Übungsübersicht!$E$6:$K$82,3,FALSE)=0,0.1,(VLOOKUP($A39,Übungsübersicht!$E$6:$K$82,3,FALSE)))))))),"Übung OK/UK?")))&lt;3,"RPE 6",(IF(VLOOKUP($A39,Übungsübersicht!$E$6:$K$82,7,FALSE)="OK",(MROUND(((INDEX($A$1:$U$68,(ROW(U39)),17))*$T$97),(((IF(VLOOKUP($A39,Übungsübersicht!$E$6:$K$82,3,FALSE)=0,0.1,(VLOOKUP($A39,Übungsübersicht!$E$6:$K$82,3,FALSE)))))))),IF(VLOOKUP($A39,Übungsübersicht!$E$6:$K$82,7,FALSE)="UK",(MROUND(((INDEX($A$1:$U$68,(ROW(U39)),17))*$T$98),(((IF(VLOOKUP($A39,Übungsübersicht!$E$6:$K$82,3,FALSE)=0,0.1,(VLOOKUP($A39,Übungsübersicht!$E$6:$K$82,3,FALSE)))))))),"Übung OK/UK?"))))),"Übung?",IF((IF(VLOOKUP($A39,Übungsübersicht!$E$6:$K$82,7,FALSE)="OK",(MROUND(((INDEX($A$1:$U$68,(ROW(U39)),17))*$T$97),(((IF(VLOOKUP($A39,Übungsübersicht!$E$6:$K$82,3,FALSE)=0,0.1,(VLOOKUP($A39,Übungsübersicht!$E$6:$K$82,3,FALSE)))))))),IF(VLOOKUP($A39,Übungsübersicht!$E$6:$K$82,7,FALSE)="UK",(MROUND(((INDEX($A$1:$U$68,(ROW(U39)),17))*$T$98),(((IF(VLOOKUP($A39,Übungsübersicht!$E$6:$K$82,3,FALSE)=0,0.1,(VLOOKUP($A39,Übungsübersicht!$E$6:$K$82,3,FALSE)))))))),"Übung OK/UK?")))&lt;3,"RPE 6",(IF(VLOOKUP($A39,Übungsübersicht!$E$6:$K$82,7,FALSE)="OK",(MROUND(((INDEX($A$1:$U$68,(ROW(U39)),17))*$T$97),(((IF(VLOOKUP($A39,Übungsübersicht!$E$6:$K$82,3,FALSE)=0,0.1,(VLOOKUP($A39,Übungsübersicht!$E$6:$K$82,3,FALSE)))))))),IF(VLOOKUP($A39,Übungsübersicht!$E$6:$K$82,7,FALSE)="UK",(MROUND(((INDEX($A$1:$U$68,(ROW(U39)),17))*$T$98),(((IF(VLOOKUP($A39,Übungsübersicht!$E$6:$K$82,3,FALSE)=0,0.1,(VLOOKUP($A39,Übungsübersicht!$E$6:$K$82,3,FALSE)))))))),"Übung OK/UK?")))))),"RPE 6")</f>
        <v>45</v>
      </c>
    </row>
    <row r="40" spans="1:25" ht="26.1" customHeight="1" thickTop="1" thickBot="1">
      <c r="A40" s="668" t="s">
        <v>32</v>
      </c>
      <c r="B40" s="669" t="str">
        <f>IF(ISNA(IF(ISBLANK(VLOOKUP($A40,Übungsübersicht!$E$8:$F$83,2,FALSE)),"Muskelgruppe Auswählen",VLOOKUP($A40,Übungsübersicht!$E$8:$F$83,2,FALSE))),"Übung?",IF(ISBLANK(VLOOKUP($A40,Übungsübersicht!$E$8:$F$83,2,FALSE)),"Muskelgruppe Auswählen",VLOOKUP($A40,Übungsübersicht!$E$8:$F$83,2,FALSE)))</f>
        <v>Hintere Schulter</v>
      </c>
      <c r="C40" s="670">
        <v>0</v>
      </c>
      <c r="D40" s="671" t="str">
        <f>IF(ISNA(IF($C40=0,"0",IF(VLOOKUP($A40,Übungsübersicht!$E$7:$K$83,4,FALSE)&lt;1,"RPE 7",VLOOKUP($A40,Übungsübersicht!$E$7:$K$83,4,FALSE)))),"Übung?",IF($C40=0,"0",IF(VLOOKUP($A40,Übungsübersicht!$E$7:$K$83,4,FALSE)&lt;1,"RPE 7",VLOOKUP($A40,Übungsübersicht!$E$7:$K$83,4,FALSE))))</f>
        <v>0</v>
      </c>
      <c r="E40" s="672" cm="1">
        <f t="array" ref="E40">IF(IFERROR((IF(ISNA(IF((IF(VLOOKUP($A40,Übungsübersicht!$E$6:$K$82,7,FALSE)="OK",(MROUND(((INDEX($A$1:$U$68,(ROW(E40)),17))*$Q$97),(((IF(VLOOKUP($A40,Übungsübersicht!$E$6:$K$82,3,FALSE)=0,0.1,(VLOOKUP($A40,Übungsübersicht!$E$6:$K$82,3,FALSE)))))))),IF(VLOOKUP($A40,Übungsübersicht!$E$6:$K$82,7,FALSE)="UK",(MROUND(((INDEX($A$1:$U$68,(ROW(E40)),17))*$Q$98),(((IF(VLOOKUP($A40,Übungsübersicht!$E$6:$K$82,3,FALSE)=0,0.1,(VLOOKUP($A40,Übungsübersicht!$E$6:$K$82,3,FALSE)))))))),"Übung OK/UK?")))&lt;3,"RPE 7",(IF(VLOOKUP($A40,Übungsübersicht!$E$6:$K$82,7,FALSE)="OK",(MROUND(((INDEX($A$1:$U$68,(ROW(E40)),17))*$Q$97),(((IF(VLOOKUP($A40,Übungsübersicht!$E$6:$K$82,3,FALSE)=0,0.1,(VLOOKUP($A40,Übungsübersicht!$E$6:$K$82,3,FALSE)))))))),IF(VLOOKUP($A40,Übungsübersicht!$E$6:$K$82,7,FALSE)="UK",(MROUND(((INDEX($A$1:$U$68,(ROW(E40)),17))*$Q$98),(((IF(VLOOKUP($A40,Übungsübersicht!$E$6:$K$82,3,FALSE)=0,0.1,(VLOOKUP($A40,Übungsübersicht!$E$6:$K$82,3,FALSE)))))))),"Übung OK/UK?"))))),"Übung?",IF((IF(VLOOKUP($A40,Übungsübersicht!$E$6:$K$82,7,FALSE)="OK",(MROUND(((INDEX($A$1:$U$68,(ROW(E40)),17))*$Q$97),(((IF(VLOOKUP($A40,Übungsübersicht!$E$6:$K$82,3,FALSE)=0,0.1,(VLOOKUP($A40,Übungsübersicht!$E$6:$K$82,3,FALSE)))))))),IF(VLOOKUP($A40,Übungsübersicht!$E$6:$K$82,7,FALSE)="UK",(MROUND(((INDEX($A$1:$U$68,(ROW(E40)),17))*$Q$98),(((IF(VLOOKUP($A40,Übungsübersicht!$E$6:$K$82,3,FALSE)=0,0.1,(VLOOKUP($A40,Übungsübersicht!$E$6:$K$82,3,FALSE)))))))),"Übung OK/UK?")))&lt;3,"RPE 7",(IF(VLOOKUP($A40,Übungsübersicht!$E$6:$K$82,7,FALSE)="OK",(MROUND(((INDEX($A$1:$U$68,(ROW(E40)),17))*$Q$97),(((IF(VLOOKUP($A40,Übungsübersicht!$E$6:$K$82,3,FALSE)=0,0.1,(VLOOKUP($A40,Übungsübersicht!$E$6:$K$82,3,FALSE)))))))),IF(VLOOKUP($A40,Übungsübersicht!$E$6:$K$82,7,FALSE)="UK",(MROUND(((INDEX($A$1:$U$68,(ROW(E40)),17))*$Q$98),(((IF(VLOOKUP($A40,Übungsübersicht!$E$6:$K$82,3,FALSE)=0,0.1,(VLOOKUP($A40,Übungsübersicht!$E$6:$K$82,3,FALSE)))))))),"Übung OK/UK?")))))),"RPE 6")=(INDEX($A$1:$U$68,(ROW(E40)),17)),(IFERROR((IF(ISNA(IF(INDEX($A$1:$U$68,(ROW(E40)),17)-(IF(VLOOKUP($A40,Übungsübersicht!$E$6:$K$82,3,FALSE)&lt;=0.5,0,(VLOOKUP($A40,Übungsübersicht!$E$6:$K$82,3,FALSE))))&lt;3,"RPE 7",INDEX($A$1:$U$68,(ROW(E40)),17)-(IF(VLOOKUP($A40,Übungsübersicht!$E$6:$K$82,3,FALSE)&lt;=0.5,0,(VLOOKUP($A40,Übungsübersicht!$E$6:$K$82,3,FALSE)))))),"Übung?",IF(INDEX($A$1:$U$68,(ROW(E40)),17)-(IF(VLOOKUP($A40,Übungsübersicht!$E$6:$K$82,3,FALSE)&lt;=0.5,0,(VLOOKUP($A40,Übungsübersicht!$E$6:$K$82,3,FALSE))))&lt;3,"RPE 7",INDEX($A$1:$U$68,(ROW(E40)),17)-(IF(VLOOKUP($A40,Übungsübersicht!$E$6:$K$82,3,FALSE)&lt;=0.5,0,(VLOOKUP($A40,Übungsübersicht!$E$6:$K$82,3,FALSE))))))),"RPE 7")),(IFERROR((IF(ISNA(IF((IF(VLOOKUP($A40,Übungsübersicht!$E$6:$K$82,7,FALSE)="OK",(MROUND(((INDEX($A$1:$U$68,(ROW(E40)),17))*$Q$97),(((IF(VLOOKUP($A40,Übungsübersicht!$E$6:$K$82,3,FALSE)=0,0.1,(VLOOKUP($A40,Übungsübersicht!$E$6:$K$82,3,FALSE)))))))),IF(VLOOKUP($A40,Übungsübersicht!$E$6:$K$82,7,FALSE)="UK",(MROUND(((INDEX($A$1:$U$68,(ROW(E40)),17))*$Q$98),(((IF(VLOOKUP($A40,Übungsübersicht!$E$6:$K$82,3,FALSE)=0,0.1,(VLOOKUP($A40,Übungsübersicht!$E$6:$K$82,3,FALSE)))))))),"Übung OK/UK?")))&lt;3,"RPE 7",(IF(VLOOKUP($A40,Übungsübersicht!$E$6:$K$82,7,FALSE)="OK",(MROUND(((INDEX($A$1:$U$68,(ROW(E40)),17))*$Q$97),(((IF(VLOOKUP($A40,Übungsübersicht!$E$6:$K$82,3,FALSE)=0,0.1,(VLOOKUP($A40,Übungsübersicht!$E$6:$K$82,3,FALSE)))))))),IF(VLOOKUP($A40,Übungsübersicht!$E$6:$K$82,7,FALSE)="UK",(MROUND(((INDEX($A$1:$U$68,(ROW(E40)),17))*$Q$98),(((IF(VLOOKUP($A40,Übungsübersicht!$E$6:$K$82,3,FALSE)=0,0.1,(VLOOKUP($A40,Übungsübersicht!$E$6:$K$82,3,FALSE)))))))),"Übung OK/UK?"))))),"Übung?",IF((IF(VLOOKUP($A40,Übungsübersicht!$E$6:$K$82,7,FALSE)="OK",(MROUND(((INDEX($A$1:$U$68,(ROW(E40)),17))*$Q$97),(((IF(VLOOKUP($A40,Übungsübersicht!$E$6:$K$82,3,FALSE)=0,0.1,(VLOOKUP($A40,Übungsübersicht!$E$6:$K$82,3,FALSE)))))))),IF(VLOOKUP($A40,Übungsübersicht!$E$6:$K$82,7,FALSE)="UK",(MROUND(((INDEX($A$1:$U$68,(ROW(E40)),17))*$Q$98),(((IF(VLOOKUP($A40,Übungsübersicht!$E$6:$K$82,3,FALSE)=0,0.1,(VLOOKUP($A40,Übungsübersicht!$E$6:$K$82,3,FALSE)))))))),"Übung OK/UK?")))&lt;3,"RPE 6",(IF(VLOOKUP($A40,Übungsübersicht!$E$6:$K$82,7,FALSE)="OK",(MROUND(((INDEX($A$1:$U$68,(ROW(E40)),17))*$Q$97),(((IF(VLOOKUP($A40,Übungsübersicht!$E$6:$K$82,3,FALSE)=0,0.1,(VLOOKUP($A40,Übungsübersicht!$E$6:$K$82,3,FALSE)))))))),IF(VLOOKUP($A40,Übungsübersicht!$E$6:$K$82,7,FALSE)="UK",(MROUND(((INDEX($A$1:$U$68,(ROW(E40)),17))*$Q$98),(((IF(VLOOKUP($A40,Übungsübersicht!$E$6:$K$82,3,FALSE)=0,0.1,(VLOOKUP($A40,Übungsübersicht!$E$6:$K$82,3,FALSE)))))))),"Übung OK/UK?")))))),"RPE 7")))</f>
        <v>12</v>
      </c>
      <c r="F40" s="598" t="str">
        <f>IF('Gewichts- Calculator'!$B$127="EINGEBEN","",(IF('Gewichts- Calculator'!$C$134="Ja Anzeigen",(IF($A40='Gewichts- Calculator'!$C$8," &gt;"&amp;'Gewichts- Calculator'!$B$127&amp;"  &gt; "&amp; 'Gewichts- Calculator'!$B$130,"")),"")))</f>
        <v/>
      </c>
      <c r="G40" s="670">
        <v>4</v>
      </c>
      <c r="H40" s="671">
        <f>IF(ISNA(IF($G40=0,"0",IF(VLOOKUP($A40,Übungsübersicht!$E$7:$K$83,4,FALSE)&lt;1,"RPE 8",VLOOKUP($A40,Übungsübersicht!$E$7:$K$83,4,FALSE)))),"Übung?",IF($G40=0,"0",IF(VLOOKUP($A40,Übungsübersicht!$E$7:$K$83,4,FALSE)&lt;1,"RPE 8",VLOOKUP($A40,Übungsübersicht!$E$7:$K$83,4,FALSE))))</f>
        <v>12</v>
      </c>
      <c r="I40" s="673">
        <v>14</v>
      </c>
      <c r="J40" s="598" t="str">
        <f>IF('Gewichts- Calculator'!$D$127="EINGEBEN","",(IF('Gewichts- Calculator'!$C$134="Ja Anzeigen",(IF($A40='Gewichts- Calculator'!$C$8," &gt;"&amp;'Gewichts- Calculator'!$D$127&amp;"  &gt; "&amp; 'Gewichts- Calculator'!$D$130,"")),"")))</f>
        <v/>
      </c>
      <c r="K40" s="670">
        <v>4</v>
      </c>
      <c r="L40" s="671">
        <f>IF(ISNA(IF($K40=0,"0",IF(VLOOKUP($A40,Übungsübersicht!$E$7:$K$83,4,FALSE)&lt;1,"RPE 8",VLOOKUP($A40,Übungsübersicht!$E$7:$K$83,4,FALSE)))),"Übung?",IF($K40=0,"0",IF(VLOOKUP($A40,Übungsübersicht!$E$7:$K$83,4,FALSE)&lt;1,"RPE 8",VLOOKUP($A40,Übungsübersicht!$E$7:$K$83,4,FALSE))))</f>
        <v>12</v>
      </c>
      <c r="M40" s="674">
        <v>14</v>
      </c>
      <c r="N40" s="598" t="str">
        <f>IF('Gewichts- Calculator'!$D$127="EINGEBEN","",(IF('Gewichts- Calculator'!$C$134="Ja Anzeigen",(IF($A40='Gewichts- Calculator'!$C$8," &gt;"&amp;'Gewichts- Calculator'!$D$127&amp;"  &gt; "&amp; 'Gewichts- Calculator'!$D$130,"")),"")))</f>
        <v/>
      </c>
      <c r="O40" s="670">
        <v>4</v>
      </c>
      <c r="P40" s="671">
        <f>IF(ISNA(IF($O40=0,"0",IF(VLOOKUP($A40,Übungsübersicht!$E$7:$K$83,5,FALSE)&lt;1,"RPE 9",VLOOKUP($A40,Übungsübersicht!$E$7:$K$83,5,FALSE)))),"Übung?",IF($O40=0,"0",IF(VLOOKUP($A40,Übungsübersicht!$E$7:$K$83,5,FALSE)&lt;1,"RPE 9",VLOOKUP($A40,Übungsübersicht!$E$7:$K$83,5,FALSE))))</f>
        <v>12</v>
      </c>
      <c r="Q40" s="675">
        <v>14</v>
      </c>
      <c r="R40" s="598" t="str">
        <f>IF('Gewichts- Calculator'!$F$127="EINGEBEN","",(IF('Gewichts- Calculator'!$C$134="Ja Anzeigen",(IF($A40='Gewichts- Calculator'!$C$8," &gt;"&amp;'Gewichts- Calculator'!$F$127&amp;"  &gt; "&amp; 'Gewichts- Calculator'!$F$130,"")),"")))</f>
        <v/>
      </c>
      <c r="S40" s="670">
        <v>0</v>
      </c>
      <c r="T40" s="671" t="str">
        <f>IF(ISNA(IF($S40=0,"0",IF(VLOOKUP($A40,Übungsübersicht!$E$7:$K$83,4,FALSE)&lt;1,"RPE 6",VLOOKUP($A40,Übungsübersicht!$E$7:$K$83,4,FALSE)))),"Übung?",IF($S40=0,"0",IF(VLOOKUP($A40,Übungsübersicht!$E$7:$K$83,4,FALSE)&lt;1,"RPE 6",VLOOKUP($A40,Übungsübersicht!$E$7:$K$83,4,FALSE))))</f>
        <v>0</v>
      </c>
      <c r="U40" s="674" cm="1">
        <f t="array" ref="U40">IFERROR((IF(ISNA(IF((IF(VLOOKUP($A40,Übungsübersicht!$E$6:$K$82,7,FALSE)="OK",(MROUND(((INDEX($A$1:$U$68,(ROW(U40)),17))*$T$97),(((IF(VLOOKUP($A40,Übungsübersicht!$E$6:$K$82,3,FALSE)=0,0.1,(VLOOKUP($A40,Übungsübersicht!$E$6:$K$82,3,FALSE)))))))),IF(VLOOKUP($A40,Übungsübersicht!$E$6:$K$82,7,FALSE)="UK",(MROUND(((INDEX($A$1:$U$68,(ROW(U40)),17))*$T$98),(((IF(VLOOKUP($A40,Übungsübersicht!$E$6:$K$82,3,FALSE)=0,0.1,(VLOOKUP($A40,Übungsübersicht!$E$6:$K$82,3,FALSE)))))))),"Übung OK/UK?")))&lt;3,"RPE 6",(IF(VLOOKUP($A40,Übungsübersicht!$E$6:$K$82,7,FALSE)="OK",(MROUND(((INDEX($A$1:$U$68,(ROW(U40)),17))*$T$97),(((IF(VLOOKUP($A40,Übungsübersicht!$E$6:$K$82,3,FALSE)=0,0.1,(VLOOKUP($A40,Übungsübersicht!$E$6:$K$82,3,FALSE)))))))),IF(VLOOKUP($A40,Übungsübersicht!$E$6:$K$82,7,FALSE)="UK",(MROUND(((INDEX($A$1:$U$68,(ROW(U40)),17))*$T$98),(((IF(VLOOKUP($A40,Übungsübersicht!$E$6:$K$82,3,FALSE)=0,0.1,(VLOOKUP($A40,Übungsübersicht!$E$6:$K$82,3,FALSE)))))))),"Übung OK/UK?"))))),"Übung?",IF((IF(VLOOKUP($A40,Übungsübersicht!$E$6:$K$82,7,FALSE)="OK",(MROUND(((INDEX($A$1:$U$68,(ROW(U40)),17))*$T$97),(((IF(VLOOKUP($A40,Übungsübersicht!$E$6:$K$82,3,FALSE)=0,0.1,(VLOOKUP($A40,Übungsübersicht!$E$6:$K$82,3,FALSE)))))))),IF(VLOOKUP($A40,Übungsübersicht!$E$6:$K$82,7,FALSE)="UK",(MROUND(((INDEX($A$1:$U$68,(ROW(U40)),17))*$T$98),(((IF(VLOOKUP($A40,Übungsübersicht!$E$6:$K$82,3,FALSE)=0,0.1,(VLOOKUP($A40,Übungsübersicht!$E$6:$K$82,3,FALSE)))))))),"Übung OK/UK?")))&lt;3,"RPE 6",(IF(VLOOKUP($A40,Übungsübersicht!$E$6:$K$82,7,FALSE)="OK",(MROUND(((INDEX($A$1:$U$68,(ROW(U40)),17))*$T$97),(((IF(VLOOKUP($A40,Übungsübersicht!$E$6:$K$82,3,FALSE)=0,0.1,(VLOOKUP($A40,Übungsübersicht!$E$6:$K$82,3,FALSE)))))))),IF(VLOOKUP($A40,Übungsübersicht!$E$6:$K$82,7,FALSE)="UK",(MROUND(((INDEX($A$1:$U$68,(ROW(U40)),17))*$T$98),(((IF(VLOOKUP($A40,Übungsübersicht!$E$6:$K$82,3,FALSE)=0,0.1,(VLOOKUP($A40,Übungsübersicht!$E$6:$K$82,3,FALSE)))))))),"Übung OK/UK?")))))),"RPE 6")</f>
        <v>10</v>
      </c>
    </row>
    <row r="41" spans="1:25" ht="26.1" customHeight="1" thickTop="1" thickBot="1">
      <c r="A41" s="668" t="s">
        <v>82</v>
      </c>
      <c r="B41" s="669" t="str">
        <f>IF(ISNA(IF(ISBLANK(VLOOKUP($A41,Übungsübersicht!$E$8:$F$83,2,FALSE)),"Muskelgruppe Auswählen",VLOOKUP($A41,Übungsübersicht!$E$8:$F$83,2,FALSE))),"Übung?",IF(ISBLANK(VLOOKUP($A41,Übungsübersicht!$E$8:$F$83,2,FALSE)),"Muskelgruppe Auswählen",VLOOKUP($A41,Übungsübersicht!$E$8:$F$83,2,FALSE)))</f>
        <v>Trizeps</v>
      </c>
      <c r="C41" s="670">
        <v>0</v>
      </c>
      <c r="D41" s="671" t="str">
        <f>IF(ISNA(IF($C41=0,"0",IF(VLOOKUP($A41,Übungsübersicht!$E$7:$K$83,4,FALSE)&lt;1,"RPE 7",VLOOKUP($A41,Übungsübersicht!$E$7:$K$83,4,FALSE)))),"Übung?",IF($C41=0,"0",IF(VLOOKUP($A41,Übungsübersicht!$E$7:$K$83,4,FALSE)&lt;1,"RPE 7",VLOOKUP($A41,Übungsübersicht!$E$7:$K$83,4,FALSE))))</f>
        <v>0</v>
      </c>
      <c r="E41" s="672" cm="1">
        <f t="array" ref="E41">IF(IFERROR((IF(ISNA(IF((IF(VLOOKUP($A41,Übungsübersicht!$E$6:$K$82,7,FALSE)="OK",(MROUND(((INDEX($A$1:$U$68,(ROW(E41)),17))*$Q$97),(((IF(VLOOKUP($A41,Übungsübersicht!$E$6:$K$82,3,FALSE)=0,0.1,(VLOOKUP($A41,Übungsübersicht!$E$6:$K$82,3,FALSE)))))))),IF(VLOOKUP($A41,Übungsübersicht!$E$6:$K$82,7,FALSE)="UK",(MROUND(((INDEX($A$1:$U$68,(ROW(E41)),17))*$Q$98),(((IF(VLOOKUP($A41,Übungsübersicht!$E$6:$K$82,3,FALSE)=0,0.1,(VLOOKUP($A41,Übungsübersicht!$E$6:$K$82,3,FALSE)))))))),"Übung OK/UK?")))&lt;3,"RPE 7",(IF(VLOOKUP($A41,Übungsübersicht!$E$6:$K$82,7,FALSE)="OK",(MROUND(((INDEX($A$1:$U$68,(ROW(E41)),17))*$Q$97),(((IF(VLOOKUP($A41,Übungsübersicht!$E$6:$K$82,3,FALSE)=0,0.1,(VLOOKUP($A41,Übungsübersicht!$E$6:$K$82,3,FALSE)))))))),IF(VLOOKUP($A41,Übungsübersicht!$E$6:$K$82,7,FALSE)="UK",(MROUND(((INDEX($A$1:$U$68,(ROW(E41)),17))*$Q$98),(((IF(VLOOKUP($A41,Übungsübersicht!$E$6:$K$82,3,FALSE)=0,0.1,(VLOOKUP($A41,Übungsübersicht!$E$6:$K$82,3,FALSE)))))))),"Übung OK/UK?"))))),"Übung?",IF((IF(VLOOKUP($A41,Übungsübersicht!$E$6:$K$82,7,FALSE)="OK",(MROUND(((INDEX($A$1:$U$68,(ROW(E41)),17))*$Q$97),(((IF(VLOOKUP($A41,Übungsübersicht!$E$6:$K$82,3,FALSE)=0,0.1,(VLOOKUP($A41,Übungsübersicht!$E$6:$K$82,3,FALSE)))))))),IF(VLOOKUP($A41,Übungsübersicht!$E$6:$K$82,7,FALSE)="UK",(MROUND(((INDEX($A$1:$U$68,(ROW(E41)),17))*$Q$98),(((IF(VLOOKUP($A41,Übungsübersicht!$E$6:$K$82,3,FALSE)=0,0.1,(VLOOKUP($A41,Übungsübersicht!$E$6:$K$82,3,FALSE)))))))),"Übung OK/UK?")))&lt;3,"RPE 7",(IF(VLOOKUP($A41,Übungsübersicht!$E$6:$K$82,7,FALSE)="OK",(MROUND(((INDEX($A$1:$U$68,(ROW(E41)),17))*$Q$97),(((IF(VLOOKUP($A41,Übungsübersicht!$E$6:$K$82,3,FALSE)=0,0.1,(VLOOKUP($A41,Übungsübersicht!$E$6:$K$82,3,FALSE)))))))),IF(VLOOKUP($A41,Übungsübersicht!$E$6:$K$82,7,FALSE)="UK",(MROUND(((INDEX($A$1:$U$68,(ROW(E41)),17))*$Q$98),(((IF(VLOOKUP($A41,Übungsübersicht!$E$6:$K$82,3,FALSE)=0,0.1,(VLOOKUP($A41,Übungsübersicht!$E$6:$K$82,3,FALSE)))))))),"Übung OK/UK?")))))),"RPE 6")=(INDEX($A$1:$U$68,(ROW(E41)),17)),(IFERROR((IF(ISNA(IF(INDEX($A$1:$U$68,(ROW(E41)),17)-(IF(VLOOKUP($A41,Übungsübersicht!$E$6:$K$82,3,FALSE)&lt;=0.5,0,(VLOOKUP($A41,Übungsübersicht!$E$6:$K$82,3,FALSE))))&lt;3,"RPE 7",INDEX($A$1:$U$68,(ROW(E41)),17)-(IF(VLOOKUP($A41,Übungsübersicht!$E$6:$K$82,3,FALSE)&lt;=0.5,0,(VLOOKUP($A41,Übungsübersicht!$E$6:$K$82,3,FALSE)))))),"Übung?",IF(INDEX($A$1:$U$68,(ROW(E41)),17)-(IF(VLOOKUP($A41,Übungsübersicht!$E$6:$K$82,3,FALSE)&lt;=0.5,0,(VLOOKUP($A41,Übungsübersicht!$E$6:$K$82,3,FALSE))))&lt;3,"RPE 7",INDEX($A$1:$U$68,(ROW(E41)),17)-(IF(VLOOKUP($A41,Übungsübersicht!$E$6:$K$82,3,FALSE)&lt;=0.5,0,(VLOOKUP($A41,Übungsübersicht!$E$6:$K$82,3,FALSE))))))),"RPE 7")),(IFERROR((IF(ISNA(IF((IF(VLOOKUP($A41,Übungsübersicht!$E$6:$K$82,7,FALSE)="OK",(MROUND(((INDEX($A$1:$U$68,(ROW(E41)),17))*$Q$97),(((IF(VLOOKUP($A41,Übungsübersicht!$E$6:$K$82,3,FALSE)=0,0.1,(VLOOKUP($A41,Übungsübersicht!$E$6:$K$82,3,FALSE)))))))),IF(VLOOKUP($A41,Übungsübersicht!$E$6:$K$82,7,FALSE)="UK",(MROUND(((INDEX($A$1:$U$68,(ROW(E41)),17))*$Q$98),(((IF(VLOOKUP($A41,Übungsübersicht!$E$6:$K$82,3,FALSE)=0,0.1,(VLOOKUP($A41,Übungsübersicht!$E$6:$K$82,3,FALSE)))))))),"Übung OK/UK?")))&lt;3,"RPE 7",(IF(VLOOKUP($A41,Übungsübersicht!$E$6:$K$82,7,FALSE)="OK",(MROUND(((INDEX($A$1:$U$68,(ROW(E41)),17))*$Q$97),(((IF(VLOOKUP($A41,Übungsübersicht!$E$6:$K$82,3,FALSE)=0,0.1,(VLOOKUP($A41,Übungsübersicht!$E$6:$K$82,3,FALSE)))))))),IF(VLOOKUP($A41,Übungsübersicht!$E$6:$K$82,7,FALSE)="UK",(MROUND(((INDEX($A$1:$U$68,(ROW(E41)),17))*$Q$98),(((IF(VLOOKUP($A41,Übungsübersicht!$E$6:$K$82,3,FALSE)=0,0.1,(VLOOKUP($A41,Übungsübersicht!$E$6:$K$82,3,FALSE)))))))),"Übung OK/UK?"))))),"Übung?",IF((IF(VLOOKUP($A41,Übungsübersicht!$E$6:$K$82,7,FALSE)="OK",(MROUND(((INDEX($A$1:$U$68,(ROW(E41)),17))*$Q$97),(((IF(VLOOKUP($A41,Übungsübersicht!$E$6:$K$82,3,FALSE)=0,0.1,(VLOOKUP($A41,Übungsübersicht!$E$6:$K$82,3,FALSE)))))))),IF(VLOOKUP($A41,Übungsübersicht!$E$6:$K$82,7,FALSE)="UK",(MROUND(((INDEX($A$1:$U$68,(ROW(E41)),17))*$Q$98),(((IF(VLOOKUP($A41,Übungsübersicht!$E$6:$K$82,3,FALSE)=0,0.1,(VLOOKUP($A41,Übungsübersicht!$E$6:$K$82,3,FALSE)))))))),"Übung OK/UK?")))&lt;3,"RPE 6",(IF(VLOOKUP($A41,Übungsübersicht!$E$6:$K$82,7,FALSE)="OK",(MROUND(((INDEX($A$1:$U$68,(ROW(E41)),17))*$Q$97),(((IF(VLOOKUP($A41,Übungsübersicht!$E$6:$K$82,3,FALSE)=0,0.1,(VLOOKUP($A41,Übungsübersicht!$E$6:$K$82,3,FALSE)))))))),IF(VLOOKUP($A41,Übungsübersicht!$E$6:$K$82,7,FALSE)="UK",(MROUND(((INDEX($A$1:$U$68,(ROW(E41)),17))*$Q$98),(((IF(VLOOKUP($A41,Übungsübersicht!$E$6:$K$82,3,FALSE)=0,0.1,(VLOOKUP($A41,Übungsübersicht!$E$6:$K$82,3,FALSE)))))))),"Übung OK/UK?")))))),"RPE 7")))</f>
        <v>30</v>
      </c>
      <c r="F41" s="598" t="str">
        <f>IF('Gewichts- Calculator'!$B$127="EINGEBEN","",(IF('Gewichts- Calculator'!$C$134="Ja Anzeigen",(IF($A41='Gewichts- Calculator'!$C$8," &gt;"&amp;'Gewichts- Calculator'!$B$127&amp;"  &gt; "&amp; 'Gewichts- Calculator'!$B$130,"")),"")))</f>
        <v/>
      </c>
      <c r="G41" s="670">
        <v>2</v>
      </c>
      <c r="H41" s="671">
        <f>IF(ISNA(IF($G41=0,"0",IF(VLOOKUP($A41,Übungsübersicht!$E$7:$K$83,4,FALSE)&lt;1,"RPE 8",VLOOKUP($A41,Übungsübersicht!$E$7:$K$83,4,FALSE)))),"Übung?",IF($G41=0,"0",IF(VLOOKUP($A41,Übungsübersicht!$E$7:$K$83,4,FALSE)&lt;1,"RPE 8",VLOOKUP($A41,Übungsübersicht!$E$7:$K$83,4,FALSE))))</f>
        <v>12</v>
      </c>
      <c r="I41" s="673">
        <v>32.5</v>
      </c>
      <c r="J41" s="598" t="str">
        <f>IF('Gewichts- Calculator'!$D$127="EINGEBEN","",(IF('Gewichts- Calculator'!$C$134="Ja Anzeigen",(IF($A41='Gewichts- Calculator'!$C$8," &gt;"&amp;'Gewichts- Calculator'!$D$127&amp;"  &gt; "&amp; 'Gewichts- Calculator'!$D$130,"")),"")))</f>
        <v/>
      </c>
      <c r="K41" s="670">
        <v>2</v>
      </c>
      <c r="L41" s="671">
        <f>IF(ISNA(IF($K41=0,"0",IF(VLOOKUP($A41,Übungsübersicht!$E$7:$K$83,4,FALSE)&lt;1,"RPE 8",VLOOKUP($A41,Übungsübersicht!$E$7:$K$83,4,FALSE)))),"Übung?",IF($K41=0,"0",IF(VLOOKUP($A41,Übungsübersicht!$E$7:$K$83,4,FALSE)&lt;1,"RPE 8",VLOOKUP($A41,Übungsübersicht!$E$7:$K$83,4,FALSE))))</f>
        <v>12</v>
      </c>
      <c r="M41" s="674">
        <v>32.5</v>
      </c>
      <c r="N41" s="598" t="str">
        <f>IF('Gewichts- Calculator'!$D$127="EINGEBEN","",(IF('Gewichts- Calculator'!$C$134="Ja Anzeigen",(IF($A41='Gewichts- Calculator'!$C$8," &gt;"&amp;'Gewichts- Calculator'!$D$127&amp;"  &gt; "&amp; 'Gewichts- Calculator'!$D$130,"")),"")))</f>
        <v/>
      </c>
      <c r="O41" s="670">
        <v>3</v>
      </c>
      <c r="P41" s="671">
        <f>IF(ISNA(IF($O41=0,"0",IF(VLOOKUP($A41,Übungsübersicht!$E$7:$K$83,5,FALSE)&lt;1,"RPE 9",VLOOKUP($A41,Übungsübersicht!$E$7:$K$83,5,FALSE)))),"Übung?",IF($O41=0,"0",IF(VLOOKUP($A41,Übungsübersicht!$E$7:$K$83,5,FALSE)&lt;1,"RPE 9",VLOOKUP($A41,Übungsübersicht!$E$7:$K$83,5,FALSE))))</f>
        <v>12</v>
      </c>
      <c r="Q41" s="675">
        <v>32.5</v>
      </c>
      <c r="R41" s="598" t="str">
        <f>IF('Gewichts- Calculator'!$F$127="EINGEBEN","",(IF('Gewichts- Calculator'!$C$134="Ja Anzeigen",(IF($A41='Gewichts- Calculator'!$C$8," &gt;"&amp;'Gewichts- Calculator'!$F$127&amp;"  &gt; "&amp; 'Gewichts- Calculator'!$F$130,"")),"")))</f>
        <v/>
      </c>
      <c r="S41" s="670">
        <v>0</v>
      </c>
      <c r="T41" s="671" t="str">
        <f>IF(ISNA(IF($S41=0,"0",IF(VLOOKUP($A41,Übungsübersicht!$E$7:$K$83,4,FALSE)&lt;1,"RPE 6",VLOOKUP($A41,Übungsübersicht!$E$7:$K$83,4,FALSE)))),"Übung?",IF($S41=0,"0",IF(VLOOKUP($A41,Übungsübersicht!$E$7:$K$83,4,FALSE)&lt;1,"RPE 6",VLOOKUP($A41,Übungsübersicht!$E$7:$K$83,4,FALSE))))</f>
        <v>0</v>
      </c>
      <c r="U41" s="674" cm="1">
        <f t="array" ref="U41">IFERROR((IF(ISNA(IF((IF(VLOOKUP($A41,Übungsübersicht!$E$6:$K$82,7,FALSE)="OK",(MROUND(((INDEX($A$1:$U$68,(ROW(U41)),17))*$T$97),(((IF(VLOOKUP($A41,Übungsübersicht!$E$6:$K$82,3,FALSE)=0,0.1,(VLOOKUP($A41,Übungsübersicht!$E$6:$K$82,3,FALSE)))))))),IF(VLOOKUP($A41,Übungsübersicht!$E$6:$K$82,7,FALSE)="UK",(MROUND(((INDEX($A$1:$U$68,(ROW(U41)),17))*$T$98),(((IF(VLOOKUP($A41,Übungsübersicht!$E$6:$K$82,3,FALSE)=0,0.1,(VLOOKUP($A41,Übungsübersicht!$E$6:$K$82,3,FALSE)))))))),"Übung OK/UK?")))&lt;3,"RPE 6",(IF(VLOOKUP($A41,Übungsübersicht!$E$6:$K$82,7,FALSE)="OK",(MROUND(((INDEX($A$1:$U$68,(ROW(U41)),17))*$T$97),(((IF(VLOOKUP($A41,Übungsübersicht!$E$6:$K$82,3,FALSE)=0,0.1,(VLOOKUP($A41,Übungsübersicht!$E$6:$K$82,3,FALSE)))))))),IF(VLOOKUP($A41,Übungsübersicht!$E$6:$K$82,7,FALSE)="UK",(MROUND(((INDEX($A$1:$U$68,(ROW(U41)),17))*$T$98),(((IF(VLOOKUP($A41,Übungsübersicht!$E$6:$K$82,3,FALSE)=0,0.1,(VLOOKUP($A41,Übungsübersicht!$E$6:$K$82,3,FALSE)))))))),"Übung OK/UK?"))))),"Übung?",IF((IF(VLOOKUP($A41,Übungsübersicht!$E$6:$K$82,7,FALSE)="OK",(MROUND(((INDEX($A$1:$U$68,(ROW(U41)),17))*$T$97),(((IF(VLOOKUP($A41,Übungsübersicht!$E$6:$K$82,3,FALSE)=0,0.1,(VLOOKUP($A41,Übungsübersicht!$E$6:$K$82,3,FALSE)))))))),IF(VLOOKUP($A41,Übungsübersicht!$E$6:$K$82,7,FALSE)="UK",(MROUND(((INDEX($A$1:$U$68,(ROW(U41)),17))*$T$98),(((IF(VLOOKUP($A41,Übungsübersicht!$E$6:$K$82,3,FALSE)=0,0.1,(VLOOKUP($A41,Übungsübersicht!$E$6:$K$82,3,FALSE)))))))),"Übung OK/UK?")))&lt;3,"RPE 6",(IF(VLOOKUP($A41,Übungsübersicht!$E$6:$K$82,7,FALSE)="OK",(MROUND(((INDEX($A$1:$U$68,(ROW(U41)),17))*$T$97),(((IF(VLOOKUP($A41,Übungsübersicht!$E$6:$K$82,3,FALSE)=0,0.1,(VLOOKUP($A41,Übungsübersicht!$E$6:$K$82,3,FALSE)))))))),IF(VLOOKUP($A41,Übungsübersicht!$E$6:$K$82,7,FALSE)="UK",(MROUND(((INDEX($A$1:$U$68,(ROW(U41)),17))*$T$98),(((IF(VLOOKUP($A41,Übungsübersicht!$E$6:$K$82,3,FALSE)=0,0.1,(VLOOKUP($A41,Übungsübersicht!$E$6:$K$82,3,FALSE)))))))),"Übung OK/UK?")))))),"RPE 6")</f>
        <v>22.5</v>
      </c>
    </row>
    <row r="42" spans="1:25" ht="26.1" customHeight="1" thickTop="1" thickBot="1">
      <c r="A42" s="668" t="s">
        <v>83</v>
      </c>
      <c r="B42" s="669" t="str">
        <f>IF(ISNA(IF(ISBLANK(VLOOKUP($A42,Übungsübersicht!$E$8:$F$83,2,FALSE)),"Muskelgruppe Auswählen",VLOOKUP($A42,Übungsübersicht!$E$8:$F$83,2,FALSE))),"Übung?",IF(ISBLANK(VLOOKUP($A42,Übungsübersicht!$E$8:$F$83,2,FALSE)),"Muskelgruppe Auswählen",VLOOKUP($A42,Übungsübersicht!$E$8:$F$83,2,FALSE)))</f>
        <v>Bizeps</v>
      </c>
      <c r="C42" s="670">
        <v>0</v>
      </c>
      <c r="D42" s="671" t="str">
        <f>IF(ISNA(IF($C42=0,"0",IF(VLOOKUP($A42,Übungsübersicht!$E$7:$K$83,4,FALSE)&lt;1,"RPE 7",VLOOKUP($A42,Übungsübersicht!$E$7:$K$83,4,FALSE)))),"Übung?",IF($C42=0,"0",IF(VLOOKUP($A42,Übungsübersicht!$E$7:$K$83,4,FALSE)&lt;1,"RPE 7",VLOOKUP($A42,Übungsübersicht!$E$7:$K$83,4,FALSE))))</f>
        <v>0</v>
      </c>
      <c r="E42" s="672" cm="1">
        <f t="array" ref="E42">IF(IFERROR((IF(ISNA(IF((IF(VLOOKUP($A42,Übungsübersicht!$E$6:$K$82,7,FALSE)="OK",(MROUND(((INDEX($A$1:$U$68,(ROW(E42)),17))*$Q$97),(((IF(VLOOKUP($A42,Übungsübersicht!$E$6:$K$82,3,FALSE)=0,0.1,(VLOOKUP($A42,Übungsübersicht!$E$6:$K$82,3,FALSE)))))))),IF(VLOOKUP($A42,Übungsübersicht!$E$6:$K$82,7,FALSE)="UK",(MROUND(((INDEX($A$1:$U$68,(ROW(E42)),17))*$Q$98),(((IF(VLOOKUP($A42,Übungsübersicht!$E$6:$K$82,3,FALSE)=0,0.1,(VLOOKUP($A42,Übungsübersicht!$E$6:$K$82,3,FALSE)))))))),"Übung OK/UK?")))&lt;3,"RPE 7",(IF(VLOOKUP($A42,Übungsübersicht!$E$6:$K$82,7,FALSE)="OK",(MROUND(((INDEX($A$1:$U$68,(ROW(E42)),17))*$Q$97),(((IF(VLOOKUP($A42,Übungsübersicht!$E$6:$K$82,3,FALSE)=0,0.1,(VLOOKUP($A42,Übungsübersicht!$E$6:$K$82,3,FALSE)))))))),IF(VLOOKUP($A42,Übungsübersicht!$E$6:$K$82,7,FALSE)="UK",(MROUND(((INDEX($A$1:$U$68,(ROW(E42)),17))*$Q$98),(((IF(VLOOKUP($A42,Übungsübersicht!$E$6:$K$82,3,FALSE)=0,0.1,(VLOOKUP($A42,Übungsübersicht!$E$6:$K$82,3,FALSE)))))))),"Übung OK/UK?"))))),"Übung?",IF((IF(VLOOKUP($A42,Übungsübersicht!$E$6:$K$82,7,FALSE)="OK",(MROUND(((INDEX($A$1:$U$68,(ROW(E42)),17))*$Q$97),(((IF(VLOOKUP($A42,Übungsübersicht!$E$6:$K$82,3,FALSE)=0,0.1,(VLOOKUP($A42,Übungsübersicht!$E$6:$K$82,3,FALSE)))))))),IF(VLOOKUP($A42,Übungsübersicht!$E$6:$K$82,7,FALSE)="UK",(MROUND(((INDEX($A$1:$U$68,(ROW(E42)),17))*$Q$98),(((IF(VLOOKUP($A42,Übungsübersicht!$E$6:$K$82,3,FALSE)=0,0.1,(VLOOKUP($A42,Übungsübersicht!$E$6:$K$82,3,FALSE)))))))),"Übung OK/UK?")))&lt;3,"RPE 7",(IF(VLOOKUP($A42,Übungsübersicht!$E$6:$K$82,7,FALSE)="OK",(MROUND(((INDEX($A$1:$U$68,(ROW(E42)),17))*$Q$97),(((IF(VLOOKUP($A42,Übungsübersicht!$E$6:$K$82,3,FALSE)=0,0.1,(VLOOKUP($A42,Übungsübersicht!$E$6:$K$82,3,FALSE)))))))),IF(VLOOKUP($A42,Übungsübersicht!$E$6:$K$82,7,FALSE)="UK",(MROUND(((INDEX($A$1:$U$68,(ROW(E42)),17))*$Q$98),(((IF(VLOOKUP($A42,Übungsübersicht!$E$6:$K$82,3,FALSE)=0,0.1,(VLOOKUP($A42,Übungsübersicht!$E$6:$K$82,3,FALSE)))))))),"Übung OK/UK?")))))),"RPE 6")=(INDEX($A$1:$U$68,(ROW(E42)),17)),(IFERROR((IF(ISNA(IF(INDEX($A$1:$U$68,(ROW(E42)),17)-(IF(VLOOKUP($A42,Übungsübersicht!$E$6:$K$82,3,FALSE)&lt;=0.5,0,(VLOOKUP($A42,Übungsübersicht!$E$6:$K$82,3,FALSE))))&lt;3,"RPE 7",INDEX($A$1:$U$68,(ROW(E42)),17)-(IF(VLOOKUP($A42,Übungsübersicht!$E$6:$K$82,3,FALSE)&lt;=0.5,0,(VLOOKUP($A42,Übungsübersicht!$E$6:$K$82,3,FALSE)))))),"Übung?",IF(INDEX($A$1:$U$68,(ROW(E42)),17)-(IF(VLOOKUP($A42,Übungsübersicht!$E$6:$K$82,3,FALSE)&lt;=0.5,0,(VLOOKUP($A42,Übungsübersicht!$E$6:$K$82,3,FALSE))))&lt;3,"RPE 7",INDEX($A$1:$U$68,(ROW(E42)),17)-(IF(VLOOKUP($A42,Übungsübersicht!$E$6:$K$82,3,FALSE)&lt;=0.5,0,(VLOOKUP($A42,Übungsübersicht!$E$6:$K$82,3,FALSE))))))),"RPE 7")),(IFERROR((IF(ISNA(IF((IF(VLOOKUP($A42,Übungsübersicht!$E$6:$K$82,7,FALSE)="OK",(MROUND(((INDEX($A$1:$U$68,(ROW(E42)),17))*$Q$97),(((IF(VLOOKUP($A42,Übungsübersicht!$E$6:$K$82,3,FALSE)=0,0.1,(VLOOKUP($A42,Übungsübersicht!$E$6:$K$82,3,FALSE)))))))),IF(VLOOKUP($A42,Übungsübersicht!$E$6:$K$82,7,FALSE)="UK",(MROUND(((INDEX($A$1:$U$68,(ROW(E42)),17))*$Q$98),(((IF(VLOOKUP($A42,Übungsübersicht!$E$6:$K$82,3,FALSE)=0,0.1,(VLOOKUP($A42,Übungsübersicht!$E$6:$K$82,3,FALSE)))))))),"Übung OK/UK?")))&lt;3,"RPE 7",(IF(VLOOKUP($A42,Übungsübersicht!$E$6:$K$82,7,FALSE)="OK",(MROUND(((INDEX($A$1:$U$68,(ROW(E42)),17))*$Q$97),(((IF(VLOOKUP($A42,Übungsübersicht!$E$6:$K$82,3,FALSE)=0,0.1,(VLOOKUP($A42,Übungsübersicht!$E$6:$K$82,3,FALSE)))))))),IF(VLOOKUP($A42,Übungsübersicht!$E$6:$K$82,7,FALSE)="UK",(MROUND(((INDEX($A$1:$U$68,(ROW(E42)),17))*$Q$98),(((IF(VLOOKUP($A42,Übungsübersicht!$E$6:$K$82,3,FALSE)=0,0.1,(VLOOKUP($A42,Übungsübersicht!$E$6:$K$82,3,FALSE)))))))),"Übung OK/UK?"))))),"Übung?",IF((IF(VLOOKUP($A42,Übungsübersicht!$E$6:$K$82,7,FALSE)="OK",(MROUND(((INDEX($A$1:$U$68,(ROW(E42)),17))*$Q$97),(((IF(VLOOKUP($A42,Übungsübersicht!$E$6:$K$82,3,FALSE)=0,0.1,(VLOOKUP($A42,Übungsübersicht!$E$6:$K$82,3,FALSE)))))))),IF(VLOOKUP($A42,Übungsübersicht!$E$6:$K$82,7,FALSE)="UK",(MROUND(((INDEX($A$1:$U$68,(ROW(E42)),17))*$Q$98),(((IF(VLOOKUP($A42,Übungsübersicht!$E$6:$K$82,3,FALSE)=0,0.1,(VLOOKUP($A42,Übungsübersicht!$E$6:$K$82,3,FALSE)))))))),"Übung OK/UK?")))&lt;3,"RPE 6",(IF(VLOOKUP($A42,Übungsübersicht!$E$6:$K$82,7,FALSE)="OK",(MROUND(((INDEX($A$1:$U$68,(ROW(E42)),17))*$Q$97),(((IF(VLOOKUP($A42,Übungsübersicht!$E$6:$K$82,3,FALSE)=0,0.1,(VLOOKUP($A42,Übungsübersicht!$E$6:$K$82,3,FALSE)))))))),IF(VLOOKUP($A42,Übungsübersicht!$E$6:$K$82,7,FALSE)="UK",(MROUND(((INDEX($A$1:$U$68,(ROW(E42)),17))*$Q$98),(((IF(VLOOKUP($A42,Übungsübersicht!$E$6:$K$82,3,FALSE)=0,0.1,(VLOOKUP($A42,Übungsübersicht!$E$6:$K$82,3,FALSE)))))))),"Übung OK/UK?")))))),"RPE 7")))</f>
        <v>22.5</v>
      </c>
      <c r="F42" s="598" t="str">
        <f>IF('Gewichts- Calculator'!$B$127="EINGEBEN","",(IF('Gewichts- Calculator'!$C$134="Ja Anzeigen",(IF($A42='Gewichts- Calculator'!$C$8," &gt;"&amp;'Gewichts- Calculator'!$B$127&amp;"  &gt; "&amp; 'Gewichts- Calculator'!$B$130,"")),"")))</f>
        <v/>
      </c>
      <c r="G42" s="670">
        <v>3</v>
      </c>
      <c r="H42" s="671">
        <f>IF(ISNA(IF($G42=0,"0",IF(VLOOKUP($A42,Übungsübersicht!$E$7:$K$83,4,FALSE)&lt;1,"RPE 8",VLOOKUP($A42,Übungsübersicht!$E$7:$K$83,4,FALSE)))),"Übung?",IF($G42=0,"0",IF(VLOOKUP($A42,Übungsübersicht!$E$7:$K$83,4,FALSE)&lt;1,"RPE 8",VLOOKUP($A42,Übungsübersicht!$E$7:$K$83,4,FALSE))))</f>
        <v>12</v>
      </c>
      <c r="I42" s="673">
        <v>25</v>
      </c>
      <c r="J42" s="598" t="str">
        <f>IF('Gewichts- Calculator'!$D$127="EINGEBEN","",(IF('Gewichts- Calculator'!$C$134="Ja Anzeigen",(IF($A42='Gewichts- Calculator'!$C$8," &gt;"&amp;'Gewichts- Calculator'!$D$127&amp;"  &gt; "&amp; 'Gewichts- Calculator'!$D$130,"")),"")))</f>
        <v/>
      </c>
      <c r="K42" s="670">
        <v>3</v>
      </c>
      <c r="L42" s="671">
        <f>IF(ISNA(IF($K42=0,"0",IF(VLOOKUP($A42,Übungsübersicht!$E$7:$K$83,4,FALSE)&lt;1,"RPE 8",VLOOKUP($A42,Übungsübersicht!$E$7:$K$83,4,FALSE)))),"Übung?",IF($K42=0,"0",IF(VLOOKUP($A42,Übungsübersicht!$E$7:$K$83,4,FALSE)&lt;1,"RPE 8",VLOOKUP($A42,Übungsübersicht!$E$7:$K$83,4,FALSE))))</f>
        <v>12</v>
      </c>
      <c r="M42" s="674">
        <v>25</v>
      </c>
      <c r="N42" s="598" t="str">
        <f>IF('Gewichts- Calculator'!$D$127="EINGEBEN","",(IF('Gewichts- Calculator'!$C$134="Ja Anzeigen",(IF($A42='Gewichts- Calculator'!$C$8," &gt;"&amp;'Gewichts- Calculator'!$D$127&amp;"  &gt; "&amp; 'Gewichts- Calculator'!$D$130,"")),"")))</f>
        <v/>
      </c>
      <c r="O42" s="670">
        <v>3</v>
      </c>
      <c r="P42" s="671">
        <f>IF(ISNA(IF($O42=0,"0",IF(VLOOKUP($A42,Übungsübersicht!$E$7:$K$83,5,FALSE)&lt;1,"RPE 9",VLOOKUP($A42,Übungsübersicht!$E$7:$K$83,5,FALSE)))),"Übung?",IF($O42=0,"0",IF(VLOOKUP($A42,Übungsübersicht!$E$7:$K$83,5,FALSE)&lt;1,"RPE 9",VLOOKUP($A42,Übungsübersicht!$E$7:$K$83,5,FALSE))))</f>
        <v>12</v>
      </c>
      <c r="Q42" s="675">
        <v>25</v>
      </c>
      <c r="R42" s="598" t="str">
        <f>IF('Gewichts- Calculator'!$F$127="EINGEBEN","",(IF('Gewichts- Calculator'!$C$134="Ja Anzeigen",(IF($A42='Gewichts- Calculator'!$C$8," &gt;"&amp;'Gewichts- Calculator'!$F$127&amp;"  &gt; "&amp; 'Gewichts- Calculator'!$F$130,"")),"")))</f>
        <v/>
      </c>
      <c r="S42" s="670">
        <v>0</v>
      </c>
      <c r="T42" s="671" t="str">
        <f>IF(ISNA(IF($S42=0,"0",IF(VLOOKUP($A42,Übungsübersicht!$E$7:$K$83,4,FALSE)&lt;1,"RPE 6",VLOOKUP($A42,Übungsübersicht!$E$7:$K$83,4,FALSE)))),"Übung?",IF($S42=0,"0",IF(VLOOKUP($A42,Übungsübersicht!$E$7:$K$83,4,FALSE)&lt;1,"RPE 6",VLOOKUP($A42,Übungsübersicht!$E$7:$K$83,4,FALSE))))</f>
        <v>0</v>
      </c>
      <c r="U42" s="674" cm="1">
        <f t="array" ref="U42">IFERROR((IF(ISNA(IF((IF(VLOOKUP($A42,Übungsübersicht!$E$6:$K$82,7,FALSE)="OK",(MROUND(((INDEX($A$1:$U$68,(ROW(U42)),17))*$T$97),(((IF(VLOOKUP($A42,Übungsübersicht!$E$6:$K$82,3,FALSE)=0,0.1,(VLOOKUP($A42,Übungsübersicht!$E$6:$K$82,3,FALSE)))))))),IF(VLOOKUP($A42,Übungsübersicht!$E$6:$K$82,7,FALSE)="UK",(MROUND(((INDEX($A$1:$U$68,(ROW(U42)),17))*$T$98),(((IF(VLOOKUP($A42,Übungsübersicht!$E$6:$K$82,3,FALSE)=0,0.1,(VLOOKUP($A42,Übungsübersicht!$E$6:$K$82,3,FALSE)))))))),"Übung OK/UK?")))&lt;3,"RPE 6",(IF(VLOOKUP($A42,Übungsübersicht!$E$6:$K$82,7,FALSE)="OK",(MROUND(((INDEX($A$1:$U$68,(ROW(U42)),17))*$T$97),(((IF(VLOOKUP($A42,Übungsübersicht!$E$6:$K$82,3,FALSE)=0,0.1,(VLOOKUP($A42,Übungsübersicht!$E$6:$K$82,3,FALSE)))))))),IF(VLOOKUP($A42,Übungsübersicht!$E$6:$K$82,7,FALSE)="UK",(MROUND(((INDEX($A$1:$U$68,(ROW(U42)),17))*$T$98),(((IF(VLOOKUP($A42,Übungsübersicht!$E$6:$K$82,3,FALSE)=0,0.1,(VLOOKUP($A42,Übungsübersicht!$E$6:$K$82,3,FALSE)))))))),"Übung OK/UK?"))))),"Übung?",IF((IF(VLOOKUP($A42,Übungsübersicht!$E$6:$K$82,7,FALSE)="OK",(MROUND(((INDEX($A$1:$U$68,(ROW(U42)),17))*$T$97),(((IF(VLOOKUP($A42,Übungsübersicht!$E$6:$K$82,3,FALSE)=0,0.1,(VLOOKUP($A42,Übungsübersicht!$E$6:$K$82,3,FALSE)))))))),IF(VLOOKUP($A42,Übungsübersicht!$E$6:$K$82,7,FALSE)="UK",(MROUND(((INDEX($A$1:$U$68,(ROW(U42)),17))*$T$98),(((IF(VLOOKUP($A42,Übungsübersicht!$E$6:$K$82,3,FALSE)=0,0.1,(VLOOKUP($A42,Übungsübersicht!$E$6:$K$82,3,FALSE)))))))),"Übung OK/UK?")))&lt;3,"RPE 6",(IF(VLOOKUP($A42,Übungsübersicht!$E$6:$K$82,7,FALSE)="OK",(MROUND(((INDEX($A$1:$U$68,(ROW(U42)),17))*$T$97),(((IF(VLOOKUP($A42,Übungsübersicht!$E$6:$K$82,3,FALSE)=0,0.1,(VLOOKUP($A42,Übungsübersicht!$E$6:$K$82,3,FALSE)))))))),IF(VLOOKUP($A42,Übungsübersicht!$E$6:$K$82,7,FALSE)="UK",(MROUND(((INDEX($A$1:$U$68,(ROW(U42)),17))*$T$98),(((IF(VLOOKUP($A42,Übungsübersicht!$E$6:$K$82,3,FALSE)=0,0.1,(VLOOKUP($A42,Übungsübersicht!$E$6:$K$82,3,FALSE)))))))),"Übung OK/UK?")))))),"RPE 6")</f>
        <v>17.5</v>
      </c>
      <c r="W42" s="851"/>
    </row>
    <row r="43" spans="1:25" ht="26.1" customHeight="1" thickTop="1">
      <c r="A43" s="17"/>
      <c r="B43" s="17"/>
      <c r="C43" s="18"/>
      <c r="D43" s="18"/>
      <c r="E43" s="18"/>
      <c r="F43" s="598" t="str">
        <f>IF('Gewichts- Calculator'!$B$127="EINGEBEN","",(IF('Gewichts- Calculator'!$C$134="Ja Anzeigen",(IF($A43='Gewichts- Calculator'!$C$8," &gt;"&amp;'Gewichts- Calculator'!$B$127&amp;"  &gt; "&amp; 'Gewichts- Calculator'!$B$130,"")),"")))</f>
        <v/>
      </c>
      <c r="G43" s="18"/>
      <c r="H43" s="18"/>
      <c r="I43" s="18"/>
      <c r="J43" s="598" t="str">
        <f>IF('Gewichts- Calculator'!$D$127="EINGEBEN","",(IF('Gewichts- Calculator'!$C$134="Ja Anzeigen",(IF($A43='Gewichts- Calculator'!$C$8," &gt;"&amp;'Gewichts- Calculator'!$D$127&amp;"  &gt; "&amp; 'Gewichts- Calculator'!$D$130,"")),"")))</f>
        <v/>
      </c>
      <c r="K43" s="18"/>
      <c r="L43" s="18"/>
      <c r="M43" s="18"/>
      <c r="N43" s="598" t="str">
        <f>IF('Gewichts- Calculator'!$D$127="EINGEBEN","",(IF('Gewichts- Calculator'!$C$134="Ja Anzeigen",(IF($A43='Gewichts- Calculator'!$C$8," &gt;"&amp;'Gewichts- Calculator'!$D$127&amp;"  &gt; "&amp; 'Gewichts- Calculator'!$D$130,"")),"")))</f>
        <v/>
      </c>
      <c r="O43" s="18"/>
      <c r="P43" s="18"/>
      <c r="Q43" s="18"/>
      <c r="R43" s="598" t="str">
        <f>IF('Gewichts- Calculator'!$F$127="EINGEBEN","",(IF('Gewichts- Calculator'!$C$134="Ja Anzeigen",(IF($A43='Gewichts- Calculator'!$C$8," &gt;"&amp;'Gewichts- Calculator'!$F$127&amp;"  &gt; "&amp; 'Gewichts- Calculator'!$F$130,"")),"")))</f>
        <v/>
      </c>
      <c r="S43" s="18"/>
      <c r="T43" s="18"/>
      <c r="U43" s="298"/>
      <c r="V43" s="7"/>
      <c r="W43" s="7"/>
      <c r="X43" s="7"/>
      <c r="Y43" s="7"/>
    </row>
    <row r="44" spans="1:25" ht="33.950000000000003" customHeight="1" thickBot="1">
      <c r="A44" s="876" t="s">
        <v>65</v>
      </c>
      <c r="B44" s="914" cm="1">
        <f t="array" aca="1" ref="B44" ca="1">IF(INDEX(Kalender!$B$6:$H$18,Zyklus!$AB$25,1)=$A44,INDEX(Kalender!$B$6:$H$18,Zyklus!$AB$25-1,1),IF(INDEX(Kalender!$B$6:$H$18,Zyklus!$AB$25,2)=$A44,INDEX(Kalender!$B$6:$H$18,Zyklus!$AB$25-1,2),IF(INDEX(Kalender!$B$6:$H$18,Zyklus!$AB$25,3)=$A44,INDEX(Kalender!$B$6:$H$18,Zyklus!$AB$25-1,3),IF(INDEX(Kalender!$B$6:$H$18,Zyklus!$AB$25,4)=$A44,INDEX(Kalender!$B$6:$H$18,Zyklus!$AB$25-1,4),IF(INDEX(Kalender!$B$6:$H$18,Zyklus!$AB$25,5)=$A44,INDEX(Kalender!$B$6:$H$18,Zyklus!$AB$25-1,5),IF(INDEX(Kalender!$B$6:$H$18,Zyklus!$AB$25,6)=$A44,INDEX(Kalender!$B$6:$H$18,Zyklus!$AB$25-1,6),IF(INDEX(Kalender!$B$6:$H$18,Zyklus!$AB$25,7)=$A44,INDEX(Kalender!$B$6:$H$18,Zyklus!$AB$25-1,7),"Kalender?")))))))</f>
        <v>43953</v>
      </c>
      <c r="C44" s="962" t="s">
        <v>178</v>
      </c>
      <c r="D44" s="962"/>
      <c r="E44" s="962"/>
      <c r="F44" s="598" t="str">
        <f>IF('Gewichts- Calculator'!$B$127="EINGEBEN","",(IF('Gewichts- Calculator'!$C$134="Ja Anzeigen",(IF($A44='Gewichts- Calculator'!$C$8," &gt;"&amp;'Gewichts- Calculator'!$B$127&amp;"  &gt; "&amp; 'Gewichts- Calculator'!$B$130,"")),"")))</f>
        <v/>
      </c>
      <c r="G44" s="962" t="s">
        <v>179</v>
      </c>
      <c r="H44" s="962"/>
      <c r="I44" s="962"/>
      <c r="J44" s="598" t="str">
        <f>IF('Gewichts- Calculator'!$D$127="EINGEBEN","",(IF('Gewichts- Calculator'!$C$134="Ja Anzeigen",(IF($A44='Gewichts- Calculator'!$C$8," &gt;"&amp;'Gewichts- Calculator'!$D$127&amp;"  &gt; "&amp; 'Gewichts- Calculator'!$D$130,"")),"")))</f>
        <v/>
      </c>
      <c r="K44" s="962" t="s">
        <v>180</v>
      </c>
      <c r="L44" s="962"/>
      <c r="M44" s="962"/>
      <c r="N44" s="598" t="str">
        <f>IF('Gewichts- Calculator'!$D$127="EINGEBEN","",(IF('Gewichts- Calculator'!$C$134="Ja Anzeigen",(IF($A44='Gewichts- Calculator'!$C$8," &gt;"&amp;'Gewichts- Calculator'!$D$127&amp;"  &gt; "&amp; 'Gewichts- Calculator'!$D$130,"")),"")))</f>
        <v/>
      </c>
      <c r="O44" s="962" t="s">
        <v>181</v>
      </c>
      <c r="P44" s="962"/>
      <c r="Q44" s="962"/>
      <c r="R44" s="598" t="str">
        <f>IF('Gewichts- Calculator'!$F$127="EINGEBEN","",(IF('Gewichts- Calculator'!$C$134="Ja Anzeigen",(IF($A44='Gewichts- Calculator'!$C$8," &gt;"&amp;'Gewichts- Calculator'!$F$127&amp;"  &gt; "&amp; 'Gewichts- Calculator'!$F$130,"")),"")))</f>
        <v/>
      </c>
      <c r="S44" s="962" t="s">
        <v>182</v>
      </c>
      <c r="T44" s="962"/>
      <c r="U44" s="962"/>
      <c r="V44" s="7"/>
      <c r="W44" s="7"/>
      <c r="X44" s="7"/>
      <c r="Y44" s="7"/>
    </row>
    <row r="45" spans="1:25" ht="26.1" customHeight="1" thickTop="1" thickBot="1">
      <c r="A45" s="664" t="s">
        <v>0</v>
      </c>
      <c r="B45" s="664" t="s">
        <v>1</v>
      </c>
      <c r="C45" s="665" t="s">
        <v>55</v>
      </c>
      <c r="D45" s="665" t="s">
        <v>56</v>
      </c>
      <c r="E45" s="665" t="s">
        <v>57</v>
      </c>
      <c r="F45" s="598" t="str">
        <f>IF('Gewichts- Calculator'!$B$127="EINGEBEN","",(IF('Gewichts- Calculator'!$C$134="Ja Anzeigen",(IF($A45='Gewichts- Calculator'!$C$8," &gt;"&amp;'Gewichts- Calculator'!$B$127&amp;"  &gt; "&amp; 'Gewichts- Calculator'!$B$130,"")),"")))</f>
        <v/>
      </c>
      <c r="G45" s="665" t="s">
        <v>55</v>
      </c>
      <c r="H45" s="665" t="s">
        <v>56</v>
      </c>
      <c r="I45" s="665" t="s">
        <v>57</v>
      </c>
      <c r="J45" s="598" t="str">
        <f>IF('Gewichts- Calculator'!$D$127="EINGEBEN","",(IF('Gewichts- Calculator'!$C$134="Ja Anzeigen",(IF($A45='Gewichts- Calculator'!$C$8," &gt;"&amp;'Gewichts- Calculator'!$D$127&amp;"  &gt; "&amp; 'Gewichts- Calculator'!$D$130,"")),"")))</f>
        <v/>
      </c>
      <c r="K45" s="665" t="s">
        <v>55</v>
      </c>
      <c r="L45" s="665" t="s">
        <v>56</v>
      </c>
      <c r="M45" s="665" t="s">
        <v>57</v>
      </c>
      <c r="N45" s="598" t="str">
        <f>IF('Gewichts- Calculator'!$D$127="EINGEBEN","",(IF('Gewichts- Calculator'!$C$134="Ja Anzeigen",(IF($A45='Gewichts- Calculator'!$C$8," &gt;"&amp;'Gewichts- Calculator'!$D$127&amp;"  &gt; "&amp; 'Gewichts- Calculator'!$D$130,"")),"")))</f>
        <v/>
      </c>
      <c r="O45" s="665" t="s">
        <v>55</v>
      </c>
      <c r="P45" s="665" t="s">
        <v>56</v>
      </c>
      <c r="Q45" s="665" t="s">
        <v>57</v>
      </c>
      <c r="R45" s="598" t="str">
        <f>IF('Gewichts- Calculator'!$F$127="EINGEBEN","",(IF('Gewichts- Calculator'!$C$134="Ja Anzeigen",(IF($A45='Gewichts- Calculator'!$C$8," &gt;"&amp;'Gewichts- Calculator'!$F$127&amp;"  &gt; "&amp; 'Gewichts- Calculator'!$F$130,"")),"")))</f>
        <v/>
      </c>
      <c r="S45" s="665" t="s">
        <v>55</v>
      </c>
      <c r="T45" s="665" t="s">
        <v>56</v>
      </c>
      <c r="U45" s="667" t="s">
        <v>57</v>
      </c>
    </row>
    <row r="46" spans="1:25" ht="26.1" customHeight="1" thickTop="1" thickBot="1">
      <c r="A46" s="668" t="s">
        <v>19</v>
      </c>
      <c r="B46" s="669" t="str">
        <f>IF(ISNA(IF(ISBLANK(VLOOKUP($A46,Übungsübersicht!$E$8:$F$83,2,FALSE)),"Muskelgruppe Auswählen",VLOOKUP($A46,Übungsübersicht!$E$8:$F$83,2,FALSE))),"Übung?",IF(ISBLANK(VLOOKUP($A46,Übungsübersicht!$E$8:$F$83,2,FALSE)),"Muskelgruppe Auswählen",VLOOKUP($A46,Übungsübersicht!$E$8:$F$83,2,FALSE)))</f>
        <v>Quads</v>
      </c>
      <c r="C46" s="670">
        <v>3</v>
      </c>
      <c r="D46" s="671">
        <f>IF(ISNA(IF($C46=0,"0",IF(VLOOKUP($A46,Übungsübersicht!$E$7:$K$83,4,FALSE)&lt;1,"RPE 7",VLOOKUP($A46,Übungsübersicht!$E$7:$K$83,4,FALSE)))),"Übung?",IF($C46=0,"0",IF(VLOOKUP($A46,Übungsübersicht!$E$7:$K$83,4,FALSE)&lt;1,"RPE 7",VLOOKUP($A46,Übungsübersicht!$E$7:$K$83,4,FALSE))))</f>
        <v>8</v>
      </c>
      <c r="E46" s="672" cm="1">
        <f t="array" ref="E46">IF(IFERROR((IF(ISNA(IF((IF(VLOOKUP($A46,Übungsübersicht!$E$6:$K$82,7,FALSE)="OK",(MROUND(((INDEX($A$1:$U$68,(ROW(E46)),17))*$Q$97),(((IF(VLOOKUP($A46,Übungsübersicht!$E$6:$K$82,3,FALSE)=0,0.1,(VLOOKUP($A46,Übungsübersicht!$E$6:$K$82,3,FALSE)))))))),IF(VLOOKUP($A46,Übungsübersicht!$E$6:$K$82,7,FALSE)="UK",(MROUND(((INDEX($A$1:$U$68,(ROW(E46)),17))*$Q$98),(((IF(VLOOKUP($A46,Übungsübersicht!$E$6:$K$82,3,FALSE)=0,0.1,(VLOOKUP($A46,Übungsübersicht!$E$6:$K$82,3,FALSE)))))))),"Übung OK/UK?")))&lt;3,"RPE 7",(IF(VLOOKUP($A46,Übungsübersicht!$E$6:$K$82,7,FALSE)="OK",(MROUND(((INDEX($A$1:$U$68,(ROW(E46)),17))*$Q$97),(((IF(VLOOKUP($A46,Übungsübersicht!$E$6:$K$82,3,FALSE)=0,0.1,(VLOOKUP($A46,Übungsübersicht!$E$6:$K$82,3,FALSE)))))))),IF(VLOOKUP($A46,Übungsübersicht!$E$6:$K$82,7,FALSE)="UK",(MROUND(((INDEX($A$1:$U$68,(ROW(E46)),17))*$Q$98),(((IF(VLOOKUP($A46,Übungsübersicht!$E$6:$K$82,3,FALSE)=0,0.1,(VLOOKUP($A46,Übungsübersicht!$E$6:$K$82,3,FALSE)))))))),"Übung OK/UK?"))))),"Übung?",IF((IF(VLOOKUP($A46,Übungsübersicht!$E$6:$K$82,7,FALSE)="OK",(MROUND(((INDEX($A$1:$U$68,(ROW(E46)),17))*$Q$97),(((IF(VLOOKUP($A46,Übungsübersicht!$E$6:$K$82,3,FALSE)=0,0.1,(VLOOKUP($A46,Übungsübersicht!$E$6:$K$82,3,FALSE)))))))),IF(VLOOKUP($A46,Übungsübersicht!$E$6:$K$82,7,FALSE)="UK",(MROUND(((INDEX($A$1:$U$68,(ROW(E46)),17))*$Q$98),(((IF(VLOOKUP($A46,Übungsübersicht!$E$6:$K$82,3,FALSE)=0,0.1,(VLOOKUP($A46,Übungsübersicht!$E$6:$K$82,3,FALSE)))))))),"Übung OK/UK?")))&lt;3,"RPE 7",(IF(VLOOKUP($A46,Übungsübersicht!$E$6:$K$82,7,FALSE)="OK",(MROUND(((INDEX($A$1:$U$68,(ROW(E46)),17))*$Q$97),(((IF(VLOOKUP($A46,Übungsübersicht!$E$6:$K$82,3,FALSE)=0,0.1,(VLOOKUP($A46,Übungsübersicht!$E$6:$K$82,3,FALSE)))))))),IF(VLOOKUP($A46,Übungsübersicht!$E$6:$K$82,7,FALSE)="UK",(MROUND(((INDEX($A$1:$U$68,(ROW(E46)),17))*$Q$98),(((IF(VLOOKUP($A46,Übungsübersicht!$E$6:$K$82,3,FALSE)=0,0.1,(VLOOKUP($A46,Übungsübersicht!$E$6:$K$82,3,FALSE)))))))),"Übung OK/UK?")))))),"RPE 6")=(INDEX($A$1:$U$68,(ROW(E46)),17)),(IFERROR((IF(ISNA(IF(INDEX($A$1:$U$68,(ROW(E46)),17)-(IF(VLOOKUP($A46,Übungsübersicht!$E$6:$K$82,3,FALSE)&lt;=0.5,0,(VLOOKUP($A46,Übungsübersicht!$E$6:$K$82,3,FALSE))))&lt;3,"RPE 7",INDEX($A$1:$U$68,(ROW(E46)),17)-(IF(VLOOKUP($A46,Übungsübersicht!$E$6:$K$82,3,FALSE)&lt;=0.5,0,(VLOOKUP($A46,Übungsübersicht!$E$6:$K$82,3,FALSE)))))),"Übung?",IF(INDEX($A$1:$U$68,(ROW(E46)),17)-(IF(VLOOKUP($A46,Übungsübersicht!$E$6:$K$82,3,FALSE)&lt;=0.5,0,(VLOOKUP($A46,Übungsübersicht!$E$6:$K$82,3,FALSE))))&lt;3,"RPE 7",INDEX($A$1:$U$68,(ROW(E46)),17)-(IF(VLOOKUP($A46,Übungsübersicht!$E$6:$K$82,3,FALSE)&lt;=0.5,0,(VLOOKUP($A46,Übungsübersicht!$E$6:$K$82,3,FALSE))))))),"RPE 7")),(IFERROR((IF(ISNA(IF((IF(VLOOKUP($A46,Übungsübersicht!$E$6:$K$82,7,FALSE)="OK",(MROUND(((INDEX($A$1:$U$68,(ROW(E46)),17))*$Q$97),(((IF(VLOOKUP($A46,Übungsübersicht!$E$6:$K$82,3,FALSE)=0,0.1,(VLOOKUP($A46,Übungsübersicht!$E$6:$K$82,3,FALSE)))))))),IF(VLOOKUP($A46,Übungsübersicht!$E$6:$K$82,7,FALSE)="UK",(MROUND(((INDEX($A$1:$U$68,(ROW(E46)),17))*$Q$98),(((IF(VLOOKUP($A46,Übungsübersicht!$E$6:$K$82,3,FALSE)=0,0.1,(VLOOKUP($A46,Übungsübersicht!$E$6:$K$82,3,FALSE)))))))),"Übung OK/UK?")))&lt;3,"RPE 7",(IF(VLOOKUP($A46,Übungsübersicht!$E$6:$K$82,7,FALSE)="OK",(MROUND(((INDEX($A$1:$U$68,(ROW(E46)),17))*$Q$97),(((IF(VLOOKUP($A46,Übungsübersicht!$E$6:$K$82,3,FALSE)=0,0.1,(VLOOKUP($A46,Übungsübersicht!$E$6:$K$82,3,FALSE)))))))),IF(VLOOKUP($A46,Übungsübersicht!$E$6:$K$82,7,FALSE)="UK",(MROUND(((INDEX($A$1:$U$68,(ROW(E46)),17))*$Q$98),(((IF(VLOOKUP($A46,Übungsübersicht!$E$6:$K$82,3,FALSE)=0,0.1,(VLOOKUP($A46,Übungsübersicht!$E$6:$K$82,3,FALSE)))))))),"Übung OK/UK?"))))),"Übung?",IF((IF(VLOOKUP($A46,Übungsübersicht!$E$6:$K$82,7,FALSE)="OK",(MROUND(((INDEX($A$1:$U$68,(ROW(E46)),17))*$Q$97),(((IF(VLOOKUP($A46,Übungsübersicht!$E$6:$K$82,3,FALSE)=0,0.1,(VLOOKUP($A46,Übungsübersicht!$E$6:$K$82,3,FALSE)))))))),IF(VLOOKUP($A46,Übungsübersicht!$E$6:$K$82,7,FALSE)="UK",(MROUND(((INDEX($A$1:$U$68,(ROW(E46)),17))*$Q$98),(((IF(VLOOKUP($A46,Übungsübersicht!$E$6:$K$82,3,FALSE)=0,0.1,(VLOOKUP($A46,Übungsübersicht!$E$6:$K$82,3,FALSE)))))))),"Übung OK/UK?")))&lt;3,"RPE 6",(IF(VLOOKUP($A46,Übungsübersicht!$E$6:$K$82,7,FALSE)="OK",(MROUND(((INDEX($A$1:$U$68,(ROW(E46)),17))*$Q$97),(((IF(VLOOKUP($A46,Übungsübersicht!$E$6:$K$82,3,FALSE)=0,0.1,(VLOOKUP($A46,Übungsübersicht!$E$6:$K$82,3,FALSE)))))))),IF(VLOOKUP($A46,Übungsübersicht!$E$6:$K$82,7,FALSE)="UK",(MROUND(((INDEX($A$1:$U$68,(ROW(E46)),17))*$Q$98),(((IF(VLOOKUP($A46,Übungsübersicht!$E$6:$K$82,3,FALSE)=0,0.1,(VLOOKUP($A46,Übungsübersicht!$E$6:$K$82,3,FALSE)))))))),"Übung OK/UK?")))))),"RPE 7")))</f>
        <v>112.5</v>
      </c>
      <c r="F46" s="598" t="str">
        <f>IF('Gewichts- Calculator'!$B$127="EINGEBEN","",(IF('Gewichts- Calculator'!$C$134="Ja Anzeigen",(IF($A46='Gewichts- Calculator'!$C$8," &gt;"&amp;'Gewichts- Calculator'!$B$127&amp;"  &gt; "&amp; 'Gewichts- Calculator'!$B$130,"")),"")))</f>
        <v/>
      </c>
      <c r="G46" s="670">
        <v>3</v>
      </c>
      <c r="H46" s="671">
        <f>IF(ISNA(IF($G46=0,"0",IF(VLOOKUP($A46,Übungsübersicht!$E$7:$K$83,4,FALSE)&lt;1,"RPE 8",VLOOKUP($A46,Übungsübersicht!$E$7:$K$83,4,FALSE)))),"Übung?",IF($G46=0,"0",IF(VLOOKUP($A46,Übungsübersicht!$E$7:$K$83,4,FALSE)&lt;1,"RPE 8",VLOOKUP($A46,Übungsübersicht!$E$7:$K$83,4,FALSE))))</f>
        <v>8</v>
      </c>
      <c r="I46" s="673">
        <v>117.5</v>
      </c>
      <c r="J46" s="598" t="str">
        <f>IF('Gewichts- Calculator'!$D$127="EINGEBEN","",(IF('Gewichts- Calculator'!$C$134="Ja Anzeigen",(IF($A46='Gewichts- Calculator'!$C$8," &gt;"&amp;'Gewichts- Calculator'!$D$127&amp;"  &gt; "&amp; 'Gewichts- Calculator'!$D$130,"")),"")))</f>
        <v/>
      </c>
      <c r="K46" s="670">
        <v>3</v>
      </c>
      <c r="L46" s="671">
        <f>IF(ISNA(IF($K46=0,"0",IF(VLOOKUP($A46,Übungsübersicht!$E$7:$K$83,4,FALSE)&lt;1,"RPE 8",VLOOKUP($A46,Übungsübersicht!$E$7:$K$83,4,FALSE)))),"Übung?",IF($K46=0,"0",IF(VLOOKUP($A46,Übungsübersicht!$E$7:$K$83,4,FALSE)&lt;1,"RPE 8",VLOOKUP($A46,Übungsübersicht!$E$7:$K$83,4,FALSE))))</f>
        <v>8</v>
      </c>
      <c r="M46" s="674">
        <v>117.5</v>
      </c>
      <c r="N46" s="598" t="str">
        <f>IF('Gewichts- Calculator'!$D$127="EINGEBEN","",(IF('Gewichts- Calculator'!$C$134="Ja Anzeigen",(IF($A46='Gewichts- Calculator'!$C$8," &gt;"&amp;'Gewichts- Calculator'!$D$127&amp;"  &gt; "&amp; 'Gewichts- Calculator'!$D$130,"")),"")))</f>
        <v/>
      </c>
      <c r="O46" s="670">
        <v>4</v>
      </c>
      <c r="P46" s="671">
        <f>IF(ISNA(IF($O46=0,"0",IF(VLOOKUP($A46,Übungsübersicht!$E$7:$K$83,5,FALSE)&lt;1,"RPE 9",VLOOKUP($A46,Übungsübersicht!$E$7:$K$83,5,FALSE)))),"Übung?",IF($O46=0,"0",IF(VLOOKUP($A46,Übungsübersicht!$E$7:$K$83,5,FALSE)&lt;1,"RPE 9",VLOOKUP($A46,Übungsübersicht!$E$7:$K$83,5,FALSE))))</f>
        <v>8</v>
      </c>
      <c r="Q46" s="675">
        <v>117.5</v>
      </c>
      <c r="R46" s="598" t="str">
        <f>IF('Gewichts- Calculator'!$F$127="EINGEBEN","",(IF('Gewichts- Calculator'!$C$134="Ja Anzeigen",(IF($A46='Gewichts- Calculator'!$C$8," &gt;"&amp;'Gewichts- Calculator'!$F$127&amp;"  &gt; "&amp; 'Gewichts- Calculator'!$F$130,"")),"")))</f>
        <v/>
      </c>
      <c r="S46" s="670">
        <v>3</v>
      </c>
      <c r="T46" s="671">
        <f>IF(ISNA(IF($S46=0,"0",IF(VLOOKUP($A46,Übungsübersicht!$E$7:$K$83,4,FALSE)&lt;1,"RPE 6",VLOOKUP($A46,Übungsübersicht!$E$7:$K$83,4,FALSE)))),"Übung?",IF($S46=0,"0",IF(VLOOKUP($A46,Übungsübersicht!$E$7:$K$83,4,FALSE)&lt;1,"RPE 6",VLOOKUP($A46,Übungsübersicht!$E$7:$K$83,4,FALSE))))</f>
        <v>8</v>
      </c>
      <c r="U46" s="674" cm="1">
        <f t="array" ref="U46">IFERROR((IF(ISNA(IF((IF(VLOOKUP($A46,Übungsübersicht!$E$6:$K$82,7,FALSE)="OK",(MROUND(((INDEX($A$1:$U$68,(ROW(U46)),17))*$T$97),(((IF(VLOOKUP($A46,Übungsübersicht!$E$6:$K$82,3,FALSE)=0,0.1,(VLOOKUP($A46,Übungsübersicht!$E$6:$K$82,3,FALSE)))))))),IF(VLOOKUP($A46,Übungsübersicht!$E$6:$K$82,7,FALSE)="UK",(MROUND(((INDEX($A$1:$U$68,(ROW(U46)),17))*$T$98),(((IF(VLOOKUP($A46,Übungsübersicht!$E$6:$K$82,3,FALSE)=0,0.1,(VLOOKUP($A46,Übungsübersicht!$E$6:$K$82,3,FALSE)))))))),"Übung OK/UK?")))&lt;3,"RPE 6",(IF(VLOOKUP($A46,Übungsübersicht!$E$6:$K$82,7,FALSE)="OK",(MROUND(((INDEX($A$1:$U$68,(ROW(U46)),17))*$T$97),(((IF(VLOOKUP($A46,Übungsübersicht!$E$6:$K$82,3,FALSE)=0,0.1,(VLOOKUP($A46,Übungsübersicht!$E$6:$K$82,3,FALSE)))))))),IF(VLOOKUP($A46,Übungsübersicht!$E$6:$K$82,7,FALSE)="UK",(MROUND(((INDEX($A$1:$U$68,(ROW(U46)),17))*$T$98),(((IF(VLOOKUP($A46,Übungsübersicht!$E$6:$K$82,3,FALSE)=0,0.1,(VLOOKUP($A46,Übungsübersicht!$E$6:$K$82,3,FALSE)))))))),"Übung OK/UK?"))))),"Übung?",IF((IF(VLOOKUP($A46,Übungsübersicht!$E$6:$K$82,7,FALSE)="OK",(MROUND(((INDEX($A$1:$U$68,(ROW(U46)),17))*$T$97),(((IF(VLOOKUP($A46,Übungsübersicht!$E$6:$K$82,3,FALSE)=0,0.1,(VLOOKUP($A46,Übungsübersicht!$E$6:$K$82,3,FALSE)))))))),IF(VLOOKUP($A46,Übungsübersicht!$E$6:$K$82,7,FALSE)="UK",(MROUND(((INDEX($A$1:$U$68,(ROW(U46)),17))*$T$98),(((IF(VLOOKUP($A46,Übungsübersicht!$E$6:$K$82,3,FALSE)=0,0.1,(VLOOKUP($A46,Übungsübersicht!$E$6:$K$82,3,FALSE)))))))),"Übung OK/UK?")))&lt;3,"RPE 6",(IF(VLOOKUP($A46,Übungsübersicht!$E$6:$K$82,7,FALSE)="OK",(MROUND(((INDEX($A$1:$U$68,(ROW(U46)),17))*$T$97),(((IF(VLOOKUP($A46,Übungsübersicht!$E$6:$K$82,3,FALSE)=0,0.1,(VLOOKUP($A46,Übungsübersicht!$E$6:$K$82,3,FALSE)))))))),IF(VLOOKUP($A46,Übungsübersicht!$E$6:$K$82,7,FALSE)="UK",(MROUND(((INDEX($A$1:$U$68,(ROW(U46)),17))*$T$98),(((IF(VLOOKUP($A46,Übungsübersicht!$E$6:$K$82,3,FALSE)=0,0.1,(VLOOKUP($A46,Übungsübersicht!$E$6:$K$82,3,FALSE)))))))),"Übung OK/UK?")))))),"RPE 6")</f>
        <v>70</v>
      </c>
      <c r="V46" s="7"/>
    </row>
    <row r="47" spans="1:25" ht="26.1" customHeight="1" thickTop="1" thickBot="1">
      <c r="A47" s="668" t="s">
        <v>27</v>
      </c>
      <c r="B47" s="669" t="str">
        <f>IF(ISNA(IF(ISBLANK(VLOOKUP($A47,Übungsübersicht!$E$8:$F$83,2,FALSE)),"Muskelgruppe Auswählen",VLOOKUP($A47,Übungsübersicht!$E$8:$F$83,2,FALSE))),"Übung?",IF(ISBLANK(VLOOKUP($A47,Übungsübersicht!$E$8:$F$83,2,FALSE)),"Muskelgruppe Auswählen",VLOOKUP($A47,Übungsübersicht!$E$8:$F$83,2,FALSE)))</f>
        <v>Hamstrings</v>
      </c>
      <c r="C47" s="670">
        <v>2</v>
      </c>
      <c r="D47" s="671">
        <f>IF(ISNA(IF($C47=0,"0",IF(VLOOKUP($A47,Übungsübersicht!$E$7:$K$83,4,FALSE)&lt;1,"RPE 7",VLOOKUP($A47,Übungsübersicht!$E$7:$K$83,4,FALSE)))),"Übung?",IF($C47=0,"0",IF(VLOOKUP($A47,Übungsübersicht!$E$7:$K$83,4,FALSE)&lt;1,"RPE 7",VLOOKUP($A47,Übungsübersicht!$E$7:$K$83,4,FALSE))))</f>
        <v>10</v>
      </c>
      <c r="E47" s="672" cm="1">
        <f t="array" ref="E47">IF(IFERROR((IF(ISNA(IF((IF(VLOOKUP($A47,Übungsübersicht!$E$6:$K$82,7,FALSE)="OK",(MROUND(((INDEX($A$1:$U$68,(ROW(E47)),17))*$Q$97),(((IF(VLOOKUP($A47,Übungsübersicht!$E$6:$K$82,3,FALSE)=0,0.1,(VLOOKUP($A47,Übungsübersicht!$E$6:$K$82,3,FALSE)))))))),IF(VLOOKUP($A47,Übungsübersicht!$E$6:$K$82,7,FALSE)="UK",(MROUND(((INDEX($A$1:$U$68,(ROW(E47)),17))*$Q$98),(((IF(VLOOKUP($A47,Übungsübersicht!$E$6:$K$82,3,FALSE)=0,0.1,(VLOOKUP($A47,Übungsübersicht!$E$6:$K$82,3,FALSE)))))))),"Übung OK/UK?")))&lt;3,"RPE 7",(IF(VLOOKUP($A47,Übungsübersicht!$E$6:$K$82,7,FALSE)="OK",(MROUND(((INDEX($A$1:$U$68,(ROW(E47)),17))*$Q$97),(((IF(VLOOKUP($A47,Übungsübersicht!$E$6:$K$82,3,FALSE)=0,0.1,(VLOOKUP($A47,Übungsübersicht!$E$6:$K$82,3,FALSE)))))))),IF(VLOOKUP($A47,Übungsübersicht!$E$6:$K$82,7,FALSE)="UK",(MROUND(((INDEX($A$1:$U$68,(ROW(E47)),17))*$Q$98),(((IF(VLOOKUP($A47,Übungsübersicht!$E$6:$K$82,3,FALSE)=0,0.1,(VLOOKUP($A47,Übungsübersicht!$E$6:$K$82,3,FALSE)))))))),"Übung OK/UK?"))))),"Übung?",IF((IF(VLOOKUP($A47,Übungsübersicht!$E$6:$K$82,7,FALSE)="OK",(MROUND(((INDEX($A$1:$U$68,(ROW(E47)),17))*$Q$97),(((IF(VLOOKUP($A47,Übungsübersicht!$E$6:$K$82,3,FALSE)=0,0.1,(VLOOKUP($A47,Übungsübersicht!$E$6:$K$82,3,FALSE)))))))),IF(VLOOKUP($A47,Übungsübersicht!$E$6:$K$82,7,FALSE)="UK",(MROUND(((INDEX($A$1:$U$68,(ROW(E47)),17))*$Q$98),(((IF(VLOOKUP($A47,Übungsübersicht!$E$6:$K$82,3,FALSE)=0,0.1,(VLOOKUP($A47,Übungsübersicht!$E$6:$K$82,3,FALSE)))))))),"Übung OK/UK?")))&lt;3,"RPE 7",(IF(VLOOKUP($A47,Übungsübersicht!$E$6:$K$82,7,FALSE)="OK",(MROUND(((INDEX($A$1:$U$68,(ROW(E47)),17))*$Q$97),(((IF(VLOOKUP($A47,Übungsübersicht!$E$6:$K$82,3,FALSE)=0,0.1,(VLOOKUP($A47,Übungsübersicht!$E$6:$K$82,3,FALSE)))))))),IF(VLOOKUP($A47,Übungsübersicht!$E$6:$K$82,7,FALSE)="UK",(MROUND(((INDEX($A$1:$U$68,(ROW(E47)),17))*$Q$98),(((IF(VLOOKUP($A47,Übungsübersicht!$E$6:$K$82,3,FALSE)=0,0.1,(VLOOKUP($A47,Übungsübersicht!$E$6:$K$82,3,FALSE)))))))),"Übung OK/UK?")))))),"RPE 6")=(INDEX($A$1:$U$68,(ROW(E47)),17)),(IFERROR((IF(ISNA(IF(INDEX($A$1:$U$68,(ROW(E47)),17)-(IF(VLOOKUP($A47,Übungsübersicht!$E$6:$K$82,3,FALSE)&lt;=0.5,0,(VLOOKUP($A47,Übungsübersicht!$E$6:$K$82,3,FALSE))))&lt;3,"RPE 7",INDEX($A$1:$U$68,(ROW(E47)),17)-(IF(VLOOKUP($A47,Übungsübersicht!$E$6:$K$82,3,FALSE)&lt;=0.5,0,(VLOOKUP($A47,Übungsübersicht!$E$6:$K$82,3,FALSE)))))),"Übung?",IF(INDEX($A$1:$U$68,(ROW(E47)),17)-(IF(VLOOKUP($A47,Übungsübersicht!$E$6:$K$82,3,FALSE)&lt;=0.5,0,(VLOOKUP($A47,Übungsübersicht!$E$6:$K$82,3,FALSE))))&lt;3,"RPE 7",INDEX($A$1:$U$68,(ROW(E47)),17)-(IF(VLOOKUP($A47,Übungsübersicht!$E$6:$K$82,3,FALSE)&lt;=0.5,0,(VLOOKUP($A47,Übungsübersicht!$E$6:$K$82,3,FALSE))))))),"RPE 7")),(IFERROR((IF(ISNA(IF((IF(VLOOKUP($A47,Übungsübersicht!$E$6:$K$82,7,FALSE)="OK",(MROUND(((INDEX($A$1:$U$68,(ROW(E47)),17))*$Q$97),(((IF(VLOOKUP($A47,Übungsübersicht!$E$6:$K$82,3,FALSE)=0,0.1,(VLOOKUP($A47,Übungsübersicht!$E$6:$K$82,3,FALSE)))))))),IF(VLOOKUP($A47,Übungsübersicht!$E$6:$K$82,7,FALSE)="UK",(MROUND(((INDEX($A$1:$U$68,(ROW(E47)),17))*$Q$98),(((IF(VLOOKUP($A47,Übungsübersicht!$E$6:$K$82,3,FALSE)=0,0.1,(VLOOKUP($A47,Übungsübersicht!$E$6:$K$82,3,FALSE)))))))),"Übung OK/UK?")))&lt;3,"RPE 7",(IF(VLOOKUP($A47,Übungsübersicht!$E$6:$K$82,7,FALSE)="OK",(MROUND(((INDEX($A$1:$U$68,(ROW(E47)),17))*$Q$97),(((IF(VLOOKUP($A47,Übungsübersicht!$E$6:$K$82,3,FALSE)=0,0.1,(VLOOKUP($A47,Übungsübersicht!$E$6:$K$82,3,FALSE)))))))),IF(VLOOKUP($A47,Übungsübersicht!$E$6:$K$82,7,FALSE)="UK",(MROUND(((INDEX($A$1:$U$68,(ROW(E47)),17))*$Q$98),(((IF(VLOOKUP($A47,Übungsübersicht!$E$6:$K$82,3,FALSE)=0,0.1,(VLOOKUP($A47,Übungsübersicht!$E$6:$K$82,3,FALSE)))))))),"Übung OK/UK?"))))),"Übung?",IF((IF(VLOOKUP($A47,Übungsübersicht!$E$6:$K$82,7,FALSE)="OK",(MROUND(((INDEX($A$1:$U$68,(ROW(E47)),17))*$Q$97),(((IF(VLOOKUP($A47,Übungsübersicht!$E$6:$K$82,3,FALSE)=0,0.1,(VLOOKUP($A47,Übungsübersicht!$E$6:$K$82,3,FALSE)))))))),IF(VLOOKUP($A47,Übungsübersicht!$E$6:$K$82,7,FALSE)="UK",(MROUND(((INDEX($A$1:$U$68,(ROW(E47)),17))*$Q$98),(((IF(VLOOKUP($A47,Übungsübersicht!$E$6:$K$82,3,FALSE)=0,0.1,(VLOOKUP($A47,Übungsübersicht!$E$6:$K$82,3,FALSE)))))))),"Übung OK/UK?")))&lt;3,"RPE 6",(IF(VLOOKUP($A47,Übungsübersicht!$E$6:$K$82,7,FALSE)="OK",(MROUND(((INDEX($A$1:$U$68,(ROW(E47)),17))*$Q$97),(((IF(VLOOKUP($A47,Übungsübersicht!$E$6:$K$82,3,FALSE)=0,0.1,(VLOOKUP($A47,Übungsübersicht!$E$6:$K$82,3,FALSE)))))))),IF(VLOOKUP($A47,Übungsübersicht!$E$6:$K$82,7,FALSE)="UK",(MROUND(((INDEX($A$1:$U$68,(ROW(E47)),17))*$Q$98),(((IF(VLOOKUP($A47,Übungsübersicht!$E$6:$K$82,3,FALSE)=0,0.1,(VLOOKUP($A47,Übungsübersicht!$E$6:$K$82,3,FALSE)))))))),"Übung OK/UK?")))))),"RPE 7")))</f>
        <v>105</v>
      </c>
      <c r="F47" s="598" t="str">
        <f>IF('Gewichts- Calculator'!$B$127="EINGEBEN","",(IF('Gewichts- Calculator'!$C$134="Ja Anzeigen",(IF($A47='Gewichts- Calculator'!$C$8," &gt;"&amp;'Gewichts- Calculator'!$B$127&amp;"  &gt; "&amp; 'Gewichts- Calculator'!$B$130,"")),"")))</f>
        <v/>
      </c>
      <c r="G47" s="670">
        <v>3</v>
      </c>
      <c r="H47" s="671">
        <f>IF(ISNA(IF($G47=0,"0",IF(VLOOKUP($A47,Übungsübersicht!$E$7:$K$83,4,FALSE)&lt;1,"RPE 8",VLOOKUP($A47,Übungsübersicht!$E$7:$K$83,4,FALSE)))),"Übung?",IF($G47=0,"0",IF(VLOOKUP($A47,Übungsübersicht!$E$7:$K$83,4,FALSE)&lt;1,"RPE 8",VLOOKUP($A47,Übungsübersicht!$E$7:$K$83,4,FALSE))))</f>
        <v>10</v>
      </c>
      <c r="I47" s="673">
        <v>110</v>
      </c>
      <c r="J47" s="598" t="str">
        <f>IF('Gewichts- Calculator'!$D$127="EINGEBEN","",(IF('Gewichts- Calculator'!$C$134="Ja Anzeigen",(IF($A47='Gewichts- Calculator'!$C$8," &gt;"&amp;'Gewichts- Calculator'!$D$127&amp;"  &gt; "&amp; 'Gewichts- Calculator'!$D$130,"")),"")))</f>
        <v/>
      </c>
      <c r="K47" s="670">
        <v>3</v>
      </c>
      <c r="L47" s="671">
        <f>IF(ISNA(IF($K47=0,"0",IF(VLOOKUP($A47,Übungsübersicht!$E$7:$K$83,4,FALSE)&lt;1,"RPE 8",VLOOKUP($A47,Übungsübersicht!$E$7:$K$83,4,FALSE)))),"Übung?",IF($K47=0,"0",IF(VLOOKUP($A47,Übungsübersicht!$E$7:$K$83,4,FALSE)&lt;1,"RPE 8",VLOOKUP($A47,Übungsübersicht!$E$7:$K$83,4,FALSE))))</f>
        <v>10</v>
      </c>
      <c r="M47" s="674">
        <v>110</v>
      </c>
      <c r="N47" s="598" t="str">
        <f>IF('Gewichts- Calculator'!$D$127="EINGEBEN","",(IF('Gewichts- Calculator'!$C$134="Ja Anzeigen",(IF($A47='Gewichts- Calculator'!$C$8," &gt;"&amp;'Gewichts- Calculator'!$D$127&amp;"  &gt; "&amp; 'Gewichts- Calculator'!$D$130,"")),"")))</f>
        <v/>
      </c>
      <c r="O47" s="670">
        <v>4</v>
      </c>
      <c r="P47" s="671">
        <f>IF(ISNA(IF($O47=0,"0",IF(VLOOKUP($A47,Übungsübersicht!$E$7:$K$83,5,FALSE)&lt;1,"RPE 9",VLOOKUP($A47,Übungsübersicht!$E$7:$K$83,5,FALSE)))),"Übung?",IF($O47=0,"0",IF(VLOOKUP($A47,Übungsübersicht!$E$7:$K$83,5,FALSE)&lt;1,"RPE 9",VLOOKUP($A47,Übungsübersicht!$E$7:$K$83,5,FALSE))))</f>
        <v>10</v>
      </c>
      <c r="Q47" s="675">
        <v>110</v>
      </c>
      <c r="R47" s="598" t="str">
        <f>IF('Gewichts- Calculator'!$F$127="EINGEBEN","",(IF('Gewichts- Calculator'!$C$134="Ja Anzeigen",(IF($A47='Gewichts- Calculator'!$C$8," &gt;"&amp;'Gewichts- Calculator'!$F$127&amp;"  &gt; "&amp; 'Gewichts- Calculator'!$F$130,"")),"")))</f>
        <v/>
      </c>
      <c r="S47" s="670">
        <v>2</v>
      </c>
      <c r="T47" s="671">
        <f>IF(ISNA(IF($S47=0,"0",IF(VLOOKUP($A47,Übungsübersicht!$E$7:$K$83,4,FALSE)&lt;1,"RPE 6",VLOOKUP($A47,Übungsübersicht!$E$7:$K$83,4,FALSE)))),"Übung?",IF($S47=0,"0",IF(VLOOKUP($A47,Übungsübersicht!$E$7:$K$83,4,FALSE)&lt;1,"RPE 6",VLOOKUP($A47,Übungsübersicht!$E$7:$K$83,4,FALSE))))</f>
        <v>10</v>
      </c>
      <c r="U47" s="674" cm="1">
        <f t="array" ref="U47">IFERROR((IF(ISNA(IF((IF(VLOOKUP($A47,Übungsübersicht!$E$6:$K$82,7,FALSE)="OK",(MROUND(((INDEX($A$1:$U$68,(ROW(U47)),17))*$T$97),(((IF(VLOOKUP($A47,Übungsübersicht!$E$6:$K$82,3,FALSE)=0,0.1,(VLOOKUP($A47,Übungsübersicht!$E$6:$K$82,3,FALSE)))))))),IF(VLOOKUP($A47,Übungsübersicht!$E$6:$K$82,7,FALSE)="UK",(MROUND(((INDEX($A$1:$U$68,(ROW(U47)),17))*$T$98),(((IF(VLOOKUP($A47,Übungsübersicht!$E$6:$K$82,3,FALSE)=0,0.1,(VLOOKUP($A47,Übungsübersicht!$E$6:$K$82,3,FALSE)))))))),"Übung OK/UK?")))&lt;3,"RPE 6",(IF(VLOOKUP($A47,Übungsübersicht!$E$6:$K$82,7,FALSE)="OK",(MROUND(((INDEX($A$1:$U$68,(ROW(U47)),17))*$T$97),(((IF(VLOOKUP($A47,Übungsübersicht!$E$6:$K$82,3,FALSE)=0,0.1,(VLOOKUP($A47,Übungsübersicht!$E$6:$K$82,3,FALSE)))))))),IF(VLOOKUP($A47,Übungsübersicht!$E$6:$K$82,7,FALSE)="UK",(MROUND(((INDEX($A$1:$U$68,(ROW(U47)),17))*$T$98),(((IF(VLOOKUP($A47,Übungsübersicht!$E$6:$K$82,3,FALSE)=0,0.1,(VLOOKUP($A47,Übungsübersicht!$E$6:$K$82,3,FALSE)))))))),"Übung OK/UK?"))))),"Übung?",IF((IF(VLOOKUP($A47,Übungsübersicht!$E$6:$K$82,7,FALSE)="OK",(MROUND(((INDEX($A$1:$U$68,(ROW(U47)),17))*$T$97),(((IF(VLOOKUP($A47,Übungsübersicht!$E$6:$K$82,3,FALSE)=0,0.1,(VLOOKUP($A47,Übungsübersicht!$E$6:$K$82,3,FALSE)))))))),IF(VLOOKUP($A47,Übungsübersicht!$E$6:$K$82,7,FALSE)="UK",(MROUND(((INDEX($A$1:$U$68,(ROW(U47)),17))*$T$98),(((IF(VLOOKUP($A47,Übungsübersicht!$E$6:$K$82,3,FALSE)=0,0.1,(VLOOKUP($A47,Übungsübersicht!$E$6:$K$82,3,FALSE)))))))),"Übung OK/UK?")))&lt;3,"RPE 6",(IF(VLOOKUP($A47,Übungsübersicht!$E$6:$K$82,7,FALSE)="OK",(MROUND(((INDEX($A$1:$U$68,(ROW(U47)),17))*$T$97),(((IF(VLOOKUP($A47,Übungsübersicht!$E$6:$K$82,3,FALSE)=0,0.1,(VLOOKUP($A47,Übungsübersicht!$E$6:$K$82,3,FALSE)))))))),IF(VLOOKUP($A47,Übungsübersicht!$E$6:$K$82,7,FALSE)="UK",(MROUND(((INDEX($A$1:$U$68,(ROW(U47)),17))*$T$98),(((IF(VLOOKUP($A47,Übungsübersicht!$E$6:$K$82,3,FALSE)=0,0.1,(VLOOKUP($A47,Übungsübersicht!$E$6:$K$82,3,FALSE)))))))),"Übung OK/UK?")))))),"RPE 6")</f>
        <v>65</v>
      </c>
      <c r="V47" s="7"/>
    </row>
    <row r="48" spans="1:25" ht="26.1" customHeight="1" thickTop="1" thickBot="1">
      <c r="A48" s="668" t="s">
        <v>281</v>
      </c>
      <c r="B48" s="669" t="str">
        <f>IF(ISNA(IF(ISBLANK(VLOOKUP($A48,Übungsübersicht!$E$8:$F$83,2,FALSE)),"Muskelgruppe Auswählen",VLOOKUP($A48,Übungsübersicht!$E$8:$F$83,2,FALSE))),"Übung?",IF(ISBLANK(VLOOKUP($A48,Übungsübersicht!$E$8:$F$83,2,FALSE)),"Muskelgruppe Auswählen",VLOOKUP($A48,Übungsübersicht!$E$8:$F$83,2,FALSE)))</f>
        <v>Quads</v>
      </c>
      <c r="C48" s="670">
        <v>1</v>
      </c>
      <c r="D48" s="671">
        <f>IF(ISNA(IF($C48=0,"0",IF(VLOOKUP($A48,Übungsübersicht!$E$7:$K$83,4,FALSE)&lt;1,"RPE 7",VLOOKUP($A48,Übungsübersicht!$E$7:$K$83,4,FALSE)))),"Übung?",IF($C48=0,"0",IF(VLOOKUP($A48,Übungsübersicht!$E$7:$K$83,4,FALSE)&lt;1,"RPE 7",VLOOKUP($A48,Übungsübersicht!$E$7:$K$83,4,FALSE))))</f>
        <v>12</v>
      </c>
      <c r="E48" s="672" cm="1">
        <f t="array" ref="E48">IF(IFERROR((IF(ISNA(IF((IF(VLOOKUP($A48,Übungsübersicht!$E$6:$K$82,7,FALSE)="OK",(MROUND(((INDEX($A$1:$U$68,(ROW(E48)),17))*$Q$97),(((IF(VLOOKUP($A48,Übungsübersicht!$E$6:$K$82,3,FALSE)=0,0.1,(VLOOKUP($A48,Übungsübersicht!$E$6:$K$82,3,FALSE)))))))),IF(VLOOKUP($A48,Übungsübersicht!$E$6:$K$82,7,FALSE)="UK",(MROUND(((INDEX($A$1:$U$68,(ROW(E48)),17))*$Q$98),(((IF(VLOOKUP($A48,Übungsübersicht!$E$6:$K$82,3,FALSE)=0,0.1,(VLOOKUP($A48,Übungsübersicht!$E$6:$K$82,3,FALSE)))))))),"Übung OK/UK?")))&lt;3,"RPE 7",(IF(VLOOKUP($A48,Übungsübersicht!$E$6:$K$82,7,FALSE)="OK",(MROUND(((INDEX($A$1:$U$68,(ROW(E48)),17))*$Q$97),(((IF(VLOOKUP($A48,Übungsübersicht!$E$6:$K$82,3,FALSE)=0,0.1,(VLOOKUP($A48,Übungsübersicht!$E$6:$K$82,3,FALSE)))))))),IF(VLOOKUP($A48,Übungsübersicht!$E$6:$K$82,7,FALSE)="UK",(MROUND(((INDEX($A$1:$U$68,(ROW(E48)),17))*$Q$98),(((IF(VLOOKUP($A48,Übungsübersicht!$E$6:$K$82,3,FALSE)=0,0.1,(VLOOKUP($A48,Übungsübersicht!$E$6:$K$82,3,FALSE)))))))),"Übung OK/UK?"))))),"Übung?",IF((IF(VLOOKUP($A48,Übungsübersicht!$E$6:$K$82,7,FALSE)="OK",(MROUND(((INDEX($A$1:$U$68,(ROW(E48)),17))*$Q$97),(((IF(VLOOKUP($A48,Übungsübersicht!$E$6:$K$82,3,FALSE)=0,0.1,(VLOOKUP($A48,Übungsübersicht!$E$6:$K$82,3,FALSE)))))))),IF(VLOOKUP($A48,Übungsübersicht!$E$6:$K$82,7,FALSE)="UK",(MROUND(((INDEX($A$1:$U$68,(ROW(E48)),17))*$Q$98),(((IF(VLOOKUP($A48,Übungsübersicht!$E$6:$K$82,3,FALSE)=0,0.1,(VLOOKUP($A48,Übungsübersicht!$E$6:$K$82,3,FALSE)))))))),"Übung OK/UK?")))&lt;3,"RPE 7",(IF(VLOOKUP($A48,Übungsübersicht!$E$6:$K$82,7,FALSE)="OK",(MROUND(((INDEX($A$1:$U$68,(ROW(E48)),17))*$Q$97),(((IF(VLOOKUP($A48,Übungsübersicht!$E$6:$K$82,3,FALSE)=0,0.1,(VLOOKUP($A48,Übungsübersicht!$E$6:$K$82,3,FALSE)))))))),IF(VLOOKUP($A48,Übungsübersicht!$E$6:$K$82,7,FALSE)="UK",(MROUND(((INDEX($A$1:$U$68,(ROW(E48)),17))*$Q$98),(((IF(VLOOKUP($A48,Übungsübersicht!$E$6:$K$82,3,FALSE)=0,0.1,(VLOOKUP($A48,Übungsübersicht!$E$6:$K$82,3,FALSE)))))))),"Übung OK/UK?")))))),"RPE 6")=(INDEX($A$1:$U$68,(ROW(E48)),17)),(IFERROR((IF(ISNA(IF(INDEX($A$1:$U$68,(ROW(E48)),17)-(IF(VLOOKUP($A48,Übungsübersicht!$E$6:$K$82,3,FALSE)&lt;=0.5,0,(VLOOKUP($A48,Übungsübersicht!$E$6:$K$82,3,FALSE))))&lt;3,"RPE 7",INDEX($A$1:$U$68,(ROW(E48)),17)-(IF(VLOOKUP($A48,Übungsübersicht!$E$6:$K$82,3,FALSE)&lt;=0.5,0,(VLOOKUP($A48,Übungsübersicht!$E$6:$K$82,3,FALSE)))))),"Übung?",IF(INDEX($A$1:$U$68,(ROW(E48)),17)-(IF(VLOOKUP($A48,Übungsübersicht!$E$6:$K$82,3,FALSE)&lt;=0.5,0,(VLOOKUP($A48,Übungsübersicht!$E$6:$K$82,3,FALSE))))&lt;3,"RPE 7",INDEX($A$1:$U$68,(ROW(E48)),17)-(IF(VLOOKUP($A48,Übungsübersicht!$E$6:$K$82,3,FALSE)&lt;=0.5,0,(VLOOKUP($A48,Übungsübersicht!$E$6:$K$82,3,FALSE))))))),"RPE 7")),(IFERROR((IF(ISNA(IF((IF(VLOOKUP($A48,Übungsübersicht!$E$6:$K$82,7,FALSE)="OK",(MROUND(((INDEX($A$1:$U$68,(ROW(E48)),17))*$Q$97),(((IF(VLOOKUP($A48,Übungsübersicht!$E$6:$K$82,3,FALSE)=0,0.1,(VLOOKUP($A48,Übungsübersicht!$E$6:$K$82,3,FALSE)))))))),IF(VLOOKUP($A48,Übungsübersicht!$E$6:$K$82,7,FALSE)="UK",(MROUND(((INDEX($A$1:$U$68,(ROW(E48)),17))*$Q$98),(((IF(VLOOKUP($A48,Übungsübersicht!$E$6:$K$82,3,FALSE)=0,0.1,(VLOOKUP($A48,Übungsübersicht!$E$6:$K$82,3,FALSE)))))))),"Übung OK/UK?")))&lt;3,"RPE 7",(IF(VLOOKUP($A48,Übungsübersicht!$E$6:$K$82,7,FALSE)="OK",(MROUND(((INDEX($A$1:$U$68,(ROW(E48)),17))*$Q$97),(((IF(VLOOKUP($A48,Übungsübersicht!$E$6:$K$82,3,FALSE)=0,0.1,(VLOOKUP($A48,Übungsübersicht!$E$6:$K$82,3,FALSE)))))))),IF(VLOOKUP($A48,Übungsübersicht!$E$6:$K$82,7,FALSE)="UK",(MROUND(((INDEX($A$1:$U$68,(ROW(E48)),17))*$Q$98),(((IF(VLOOKUP($A48,Übungsübersicht!$E$6:$K$82,3,FALSE)=0,0.1,(VLOOKUP($A48,Übungsübersicht!$E$6:$K$82,3,FALSE)))))))),"Übung OK/UK?"))))),"Übung?",IF((IF(VLOOKUP($A48,Übungsübersicht!$E$6:$K$82,7,FALSE)="OK",(MROUND(((INDEX($A$1:$U$68,(ROW(E48)),17))*$Q$97),(((IF(VLOOKUP($A48,Übungsübersicht!$E$6:$K$82,3,FALSE)=0,0.1,(VLOOKUP($A48,Übungsübersicht!$E$6:$K$82,3,FALSE)))))))),IF(VLOOKUP($A48,Übungsübersicht!$E$6:$K$82,7,FALSE)="UK",(MROUND(((INDEX($A$1:$U$68,(ROW(E48)),17))*$Q$98),(((IF(VLOOKUP($A48,Übungsübersicht!$E$6:$K$82,3,FALSE)=0,0.1,(VLOOKUP($A48,Übungsübersicht!$E$6:$K$82,3,FALSE)))))))),"Übung OK/UK?")))&lt;3,"RPE 6",(IF(VLOOKUP($A48,Übungsübersicht!$E$6:$K$82,7,FALSE)="OK",(MROUND(((INDEX($A$1:$U$68,(ROW(E48)),17))*$Q$97),(((IF(VLOOKUP($A48,Übungsübersicht!$E$6:$K$82,3,FALSE)=0,0.1,(VLOOKUP($A48,Übungsübersicht!$E$6:$K$82,3,FALSE)))))))),IF(VLOOKUP($A48,Übungsübersicht!$E$6:$K$82,7,FALSE)="UK",(MROUND(((INDEX($A$1:$U$68,(ROW(E48)),17))*$Q$98),(((IF(VLOOKUP($A48,Übungsübersicht!$E$6:$K$82,3,FALSE)=0,0.1,(VLOOKUP($A48,Übungsübersicht!$E$6:$K$82,3,FALSE)))))))),"Übung OK/UK?")))))),"RPE 7")))</f>
        <v>70</v>
      </c>
      <c r="F48" s="598" t="str">
        <f>IF('Gewichts- Calculator'!$B$127="EINGEBEN","",(IF('Gewichts- Calculator'!$C$134="Ja Anzeigen",(IF($A48='Gewichts- Calculator'!$C$8," &gt;"&amp;'Gewichts- Calculator'!$B$127&amp;"  &gt; "&amp; 'Gewichts- Calculator'!$B$130,"")),"")))</f>
        <v/>
      </c>
      <c r="G48" s="670">
        <v>2</v>
      </c>
      <c r="H48" s="671">
        <f>IF(ISNA(IF($G48=0,"0",IF(VLOOKUP($A48,Übungsübersicht!$E$7:$K$83,4,FALSE)&lt;1,"RPE 8",VLOOKUP($A48,Übungsübersicht!$E$7:$K$83,4,FALSE)))),"Übung?",IF($G48=0,"0",IF(VLOOKUP($A48,Übungsübersicht!$E$7:$K$83,4,FALSE)&lt;1,"RPE 8",VLOOKUP($A48,Übungsübersicht!$E$7:$K$83,4,FALSE))))</f>
        <v>12</v>
      </c>
      <c r="I48" s="673">
        <v>75</v>
      </c>
      <c r="J48" s="598" t="str">
        <f>IF('Gewichts- Calculator'!$D$127="EINGEBEN","",(IF('Gewichts- Calculator'!$C$134="Ja Anzeigen",(IF($A48='Gewichts- Calculator'!$C$8," &gt;"&amp;'Gewichts- Calculator'!$D$127&amp;"  &gt; "&amp; 'Gewichts- Calculator'!$D$130,"")),"")))</f>
        <v/>
      </c>
      <c r="K48" s="670">
        <v>2</v>
      </c>
      <c r="L48" s="671">
        <f>IF(ISNA(IF($K48=0,"0",IF(VLOOKUP($A48,Übungsübersicht!$E$7:$K$83,4,FALSE)&lt;1,"RPE 8",VLOOKUP($A48,Übungsübersicht!$E$7:$K$83,4,FALSE)))),"Übung?",IF($K48=0,"0",IF(VLOOKUP($A48,Übungsübersicht!$E$7:$K$83,4,FALSE)&lt;1,"RPE 8",VLOOKUP($A48,Übungsübersicht!$E$7:$K$83,4,FALSE))))</f>
        <v>12</v>
      </c>
      <c r="M48" s="674">
        <v>75</v>
      </c>
      <c r="N48" s="598" t="str">
        <f>IF('Gewichts- Calculator'!$D$127="EINGEBEN","",(IF('Gewichts- Calculator'!$C$134="Ja Anzeigen",(IF($A48='Gewichts- Calculator'!$C$8," &gt;"&amp;'Gewichts- Calculator'!$D$127&amp;"  &gt; "&amp; 'Gewichts- Calculator'!$D$130,"")),"")))</f>
        <v/>
      </c>
      <c r="O48" s="670">
        <v>3</v>
      </c>
      <c r="P48" s="671">
        <f>IF(ISNA(IF($O48=0,"0",IF(VLOOKUP($A48,Übungsübersicht!$E$7:$K$83,5,FALSE)&lt;1,"RPE 9",VLOOKUP($A48,Übungsübersicht!$E$7:$K$83,5,FALSE)))),"Übung?",IF($O48=0,"0",IF(VLOOKUP($A48,Übungsübersicht!$E$7:$K$83,5,FALSE)&lt;1,"RPE 9",VLOOKUP($A48,Übungsübersicht!$E$7:$K$83,5,FALSE))))</f>
        <v>12</v>
      </c>
      <c r="Q48" s="675">
        <v>75</v>
      </c>
      <c r="R48" s="598" t="str">
        <f>IF('Gewichts- Calculator'!$F$127="EINGEBEN","",(IF('Gewichts- Calculator'!$C$134="Ja Anzeigen",(IF($A48='Gewichts- Calculator'!$C$8," &gt;"&amp;'Gewichts- Calculator'!$F$127&amp;"  &gt; "&amp; 'Gewichts- Calculator'!$F$130,"")),"")))</f>
        <v/>
      </c>
      <c r="S48" s="670">
        <v>1</v>
      </c>
      <c r="T48" s="671">
        <f>IF(ISNA(IF($S48=0,"0",IF(VLOOKUP($A48,Übungsübersicht!$E$7:$K$83,4,FALSE)&lt;1,"RPE 6",VLOOKUP($A48,Übungsübersicht!$E$7:$K$83,4,FALSE)))),"Übung?",IF($S48=0,"0",IF(VLOOKUP($A48,Übungsübersicht!$E$7:$K$83,4,FALSE)&lt;1,"RPE 6",VLOOKUP($A48,Übungsübersicht!$E$7:$K$83,4,FALSE))))</f>
        <v>12</v>
      </c>
      <c r="U48" s="674" cm="1">
        <f t="array" ref="U48">IFERROR((IF(ISNA(IF((IF(VLOOKUP($A48,Übungsübersicht!$E$6:$K$82,7,FALSE)="OK",(MROUND(((INDEX($A$1:$U$68,(ROW(U48)),17))*$T$97),(((IF(VLOOKUP($A48,Übungsübersicht!$E$6:$K$82,3,FALSE)=0,0.1,(VLOOKUP($A48,Übungsübersicht!$E$6:$K$82,3,FALSE)))))))),IF(VLOOKUP($A48,Übungsübersicht!$E$6:$K$82,7,FALSE)="UK",(MROUND(((INDEX($A$1:$U$68,(ROW(U48)),17))*$T$98),(((IF(VLOOKUP($A48,Übungsübersicht!$E$6:$K$82,3,FALSE)=0,0.1,(VLOOKUP($A48,Übungsübersicht!$E$6:$K$82,3,FALSE)))))))),"Übung OK/UK?")))&lt;3,"RPE 6",(IF(VLOOKUP($A48,Übungsübersicht!$E$6:$K$82,7,FALSE)="OK",(MROUND(((INDEX($A$1:$U$68,(ROW(U48)),17))*$T$97),(((IF(VLOOKUP($A48,Übungsübersicht!$E$6:$K$82,3,FALSE)=0,0.1,(VLOOKUP($A48,Übungsübersicht!$E$6:$K$82,3,FALSE)))))))),IF(VLOOKUP($A48,Übungsübersicht!$E$6:$K$82,7,FALSE)="UK",(MROUND(((INDEX($A$1:$U$68,(ROW(U48)),17))*$T$98),(((IF(VLOOKUP($A48,Übungsübersicht!$E$6:$K$82,3,FALSE)=0,0.1,(VLOOKUP($A48,Übungsübersicht!$E$6:$K$82,3,FALSE)))))))),"Übung OK/UK?"))))),"Übung?",IF((IF(VLOOKUP($A48,Übungsübersicht!$E$6:$K$82,7,FALSE)="OK",(MROUND(((INDEX($A$1:$U$68,(ROW(U48)),17))*$T$97),(((IF(VLOOKUP($A48,Übungsübersicht!$E$6:$K$82,3,FALSE)=0,0.1,(VLOOKUP($A48,Übungsübersicht!$E$6:$K$82,3,FALSE)))))))),IF(VLOOKUP($A48,Übungsübersicht!$E$6:$K$82,7,FALSE)="UK",(MROUND(((INDEX($A$1:$U$68,(ROW(U48)),17))*$T$98),(((IF(VLOOKUP($A48,Übungsübersicht!$E$6:$K$82,3,FALSE)=0,0.1,(VLOOKUP($A48,Übungsübersicht!$E$6:$K$82,3,FALSE)))))))),"Übung OK/UK?")))&lt;3,"RPE 6",(IF(VLOOKUP($A48,Übungsübersicht!$E$6:$K$82,7,FALSE)="OK",(MROUND(((INDEX($A$1:$U$68,(ROW(U48)),17))*$T$97),(((IF(VLOOKUP($A48,Übungsübersicht!$E$6:$K$82,3,FALSE)=0,0.1,(VLOOKUP($A48,Übungsübersicht!$E$6:$K$82,3,FALSE)))))))),IF(VLOOKUP($A48,Übungsübersicht!$E$6:$K$82,7,FALSE)="UK",(MROUND(((INDEX($A$1:$U$68,(ROW(U48)),17))*$T$98),(((IF(VLOOKUP($A48,Übungsübersicht!$E$6:$K$82,3,FALSE)=0,0.1,(VLOOKUP($A48,Übungsübersicht!$E$6:$K$82,3,FALSE)))))))),"Übung OK/UK?")))))),"RPE 6")</f>
        <v>45</v>
      </c>
      <c r="V48" s="7"/>
    </row>
    <row r="49" spans="1:25" ht="26.1" customHeight="1" thickTop="1" thickBot="1">
      <c r="A49" s="668" t="s">
        <v>25</v>
      </c>
      <c r="B49" s="669" t="str">
        <f>IF(ISNA(IF(ISBLANK(VLOOKUP($A49,Übungsübersicht!$E$8:$F$83,2,FALSE)),"Muskelgruppe Auswählen",VLOOKUP($A49,Übungsübersicht!$E$8:$F$83,2,FALSE))),"Übung?",IF(ISBLANK(VLOOKUP($A49,Übungsübersicht!$E$8:$F$83,2,FALSE)),"Muskelgruppe Auswählen",VLOOKUP($A49,Übungsübersicht!$E$8:$F$83,2,FALSE)))</f>
        <v>Quads</v>
      </c>
      <c r="C49" s="670">
        <v>1</v>
      </c>
      <c r="D49" s="671">
        <f>IF(ISNA(IF($C49=0,"0",IF(VLOOKUP($A49,Übungsübersicht!$E$7:$K$83,4,FALSE)&lt;1,"RPE 7",VLOOKUP($A49,Übungsübersicht!$E$7:$K$83,4,FALSE)))),"Übung?",IF($C49=0,"0",IF(VLOOKUP($A49,Übungsübersicht!$E$7:$K$83,4,FALSE)&lt;1,"RPE 7",VLOOKUP($A49,Übungsübersicht!$E$7:$K$83,4,FALSE))))</f>
        <v>12</v>
      </c>
      <c r="E49" s="672" cm="1">
        <f t="array" ref="E49">IF(IFERROR((IF(ISNA(IF((IF(VLOOKUP($A49,Übungsübersicht!$E$6:$K$82,7,FALSE)="OK",(MROUND(((INDEX($A$1:$U$68,(ROW(E49)),17))*$Q$97),(((IF(VLOOKUP($A49,Übungsübersicht!$E$6:$K$82,3,FALSE)=0,0.1,(VLOOKUP($A49,Übungsübersicht!$E$6:$K$82,3,FALSE)))))))),IF(VLOOKUP($A49,Übungsübersicht!$E$6:$K$82,7,FALSE)="UK",(MROUND(((INDEX($A$1:$U$68,(ROW(E49)),17))*$Q$98),(((IF(VLOOKUP($A49,Übungsübersicht!$E$6:$K$82,3,FALSE)=0,0.1,(VLOOKUP($A49,Übungsübersicht!$E$6:$K$82,3,FALSE)))))))),"Übung OK/UK?")))&lt;3,"RPE 7",(IF(VLOOKUP($A49,Übungsübersicht!$E$6:$K$82,7,FALSE)="OK",(MROUND(((INDEX($A$1:$U$68,(ROW(E49)),17))*$Q$97),(((IF(VLOOKUP($A49,Übungsübersicht!$E$6:$K$82,3,FALSE)=0,0.1,(VLOOKUP($A49,Übungsübersicht!$E$6:$K$82,3,FALSE)))))))),IF(VLOOKUP($A49,Übungsübersicht!$E$6:$K$82,7,FALSE)="UK",(MROUND(((INDEX($A$1:$U$68,(ROW(E49)),17))*$Q$98),(((IF(VLOOKUP($A49,Übungsübersicht!$E$6:$K$82,3,FALSE)=0,0.1,(VLOOKUP($A49,Übungsübersicht!$E$6:$K$82,3,FALSE)))))))),"Übung OK/UK?"))))),"Übung?",IF((IF(VLOOKUP($A49,Übungsübersicht!$E$6:$K$82,7,FALSE)="OK",(MROUND(((INDEX($A$1:$U$68,(ROW(E49)),17))*$Q$97),(((IF(VLOOKUP($A49,Übungsübersicht!$E$6:$K$82,3,FALSE)=0,0.1,(VLOOKUP($A49,Übungsübersicht!$E$6:$K$82,3,FALSE)))))))),IF(VLOOKUP($A49,Übungsübersicht!$E$6:$K$82,7,FALSE)="UK",(MROUND(((INDEX($A$1:$U$68,(ROW(E49)),17))*$Q$98),(((IF(VLOOKUP($A49,Übungsübersicht!$E$6:$K$82,3,FALSE)=0,0.1,(VLOOKUP($A49,Übungsübersicht!$E$6:$K$82,3,FALSE)))))))),"Übung OK/UK?")))&lt;3,"RPE 7",(IF(VLOOKUP($A49,Übungsübersicht!$E$6:$K$82,7,FALSE)="OK",(MROUND(((INDEX($A$1:$U$68,(ROW(E49)),17))*$Q$97),(((IF(VLOOKUP($A49,Übungsübersicht!$E$6:$K$82,3,FALSE)=0,0.1,(VLOOKUP($A49,Übungsübersicht!$E$6:$K$82,3,FALSE)))))))),IF(VLOOKUP($A49,Übungsübersicht!$E$6:$K$82,7,FALSE)="UK",(MROUND(((INDEX($A$1:$U$68,(ROW(E49)),17))*$Q$98),(((IF(VLOOKUP($A49,Übungsübersicht!$E$6:$K$82,3,FALSE)=0,0.1,(VLOOKUP($A49,Übungsübersicht!$E$6:$K$82,3,FALSE)))))))),"Übung OK/UK?")))))),"RPE 6")=(INDEX($A$1:$U$68,(ROW(E49)),17)),(IFERROR((IF(ISNA(IF(INDEX($A$1:$U$68,(ROW(E49)),17)-(IF(VLOOKUP($A49,Übungsübersicht!$E$6:$K$82,3,FALSE)&lt;=0.5,0,(VLOOKUP($A49,Übungsübersicht!$E$6:$K$82,3,FALSE))))&lt;3,"RPE 7",INDEX($A$1:$U$68,(ROW(E49)),17)-(IF(VLOOKUP($A49,Übungsübersicht!$E$6:$K$82,3,FALSE)&lt;=0.5,0,(VLOOKUP($A49,Übungsübersicht!$E$6:$K$82,3,FALSE)))))),"Übung?",IF(INDEX($A$1:$U$68,(ROW(E49)),17)-(IF(VLOOKUP($A49,Übungsübersicht!$E$6:$K$82,3,FALSE)&lt;=0.5,0,(VLOOKUP($A49,Übungsübersicht!$E$6:$K$82,3,FALSE))))&lt;3,"RPE 7",INDEX($A$1:$U$68,(ROW(E49)),17)-(IF(VLOOKUP($A49,Übungsübersicht!$E$6:$K$82,3,FALSE)&lt;=0.5,0,(VLOOKUP($A49,Übungsübersicht!$E$6:$K$82,3,FALSE))))))),"RPE 7")),(IFERROR((IF(ISNA(IF((IF(VLOOKUP($A49,Übungsübersicht!$E$6:$K$82,7,FALSE)="OK",(MROUND(((INDEX($A$1:$U$68,(ROW(E49)),17))*$Q$97),(((IF(VLOOKUP($A49,Übungsübersicht!$E$6:$K$82,3,FALSE)=0,0.1,(VLOOKUP($A49,Übungsübersicht!$E$6:$K$82,3,FALSE)))))))),IF(VLOOKUP($A49,Übungsübersicht!$E$6:$K$82,7,FALSE)="UK",(MROUND(((INDEX($A$1:$U$68,(ROW(E49)),17))*$Q$98),(((IF(VLOOKUP($A49,Übungsübersicht!$E$6:$K$82,3,FALSE)=0,0.1,(VLOOKUP($A49,Übungsübersicht!$E$6:$K$82,3,FALSE)))))))),"Übung OK/UK?")))&lt;3,"RPE 7",(IF(VLOOKUP($A49,Übungsübersicht!$E$6:$K$82,7,FALSE)="OK",(MROUND(((INDEX($A$1:$U$68,(ROW(E49)),17))*$Q$97),(((IF(VLOOKUP($A49,Übungsübersicht!$E$6:$K$82,3,FALSE)=0,0.1,(VLOOKUP($A49,Übungsübersicht!$E$6:$K$82,3,FALSE)))))))),IF(VLOOKUP($A49,Übungsübersicht!$E$6:$K$82,7,FALSE)="UK",(MROUND(((INDEX($A$1:$U$68,(ROW(E49)),17))*$Q$98),(((IF(VLOOKUP($A49,Übungsübersicht!$E$6:$K$82,3,FALSE)=0,0.1,(VLOOKUP($A49,Übungsübersicht!$E$6:$K$82,3,FALSE)))))))),"Übung OK/UK?"))))),"Übung?",IF((IF(VLOOKUP($A49,Übungsübersicht!$E$6:$K$82,7,FALSE)="OK",(MROUND(((INDEX($A$1:$U$68,(ROW(E49)),17))*$Q$97),(((IF(VLOOKUP($A49,Übungsübersicht!$E$6:$K$82,3,FALSE)=0,0.1,(VLOOKUP($A49,Übungsübersicht!$E$6:$K$82,3,FALSE)))))))),IF(VLOOKUP($A49,Übungsübersicht!$E$6:$K$82,7,FALSE)="UK",(MROUND(((INDEX($A$1:$U$68,(ROW(E49)),17))*$Q$98),(((IF(VLOOKUP($A49,Übungsübersicht!$E$6:$K$82,3,FALSE)=0,0.1,(VLOOKUP($A49,Übungsübersicht!$E$6:$K$82,3,FALSE)))))))),"Übung OK/UK?")))&lt;3,"RPE 6",(IF(VLOOKUP($A49,Übungsübersicht!$E$6:$K$82,7,FALSE)="OK",(MROUND(((INDEX($A$1:$U$68,(ROW(E49)),17))*$Q$97),(((IF(VLOOKUP($A49,Übungsübersicht!$E$6:$K$82,3,FALSE)=0,0.1,(VLOOKUP($A49,Übungsübersicht!$E$6:$K$82,3,FALSE)))))))),IF(VLOOKUP($A49,Übungsübersicht!$E$6:$K$82,7,FALSE)="UK",(MROUND(((INDEX($A$1:$U$68,(ROW(E49)),17))*$Q$98),(((IF(VLOOKUP($A49,Übungsübersicht!$E$6:$K$82,3,FALSE)=0,0.1,(VLOOKUP($A49,Übungsübersicht!$E$6:$K$82,3,FALSE)))))))),"Übung OK/UK?")))))),"RPE 7")))</f>
        <v>10</v>
      </c>
      <c r="F49" s="598" t="str">
        <f>IF('Gewichts- Calculator'!$B$127="EINGEBEN","",(IF('Gewichts- Calculator'!$C$134="Ja Anzeigen",(IF($A49='Gewichts- Calculator'!$C$8," &gt;"&amp;'Gewichts- Calculator'!$B$127&amp;"  &gt; "&amp; 'Gewichts- Calculator'!$B$130,"")),"")))</f>
        <v/>
      </c>
      <c r="G49" s="670">
        <v>1</v>
      </c>
      <c r="H49" s="671">
        <f>IF(ISNA(IF($G49=0,"0",IF(VLOOKUP($A49,Übungsübersicht!$E$7:$K$83,4,FALSE)&lt;1,"RPE 8",VLOOKUP($A49,Übungsübersicht!$E$7:$K$83,4,FALSE)))),"Übung?",IF($G49=0,"0",IF(VLOOKUP($A49,Übungsübersicht!$E$7:$K$83,4,FALSE)&lt;1,"RPE 8",VLOOKUP($A49,Übungsübersicht!$E$7:$K$83,4,FALSE))))</f>
        <v>12</v>
      </c>
      <c r="I49" s="673">
        <v>15</v>
      </c>
      <c r="J49" s="598" t="str">
        <f>IF('Gewichts- Calculator'!$D$127="EINGEBEN","",(IF('Gewichts- Calculator'!$C$134="Ja Anzeigen",(IF($A49='Gewichts- Calculator'!$C$8," &gt;"&amp;'Gewichts- Calculator'!$D$127&amp;"  &gt; "&amp; 'Gewichts- Calculator'!$D$130,"")),"")))</f>
        <v/>
      </c>
      <c r="K49" s="670">
        <v>1</v>
      </c>
      <c r="L49" s="671">
        <f>IF(ISNA(IF($K49=0,"0",IF(VLOOKUP($A49,Übungsübersicht!$E$7:$K$83,4,FALSE)&lt;1,"RPE 8",VLOOKUP($A49,Übungsübersicht!$E$7:$K$83,4,FALSE)))),"Übung?",IF($K49=0,"0",IF(VLOOKUP($A49,Übungsübersicht!$E$7:$K$83,4,FALSE)&lt;1,"RPE 8",VLOOKUP($A49,Übungsübersicht!$E$7:$K$83,4,FALSE))))</f>
        <v>12</v>
      </c>
      <c r="M49" s="674">
        <v>15</v>
      </c>
      <c r="N49" s="598" t="str">
        <f>IF('Gewichts- Calculator'!$D$127="EINGEBEN","",(IF('Gewichts- Calculator'!$C$134="Ja Anzeigen",(IF($A49='Gewichts- Calculator'!$C$8," &gt;"&amp;'Gewichts- Calculator'!$D$127&amp;"  &gt; "&amp; 'Gewichts- Calculator'!$D$130,"")),"")))</f>
        <v/>
      </c>
      <c r="O49" s="670">
        <v>2</v>
      </c>
      <c r="P49" s="671">
        <f>IF(ISNA(IF($O49=0,"0",IF(VLOOKUP($A49,Übungsübersicht!$E$7:$K$83,5,FALSE)&lt;1,"RPE 9",VLOOKUP($A49,Übungsübersicht!$E$7:$K$83,5,FALSE)))),"Übung?",IF($O49=0,"0",IF(VLOOKUP($A49,Übungsübersicht!$E$7:$K$83,5,FALSE)&lt;1,"RPE 9",VLOOKUP($A49,Übungsübersicht!$E$7:$K$83,5,FALSE))))</f>
        <v>12</v>
      </c>
      <c r="Q49" s="675">
        <v>15</v>
      </c>
      <c r="R49" s="598" t="str">
        <f>IF('Gewichts- Calculator'!$F$127="EINGEBEN","",(IF('Gewichts- Calculator'!$C$134="Ja Anzeigen",(IF($A49='Gewichts- Calculator'!$C$8," &gt;"&amp;'Gewichts- Calculator'!$F$127&amp;"  &gt; "&amp; 'Gewichts- Calculator'!$F$130,"")),"")))</f>
        <v/>
      </c>
      <c r="S49" s="670">
        <v>0</v>
      </c>
      <c r="T49" s="671" t="str">
        <f>IF(ISNA(IF($S49=0,"0",IF(VLOOKUP($A49,Übungsübersicht!$E$7:$K$83,4,FALSE)&lt;1,"RPE 6",VLOOKUP($A49,Übungsübersicht!$E$7:$K$83,4,FALSE)))),"Übung?",IF($S49=0,"0",IF(VLOOKUP($A49,Übungsübersicht!$E$7:$K$83,4,FALSE)&lt;1,"RPE 6",VLOOKUP($A49,Übungsübersicht!$E$7:$K$83,4,FALSE))))</f>
        <v>0</v>
      </c>
      <c r="U49" s="674" cm="1">
        <f t="array" ref="U49">IFERROR((IF(ISNA(IF((IF(VLOOKUP($A49,Übungsübersicht!$E$6:$K$82,7,FALSE)="OK",(MROUND(((INDEX($A$1:$U$68,(ROW(U49)),17))*$T$97),(((IF(VLOOKUP($A49,Übungsübersicht!$E$6:$K$82,3,FALSE)=0,0.1,(VLOOKUP($A49,Übungsübersicht!$E$6:$K$82,3,FALSE)))))))),IF(VLOOKUP($A49,Übungsübersicht!$E$6:$K$82,7,FALSE)="UK",(MROUND(((INDEX($A$1:$U$68,(ROW(U49)),17))*$T$98),(((IF(VLOOKUP($A49,Übungsübersicht!$E$6:$K$82,3,FALSE)=0,0.1,(VLOOKUP($A49,Übungsübersicht!$E$6:$K$82,3,FALSE)))))))),"Übung OK/UK?")))&lt;3,"RPE 6",(IF(VLOOKUP($A49,Übungsübersicht!$E$6:$K$82,7,FALSE)="OK",(MROUND(((INDEX($A$1:$U$68,(ROW(U49)),17))*$T$97),(((IF(VLOOKUP($A49,Übungsübersicht!$E$6:$K$82,3,FALSE)=0,0.1,(VLOOKUP($A49,Übungsübersicht!$E$6:$K$82,3,FALSE)))))))),IF(VLOOKUP($A49,Übungsübersicht!$E$6:$K$82,7,FALSE)="UK",(MROUND(((INDEX($A$1:$U$68,(ROW(U49)),17))*$T$98),(((IF(VLOOKUP($A49,Übungsübersicht!$E$6:$K$82,3,FALSE)=0,0.1,(VLOOKUP($A49,Übungsübersicht!$E$6:$K$82,3,FALSE)))))))),"Übung OK/UK?"))))),"Übung?",IF((IF(VLOOKUP($A49,Übungsübersicht!$E$6:$K$82,7,FALSE)="OK",(MROUND(((INDEX($A$1:$U$68,(ROW(U49)),17))*$T$97),(((IF(VLOOKUP($A49,Übungsübersicht!$E$6:$K$82,3,FALSE)=0,0.1,(VLOOKUP($A49,Übungsübersicht!$E$6:$K$82,3,FALSE)))))))),IF(VLOOKUP($A49,Übungsübersicht!$E$6:$K$82,7,FALSE)="UK",(MROUND(((INDEX($A$1:$U$68,(ROW(U49)),17))*$T$98),(((IF(VLOOKUP($A49,Übungsübersicht!$E$6:$K$82,3,FALSE)=0,0.1,(VLOOKUP($A49,Übungsübersicht!$E$6:$K$82,3,FALSE)))))))),"Übung OK/UK?")))&lt;3,"RPE 6",(IF(VLOOKUP($A49,Übungsübersicht!$E$6:$K$82,7,FALSE)="OK",(MROUND(((INDEX($A$1:$U$68,(ROW(U49)),17))*$T$97),(((IF(VLOOKUP($A49,Übungsübersicht!$E$6:$K$82,3,FALSE)=0,0.1,(VLOOKUP($A49,Übungsübersicht!$E$6:$K$82,3,FALSE)))))))),IF(VLOOKUP($A49,Übungsübersicht!$E$6:$K$82,7,FALSE)="UK",(MROUND(((INDEX($A$1:$U$68,(ROW(U49)),17))*$T$98),(((IF(VLOOKUP($A49,Übungsübersicht!$E$6:$K$82,3,FALSE)=0,0.1,(VLOOKUP($A49,Übungsübersicht!$E$6:$K$82,3,FALSE)))))))),"Übung OK/UK?")))))),"RPE 6")</f>
        <v>10</v>
      </c>
      <c r="V49" s="7"/>
      <c r="W49" s="7"/>
      <c r="X49" s="7"/>
      <c r="Y49" s="7"/>
    </row>
    <row r="50" spans="1:25" ht="26.1" customHeight="1" thickTop="1" thickBot="1">
      <c r="A50" s="668" t="s">
        <v>43</v>
      </c>
      <c r="B50" s="669" t="str">
        <f>IF(ISNA(IF(ISBLANK(VLOOKUP($A50,Übungsübersicht!$E$8:$F$83,2,FALSE)),"Muskelgruppe Auswählen",VLOOKUP($A50,Übungsübersicht!$E$8:$F$83,2,FALSE))),"Übung?",IF(ISBLANK(VLOOKUP($A50,Übungsübersicht!$E$8:$F$83,2,FALSE)),"Muskelgruppe Auswählen",VLOOKUP($A50,Übungsübersicht!$E$8:$F$83,2,FALSE)))</f>
        <v>Waden</v>
      </c>
      <c r="C50" s="670">
        <v>3</v>
      </c>
      <c r="D50" s="671" t="str">
        <f>IF(ISNA(IF($C50=0,"0",IF(VLOOKUP($A50,Übungsübersicht!$E$7:$K$83,4,FALSE)&lt;1,"RPE 7",VLOOKUP($A50,Übungsübersicht!$E$7:$K$83,4,FALSE)))),"Übung?",IF($C50=0,"0",IF(VLOOKUP($A50,Übungsübersicht!$E$7:$K$83,4,FALSE)&lt;1,"RPE 7",VLOOKUP($A50,Übungsübersicht!$E$7:$K$83,4,FALSE))))</f>
        <v>RPE 7</v>
      </c>
      <c r="E50" s="672" cm="1">
        <f t="array" ref="E50">IF(IFERROR((IF(ISNA(IF((IF(VLOOKUP($A50,Übungsübersicht!$E$6:$K$82,7,FALSE)="OK",(MROUND(((INDEX($A$1:$U$68,(ROW(E50)),17))*$Q$97),(((IF(VLOOKUP($A50,Übungsübersicht!$E$6:$K$82,3,FALSE)=0,0.1,(VLOOKUP($A50,Übungsübersicht!$E$6:$K$82,3,FALSE)))))))),IF(VLOOKUP($A50,Übungsübersicht!$E$6:$K$82,7,FALSE)="UK",(MROUND(((INDEX($A$1:$U$68,(ROW(E50)),17))*$Q$98),(((IF(VLOOKUP($A50,Übungsübersicht!$E$6:$K$82,3,FALSE)=0,0.1,(VLOOKUP($A50,Übungsübersicht!$E$6:$K$82,3,FALSE)))))))),"Übung OK/UK?")))&lt;3,"RPE 7",(IF(VLOOKUP($A50,Übungsübersicht!$E$6:$K$82,7,FALSE)="OK",(MROUND(((INDEX($A$1:$U$68,(ROW(E50)),17))*$Q$97),(((IF(VLOOKUP($A50,Übungsübersicht!$E$6:$K$82,3,FALSE)=0,0.1,(VLOOKUP($A50,Übungsübersicht!$E$6:$K$82,3,FALSE)))))))),IF(VLOOKUP($A50,Übungsübersicht!$E$6:$K$82,7,FALSE)="UK",(MROUND(((INDEX($A$1:$U$68,(ROW(E50)),17))*$Q$98),(((IF(VLOOKUP($A50,Übungsübersicht!$E$6:$K$82,3,FALSE)=0,0.1,(VLOOKUP($A50,Übungsübersicht!$E$6:$K$82,3,FALSE)))))))),"Übung OK/UK?"))))),"Übung?",IF((IF(VLOOKUP($A50,Übungsübersicht!$E$6:$K$82,7,FALSE)="OK",(MROUND(((INDEX($A$1:$U$68,(ROW(E50)),17))*$Q$97),(((IF(VLOOKUP($A50,Übungsübersicht!$E$6:$K$82,3,FALSE)=0,0.1,(VLOOKUP($A50,Übungsübersicht!$E$6:$K$82,3,FALSE)))))))),IF(VLOOKUP($A50,Übungsübersicht!$E$6:$K$82,7,FALSE)="UK",(MROUND(((INDEX($A$1:$U$68,(ROW(E50)),17))*$Q$98),(((IF(VLOOKUP($A50,Übungsübersicht!$E$6:$K$82,3,FALSE)=0,0.1,(VLOOKUP($A50,Übungsübersicht!$E$6:$K$82,3,FALSE)))))))),"Übung OK/UK?")))&lt;3,"RPE 7",(IF(VLOOKUP($A50,Übungsübersicht!$E$6:$K$82,7,FALSE)="OK",(MROUND(((INDEX($A$1:$U$68,(ROW(E50)),17))*$Q$97),(((IF(VLOOKUP($A50,Übungsübersicht!$E$6:$K$82,3,FALSE)=0,0.1,(VLOOKUP($A50,Übungsübersicht!$E$6:$K$82,3,FALSE)))))))),IF(VLOOKUP($A50,Übungsübersicht!$E$6:$K$82,7,FALSE)="UK",(MROUND(((INDEX($A$1:$U$68,(ROW(E50)),17))*$Q$98),(((IF(VLOOKUP($A50,Übungsübersicht!$E$6:$K$82,3,FALSE)=0,0.1,(VLOOKUP($A50,Übungsübersicht!$E$6:$K$82,3,FALSE)))))))),"Übung OK/UK?")))))),"RPE 6")=(INDEX($A$1:$U$68,(ROW(E50)),17)),(IFERROR((IF(ISNA(IF(INDEX($A$1:$U$68,(ROW(E50)),17)-(IF(VLOOKUP($A50,Übungsübersicht!$E$6:$K$82,3,FALSE)&lt;=0.5,0,(VLOOKUP($A50,Übungsübersicht!$E$6:$K$82,3,FALSE))))&lt;3,"RPE 7",INDEX($A$1:$U$68,(ROW(E50)),17)-(IF(VLOOKUP($A50,Übungsübersicht!$E$6:$K$82,3,FALSE)&lt;=0.5,0,(VLOOKUP($A50,Übungsübersicht!$E$6:$K$82,3,FALSE)))))),"Übung?",IF(INDEX($A$1:$U$68,(ROW(E50)),17)-(IF(VLOOKUP($A50,Übungsübersicht!$E$6:$K$82,3,FALSE)&lt;=0.5,0,(VLOOKUP($A50,Übungsübersicht!$E$6:$K$82,3,FALSE))))&lt;3,"RPE 7",INDEX($A$1:$U$68,(ROW(E50)),17)-(IF(VLOOKUP($A50,Übungsübersicht!$E$6:$K$82,3,FALSE)&lt;=0.5,0,(VLOOKUP($A50,Übungsübersicht!$E$6:$K$82,3,FALSE))))))),"RPE 7")),(IFERROR((IF(ISNA(IF((IF(VLOOKUP($A50,Übungsübersicht!$E$6:$K$82,7,FALSE)="OK",(MROUND(((INDEX($A$1:$U$68,(ROW(E50)),17))*$Q$97),(((IF(VLOOKUP($A50,Übungsübersicht!$E$6:$K$82,3,FALSE)=0,0.1,(VLOOKUP($A50,Übungsübersicht!$E$6:$K$82,3,FALSE)))))))),IF(VLOOKUP($A50,Übungsübersicht!$E$6:$K$82,7,FALSE)="UK",(MROUND(((INDEX($A$1:$U$68,(ROW(E50)),17))*$Q$98),(((IF(VLOOKUP($A50,Übungsübersicht!$E$6:$K$82,3,FALSE)=0,0.1,(VLOOKUP($A50,Übungsübersicht!$E$6:$K$82,3,FALSE)))))))),"Übung OK/UK?")))&lt;3,"RPE 7",(IF(VLOOKUP($A50,Übungsübersicht!$E$6:$K$82,7,FALSE)="OK",(MROUND(((INDEX($A$1:$U$68,(ROW(E50)),17))*$Q$97),(((IF(VLOOKUP($A50,Übungsübersicht!$E$6:$K$82,3,FALSE)=0,0.1,(VLOOKUP($A50,Übungsübersicht!$E$6:$K$82,3,FALSE)))))))),IF(VLOOKUP($A50,Übungsübersicht!$E$6:$K$82,7,FALSE)="UK",(MROUND(((INDEX($A$1:$U$68,(ROW(E50)),17))*$Q$98),(((IF(VLOOKUP($A50,Übungsübersicht!$E$6:$K$82,3,FALSE)=0,0.1,(VLOOKUP($A50,Übungsübersicht!$E$6:$K$82,3,FALSE)))))))),"Übung OK/UK?"))))),"Übung?",IF((IF(VLOOKUP($A50,Übungsübersicht!$E$6:$K$82,7,FALSE)="OK",(MROUND(((INDEX($A$1:$U$68,(ROW(E50)),17))*$Q$97),(((IF(VLOOKUP($A50,Übungsübersicht!$E$6:$K$82,3,FALSE)=0,0.1,(VLOOKUP($A50,Übungsübersicht!$E$6:$K$82,3,FALSE)))))))),IF(VLOOKUP($A50,Übungsübersicht!$E$6:$K$82,7,FALSE)="UK",(MROUND(((INDEX($A$1:$U$68,(ROW(E50)),17))*$Q$98),(((IF(VLOOKUP($A50,Übungsübersicht!$E$6:$K$82,3,FALSE)=0,0.1,(VLOOKUP($A50,Übungsübersicht!$E$6:$K$82,3,FALSE)))))))),"Übung OK/UK?")))&lt;3,"RPE 6",(IF(VLOOKUP($A50,Übungsübersicht!$E$6:$K$82,7,FALSE)="OK",(MROUND(((INDEX($A$1:$U$68,(ROW(E50)),17))*$Q$97),(((IF(VLOOKUP($A50,Übungsübersicht!$E$6:$K$82,3,FALSE)=0,0.1,(VLOOKUP($A50,Übungsübersicht!$E$6:$K$82,3,FALSE)))))))),IF(VLOOKUP($A50,Übungsübersicht!$E$6:$K$82,7,FALSE)="UK",(MROUND(((INDEX($A$1:$U$68,(ROW(E50)),17))*$Q$98),(((IF(VLOOKUP($A50,Übungsübersicht!$E$6:$K$82,3,FALSE)=0,0.1,(VLOOKUP($A50,Übungsübersicht!$E$6:$K$82,3,FALSE)))))))),"Übung OK/UK?")))))),"RPE 7")))</f>
        <v>7.5</v>
      </c>
      <c r="F50" s="598" t="str">
        <f>IF('Gewichts- Calculator'!$B$127="EINGEBEN","",(IF('Gewichts- Calculator'!$C$134="Ja Anzeigen",(IF($A50='Gewichts- Calculator'!$C$8," &gt;"&amp;'Gewichts- Calculator'!$B$127&amp;"  &gt; "&amp; 'Gewichts- Calculator'!$B$130,"")),"")))</f>
        <v/>
      </c>
      <c r="G50" s="670">
        <v>5</v>
      </c>
      <c r="H50" s="671" t="str">
        <f>IF(ISNA(IF($G50=0,"0",IF(VLOOKUP($A50,Übungsübersicht!$E$7:$K$83,4,FALSE)&lt;1,"RPE 8",VLOOKUP($A50,Übungsübersicht!$E$7:$K$83,4,FALSE)))),"Übung?",IF($G50=0,"0",IF(VLOOKUP($A50,Übungsübersicht!$E$7:$K$83,4,FALSE)&lt;1,"RPE 8",VLOOKUP($A50,Übungsübersicht!$E$7:$K$83,4,FALSE))))</f>
        <v>RPE 8</v>
      </c>
      <c r="I50" s="673">
        <v>10</v>
      </c>
      <c r="J50" s="598" t="str">
        <f>IF('Gewichts- Calculator'!$D$127="EINGEBEN","",(IF('Gewichts- Calculator'!$C$134="Ja Anzeigen",(IF($A50='Gewichts- Calculator'!$C$8," &gt;"&amp;'Gewichts- Calculator'!$D$127&amp;"  &gt; "&amp; 'Gewichts- Calculator'!$D$130,"")),"")))</f>
        <v/>
      </c>
      <c r="K50" s="670">
        <v>5</v>
      </c>
      <c r="L50" s="671" t="str">
        <f>IF(ISNA(IF($K50=0,"0",IF(VLOOKUP($A50,Übungsübersicht!$E$7:$K$83,4,FALSE)&lt;1,"RPE 8",VLOOKUP($A50,Übungsübersicht!$E$7:$K$83,4,FALSE)))),"Übung?",IF($K50=0,"0",IF(VLOOKUP($A50,Übungsübersicht!$E$7:$K$83,4,FALSE)&lt;1,"RPE 8",VLOOKUP($A50,Übungsübersicht!$E$7:$K$83,4,FALSE))))</f>
        <v>RPE 8</v>
      </c>
      <c r="M50" s="674">
        <v>10</v>
      </c>
      <c r="N50" s="598" t="str">
        <f>IF('Gewichts- Calculator'!$D$127="EINGEBEN","",(IF('Gewichts- Calculator'!$C$134="Ja Anzeigen",(IF($A50='Gewichts- Calculator'!$C$8," &gt;"&amp;'Gewichts- Calculator'!$D$127&amp;"  &gt; "&amp; 'Gewichts- Calculator'!$D$130,"")),"")))</f>
        <v/>
      </c>
      <c r="O50" s="670">
        <v>6</v>
      </c>
      <c r="P50" s="671" t="str">
        <f>IF(ISNA(IF($O50=0,"0",IF(VLOOKUP($A50,Übungsübersicht!$E$7:$K$83,5,FALSE)&lt;1,"RPE 9",VLOOKUP($A50,Übungsübersicht!$E$7:$K$83,5,FALSE)))),"Übung?",IF($O50=0,"0",IF(VLOOKUP($A50,Übungsübersicht!$E$7:$K$83,5,FALSE)&lt;1,"RPE 9",VLOOKUP($A50,Übungsübersicht!$E$7:$K$83,5,FALSE))))</f>
        <v>RPE 9</v>
      </c>
      <c r="Q50" s="675">
        <v>10</v>
      </c>
      <c r="R50" s="598" t="str">
        <f>IF('Gewichts- Calculator'!$F$127="EINGEBEN","",(IF('Gewichts- Calculator'!$C$134="Ja Anzeigen",(IF($A50='Gewichts- Calculator'!$C$8," &gt;"&amp;'Gewichts- Calculator'!$F$127&amp;"  &gt; "&amp; 'Gewichts- Calculator'!$F$130,"")),"")))</f>
        <v/>
      </c>
      <c r="S50" s="670">
        <v>0</v>
      </c>
      <c r="T50" s="671" t="str">
        <f>IF(ISNA(IF($S50=0,"0",IF(VLOOKUP($A50,Übungsübersicht!$E$7:$K$83,4,FALSE)&lt;1,"RPE 6",VLOOKUP($A50,Übungsübersicht!$E$7:$K$83,4,FALSE)))),"Übung?",IF($S50=0,"0",IF(VLOOKUP($A50,Übungsübersicht!$E$7:$K$83,4,FALSE)&lt;1,"RPE 6",VLOOKUP($A50,Übungsübersicht!$E$7:$K$83,4,FALSE))))</f>
        <v>0</v>
      </c>
      <c r="U50" s="674" cm="1">
        <f t="array" ref="U50">IFERROR((IF(ISNA(IF((IF(VLOOKUP($A50,Übungsübersicht!$E$6:$K$82,7,FALSE)="OK",(MROUND(((INDEX($A$1:$U$68,(ROW(U50)),17))*$T$97),(((IF(VLOOKUP($A50,Übungsübersicht!$E$6:$K$82,3,FALSE)=0,0.1,(VLOOKUP($A50,Übungsübersicht!$E$6:$K$82,3,FALSE)))))))),IF(VLOOKUP($A50,Übungsübersicht!$E$6:$K$82,7,FALSE)="UK",(MROUND(((INDEX($A$1:$U$68,(ROW(U50)),17))*$T$98),(((IF(VLOOKUP($A50,Übungsübersicht!$E$6:$K$82,3,FALSE)=0,0.1,(VLOOKUP($A50,Übungsübersicht!$E$6:$K$82,3,FALSE)))))))),"Übung OK/UK?")))&lt;3,"RPE 6",(IF(VLOOKUP($A50,Übungsübersicht!$E$6:$K$82,7,FALSE)="OK",(MROUND(((INDEX($A$1:$U$68,(ROW(U50)),17))*$T$97),(((IF(VLOOKUP($A50,Übungsübersicht!$E$6:$K$82,3,FALSE)=0,0.1,(VLOOKUP($A50,Übungsübersicht!$E$6:$K$82,3,FALSE)))))))),IF(VLOOKUP($A50,Übungsübersicht!$E$6:$K$82,7,FALSE)="UK",(MROUND(((INDEX($A$1:$U$68,(ROW(U50)),17))*$T$98),(((IF(VLOOKUP($A50,Übungsübersicht!$E$6:$K$82,3,FALSE)=0,0.1,(VLOOKUP($A50,Übungsübersicht!$E$6:$K$82,3,FALSE)))))))),"Übung OK/UK?"))))),"Übung?",IF((IF(VLOOKUP($A50,Übungsübersicht!$E$6:$K$82,7,FALSE)="OK",(MROUND(((INDEX($A$1:$U$68,(ROW(U50)),17))*$T$97),(((IF(VLOOKUP($A50,Übungsübersicht!$E$6:$K$82,3,FALSE)=0,0.1,(VLOOKUP($A50,Übungsübersicht!$E$6:$K$82,3,FALSE)))))))),IF(VLOOKUP($A50,Übungsübersicht!$E$6:$K$82,7,FALSE)="UK",(MROUND(((INDEX($A$1:$U$68,(ROW(U50)),17))*$T$98),(((IF(VLOOKUP($A50,Übungsübersicht!$E$6:$K$82,3,FALSE)=0,0.1,(VLOOKUP($A50,Übungsübersicht!$E$6:$K$82,3,FALSE)))))))),"Übung OK/UK?")))&lt;3,"RPE 6",(IF(VLOOKUP($A50,Übungsübersicht!$E$6:$K$82,7,FALSE)="OK",(MROUND(((INDEX($A$1:$U$68,(ROW(U50)),17))*$T$97),(((IF(VLOOKUP($A50,Übungsübersicht!$E$6:$K$82,3,FALSE)=0,0.1,(VLOOKUP($A50,Übungsübersicht!$E$6:$K$82,3,FALSE)))))))),IF(VLOOKUP($A50,Übungsübersicht!$E$6:$K$82,7,FALSE)="UK",(MROUND(((INDEX($A$1:$U$68,(ROW(U50)),17))*$T$98),(((IF(VLOOKUP($A50,Übungsübersicht!$E$6:$K$82,3,FALSE)=0,0.1,(VLOOKUP($A50,Übungsübersicht!$E$6:$K$82,3,FALSE)))))))),"Übung OK/UK?")))))),"RPE 6")</f>
        <v>5</v>
      </c>
      <c r="V50" s="7"/>
      <c r="W50" s="7"/>
      <c r="X50" s="7"/>
      <c r="Y50" s="7"/>
    </row>
    <row r="51" spans="1:25" ht="26.1" customHeight="1" thickTop="1" thickBot="1">
      <c r="A51" s="668" t="s">
        <v>45</v>
      </c>
      <c r="B51" s="669" t="str">
        <f>IF(ISNA(IF(ISBLANK(VLOOKUP($A51,Übungsübersicht!$E$8:$F$83,2,FALSE)),"Muskelgruppe Auswählen",VLOOKUP($A51,Übungsübersicht!$E$8:$F$83,2,FALSE))),"Übung?",IF(ISBLANK(VLOOKUP($A51,Übungsübersicht!$E$8:$F$83,2,FALSE)),"Muskelgruppe Auswählen",VLOOKUP($A51,Übungsübersicht!$E$8:$F$83,2,FALSE)))</f>
        <v>Bauch</v>
      </c>
      <c r="C51" s="670">
        <v>5</v>
      </c>
      <c r="D51" s="671" t="str">
        <f>IF(ISNA(IF($C51=0,"0",IF(VLOOKUP($A51,Übungsübersicht!$E$7:$K$83,4,FALSE)&lt;1,"RPE 7",VLOOKUP($A51,Übungsübersicht!$E$7:$K$83,4,FALSE)))),"Übung?",IF($C51=0,"0",IF(VLOOKUP($A51,Übungsübersicht!$E$7:$K$83,4,FALSE)&lt;1,"RPE 7",VLOOKUP($A51,Übungsübersicht!$E$7:$K$83,4,FALSE))))</f>
        <v>RPE 7</v>
      </c>
      <c r="E51" s="672" t="str" cm="1">
        <f t="array" ref="E51">IF(IFERROR((IF(ISNA(IF((IF(VLOOKUP($A51,Übungsübersicht!$E$6:$K$82,7,FALSE)="OK",(MROUND(((INDEX($A$1:$U$68,(ROW(E51)),17))*$Q$97),(((IF(VLOOKUP($A51,Übungsübersicht!$E$6:$K$82,3,FALSE)=0,0.1,(VLOOKUP($A51,Übungsübersicht!$E$6:$K$82,3,FALSE)))))))),IF(VLOOKUP($A51,Übungsübersicht!$E$6:$K$82,7,FALSE)="UK",(MROUND(((INDEX($A$1:$U$68,(ROW(E51)),17))*$Q$98),(((IF(VLOOKUP($A51,Übungsübersicht!$E$6:$K$82,3,FALSE)=0,0.1,(VLOOKUP($A51,Übungsübersicht!$E$6:$K$82,3,FALSE)))))))),"Übung OK/UK?")))&lt;3,"RPE 7",(IF(VLOOKUP($A51,Übungsübersicht!$E$6:$K$82,7,FALSE)="OK",(MROUND(((INDEX($A$1:$U$68,(ROW(E51)),17))*$Q$97),(((IF(VLOOKUP($A51,Übungsübersicht!$E$6:$K$82,3,FALSE)=0,0.1,(VLOOKUP($A51,Übungsübersicht!$E$6:$K$82,3,FALSE)))))))),IF(VLOOKUP($A51,Übungsübersicht!$E$6:$K$82,7,FALSE)="UK",(MROUND(((INDEX($A$1:$U$68,(ROW(E51)),17))*$Q$98),(((IF(VLOOKUP($A51,Übungsübersicht!$E$6:$K$82,3,FALSE)=0,0.1,(VLOOKUP($A51,Übungsübersicht!$E$6:$K$82,3,FALSE)))))))),"Übung OK/UK?"))))),"Übung?",IF((IF(VLOOKUP($A51,Übungsübersicht!$E$6:$K$82,7,FALSE)="OK",(MROUND(((INDEX($A$1:$U$68,(ROW(E51)),17))*$Q$97),(((IF(VLOOKUP($A51,Übungsübersicht!$E$6:$K$82,3,FALSE)=0,0.1,(VLOOKUP($A51,Übungsübersicht!$E$6:$K$82,3,FALSE)))))))),IF(VLOOKUP($A51,Übungsübersicht!$E$6:$K$82,7,FALSE)="UK",(MROUND(((INDEX($A$1:$U$68,(ROW(E51)),17))*$Q$98),(((IF(VLOOKUP($A51,Übungsübersicht!$E$6:$K$82,3,FALSE)=0,0.1,(VLOOKUP($A51,Übungsübersicht!$E$6:$K$82,3,FALSE)))))))),"Übung OK/UK?")))&lt;3,"RPE 7",(IF(VLOOKUP($A51,Übungsübersicht!$E$6:$K$82,7,FALSE)="OK",(MROUND(((INDEX($A$1:$U$68,(ROW(E51)),17))*$Q$97),(((IF(VLOOKUP($A51,Übungsübersicht!$E$6:$K$82,3,FALSE)=0,0.1,(VLOOKUP($A51,Übungsübersicht!$E$6:$K$82,3,FALSE)))))))),IF(VLOOKUP($A51,Übungsübersicht!$E$6:$K$82,7,FALSE)="UK",(MROUND(((INDEX($A$1:$U$68,(ROW(E51)),17))*$Q$98),(((IF(VLOOKUP($A51,Übungsübersicht!$E$6:$K$82,3,FALSE)=0,0.1,(VLOOKUP($A51,Übungsübersicht!$E$6:$K$82,3,FALSE)))))))),"Übung OK/UK?")))))),"RPE 6")=(INDEX($A$1:$U$68,(ROW(E51)),17)),(IFERROR((IF(ISNA(IF(INDEX($A$1:$U$68,(ROW(E51)),17)-(IF(VLOOKUP($A51,Übungsübersicht!$E$6:$K$82,3,FALSE)&lt;=0.5,0,(VLOOKUP($A51,Übungsübersicht!$E$6:$K$82,3,FALSE))))&lt;3,"RPE 7",INDEX($A$1:$U$68,(ROW(E51)),17)-(IF(VLOOKUP($A51,Übungsübersicht!$E$6:$K$82,3,FALSE)&lt;=0.5,0,(VLOOKUP($A51,Übungsübersicht!$E$6:$K$82,3,FALSE)))))),"Übung?",IF(INDEX($A$1:$U$68,(ROW(E51)),17)-(IF(VLOOKUP($A51,Übungsübersicht!$E$6:$K$82,3,FALSE)&lt;=0.5,0,(VLOOKUP($A51,Übungsübersicht!$E$6:$K$82,3,FALSE))))&lt;3,"RPE 7",INDEX($A$1:$U$68,(ROW(E51)),17)-(IF(VLOOKUP($A51,Übungsübersicht!$E$6:$K$82,3,FALSE)&lt;=0.5,0,(VLOOKUP($A51,Übungsübersicht!$E$6:$K$82,3,FALSE))))))),"RPE 7")),(IFERROR((IF(ISNA(IF((IF(VLOOKUP($A51,Übungsübersicht!$E$6:$K$82,7,FALSE)="OK",(MROUND(((INDEX($A$1:$U$68,(ROW(E51)),17))*$Q$97),(((IF(VLOOKUP($A51,Übungsübersicht!$E$6:$K$82,3,FALSE)=0,0.1,(VLOOKUP($A51,Übungsübersicht!$E$6:$K$82,3,FALSE)))))))),IF(VLOOKUP($A51,Übungsübersicht!$E$6:$K$82,7,FALSE)="UK",(MROUND(((INDEX($A$1:$U$68,(ROW(E51)),17))*$Q$98),(((IF(VLOOKUP($A51,Übungsübersicht!$E$6:$K$82,3,FALSE)=0,0.1,(VLOOKUP($A51,Übungsübersicht!$E$6:$K$82,3,FALSE)))))))),"Übung OK/UK?")))&lt;3,"RPE 7",(IF(VLOOKUP($A51,Übungsübersicht!$E$6:$K$82,7,FALSE)="OK",(MROUND(((INDEX($A$1:$U$68,(ROW(E51)),17))*$Q$97),(((IF(VLOOKUP($A51,Übungsübersicht!$E$6:$K$82,3,FALSE)=0,0.1,(VLOOKUP($A51,Übungsübersicht!$E$6:$K$82,3,FALSE)))))))),IF(VLOOKUP($A51,Übungsübersicht!$E$6:$K$82,7,FALSE)="UK",(MROUND(((INDEX($A$1:$U$68,(ROW(E51)),17))*$Q$98),(((IF(VLOOKUP($A51,Übungsübersicht!$E$6:$K$82,3,FALSE)=0,0.1,(VLOOKUP($A51,Übungsübersicht!$E$6:$K$82,3,FALSE)))))))),"Übung OK/UK?"))))),"Übung?",IF((IF(VLOOKUP($A51,Übungsübersicht!$E$6:$K$82,7,FALSE)="OK",(MROUND(((INDEX($A$1:$U$68,(ROW(E51)),17))*$Q$97),(((IF(VLOOKUP($A51,Übungsübersicht!$E$6:$K$82,3,FALSE)=0,0.1,(VLOOKUP($A51,Übungsübersicht!$E$6:$K$82,3,FALSE)))))))),IF(VLOOKUP($A51,Übungsübersicht!$E$6:$K$82,7,FALSE)="UK",(MROUND(((INDEX($A$1:$U$68,(ROW(E51)),17))*$Q$98),(((IF(VLOOKUP($A51,Übungsübersicht!$E$6:$K$82,3,FALSE)=0,0.1,(VLOOKUP($A51,Übungsübersicht!$E$6:$K$82,3,FALSE)))))))),"Übung OK/UK?")))&lt;3,"RPE 6",(IF(VLOOKUP($A51,Übungsübersicht!$E$6:$K$82,7,FALSE)="OK",(MROUND(((INDEX($A$1:$U$68,(ROW(E51)),17))*$Q$97),(((IF(VLOOKUP($A51,Übungsübersicht!$E$6:$K$82,3,FALSE)=0,0.1,(VLOOKUP($A51,Übungsübersicht!$E$6:$K$82,3,FALSE)))))))),IF(VLOOKUP($A51,Übungsübersicht!$E$6:$K$82,7,FALSE)="UK",(MROUND(((INDEX($A$1:$U$68,(ROW(E51)),17))*$Q$98),(((IF(VLOOKUP($A51,Übungsübersicht!$E$6:$K$82,3,FALSE)=0,0.1,(VLOOKUP($A51,Übungsübersicht!$E$6:$K$82,3,FALSE)))))))),"Übung OK/UK?")))))),"RPE 7")))</f>
        <v>RPE 7</v>
      </c>
      <c r="F51" s="598" t="str">
        <f>IF('Gewichts- Calculator'!$B$127="EINGEBEN","",(IF('Gewichts- Calculator'!$C$134="Ja Anzeigen",(IF($A51='Gewichts- Calculator'!$C$8," &gt;"&amp;'Gewichts- Calculator'!$B$127&amp;"  &gt; "&amp; 'Gewichts- Calculator'!$B$130,"")),"")))</f>
        <v/>
      </c>
      <c r="G51" s="670">
        <v>6</v>
      </c>
      <c r="H51" s="671" t="str">
        <f>IF(ISNA(IF($G51=0,"0",IF(VLOOKUP($A51,Übungsübersicht!$E$7:$K$83,4,FALSE)&lt;1,"RPE 8",VLOOKUP($A51,Übungsübersicht!$E$7:$K$83,4,FALSE)))),"Übung?",IF($G51=0,"0",IF(VLOOKUP($A51,Übungsübersicht!$E$7:$K$83,4,FALSE)&lt;1,"RPE 8",VLOOKUP($A51,Übungsübersicht!$E$7:$K$83,4,FALSE))))</f>
        <v>RPE 8</v>
      </c>
      <c r="I51" s="673">
        <v>0</v>
      </c>
      <c r="J51" s="598" t="str">
        <f>IF('Gewichts- Calculator'!$D$127="EINGEBEN","",(IF('Gewichts- Calculator'!$C$134="Ja Anzeigen",(IF($A51='Gewichts- Calculator'!$C$8," &gt;"&amp;'Gewichts- Calculator'!$D$127&amp;"  &gt; "&amp; 'Gewichts- Calculator'!$D$130,"")),"")))</f>
        <v/>
      </c>
      <c r="K51" s="670">
        <v>6</v>
      </c>
      <c r="L51" s="671" t="str">
        <f>IF(ISNA(IF($K51=0,"0",IF(VLOOKUP($A51,Übungsübersicht!$E$7:$K$83,4,FALSE)&lt;1,"RPE 8",VLOOKUP($A51,Übungsübersicht!$E$7:$K$83,4,FALSE)))),"Übung?",IF($K51=0,"0",IF(VLOOKUP($A51,Übungsübersicht!$E$7:$K$83,4,FALSE)&lt;1,"RPE 8",VLOOKUP($A51,Übungsübersicht!$E$7:$K$83,4,FALSE))))</f>
        <v>RPE 8</v>
      </c>
      <c r="M51" s="674" t="s">
        <v>360</v>
      </c>
      <c r="N51" s="598" t="str">
        <f>IF('Gewichts- Calculator'!$D$127="EINGEBEN","",(IF('Gewichts- Calculator'!$C$134="Ja Anzeigen",(IF($A51='Gewichts- Calculator'!$C$8," &gt;"&amp;'Gewichts- Calculator'!$D$127&amp;"  &gt; "&amp; 'Gewichts- Calculator'!$D$130,"")),"")))</f>
        <v/>
      </c>
      <c r="O51" s="670">
        <v>0</v>
      </c>
      <c r="P51" s="671" t="str">
        <f>IF(ISNA(IF($O51=0,"0",IF(VLOOKUP($A51,Übungsübersicht!$E$7:$K$83,5,FALSE)&lt;1,"RPE 9",VLOOKUP($A51,Übungsübersicht!$E$7:$K$83,5,FALSE)))),"Übung?",IF($O51=0,"0",IF(VLOOKUP($A51,Übungsübersicht!$E$7:$K$83,5,FALSE)&lt;1,"RPE 9",VLOOKUP($A51,Übungsübersicht!$E$7:$K$83,5,FALSE))))</f>
        <v>0</v>
      </c>
      <c r="Q51" s="675" t="s">
        <v>361</v>
      </c>
      <c r="R51" s="598" t="str">
        <f>IF('Gewichts- Calculator'!$F$127="EINGEBEN","",(IF('Gewichts- Calculator'!$C$134="Ja Anzeigen",(IF($A51='Gewichts- Calculator'!$C$8," &gt;"&amp;'Gewichts- Calculator'!$F$127&amp;"  &gt; "&amp; 'Gewichts- Calculator'!$F$130,"")),"")))</f>
        <v/>
      </c>
      <c r="S51" s="670">
        <v>10</v>
      </c>
      <c r="T51" s="671" t="str">
        <f>IF(ISNA(IF($S51=0,"0",IF(VLOOKUP($A51,Übungsübersicht!$E$7:$K$83,4,FALSE)&lt;1,"RPE 6",VLOOKUP($A51,Übungsübersicht!$E$7:$K$83,4,FALSE)))),"Übung?",IF($S51=0,"0",IF(VLOOKUP($A51,Übungsübersicht!$E$7:$K$83,4,FALSE)&lt;1,"RPE 6",VLOOKUP($A51,Übungsübersicht!$E$7:$K$83,4,FALSE))))</f>
        <v>RPE 6</v>
      </c>
      <c r="U51" s="674" t="str" cm="1">
        <f t="array" ref="U51">IFERROR((IF(ISNA(IF((IF(VLOOKUP($A51,Übungsübersicht!$E$6:$K$82,7,FALSE)="OK",(MROUND(((INDEX($A$1:$U$68,(ROW(U51)),17))*$T$97),(((IF(VLOOKUP($A51,Übungsübersicht!$E$6:$K$82,3,FALSE)=0,0.1,(VLOOKUP($A51,Übungsübersicht!$E$6:$K$82,3,FALSE)))))))),IF(VLOOKUP($A51,Übungsübersicht!$E$6:$K$82,7,FALSE)="UK",(MROUND(((INDEX($A$1:$U$68,(ROW(U51)),17))*$T$98),(((IF(VLOOKUP($A51,Übungsübersicht!$E$6:$K$82,3,FALSE)=0,0.1,(VLOOKUP($A51,Übungsübersicht!$E$6:$K$82,3,FALSE)))))))),"Übung OK/UK?")))&lt;3,"RPE 6",(IF(VLOOKUP($A51,Übungsübersicht!$E$6:$K$82,7,FALSE)="OK",(MROUND(((INDEX($A$1:$U$68,(ROW(U51)),17))*$T$97),(((IF(VLOOKUP($A51,Übungsübersicht!$E$6:$K$82,3,FALSE)=0,0.1,(VLOOKUP($A51,Übungsübersicht!$E$6:$K$82,3,FALSE)))))))),IF(VLOOKUP($A51,Übungsübersicht!$E$6:$K$82,7,FALSE)="UK",(MROUND(((INDEX($A$1:$U$68,(ROW(U51)),17))*$T$98),(((IF(VLOOKUP($A51,Übungsübersicht!$E$6:$K$82,3,FALSE)=0,0.1,(VLOOKUP($A51,Übungsübersicht!$E$6:$K$82,3,FALSE)))))))),"Übung OK/UK?"))))),"Übung?",IF((IF(VLOOKUP($A51,Übungsübersicht!$E$6:$K$82,7,FALSE)="OK",(MROUND(((INDEX($A$1:$U$68,(ROW(U51)),17))*$T$97),(((IF(VLOOKUP($A51,Übungsübersicht!$E$6:$K$82,3,FALSE)=0,0.1,(VLOOKUP($A51,Übungsübersicht!$E$6:$K$82,3,FALSE)))))))),IF(VLOOKUP($A51,Übungsübersicht!$E$6:$K$82,7,FALSE)="UK",(MROUND(((INDEX($A$1:$U$68,(ROW(U51)),17))*$T$98),(((IF(VLOOKUP($A51,Übungsübersicht!$E$6:$K$82,3,FALSE)=0,0.1,(VLOOKUP($A51,Übungsübersicht!$E$6:$K$82,3,FALSE)))))))),"Übung OK/UK?")))&lt;3,"RPE 6",(IF(VLOOKUP($A51,Übungsübersicht!$E$6:$K$82,7,FALSE)="OK",(MROUND(((INDEX($A$1:$U$68,(ROW(U51)),17))*$T$97),(((IF(VLOOKUP($A51,Übungsübersicht!$E$6:$K$82,3,FALSE)=0,0.1,(VLOOKUP($A51,Übungsübersicht!$E$6:$K$82,3,FALSE)))))))),IF(VLOOKUP($A51,Übungsübersicht!$E$6:$K$82,7,FALSE)="UK",(MROUND(((INDEX($A$1:$U$68,(ROW(U51)),17))*$T$98),(((IF(VLOOKUP($A51,Übungsübersicht!$E$6:$K$82,3,FALSE)=0,0.1,(VLOOKUP($A51,Übungsübersicht!$E$6:$K$82,3,FALSE)))))))),"Übung OK/UK?")))))),"RPE 6")</f>
        <v>RPE 6</v>
      </c>
      <c r="V51" s="7"/>
      <c r="W51" s="7"/>
      <c r="X51" s="7"/>
      <c r="Y51" s="7"/>
    </row>
    <row r="52" spans="1:25" ht="26.1" customHeight="1" thickTop="1">
      <c r="A52" s="17"/>
      <c r="B52" s="17"/>
      <c r="C52" s="18"/>
      <c r="D52" s="18"/>
      <c r="E52" s="18"/>
      <c r="F52" s="598" t="str">
        <f>IF('Gewichts- Calculator'!$B$127="EINGEBEN","",(IF('Gewichts- Calculator'!$C$134="Ja Anzeigen",(IF($A52='Gewichts- Calculator'!$C$8," &gt;"&amp;'Gewichts- Calculator'!$B$127&amp;"  &gt; "&amp; 'Gewichts- Calculator'!$B$130,"")),"")))</f>
        <v/>
      </c>
      <c r="G52" s="18"/>
      <c r="H52" s="18"/>
      <c r="I52" s="18"/>
      <c r="J52" s="598" t="str">
        <f>IF('Gewichts- Calculator'!$D$127="EINGEBEN","",(IF('Gewichts- Calculator'!$C$134="Ja Anzeigen",(IF($A52='Gewichts- Calculator'!$C$8," &gt;"&amp;'Gewichts- Calculator'!$D$127&amp;"  &gt; "&amp; 'Gewichts- Calculator'!$D$130,"")),"")))</f>
        <v/>
      </c>
      <c r="K52" s="18"/>
      <c r="L52" s="18"/>
      <c r="M52" s="18"/>
      <c r="N52" s="598" t="str">
        <f>IF('Gewichts- Calculator'!$D$127="EINGEBEN","",(IF('Gewichts- Calculator'!$C$134="Ja Anzeigen",(IF($A52='Gewichts- Calculator'!$C$8," &gt;"&amp;'Gewichts- Calculator'!$D$127&amp;"  &gt; "&amp; 'Gewichts- Calculator'!$D$130,"")),"")))</f>
        <v/>
      </c>
      <c r="O52" s="18"/>
      <c r="P52" s="18"/>
      <c r="Q52" s="18"/>
      <c r="R52" s="598" t="str">
        <f>IF('Gewichts- Calculator'!$F$127="EINGEBEN","",(IF('Gewichts- Calculator'!$C$134="Ja Anzeigen",(IF($A52='Gewichts- Calculator'!$C$8," &gt;"&amp;'Gewichts- Calculator'!$F$127&amp;"  &gt; "&amp; 'Gewichts- Calculator'!$F$130,"")),"")))</f>
        <v/>
      </c>
      <c r="S52" s="18"/>
      <c r="T52" s="18"/>
      <c r="U52" s="299"/>
      <c r="V52" s="7"/>
      <c r="W52" s="7"/>
      <c r="X52" s="7"/>
    </row>
    <row r="53" spans="1:25" ht="26.1" customHeight="1">
      <c r="A53" s="23"/>
      <c r="B53" s="23"/>
      <c r="C53" s="7"/>
      <c r="D53" s="7"/>
      <c r="E53" s="7"/>
      <c r="F53" s="598" t="str">
        <f>IF('Gewichts- Calculator'!$B$127="EINGEBEN","",(IF('Gewichts- Calculator'!$C$134="Ja Anzeigen",(IF($A53='Gewichts- Calculator'!$C$8," &gt;"&amp;'Gewichts- Calculator'!$B$127&amp;"  &gt; "&amp; 'Gewichts- Calculator'!$B$130,"")),"")))</f>
        <v/>
      </c>
      <c r="G53" s="7"/>
      <c r="H53" s="7"/>
      <c r="I53" s="7"/>
      <c r="J53" s="598" t="str">
        <f>IF('Gewichts- Calculator'!$D$127="EINGEBEN","",(IF('Gewichts- Calculator'!$C$134="Ja Anzeigen",(IF($A53='Gewichts- Calculator'!$C$8," &gt;"&amp;'Gewichts- Calculator'!$D$127&amp;"  &gt; "&amp; 'Gewichts- Calculator'!$D$130,"")),"")))</f>
        <v/>
      </c>
      <c r="K53" s="7"/>
      <c r="L53" s="7"/>
      <c r="M53" s="7"/>
      <c r="N53" s="598" t="str">
        <f>IF('Gewichts- Calculator'!$D$127="EINGEBEN","",(IF('Gewichts- Calculator'!$C$134="Ja Anzeigen",(IF($A53='Gewichts- Calculator'!$C$8," &gt;"&amp;'Gewichts- Calculator'!$D$127&amp;"  &gt; "&amp; 'Gewichts- Calculator'!$D$130,"")),"")))</f>
        <v/>
      </c>
      <c r="O53" s="7"/>
      <c r="P53" s="7"/>
      <c r="Q53" s="7"/>
      <c r="R53" s="598" t="str">
        <f>IF('Gewichts- Calculator'!$F$127="EINGEBEN","",(IF('Gewichts- Calculator'!$C$134="Ja Anzeigen",(IF($A53='Gewichts- Calculator'!$C$8," &gt;"&amp;'Gewichts- Calculator'!$F$127&amp;"  &gt; "&amp; 'Gewichts- Calculator'!$F$130,"")),"")))</f>
        <v/>
      </c>
      <c r="S53" s="7"/>
      <c r="T53" s="7"/>
      <c r="U53" s="35"/>
      <c r="V53" s="7"/>
      <c r="W53" s="7"/>
      <c r="X53" s="7"/>
    </row>
    <row r="54" spans="1:25" ht="33.950000000000003" customHeight="1" thickBot="1">
      <c r="A54" s="876" t="s">
        <v>75</v>
      </c>
      <c r="B54" s="914" cm="1">
        <f t="array" aca="1" ref="B54" ca="1">IF(INDEX(Kalender!$B$6:$H$18,Zyklus!$AB$25,1)=$A54,INDEX(Kalender!$B$6:$H$18,Zyklus!$AB$25-1,1),IF(INDEX(Kalender!$B$6:$H$18,Zyklus!$AB$25,2)=$A54,INDEX(Kalender!$B$6:$H$18,Zyklus!$AB$25-1,2),IF(INDEX(Kalender!$B$6:$H$18,Zyklus!$AB$25,3)=$A54,INDEX(Kalender!$B$6:$H$18,Zyklus!$AB$25-1,3),IF(INDEX(Kalender!$B$6:$H$18,Zyklus!$AB$25,4)=$A54,INDEX(Kalender!$B$6:$H$18,Zyklus!$AB$25-1,4),IF(INDEX(Kalender!$B$6:$H$18,Zyklus!$AB$25,5)=$A54,INDEX(Kalender!$B$6:$H$18,Zyklus!$AB$25-1,5),IF(INDEX(Kalender!$B$6:$H$18,Zyklus!$AB$25,6)=$A54,INDEX(Kalender!$B$6:$H$18,Zyklus!$AB$25-1,6),IF(INDEX(Kalender!$B$6:$H$18,Zyklus!$AB$25,7)=$A54,INDEX(Kalender!$B$6:$H$18,Zyklus!$AB$25-1,7),"Kalender?")))))))</f>
        <v>43954</v>
      </c>
      <c r="C54" s="962" t="s">
        <v>183</v>
      </c>
      <c r="D54" s="962"/>
      <c r="E54" s="962"/>
      <c r="F54" s="598" t="str">
        <f>IF('Gewichts- Calculator'!$B$127="EINGEBEN","",(IF('Gewichts- Calculator'!$C$134="Ja Anzeigen",(IF($A54='Gewichts- Calculator'!$C$8," &gt;"&amp;'Gewichts- Calculator'!$B$127&amp;"  &gt; "&amp; 'Gewichts- Calculator'!$B$130,"")),"")))</f>
        <v/>
      </c>
      <c r="G54" s="962" t="s">
        <v>184</v>
      </c>
      <c r="H54" s="962"/>
      <c r="I54" s="962"/>
      <c r="J54" s="598" t="str">
        <f>IF('Gewichts- Calculator'!$D$127="EINGEBEN","",(IF('Gewichts- Calculator'!$C$134="Ja Anzeigen",(IF($A54='Gewichts- Calculator'!$C$8," &gt;"&amp;'Gewichts- Calculator'!$D$127&amp;"  &gt; "&amp; 'Gewichts- Calculator'!$D$130,"")),"")))</f>
        <v/>
      </c>
      <c r="K54" s="962" t="s">
        <v>185</v>
      </c>
      <c r="L54" s="962"/>
      <c r="M54" s="962"/>
      <c r="N54" s="598" t="str">
        <f>IF('Gewichts- Calculator'!$D$127="EINGEBEN","",(IF('Gewichts- Calculator'!$C$134="Ja Anzeigen",(IF($A54='Gewichts- Calculator'!$C$8," &gt;"&amp;'Gewichts- Calculator'!$D$127&amp;"  &gt; "&amp; 'Gewichts- Calculator'!$D$130,"")),"")))</f>
        <v/>
      </c>
      <c r="O54" s="962" t="s">
        <v>186</v>
      </c>
      <c r="P54" s="962"/>
      <c r="Q54" s="962"/>
      <c r="R54" s="598" t="str">
        <f>IF('Gewichts- Calculator'!$F$127="EINGEBEN","",(IF('Gewichts- Calculator'!$C$134="Ja Anzeigen",(IF($A54='Gewichts- Calculator'!$C$8," &gt;"&amp;'Gewichts- Calculator'!$F$127&amp;"  &gt; "&amp; 'Gewichts- Calculator'!$F$130,"")),"")))</f>
        <v/>
      </c>
      <c r="S54" s="962" t="s">
        <v>187</v>
      </c>
      <c r="T54" s="962"/>
      <c r="U54" s="962"/>
    </row>
    <row r="55" spans="1:25" s="16" customFormat="1" ht="26.1" customHeight="1" thickTop="1" thickBot="1">
      <c r="A55" s="664" t="s">
        <v>0</v>
      </c>
      <c r="B55" s="664" t="s">
        <v>1</v>
      </c>
      <c r="C55" s="665" t="s">
        <v>55</v>
      </c>
      <c r="D55" s="665" t="s">
        <v>56</v>
      </c>
      <c r="E55" s="665" t="s">
        <v>57</v>
      </c>
      <c r="F55" s="598" t="str">
        <f>IF('Gewichts- Calculator'!$B$127="EINGEBEN","",(IF('Gewichts- Calculator'!$C$134="Ja Anzeigen",(IF($A55='Gewichts- Calculator'!$C$8," &gt;"&amp;'Gewichts- Calculator'!$B$127&amp;"  &gt; "&amp; 'Gewichts- Calculator'!$B$130,"")),"")))</f>
        <v/>
      </c>
      <c r="G55" s="665" t="s">
        <v>55</v>
      </c>
      <c r="H55" s="665" t="s">
        <v>56</v>
      </c>
      <c r="I55" s="665" t="s">
        <v>57</v>
      </c>
      <c r="J55" s="598" t="str">
        <f>IF('Gewichts- Calculator'!$D$127="EINGEBEN","",(IF('Gewichts- Calculator'!$C$134="Ja Anzeigen",(IF($A55='Gewichts- Calculator'!$C$8," &gt;"&amp;'Gewichts- Calculator'!$D$127&amp;"  &gt; "&amp; 'Gewichts- Calculator'!$D$130,"")),"")))</f>
        <v/>
      </c>
      <c r="K55" s="665" t="s">
        <v>55</v>
      </c>
      <c r="L55" s="665" t="s">
        <v>56</v>
      </c>
      <c r="M55" s="665" t="s">
        <v>57</v>
      </c>
      <c r="N55" s="598" t="str">
        <f>IF('Gewichts- Calculator'!$D$127="EINGEBEN","",(IF('Gewichts- Calculator'!$C$134="Ja Anzeigen",(IF($A55='Gewichts- Calculator'!$C$8," &gt;"&amp;'Gewichts- Calculator'!$D$127&amp;"  &gt; "&amp; 'Gewichts- Calculator'!$D$130,"")),"")))</f>
        <v/>
      </c>
      <c r="O55" s="665" t="s">
        <v>55</v>
      </c>
      <c r="P55" s="665" t="s">
        <v>56</v>
      </c>
      <c r="Q55" s="665" t="s">
        <v>57</v>
      </c>
      <c r="R55" s="598" t="str">
        <f>IF('Gewichts- Calculator'!$F$127="EINGEBEN","",(IF('Gewichts- Calculator'!$C$134="Ja Anzeigen",(IF($A55='Gewichts- Calculator'!$C$8," &gt;"&amp;'Gewichts- Calculator'!$F$127&amp;"  &gt; "&amp; 'Gewichts- Calculator'!$F$130,"")),"")))</f>
        <v/>
      </c>
      <c r="S55" s="665" t="s">
        <v>55</v>
      </c>
      <c r="T55" s="665" t="s">
        <v>56</v>
      </c>
      <c r="U55" s="667" t="s">
        <v>57</v>
      </c>
    </row>
    <row r="56" spans="1:25" ht="26.1" customHeight="1" thickTop="1" thickBot="1">
      <c r="A56" s="668" t="s">
        <v>153</v>
      </c>
      <c r="B56" s="669" t="str">
        <f>IF(ISNA(IF(ISBLANK(VLOOKUP($A56,Übungsübersicht!$E$8:$F$83,2,FALSE)),"Muskelgruppe Auswählen",VLOOKUP($A56,Übungsübersicht!$E$8:$F$83,2,FALSE))),"Übung?",IF(ISBLANK(VLOOKUP($A56,Übungsübersicht!$E$8:$F$83,2,FALSE)),"Muskelgruppe Auswählen",VLOOKUP($A56,Übungsübersicht!$E$8:$F$83,2,FALSE)))</f>
        <v>Mittlere Schulter</v>
      </c>
      <c r="C56" s="670">
        <v>3</v>
      </c>
      <c r="D56" s="671">
        <f>IF(ISNA(IF($C56=0,"0",IF(VLOOKUP($A56,Übungsübersicht!$E$7:$K$83,4,FALSE)&lt;1,"RPE 7",VLOOKUP($A56,Übungsübersicht!$E$7:$K$83,4,FALSE)))),"Übung?",IF($C56=0,"0",IF(VLOOKUP($A56,Übungsübersicht!$E$7:$K$83,4,FALSE)&lt;1,"RPE 7",VLOOKUP($A56,Übungsübersicht!$E$7:$K$83,4,FALSE))))</f>
        <v>8</v>
      </c>
      <c r="E56" s="672" cm="1">
        <f t="array" ref="E56">IF(IFERROR((IF(ISNA(IF((IF(VLOOKUP($A56,Übungsübersicht!$E$6:$K$82,7,FALSE)="OK",(MROUND(((INDEX($A$1:$U$68,(ROW(E56)),17))*$Q$97),(((IF(VLOOKUP($A56,Übungsübersicht!$E$6:$K$82,3,FALSE)=0,0.1,(VLOOKUP($A56,Übungsübersicht!$E$6:$K$82,3,FALSE)))))))),IF(VLOOKUP($A56,Übungsübersicht!$E$6:$K$82,7,FALSE)="UK",(MROUND(((INDEX($A$1:$U$68,(ROW(E56)),17))*$Q$98),(((IF(VLOOKUP($A56,Übungsübersicht!$E$6:$K$82,3,FALSE)=0,0.1,(VLOOKUP($A56,Übungsübersicht!$E$6:$K$82,3,FALSE)))))))),"Übung OK/UK?")))&lt;3,"RPE 7",(IF(VLOOKUP($A56,Übungsübersicht!$E$6:$K$82,7,FALSE)="OK",(MROUND(((INDEX($A$1:$U$68,(ROW(E56)),17))*$Q$97),(((IF(VLOOKUP($A56,Übungsübersicht!$E$6:$K$82,3,FALSE)=0,0.1,(VLOOKUP($A56,Übungsübersicht!$E$6:$K$82,3,FALSE)))))))),IF(VLOOKUP($A56,Übungsübersicht!$E$6:$K$82,7,FALSE)="UK",(MROUND(((INDEX($A$1:$U$68,(ROW(E56)),17))*$Q$98),(((IF(VLOOKUP($A56,Übungsübersicht!$E$6:$K$82,3,FALSE)=0,0.1,(VLOOKUP($A56,Übungsübersicht!$E$6:$K$82,3,FALSE)))))))),"Übung OK/UK?"))))),"Übung?",IF((IF(VLOOKUP($A56,Übungsübersicht!$E$6:$K$82,7,FALSE)="OK",(MROUND(((INDEX($A$1:$U$68,(ROW(E56)),17))*$Q$97),(((IF(VLOOKUP($A56,Übungsübersicht!$E$6:$K$82,3,FALSE)=0,0.1,(VLOOKUP($A56,Übungsübersicht!$E$6:$K$82,3,FALSE)))))))),IF(VLOOKUP($A56,Übungsübersicht!$E$6:$K$82,7,FALSE)="UK",(MROUND(((INDEX($A$1:$U$68,(ROW(E56)),17))*$Q$98),(((IF(VLOOKUP($A56,Übungsübersicht!$E$6:$K$82,3,FALSE)=0,0.1,(VLOOKUP($A56,Übungsübersicht!$E$6:$K$82,3,FALSE)))))))),"Übung OK/UK?")))&lt;3,"RPE 7",(IF(VLOOKUP($A56,Übungsübersicht!$E$6:$K$82,7,FALSE)="OK",(MROUND(((INDEX($A$1:$U$68,(ROW(E56)),17))*$Q$97),(((IF(VLOOKUP($A56,Übungsübersicht!$E$6:$K$82,3,FALSE)=0,0.1,(VLOOKUP($A56,Übungsübersicht!$E$6:$K$82,3,FALSE)))))))),IF(VLOOKUP($A56,Übungsübersicht!$E$6:$K$82,7,FALSE)="UK",(MROUND(((INDEX($A$1:$U$68,(ROW(E56)),17))*$Q$98),(((IF(VLOOKUP($A56,Übungsübersicht!$E$6:$K$82,3,FALSE)=0,0.1,(VLOOKUP($A56,Übungsübersicht!$E$6:$K$82,3,FALSE)))))))),"Übung OK/UK?")))))),"RPE 6")=(INDEX($A$1:$U$68,(ROW(E56)),17)),(IFERROR((IF(ISNA(IF(INDEX($A$1:$U$68,(ROW(E56)),17)-(IF(VLOOKUP($A56,Übungsübersicht!$E$6:$K$82,3,FALSE)&lt;=0.5,0,(VLOOKUP($A56,Übungsübersicht!$E$6:$K$82,3,FALSE))))&lt;3,"RPE 7",INDEX($A$1:$U$68,(ROW(E56)),17)-(IF(VLOOKUP($A56,Übungsübersicht!$E$6:$K$82,3,FALSE)&lt;=0.5,0,(VLOOKUP($A56,Übungsübersicht!$E$6:$K$82,3,FALSE)))))),"Übung?",IF(INDEX($A$1:$U$68,(ROW(E56)),17)-(IF(VLOOKUP($A56,Übungsübersicht!$E$6:$K$82,3,FALSE)&lt;=0.5,0,(VLOOKUP($A56,Übungsübersicht!$E$6:$K$82,3,FALSE))))&lt;3,"RPE 7",INDEX($A$1:$U$68,(ROW(E56)),17)-(IF(VLOOKUP($A56,Übungsübersicht!$E$6:$K$82,3,FALSE)&lt;=0.5,0,(VLOOKUP($A56,Übungsübersicht!$E$6:$K$82,3,FALSE))))))),"RPE 7")),(IFERROR((IF(ISNA(IF((IF(VLOOKUP($A56,Übungsübersicht!$E$6:$K$82,7,FALSE)="OK",(MROUND(((INDEX($A$1:$U$68,(ROW(E56)),17))*$Q$97),(((IF(VLOOKUP($A56,Übungsübersicht!$E$6:$K$82,3,FALSE)=0,0.1,(VLOOKUP($A56,Übungsübersicht!$E$6:$K$82,3,FALSE)))))))),IF(VLOOKUP($A56,Übungsübersicht!$E$6:$K$82,7,FALSE)="UK",(MROUND(((INDEX($A$1:$U$68,(ROW(E56)),17))*$Q$98),(((IF(VLOOKUP($A56,Übungsübersicht!$E$6:$K$82,3,FALSE)=0,0.1,(VLOOKUP($A56,Übungsübersicht!$E$6:$K$82,3,FALSE)))))))),"Übung OK/UK?")))&lt;3,"RPE 7",(IF(VLOOKUP($A56,Übungsübersicht!$E$6:$K$82,7,FALSE)="OK",(MROUND(((INDEX($A$1:$U$68,(ROW(E56)),17))*$Q$97),(((IF(VLOOKUP($A56,Übungsübersicht!$E$6:$K$82,3,FALSE)=0,0.1,(VLOOKUP($A56,Übungsübersicht!$E$6:$K$82,3,FALSE)))))))),IF(VLOOKUP($A56,Übungsübersicht!$E$6:$K$82,7,FALSE)="UK",(MROUND(((INDEX($A$1:$U$68,(ROW(E56)),17))*$Q$98),(((IF(VLOOKUP($A56,Übungsübersicht!$E$6:$K$82,3,FALSE)=0,0.1,(VLOOKUP($A56,Übungsübersicht!$E$6:$K$82,3,FALSE)))))))),"Übung OK/UK?"))))),"Übung?",IF((IF(VLOOKUP($A56,Übungsübersicht!$E$6:$K$82,7,FALSE)="OK",(MROUND(((INDEX($A$1:$U$68,(ROW(E56)),17))*$Q$97),(((IF(VLOOKUP($A56,Übungsübersicht!$E$6:$K$82,3,FALSE)=0,0.1,(VLOOKUP($A56,Übungsübersicht!$E$6:$K$82,3,FALSE)))))))),IF(VLOOKUP($A56,Übungsübersicht!$E$6:$K$82,7,FALSE)="UK",(MROUND(((INDEX($A$1:$U$68,(ROW(E56)),17))*$Q$98),(((IF(VLOOKUP($A56,Übungsübersicht!$E$6:$K$82,3,FALSE)=0,0.1,(VLOOKUP($A56,Übungsübersicht!$E$6:$K$82,3,FALSE)))))))),"Übung OK/UK?")))&lt;3,"RPE 6",(IF(VLOOKUP($A56,Übungsübersicht!$E$6:$K$82,7,FALSE)="OK",(MROUND(((INDEX($A$1:$U$68,(ROW(E56)),17))*$Q$97),(((IF(VLOOKUP($A56,Übungsübersicht!$E$6:$K$82,3,FALSE)=0,0.1,(VLOOKUP($A56,Übungsübersicht!$E$6:$K$82,3,FALSE)))))))),IF(VLOOKUP($A56,Übungsübersicht!$E$6:$K$82,7,FALSE)="UK",(MROUND(((INDEX($A$1:$U$68,(ROW(E56)),17))*$Q$98),(((IF(VLOOKUP($A56,Übungsübersicht!$E$6:$K$82,3,FALSE)=0,0.1,(VLOOKUP($A56,Übungsübersicht!$E$6:$K$82,3,FALSE)))))))),"Übung OK/UK?")))))),"RPE 7")))</f>
        <v>72.5</v>
      </c>
      <c r="F56" s="598" t="str">
        <f>IF('Gewichts- Calculator'!$B$127="EINGEBEN","",(IF('Gewichts- Calculator'!$C$134="Ja Anzeigen",(IF($A56='Gewichts- Calculator'!$C$8," &gt;"&amp;'Gewichts- Calculator'!$B$127&amp;"  &gt; "&amp; 'Gewichts- Calculator'!$B$130,"")),"")))</f>
        <v/>
      </c>
      <c r="G56" s="670">
        <v>3</v>
      </c>
      <c r="H56" s="671">
        <f>IF(ISNA(IF($G56=0,"0",IF(VLOOKUP($A56,Übungsübersicht!$E$7:$K$83,4,FALSE)&lt;1,"RPE 8",VLOOKUP($A56,Übungsübersicht!$E$7:$K$83,4,FALSE)))),"Übung?",IF($G56=0,"0",IF(VLOOKUP($A56,Übungsübersicht!$E$7:$K$83,4,FALSE)&lt;1,"RPE 8",VLOOKUP($A56,Übungsübersicht!$E$7:$K$83,4,FALSE))))</f>
        <v>8</v>
      </c>
      <c r="I56" s="673">
        <v>75</v>
      </c>
      <c r="J56" s="598" t="str">
        <f>IF('Gewichts- Calculator'!$D$127="EINGEBEN","",(IF('Gewichts- Calculator'!$C$134="Ja Anzeigen",(IF($A56='Gewichts- Calculator'!$C$8," &gt;"&amp;'Gewichts- Calculator'!$D$127&amp;"  &gt; "&amp; 'Gewichts- Calculator'!$D$130,"")),"")))</f>
        <v/>
      </c>
      <c r="K56" s="670">
        <v>4</v>
      </c>
      <c r="L56" s="671">
        <f>IF(ISNA(IF($K56=0,"0",IF(VLOOKUP($A56,Übungsübersicht!$E$7:$K$83,4,FALSE)&lt;1,"RPE 8",VLOOKUP($A56,Übungsübersicht!$E$7:$K$83,4,FALSE)))),"Übung?",IF($K56=0,"0",IF(VLOOKUP($A56,Übungsübersicht!$E$7:$K$83,4,FALSE)&lt;1,"RPE 8",VLOOKUP($A56,Übungsübersicht!$E$7:$K$83,4,FALSE))))</f>
        <v>8</v>
      </c>
      <c r="M56" s="674">
        <v>75</v>
      </c>
      <c r="N56" s="598" t="str">
        <f>IF('Gewichts- Calculator'!$D$127="EINGEBEN","",(IF('Gewichts- Calculator'!$C$134="Ja Anzeigen",(IF($A56='Gewichts- Calculator'!$C$8," &gt;"&amp;'Gewichts- Calculator'!$D$127&amp;"  &gt; "&amp; 'Gewichts- Calculator'!$D$130,"")),"")))</f>
        <v/>
      </c>
      <c r="O56" s="670">
        <v>5</v>
      </c>
      <c r="P56" s="671">
        <f>IF(ISNA(IF($O56=0,"0",IF(VLOOKUP($A56,Übungsübersicht!$E$7:$K$83,5,FALSE)&lt;1,"RPE 9",VLOOKUP($A56,Übungsübersicht!$E$7:$K$83,5,FALSE)))),"Übung?",IF($O56=0,"0",IF(VLOOKUP($A56,Übungsübersicht!$E$7:$K$83,5,FALSE)&lt;1,"RPE 9",VLOOKUP($A56,Übungsübersicht!$E$7:$K$83,5,FALSE))))</f>
        <v>8</v>
      </c>
      <c r="Q56" s="675">
        <v>75</v>
      </c>
      <c r="R56" s="598" t="str">
        <f>IF('Gewichts- Calculator'!$F$127="EINGEBEN","",(IF('Gewichts- Calculator'!$C$134="Ja Anzeigen",(IF($A56='Gewichts- Calculator'!$C$8," &gt;"&amp;'Gewichts- Calculator'!$F$127&amp;"  &gt; "&amp; 'Gewichts- Calculator'!$F$130,"")),"")))</f>
        <v/>
      </c>
      <c r="S56" s="670">
        <v>3</v>
      </c>
      <c r="T56" s="671">
        <f>IF(ISNA(IF($S56=0,"0",IF(VLOOKUP($A56,Übungsübersicht!$E$7:$K$83,4,FALSE)&lt;1,"RPE 6",VLOOKUP($A56,Übungsübersicht!$E$7:$K$83,4,FALSE)))),"Übung?",IF($S56=0,"0",IF(VLOOKUP($A56,Übungsübersicht!$E$7:$K$83,4,FALSE)&lt;1,"RPE 6",VLOOKUP($A56,Übungsübersicht!$E$7:$K$83,4,FALSE))))</f>
        <v>8</v>
      </c>
      <c r="U56" s="674" cm="1">
        <f t="array" ref="U56">IFERROR((IF(ISNA(IF((IF(VLOOKUP($A56,Übungsübersicht!$E$6:$K$82,7,FALSE)="OK",(MROUND(((INDEX($A$1:$U$68,(ROW(U56)),17))*$T$97),(((IF(VLOOKUP($A56,Übungsübersicht!$E$6:$K$82,3,FALSE)=0,0.1,(VLOOKUP($A56,Übungsübersicht!$E$6:$K$82,3,FALSE)))))))),IF(VLOOKUP($A56,Übungsübersicht!$E$6:$K$82,7,FALSE)="UK",(MROUND(((INDEX($A$1:$U$68,(ROW(U56)),17))*$T$98),(((IF(VLOOKUP($A56,Übungsübersicht!$E$6:$K$82,3,FALSE)=0,0.1,(VLOOKUP($A56,Übungsübersicht!$E$6:$K$82,3,FALSE)))))))),"Übung OK/UK?")))&lt;3,"RPE 6",(IF(VLOOKUP($A56,Übungsübersicht!$E$6:$K$82,7,FALSE)="OK",(MROUND(((INDEX($A$1:$U$68,(ROW(U56)),17))*$T$97),(((IF(VLOOKUP($A56,Übungsübersicht!$E$6:$K$82,3,FALSE)=0,0.1,(VLOOKUP($A56,Übungsübersicht!$E$6:$K$82,3,FALSE)))))))),IF(VLOOKUP($A56,Übungsübersicht!$E$6:$K$82,7,FALSE)="UK",(MROUND(((INDEX($A$1:$U$68,(ROW(U56)),17))*$T$98),(((IF(VLOOKUP($A56,Übungsübersicht!$E$6:$K$82,3,FALSE)=0,0.1,(VLOOKUP($A56,Übungsübersicht!$E$6:$K$82,3,FALSE)))))))),"Übung OK/UK?"))))),"Übung?",IF((IF(VLOOKUP($A56,Übungsübersicht!$E$6:$K$82,7,FALSE)="OK",(MROUND(((INDEX($A$1:$U$68,(ROW(U56)),17))*$T$97),(((IF(VLOOKUP($A56,Übungsübersicht!$E$6:$K$82,3,FALSE)=0,0.1,(VLOOKUP($A56,Übungsübersicht!$E$6:$K$82,3,FALSE)))))))),IF(VLOOKUP($A56,Übungsübersicht!$E$6:$K$82,7,FALSE)="UK",(MROUND(((INDEX($A$1:$U$68,(ROW(U56)),17))*$T$98),(((IF(VLOOKUP($A56,Übungsübersicht!$E$6:$K$82,3,FALSE)=0,0.1,(VLOOKUP($A56,Übungsübersicht!$E$6:$K$82,3,FALSE)))))))),"Übung OK/UK?")))&lt;3,"RPE 6",(IF(VLOOKUP($A56,Übungsübersicht!$E$6:$K$82,7,FALSE)="OK",(MROUND(((INDEX($A$1:$U$68,(ROW(U56)),17))*$T$97),(((IF(VLOOKUP($A56,Übungsübersicht!$E$6:$K$82,3,FALSE)=0,0.1,(VLOOKUP($A56,Übungsübersicht!$E$6:$K$82,3,FALSE)))))))),IF(VLOOKUP($A56,Übungsübersicht!$E$6:$K$82,7,FALSE)="UK",(MROUND(((INDEX($A$1:$U$68,(ROW(U56)),17))*$T$98),(((IF(VLOOKUP($A56,Übungsübersicht!$E$6:$K$82,3,FALSE)=0,0.1,(VLOOKUP($A56,Übungsübersicht!$E$6:$K$82,3,FALSE)))))))),"Übung OK/UK?")))))),"RPE 6")</f>
        <v>52.5</v>
      </c>
    </row>
    <row r="57" spans="1:25" ht="26.1" customHeight="1" thickTop="1" thickBot="1">
      <c r="A57" s="668" t="s">
        <v>283</v>
      </c>
      <c r="B57" s="669" t="str">
        <f>IF(ISNA(IF(ISBLANK(VLOOKUP($A57,Übungsübersicht!$E$8:$F$83,2,FALSE)),"Muskelgruppe Auswählen",VLOOKUP($A57,Übungsübersicht!$E$8:$F$83,2,FALSE))),"Übung?",IF(ISBLANK(VLOOKUP($A57,Übungsübersicht!$E$8:$F$83,2,FALSE)),"Muskelgruppe Auswählen",VLOOKUP($A57,Übungsübersicht!$E$8:$F$83,2,FALSE)))</f>
        <v>Mittlere Schulter</v>
      </c>
      <c r="C57" s="670">
        <v>2</v>
      </c>
      <c r="D57" s="671">
        <f>IF(ISNA(IF($C57=0,"0",IF(VLOOKUP($A57,Übungsübersicht!$E$7:$K$83,4,FALSE)&lt;1,"RPE 7",VLOOKUP($A57,Übungsübersicht!$E$7:$K$83,4,FALSE)))),"Übung?",IF($C57=0,"0",IF(VLOOKUP($A57,Übungsübersicht!$E$7:$K$83,4,FALSE)&lt;1,"RPE 7",VLOOKUP($A57,Übungsübersicht!$E$7:$K$83,4,FALSE))))</f>
        <v>8</v>
      </c>
      <c r="E57" s="672" cm="1">
        <f t="array" ref="E57">IF(IFERROR((IF(ISNA(IF((IF(VLOOKUP($A57,Übungsübersicht!$E$6:$K$82,7,FALSE)="OK",(MROUND(((INDEX($A$1:$U$68,(ROW(E57)),17))*$Q$97),(((IF(VLOOKUP($A57,Übungsübersicht!$E$6:$K$82,3,FALSE)=0,0.1,(VLOOKUP($A57,Übungsübersicht!$E$6:$K$82,3,FALSE)))))))),IF(VLOOKUP($A57,Übungsübersicht!$E$6:$K$82,7,FALSE)="UK",(MROUND(((INDEX($A$1:$U$68,(ROW(E57)),17))*$Q$98),(((IF(VLOOKUP($A57,Übungsübersicht!$E$6:$K$82,3,FALSE)=0,0.1,(VLOOKUP($A57,Übungsübersicht!$E$6:$K$82,3,FALSE)))))))),"Übung OK/UK?")))&lt;3,"RPE 7",(IF(VLOOKUP($A57,Übungsübersicht!$E$6:$K$82,7,FALSE)="OK",(MROUND(((INDEX($A$1:$U$68,(ROW(E57)),17))*$Q$97),(((IF(VLOOKUP($A57,Übungsübersicht!$E$6:$K$82,3,FALSE)=0,0.1,(VLOOKUP($A57,Übungsübersicht!$E$6:$K$82,3,FALSE)))))))),IF(VLOOKUP($A57,Übungsübersicht!$E$6:$K$82,7,FALSE)="UK",(MROUND(((INDEX($A$1:$U$68,(ROW(E57)),17))*$Q$98),(((IF(VLOOKUP($A57,Übungsübersicht!$E$6:$K$82,3,FALSE)=0,0.1,(VLOOKUP($A57,Übungsübersicht!$E$6:$K$82,3,FALSE)))))))),"Übung OK/UK?"))))),"Übung?",IF((IF(VLOOKUP($A57,Übungsübersicht!$E$6:$K$82,7,FALSE)="OK",(MROUND(((INDEX($A$1:$U$68,(ROW(E57)),17))*$Q$97),(((IF(VLOOKUP($A57,Übungsübersicht!$E$6:$K$82,3,FALSE)=0,0.1,(VLOOKUP($A57,Übungsübersicht!$E$6:$K$82,3,FALSE)))))))),IF(VLOOKUP($A57,Übungsübersicht!$E$6:$K$82,7,FALSE)="UK",(MROUND(((INDEX($A$1:$U$68,(ROW(E57)),17))*$Q$98),(((IF(VLOOKUP($A57,Übungsübersicht!$E$6:$K$82,3,FALSE)=0,0.1,(VLOOKUP($A57,Übungsübersicht!$E$6:$K$82,3,FALSE)))))))),"Übung OK/UK?")))&lt;3,"RPE 7",(IF(VLOOKUP($A57,Übungsübersicht!$E$6:$K$82,7,FALSE)="OK",(MROUND(((INDEX($A$1:$U$68,(ROW(E57)),17))*$Q$97),(((IF(VLOOKUP($A57,Übungsübersicht!$E$6:$K$82,3,FALSE)=0,0.1,(VLOOKUP($A57,Übungsübersicht!$E$6:$K$82,3,FALSE)))))))),IF(VLOOKUP($A57,Übungsübersicht!$E$6:$K$82,7,FALSE)="UK",(MROUND(((INDEX($A$1:$U$68,(ROW(E57)),17))*$Q$98),(((IF(VLOOKUP($A57,Übungsübersicht!$E$6:$K$82,3,FALSE)=0,0.1,(VLOOKUP($A57,Übungsübersicht!$E$6:$K$82,3,FALSE)))))))),"Übung OK/UK?")))))),"RPE 6")=(INDEX($A$1:$U$68,(ROW(E57)),17)),(IFERROR((IF(ISNA(IF(INDEX($A$1:$U$68,(ROW(E57)),17)-(IF(VLOOKUP($A57,Übungsübersicht!$E$6:$K$82,3,FALSE)&lt;=0.5,0,(VLOOKUP($A57,Übungsübersicht!$E$6:$K$82,3,FALSE))))&lt;3,"RPE 7",INDEX($A$1:$U$68,(ROW(E57)),17)-(IF(VLOOKUP($A57,Übungsübersicht!$E$6:$K$82,3,FALSE)&lt;=0.5,0,(VLOOKUP($A57,Übungsübersicht!$E$6:$K$82,3,FALSE)))))),"Übung?",IF(INDEX($A$1:$U$68,(ROW(E57)),17)-(IF(VLOOKUP($A57,Übungsübersicht!$E$6:$K$82,3,FALSE)&lt;=0.5,0,(VLOOKUP($A57,Übungsübersicht!$E$6:$K$82,3,FALSE))))&lt;3,"RPE 7",INDEX($A$1:$U$68,(ROW(E57)),17)-(IF(VLOOKUP($A57,Übungsübersicht!$E$6:$K$82,3,FALSE)&lt;=0.5,0,(VLOOKUP($A57,Übungsübersicht!$E$6:$K$82,3,FALSE))))))),"RPE 7")),(IFERROR((IF(ISNA(IF((IF(VLOOKUP($A57,Übungsübersicht!$E$6:$K$82,7,FALSE)="OK",(MROUND(((INDEX($A$1:$U$68,(ROW(E57)),17))*$Q$97),(((IF(VLOOKUP($A57,Übungsübersicht!$E$6:$K$82,3,FALSE)=0,0.1,(VLOOKUP($A57,Übungsübersicht!$E$6:$K$82,3,FALSE)))))))),IF(VLOOKUP($A57,Übungsübersicht!$E$6:$K$82,7,FALSE)="UK",(MROUND(((INDEX($A$1:$U$68,(ROW(E57)),17))*$Q$98),(((IF(VLOOKUP($A57,Übungsübersicht!$E$6:$K$82,3,FALSE)=0,0.1,(VLOOKUP($A57,Übungsübersicht!$E$6:$K$82,3,FALSE)))))))),"Übung OK/UK?")))&lt;3,"RPE 7",(IF(VLOOKUP($A57,Übungsübersicht!$E$6:$K$82,7,FALSE)="OK",(MROUND(((INDEX($A$1:$U$68,(ROW(E57)),17))*$Q$97),(((IF(VLOOKUP($A57,Übungsübersicht!$E$6:$K$82,3,FALSE)=0,0.1,(VLOOKUP($A57,Übungsübersicht!$E$6:$K$82,3,FALSE)))))))),IF(VLOOKUP($A57,Übungsübersicht!$E$6:$K$82,7,FALSE)="UK",(MROUND(((INDEX($A$1:$U$68,(ROW(E57)),17))*$Q$98),(((IF(VLOOKUP($A57,Übungsübersicht!$E$6:$K$82,3,FALSE)=0,0.1,(VLOOKUP($A57,Übungsübersicht!$E$6:$K$82,3,FALSE)))))))),"Übung OK/UK?"))))),"Übung?",IF((IF(VLOOKUP($A57,Übungsübersicht!$E$6:$K$82,7,FALSE)="OK",(MROUND(((INDEX($A$1:$U$68,(ROW(E57)),17))*$Q$97),(((IF(VLOOKUP($A57,Übungsübersicht!$E$6:$K$82,3,FALSE)=0,0.1,(VLOOKUP($A57,Übungsübersicht!$E$6:$K$82,3,FALSE)))))))),IF(VLOOKUP($A57,Übungsübersicht!$E$6:$K$82,7,FALSE)="UK",(MROUND(((INDEX($A$1:$U$68,(ROW(E57)),17))*$Q$98),(((IF(VLOOKUP($A57,Übungsübersicht!$E$6:$K$82,3,FALSE)=0,0.1,(VLOOKUP($A57,Übungsübersicht!$E$6:$K$82,3,FALSE)))))))),"Übung OK/UK?")))&lt;3,"RPE 6",(IF(VLOOKUP($A57,Übungsübersicht!$E$6:$K$82,7,FALSE)="OK",(MROUND(((INDEX($A$1:$U$68,(ROW(E57)),17))*$Q$97),(((IF(VLOOKUP($A57,Übungsübersicht!$E$6:$K$82,3,FALSE)=0,0.1,(VLOOKUP($A57,Übungsübersicht!$E$6:$K$82,3,FALSE)))))))),IF(VLOOKUP($A57,Übungsübersicht!$E$6:$K$82,7,FALSE)="UK",(MROUND(((INDEX($A$1:$U$68,(ROW(E57)),17))*$Q$98),(((IF(VLOOKUP($A57,Übungsübersicht!$E$6:$K$82,3,FALSE)=0,0.1,(VLOOKUP($A57,Übungsübersicht!$E$6:$K$82,3,FALSE)))))))),"Übung OK/UK?")))))),"RPE 7")))</f>
        <v>16</v>
      </c>
      <c r="F57" s="598" t="str">
        <f>IF('Gewichts- Calculator'!$B$127="EINGEBEN","",(IF('Gewichts- Calculator'!$C$134="Ja Anzeigen",(IF($A57='Gewichts- Calculator'!$C$8," &gt;"&amp;'Gewichts- Calculator'!$B$127&amp;"  &gt; "&amp; 'Gewichts- Calculator'!$B$130,"")),"")))</f>
        <v/>
      </c>
      <c r="G57" s="670">
        <v>3</v>
      </c>
      <c r="H57" s="671">
        <f>IF(ISNA(IF($G57=0,"0",IF(VLOOKUP($A57,Übungsübersicht!$E$7:$K$83,4,FALSE)&lt;1,"RPE 8",VLOOKUP($A57,Übungsübersicht!$E$7:$K$83,4,FALSE)))),"Übung?",IF($G57=0,"0",IF(VLOOKUP($A57,Übungsübersicht!$E$7:$K$83,4,FALSE)&lt;1,"RPE 8",VLOOKUP($A57,Übungsübersicht!$E$7:$K$83,4,FALSE))))</f>
        <v>8</v>
      </c>
      <c r="I57" s="673">
        <v>18</v>
      </c>
      <c r="J57" s="598" t="str">
        <f>IF('Gewichts- Calculator'!$D$127="EINGEBEN","",(IF('Gewichts- Calculator'!$C$134="Ja Anzeigen",(IF($A57='Gewichts- Calculator'!$C$8," &gt;"&amp;'Gewichts- Calculator'!$D$127&amp;"  &gt; "&amp; 'Gewichts- Calculator'!$D$130,"")),"")))</f>
        <v/>
      </c>
      <c r="K57" s="670">
        <v>3</v>
      </c>
      <c r="L57" s="671">
        <f>IF(ISNA(IF($K57=0,"0",IF(VLOOKUP($A57,Übungsübersicht!$E$7:$K$83,4,FALSE)&lt;1,"RPE 8",VLOOKUP($A57,Übungsübersicht!$E$7:$K$83,4,FALSE)))),"Übung?",IF($K57=0,"0",IF(VLOOKUP($A57,Übungsübersicht!$E$7:$K$83,4,FALSE)&lt;1,"RPE 8",VLOOKUP($A57,Übungsübersicht!$E$7:$K$83,4,FALSE))))</f>
        <v>8</v>
      </c>
      <c r="M57" s="674">
        <v>18</v>
      </c>
      <c r="N57" s="598" t="str">
        <f>IF('Gewichts- Calculator'!$D$127="EINGEBEN","",(IF('Gewichts- Calculator'!$C$134="Ja Anzeigen",(IF($A57='Gewichts- Calculator'!$C$8," &gt;"&amp;'Gewichts- Calculator'!$D$127&amp;"  &gt; "&amp; 'Gewichts- Calculator'!$D$130,"")),"")))</f>
        <v/>
      </c>
      <c r="O57" s="670">
        <v>4</v>
      </c>
      <c r="P57" s="671">
        <f>IF(ISNA(IF($O57=0,"0",IF(VLOOKUP($A57,Übungsübersicht!$E$7:$K$83,5,FALSE)&lt;1,"RPE 9",VLOOKUP($A57,Übungsübersicht!$E$7:$K$83,5,FALSE)))),"Übung?",IF($O57=0,"0",IF(VLOOKUP($A57,Übungsübersicht!$E$7:$K$83,5,FALSE)&lt;1,"RPE 9",VLOOKUP($A57,Übungsübersicht!$E$7:$K$83,5,FALSE))))</f>
        <v>8</v>
      </c>
      <c r="Q57" s="675">
        <v>18</v>
      </c>
      <c r="R57" s="598" t="str">
        <f>IF('Gewichts- Calculator'!$F$127="EINGEBEN","",(IF('Gewichts- Calculator'!$C$134="Ja Anzeigen",(IF($A57='Gewichts- Calculator'!$C$8," &gt;"&amp;'Gewichts- Calculator'!$F$127&amp;"  &gt; "&amp; 'Gewichts- Calculator'!$F$130,"")),"")))</f>
        <v/>
      </c>
      <c r="S57" s="670">
        <v>0</v>
      </c>
      <c r="T57" s="671" t="str">
        <f>IF(ISNA(IF($S57=0,"0",IF(VLOOKUP($A57,Übungsübersicht!$E$7:$K$83,4,FALSE)&lt;1,"RPE 6",VLOOKUP($A57,Übungsübersicht!$E$7:$K$83,4,FALSE)))),"Übung?",IF($S57=0,"0",IF(VLOOKUP($A57,Übungsübersicht!$E$7:$K$83,4,FALSE)&lt;1,"RPE 6",VLOOKUP($A57,Übungsübersicht!$E$7:$K$83,4,FALSE))))</f>
        <v>0</v>
      </c>
      <c r="U57" s="674" cm="1">
        <f t="array" ref="U57">IFERROR((IF(ISNA(IF((IF(VLOOKUP($A57,Übungsübersicht!$E$6:$K$82,7,FALSE)="OK",(MROUND(((INDEX($A$1:$U$68,(ROW(U57)),17))*$T$97),(((IF(VLOOKUP($A57,Übungsübersicht!$E$6:$K$82,3,FALSE)=0,0.1,(VLOOKUP($A57,Übungsübersicht!$E$6:$K$82,3,FALSE)))))))),IF(VLOOKUP($A57,Übungsübersicht!$E$6:$K$82,7,FALSE)="UK",(MROUND(((INDEX($A$1:$U$68,(ROW(U57)),17))*$T$98),(((IF(VLOOKUP($A57,Übungsübersicht!$E$6:$K$82,3,FALSE)=0,0.1,(VLOOKUP($A57,Übungsübersicht!$E$6:$K$82,3,FALSE)))))))),"Übung OK/UK?")))&lt;3,"RPE 6",(IF(VLOOKUP($A57,Übungsübersicht!$E$6:$K$82,7,FALSE)="OK",(MROUND(((INDEX($A$1:$U$68,(ROW(U57)),17))*$T$97),(((IF(VLOOKUP($A57,Übungsübersicht!$E$6:$K$82,3,FALSE)=0,0.1,(VLOOKUP($A57,Übungsübersicht!$E$6:$K$82,3,FALSE)))))))),IF(VLOOKUP($A57,Übungsübersicht!$E$6:$K$82,7,FALSE)="UK",(MROUND(((INDEX($A$1:$U$68,(ROW(U57)),17))*$T$98),(((IF(VLOOKUP($A57,Übungsübersicht!$E$6:$K$82,3,FALSE)=0,0.1,(VLOOKUP($A57,Übungsübersicht!$E$6:$K$82,3,FALSE)))))))),"Übung OK/UK?"))))),"Übung?",IF((IF(VLOOKUP($A57,Übungsübersicht!$E$6:$K$82,7,FALSE)="OK",(MROUND(((INDEX($A$1:$U$68,(ROW(U57)),17))*$T$97),(((IF(VLOOKUP($A57,Übungsübersicht!$E$6:$K$82,3,FALSE)=0,0.1,(VLOOKUP($A57,Übungsübersicht!$E$6:$K$82,3,FALSE)))))))),IF(VLOOKUP($A57,Übungsübersicht!$E$6:$K$82,7,FALSE)="UK",(MROUND(((INDEX($A$1:$U$68,(ROW(U57)),17))*$T$98),(((IF(VLOOKUP($A57,Übungsübersicht!$E$6:$K$82,3,FALSE)=0,0.1,(VLOOKUP($A57,Übungsübersicht!$E$6:$K$82,3,FALSE)))))))),"Übung OK/UK?")))&lt;3,"RPE 6",(IF(VLOOKUP($A57,Übungsübersicht!$E$6:$K$82,7,FALSE)="OK",(MROUND(((INDEX($A$1:$U$68,(ROW(U57)),17))*$T$97),(((IF(VLOOKUP($A57,Übungsübersicht!$E$6:$K$82,3,FALSE)=0,0.1,(VLOOKUP($A57,Übungsübersicht!$E$6:$K$82,3,FALSE)))))))),IF(VLOOKUP($A57,Übungsübersicht!$E$6:$K$82,7,FALSE)="UK",(MROUND(((INDEX($A$1:$U$68,(ROW(U57)),17))*$T$98),(((IF(VLOOKUP($A57,Übungsübersicht!$E$6:$K$82,3,FALSE)=0,0.1,(VLOOKUP($A57,Übungsübersicht!$E$6:$K$82,3,FALSE)))))))),"Übung OK/UK?")))))),"RPE 6")</f>
        <v>12</v>
      </c>
    </row>
    <row r="58" spans="1:25" ht="26.1" customHeight="1" thickTop="1" thickBot="1">
      <c r="A58" s="668" t="s">
        <v>77</v>
      </c>
      <c r="B58" s="669" t="str">
        <f>IF(ISNA(IF(ISBLANK(VLOOKUP($A58,Übungsübersicht!$E$8:$F$83,2,FALSE)),"Muskelgruppe Auswählen",VLOOKUP($A58,Übungsübersicht!$E$8:$F$83,2,FALSE))),"Übung?",IF(ISBLANK(VLOOKUP($A58,Übungsübersicht!$E$8:$F$83,2,FALSE)),"Muskelgruppe Auswählen",VLOOKUP($A58,Übungsübersicht!$E$8:$F$83,2,FALSE)))</f>
        <v>Mittlere Schulter</v>
      </c>
      <c r="C58" s="670">
        <v>1</v>
      </c>
      <c r="D58" s="671">
        <f>IF(ISNA(IF($C58=0,"0",IF(VLOOKUP($A58,Übungsübersicht!$E$7:$K$83,4,FALSE)&lt;1,"RPE 7",VLOOKUP($A58,Übungsübersicht!$E$7:$K$83,4,FALSE)))),"Übung?",IF($C58=0,"0",IF(VLOOKUP($A58,Übungsübersicht!$E$7:$K$83,4,FALSE)&lt;1,"RPE 7",VLOOKUP($A58,Übungsübersicht!$E$7:$K$83,4,FALSE))))</f>
        <v>12</v>
      </c>
      <c r="E58" s="672" cm="1">
        <f t="array" ref="E58">IF(IFERROR((IF(ISNA(IF((IF(VLOOKUP($A58,Übungsübersicht!$E$6:$K$82,7,FALSE)="OK",(MROUND(((INDEX($A$1:$U$68,(ROW(E58)),17))*$Q$97),(((IF(VLOOKUP($A58,Übungsübersicht!$E$6:$K$82,3,FALSE)=0,0.1,(VLOOKUP($A58,Übungsübersicht!$E$6:$K$82,3,FALSE)))))))),IF(VLOOKUP($A58,Übungsübersicht!$E$6:$K$82,7,FALSE)="UK",(MROUND(((INDEX($A$1:$U$68,(ROW(E58)),17))*$Q$98),(((IF(VLOOKUP($A58,Übungsübersicht!$E$6:$K$82,3,FALSE)=0,0.1,(VLOOKUP($A58,Übungsübersicht!$E$6:$K$82,3,FALSE)))))))),"Übung OK/UK?")))&lt;3,"RPE 7",(IF(VLOOKUP($A58,Übungsübersicht!$E$6:$K$82,7,FALSE)="OK",(MROUND(((INDEX($A$1:$U$68,(ROW(E58)),17))*$Q$97),(((IF(VLOOKUP($A58,Übungsübersicht!$E$6:$K$82,3,FALSE)=0,0.1,(VLOOKUP($A58,Übungsübersicht!$E$6:$K$82,3,FALSE)))))))),IF(VLOOKUP($A58,Übungsübersicht!$E$6:$K$82,7,FALSE)="UK",(MROUND(((INDEX($A$1:$U$68,(ROW(E58)),17))*$Q$98),(((IF(VLOOKUP($A58,Übungsübersicht!$E$6:$K$82,3,FALSE)=0,0.1,(VLOOKUP($A58,Übungsübersicht!$E$6:$K$82,3,FALSE)))))))),"Übung OK/UK?"))))),"Übung?",IF((IF(VLOOKUP($A58,Übungsübersicht!$E$6:$K$82,7,FALSE)="OK",(MROUND(((INDEX($A$1:$U$68,(ROW(E58)),17))*$Q$97),(((IF(VLOOKUP($A58,Übungsübersicht!$E$6:$K$82,3,FALSE)=0,0.1,(VLOOKUP($A58,Übungsübersicht!$E$6:$K$82,3,FALSE)))))))),IF(VLOOKUP($A58,Übungsübersicht!$E$6:$K$82,7,FALSE)="UK",(MROUND(((INDEX($A$1:$U$68,(ROW(E58)),17))*$Q$98),(((IF(VLOOKUP($A58,Übungsübersicht!$E$6:$K$82,3,FALSE)=0,0.1,(VLOOKUP($A58,Übungsübersicht!$E$6:$K$82,3,FALSE)))))))),"Übung OK/UK?")))&lt;3,"RPE 7",(IF(VLOOKUP($A58,Übungsübersicht!$E$6:$K$82,7,FALSE)="OK",(MROUND(((INDEX($A$1:$U$68,(ROW(E58)),17))*$Q$97),(((IF(VLOOKUP($A58,Übungsübersicht!$E$6:$K$82,3,FALSE)=0,0.1,(VLOOKUP($A58,Übungsübersicht!$E$6:$K$82,3,FALSE)))))))),IF(VLOOKUP($A58,Übungsübersicht!$E$6:$K$82,7,FALSE)="UK",(MROUND(((INDEX($A$1:$U$68,(ROW(E58)),17))*$Q$98),(((IF(VLOOKUP($A58,Übungsübersicht!$E$6:$K$82,3,FALSE)=0,0.1,(VLOOKUP($A58,Übungsübersicht!$E$6:$K$82,3,FALSE)))))))),"Übung OK/UK?")))))),"RPE 6")=(INDEX($A$1:$U$68,(ROW(E58)),17)),(IFERROR((IF(ISNA(IF(INDEX($A$1:$U$68,(ROW(E58)),17)-(IF(VLOOKUP($A58,Übungsübersicht!$E$6:$K$82,3,FALSE)&lt;=0.5,0,(VLOOKUP($A58,Übungsübersicht!$E$6:$K$82,3,FALSE))))&lt;3,"RPE 7",INDEX($A$1:$U$68,(ROW(E58)),17)-(IF(VLOOKUP($A58,Übungsübersicht!$E$6:$K$82,3,FALSE)&lt;=0.5,0,(VLOOKUP($A58,Übungsübersicht!$E$6:$K$82,3,FALSE)))))),"Übung?",IF(INDEX($A$1:$U$68,(ROW(E58)),17)-(IF(VLOOKUP($A58,Übungsübersicht!$E$6:$K$82,3,FALSE)&lt;=0.5,0,(VLOOKUP($A58,Übungsübersicht!$E$6:$K$82,3,FALSE))))&lt;3,"RPE 7",INDEX($A$1:$U$68,(ROW(E58)),17)-(IF(VLOOKUP($A58,Übungsübersicht!$E$6:$K$82,3,FALSE)&lt;=0.5,0,(VLOOKUP($A58,Übungsübersicht!$E$6:$K$82,3,FALSE))))))),"RPE 7")),(IFERROR((IF(ISNA(IF((IF(VLOOKUP($A58,Übungsübersicht!$E$6:$K$82,7,FALSE)="OK",(MROUND(((INDEX($A$1:$U$68,(ROW(E58)),17))*$Q$97),(((IF(VLOOKUP($A58,Übungsübersicht!$E$6:$K$82,3,FALSE)=0,0.1,(VLOOKUP($A58,Übungsübersicht!$E$6:$K$82,3,FALSE)))))))),IF(VLOOKUP($A58,Übungsübersicht!$E$6:$K$82,7,FALSE)="UK",(MROUND(((INDEX($A$1:$U$68,(ROW(E58)),17))*$Q$98),(((IF(VLOOKUP($A58,Übungsübersicht!$E$6:$K$82,3,FALSE)=0,0.1,(VLOOKUP($A58,Übungsübersicht!$E$6:$K$82,3,FALSE)))))))),"Übung OK/UK?")))&lt;3,"RPE 7",(IF(VLOOKUP($A58,Übungsübersicht!$E$6:$K$82,7,FALSE)="OK",(MROUND(((INDEX($A$1:$U$68,(ROW(E58)),17))*$Q$97),(((IF(VLOOKUP($A58,Übungsübersicht!$E$6:$K$82,3,FALSE)=0,0.1,(VLOOKUP($A58,Übungsübersicht!$E$6:$K$82,3,FALSE)))))))),IF(VLOOKUP($A58,Übungsübersicht!$E$6:$K$82,7,FALSE)="UK",(MROUND(((INDEX($A$1:$U$68,(ROW(E58)),17))*$Q$98),(((IF(VLOOKUP($A58,Übungsübersicht!$E$6:$K$82,3,FALSE)=0,0.1,(VLOOKUP($A58,Übungsübersicht!$E$6:$K$82,3,FALSE)))))))),"Übung OK/UK?"))))),"Übung?",IF((IF(VLOOKUP($A58,Übungsübersicht!$E$6:$K$82,7,FALSE)="OK",(MROUND(((INDEX($A$1:$U$68,(ROW(E58)),17))*$Q$97),(((IF(VLOOKUP($A58,Übungsübersicht!$E$6:$K$82,3,FALSE)=0,0.1,(VLOOKUP($A58,Übungsübersicht!$E$6:$K$82,3,FALSE)))))))),IF(VLOOKUP($A58,Übungsübersicht!$E$6:$K$82,7,FALSE)="UK",(MROUND(((INDEX($A$1:$U$68,(ROW(E58)),17))*$Q$98),(((IF(VLOOKUP($A58,Übungsübersicht!$E$6:$K$82,3,FALSE)=0,0.1,(VLOOKUP($A58,Übungsübersicht!$E$6:$K$82,3,FALSE)))))))),"Übung OK/UK?")))&lt;3,"RPE 6",(IF(VLOOKUP($A58,Übungsübersicht!$E$6:$K$82,7,FALSE)="OK",(MROUND(((INDEX($A$1:$U$68,(ROW(E58)),17))*$Q$97),(((IF(VLOOKUP($A58,Übungsübersicht!$E$6:$K$82,3,FALSE)=0,0.1,(VLOOKUP($A58,Übungsübersicht!$E$6:$K$82,3,FALSE)))))))),IF(VLOOKUP($A58,Übungsübersicht!$E$6:$K$82,7,FALSE)="UK",(MROUND(((INDEX($A$1:$U$68,(ROW(E58)),17))*$Q$98),(((IF(VLOOKUP($A58,Übungsübersicht!$E$6:$K$82,3,FALSE)=0,0.1,(VLOOKUP($A58,Übungsübersicht!$E$6:$K$82,3,FALSE)))))))),"Übung OK/UK?")))))),"RPE 7")))</f>
        <v>52.5</v>
      </c>
      <c r="F58" s="598" t="str">
        <f>IF('Gewichts- Calculator'!$B$127="EINGEBEN","",(IF('Gewichts- Calculator'!$C$134="Ja Anzeigen",(IF($A58='Gewichts- Calculator'!$C$8," &gt;"&amp;'Gewichts- Calculator'!$B$127&amp;"  &gt; "&amp; 'Gewichts- Calculator'!$B$130,"")),"")))</f>
        <v/>
      </c>
      <c r="G58" s="670">
        <v>3</v>
      </c>
      <c r="H58" s="671">
        <f>IF(ISNA(IF($G58=0,"0",IF(VLOOKUP($A58,Übungsübersicht!$E$7:$K$83,4,FALSE)&lt;1,"RPE 8",VLOOKUP($A58,Übungsübersicht!$E$7:$K$83,4,FALSE)))),"Übung?",IF($G58=0,"0",IF(VLOOKUP($A58,Übungsübersicht!$E$7:$K$83,4,FALSE)&lt;1,"RPE 8",VLOOKUP($A58,Übungsübersicht!$E$7:$K$83,4,FALSE))))</f>
        <v>12</v>
      </c>
      <c r="I58" s="673">
        <v>55</v>
      </c>
      <c r="J58" s="598" t="str">
        <f>IF('Gewichts- Calculator'!$D$127="EINGEBEN","",(IF('Gewichts- Calculator'!$C$134="Ja Anzeigen",(IF($A58='Gewichts- Calculator'!$C$8," &gt;"&amp;'Gewichts- Calculator'!$D$127&amp;"  &gt; "&amp; 'Gewichts- Calculator'!$D$130,"")),"")))</f>
        <v/>
      </c>
      <c r="K58" s="670">
        <v>3</v>
      </c>
      <c r="L58" s="671">
        <f>IF(ISNA(IF($K58=0,"0",IF(VLOOKUP($A58,Übungsübersicht!$E$7:$K$83,4,FALSE)&lt;1,"RPE 8",VLOOKUP($A58,Übungsübersicht!$E$7:$K$83,4,FALSE)))),"Übung?",IF($K58=0,"0",IF(VLOOKUP($A58,Übungsübersicht!$E$7:$K$83,4,FALSE)&lt;1,"RPE 8",VLOOKUP($A58,Übungsübersicht!$E$7:$K$83,4,FALSE))))</f>
        <v>12</v>
      </c>
      <c r="M58" s="674">
        <v>55</v>
      </c>
      <c r="N58" s="598" t="str">
        <f>IF('Gewichts- Calculator'!$D$127="EINGEBEN","",(IF('Gewichts- Calculator'!$C$134="Ja Anzeigen",(IF($A58='Gewichts- Calculator'!$C$8," &gt;"&amp;'Gewichts- Calculator'!$D$127&amp;"  &gt; "&amp; 'Gewichts- Calculator'!$D$130,"")),"")))</f>
        <v/>
      </c>
      <c r="O58" s="670">
        <v>4</v>
      </c>
      <c r="P58" s="671">
        <f>IF(ISNA(IF($O58=0,"0",IF(VLOOKUP($A58,Übungsübersicht!$E$7:$K$83,5,FALSE)&lt;1,"RPE 9",VLOOKUP($A58,Übungsübersicht!$E$7:$K$83,5,FALSE)))),"Übung?",IF($O58=0,"0",IF(VLOOKUP($A58,Übungsübersicht!$E$7:$K$83,5,FALSE)&lt;1,"RPE 9",VLOOKUP($A58,Übungsübersicht!$E$7:$K$83,5,FALSE))))</f>
        <v>12</v>
      </c>
      <c r="Q58" s="675">
        <v>55</v>
      </c>
      <c r="R58" s="598" t="str">
        <f>IF('Gewichts- Calculator'!$F$127="EINGEBEN","",(IF('Gewichts- Calculator'!$C$134="Ja Anzeigen",(IF($A58='Gewichts- Calculator'!$C$8," &gt;"&amp;'Gewichts- Calculator'!$F$127&amp;"  &gt; "&amp; 'Gewichts- Calculator'!$F$130,"")),"")))</f>
        <v/>
      </c>
      <c r="S58" s="670">
        <v>0</v>
      </c>
      <c r="T58" s="671" t="str">
        <f>IF(ISNA(IF($S58=0,"0",IF(VLOOKUP($A58,Übungsübersicht!$E$7:$K$83,4,FALSE)&lt;1,"RPE 6",VLOOKUP($A58,Übungsübersicht!$E$7:$K$83,4,FALSE)))),"Übung?",IF($S58=0,"0",IF(VLOOKUP($A58,Übungsübersicht!$E$7:$K$83,4,FALSE)&lt;1,"RPE 6",VLOOKUP($A58,Übungsübersicht!$E$7:$K$83,4,FALSE))))</f>
        <v>0</v>
      </c>
      <c r="U58" s="674" cm="1">
        <f t="array" ref="U58">IFERROR((IF(ISNA(IF((IF(VLOOKUP($A58,Übungsübersicht!$E$6:$K$82,7,FALSE)="OK",(MROUND(((INDEX($A$1:$U$68,(ROW(U58)),17))*$T$97),(((IF(VLOOKUP($A58,Übungsübersicht!$E$6:$K$82,3,FALSE)=0,0.1,(VLOOKUP($A58,Übungsübersicht!$E$6:$K$82,3,FALSE)))))))),IF(VLOOKUP($A58,Übungsübersicht!$E$6:$K$82,7,FALSE)="UK",(MROUND(((INDEX($A$1:$U$68,(ROW(U58)),17))*$T$98),(((IF(VLOOKUP($A58,Übungsübersicht!$E$6:$K$82,3,FALSE)=0,0.1,(VLOOKUP($A58,Übungsübersicht!$E$6:$K$82,3,FALSE)))))))),"Übung OK/UK?")))&lt;3,"RPE 6",(IF(VLOOKUP($A58,Übungsübersicht!$E$6:$K$82,7,FALSE)="OK",(MROUND(((INDEX($A$1:$U$68,(ROW(U58)),17))*$T$97),(((IF(VLOOKUP($A58,Übungsübersicht!$E$6:$K$82,3,FALSE)=0,0.1,(VLOOKUP($A58,Übungsübersicht!$E$6:$K$82,3,FALSE)))))))),IF(VLOOKUP($A58,Übungsübersicht!$E$6:$K$82,7,FALSE)="UK",(MROUND(((INDEX($A$1:$U$68,(ROW(U58)),17))*$T$98),(((IF(VLOOKUP($A58,Übungsübersicht!$E$6:$K$82,3,FALSE)=0,0.1,(VLOOKUP($A58,Übungsübersicht!$E$6:$K$82,3,FALSE)))))))),"Übung OK/UK?"))))),"Übung?",IF((IF(VLOOKUP($A58,Übungsübersicht!$E$6:$K$82,7,FALSE)="OK",(MROUND(((INDEX($A$1:$U$68,(ROW(U58)),17))*$T$97),(((IF(VLOOKUP($A58,Übungsübersicht!$E$6:$K$82,3,FALSE)=0,0.1,(VLOOKUP($A58,Übungsübersicht!$E$6:$K$82,3,FALSE)))))))),IF(VLOOKUP($A58,Übungsübersicht!$E$6:$K$82,7,FALSE)="UK",(MROUND(((INDEX($A$1:$U$68,(ROW(U58)),17))*$T$98),(((IF(VLOOKUP($A58,Übungsübersicht!$E$6:$K$82,3,FALSE)=0,0.1,(VLOOKUP($A58,Übungsübersicht!$E$6:$K$82,3,FALSE)))))))),"Übung OK/UK?")))&lt;3,"RPE 6",(IF(VLOOKUP($A58,Übungsübersicht!$E$6:$K$82,7,FALSE)="OK",(MROUND(((INDEX($A$1:$U$68,(ROW(U58)),17))*$T$97),(((IF(VLOOKUP($A58,Übungsübersicht!$E$6:$K$82,3,FALSE)=0,0.1,(VLOOKUP($A58,Übungsübersicht!$E$6:$K$82,3,FALSE)))))))),IF(VLOOKUP($A58,Übungsübersicht!$E$6:$K$82,7,FALSE)="UK",(MROUND(((INDEX($A$1:$U$68,(ROW(U58)),17))*$T$98),(((IF(VLOOKUP($A58,Übungsübersicht!$E$6:$K$82,3,FALSE)=0,0.1,(VLOOKUP($A58,Übungsübersicht!$E$6:$K$82,3,FALSE)))))))),"Übung OK/UK?")))))),"RPE 6")</f>
        <v>37.5</v>
      </c>
    </row>
    <row r="59" spans="1:25" ht="26.1" customHeight="1" thickTop="1" thickBot="1">
      <c r="A59" s="668" t="s">
        <v>74</v>
      </c>
      <c r="B59" s="669" t="str">
        <f>IF(ISNA(IF(ISBLANK(VLOOKUP($A59,Übungsübersicht!$E$8:$F$83,2,FALSE)),"Muskelgruppe Auswählen",VLOOKUP($A59,Übungsübersicht!$E$8:$F$83,2,FALSE))),"Übung?",IF(ISBLANK(VLOOKUP($A59,Übungsübersicht!$E$8:$F$83,2,FALSE)),"Muskelgruppe Auswählen",VLOOKUP($A59,Übungsübersicht!$E$8:$F$83,2,FALSE)))</f>
        <v>Hintere Schulter</v>
      </c>
      <c r="C59" s="670">
        <v>3</v>
      </c>
      <c r="D59" s="671">
        <f>IF(ISNA(IF($C59=0,"0",IF(VLOOKUP($A59,Übungsübersicht!$E$7:$K$83,4,FALSE)&lt;1,"RPE 7",VLOOKUP($A59,Übungsübersicht!$E$7:$K$83,4,FALSE)))),"Übung?",IF($C59=0,"0",IF(VLOOKUP($A59,Übungsübersicht!$E$7:$K$83,4,FALSE)&lt;1,"RPE 7",VLOOKUP($A59,Übungsübersicht!$E$7:$K$83,4,FALSE))))</f>
        <v>12</v>
      </c>
      <c r="E59" s="672" cm="1">
        <f t="array" ref="E59">IF(IFERROR((IF(ISNA(IF((IF(VLOOKUP($A59,Übungsübersicht!$E$6:$K$82,7,FALSE)="OK",(MROUND(((INDEX($A$1:$U$68,(ROW(E59)),17))*$Q$97),(((IF(VLOOKUP($A59,Übungsübersicht!$E$6:$K$82,3,FALSE)=0,0.1,(VLOOKUP($A59,Übungsübersicht!$E$6:$K$82,3,FALSE)))))))),IF(VLOOKUP($A59,Übungsübersicht!$E$6:$K$82,7,FALSE)="UK",(MROUND(((INDEX($A$1:$U$68,(ROW(E59)),17))*$Q$98),(((IF(VLOOKUP($A59,Übungsübersicht!$E$6:$K$82,3,FALSE)=0,0.1,(VLOOKUP($A59,Übungsübersicht!$E$6:$K$82,3,FALSE)))))))),"Übung OK/UK?")))&lt;3,"RPE 7",(IF(VLOOKUP($A59,Übungsübersicht!$E$6:$K$82,7,FALSE)="OK",(MROUND(((INDEX($A$1:$U$68,(ROW(E59)),17))*$Q$97),(((IF(VLOOKUP($A59,Übungsübersicht!$E$6:$K$82,3,FALSE)=0,0.1,(VLOOKUP($A59,Übungsübersicht!$E$6:$K$82,3,FALSE)))))))),IF(VLOOKUP($A59,Übungsübersicht!$E$6:$K$82,7,FALSE)="UK",(MROUND(((INDEX($A$1:$U$68,(ROW(E59)),17))*$Q$98),(((IF(VLOOKUP($A59,Übungsübersicht!$E$6:$K$82,3,FALSE)=0,0.1,(VLOOKUP($A59,Übungsübersicht!$E$6:$K$82,3,FALSE)))))))),"Übung OK/UK?"))))),"Übung?",IF((IF(VLOOKUP($A59,Übungsübersicht!$E$6:$K$82,7,FALSE)="OK",(MROUND(((INDEX($A$1:$U$68,(ROW(E59)),17))*$Q$97),(((IF(VLOOKUP($A59,Übungsübersicht!$E$6:$K$82,3,FALSE)=0,0.1,(VLOOKUP($A59,Übungsübersicht!$E$6:$K$82,3,FALSE)))))))),IF(VLOOKUP($A59,Übungsübersicht!$E$6:$K$82,7,FALSE)="UK",(MROUND(((INDEX($A$1:$U$68,(ROW(E59)),17))*$Q$98),(((IF(VLOOKUP($A59,Übungsübersicht!$E$6:$K$82,3,FALSE)=0,0.1,(VLOOKUP($A59,Übungsübersicht!$E$6:$K$82,3,FALSE)))))))),"Übung OK/UK?")))&lt;3,"RPE 7",(IF(VLOOKUP($A59,Übungsübersicht!$E$6:$K$82,7,FALSE)="OK",(MROUND(((INDEX($A$1:$U$68,(ROW(E59)),17))*$Q$97),(((IF(VLOOKUP($A59,Übungsübersicht!$E$6:$K$82,3,FALSE)=0,0.1,(VLOOKUP($A59,Übungsübersicht!$E$6:$K$82,3,FALSE)))))))),IF(VLOOKUP($A59,Übungsübersicht!$E$6:$K$82,7,FALSE)="UK",(MROUND(((INDEX($A$1:$U$68,(ROW(E59)),17))*$Q$98),(((IF(VLOOKUP($A59,Übungsübersicht!$E$6:$K$82,3,FALSE)=0,0.1,(VLOOKUP($A59,Übungsübersicht!$E$6:$K$82,3,FALSE)))))))),"Übung OK/UK?")))))),"RPE 6")=(INDEX($A$1:$U$68,(ROW(E59)),17)),(IFERROR((IF(ISNA(IF(INDEX($A$1:$U$68,(ROW(E59)),17)-(IF(VLOOKUP($A59,Übungsübersicht!$E$6:$K$82,3,FALSE)&lt;=0.5,0,(VLOOKUP($A59,Übungsübersicht!$E$6:$K$82,3,FALSE))))&lt;3,"RPE 7",INDEX($A$1:$U$68,(ROW(E59)),17)-(IF(VLOOKUP($A59,Übungsübersicht!$E$6:$K$82,3,FALSE)&lt;=0.5,0,(VLOOKUP($A59,Übungsübersicht!$E$6:$K$82,3,FALSE)))))),"Übung?",IF(INDEX($A$1:$U$68,(ROW(E59)),17)-(IF(VLOOKUP($A59,Übungsübersicht!$E$6:$K$82,3,FALSE)&lt;=0.5,0,(VLOOKUP($A59,Übungsübersicht!$E$6:$K$82,3,FALSE))))&lt;3,"RPE 7",INDEX($A$1:$U$68,(ROW(E59)),17)-(IF(VLOOKUP($A59,Übungsübersicht!$E$6:$K$82,3,FALSE)&lt;=0.5,0,(VLOOKUP($A59,Übungsübersicht!$E$6:$K$82,3,FALSE))))))),"RPE 7")),(IFERROR((IF(ISNA(IF((IF(VLOOKUP($A59,Übungsübersicht!$E$6:$K$82,7,FALSE)="OK",(MROUND(((INDEX($A$1:$U$68,(ROW(E59)),17))*$Q$97),(((IF(VLOOKUP($A59,Übungsübersicht!$E$6:$K$82,3,FALSE)=0,0.1,(VLOOKUP($A59,Übungsübersicht!$E$6:$K$82,3,FALSE)))))))),IF(VLOOKUP($A59,Übungsübersicht!$E$6:$K$82,7,FALSE)="UK",(MROUND(((INDEX($A$1:$U$68,(ROW(E59)),17))*$Q$98),(((IF(VLOOKUP($A59,Übungsübersicht!$E$6:$K$82,3,FALSE)=0,0.1,(VLOOKUP($A59,Übungsübersicht!$E$6:$K$82,3,FALSE)))))))),"Übung OK/UK?")))&lt;3,"RPE 7",(IF(VLOOKUP($A59,Übungsübersicht!$E$6:$K$82,7,FALSE)="OK",(MROUND(((INDEX($A$1:$U$68,(ROW(E59)),17))*$Q$97),(((IF(VLOOKUP($A59,Übungsübersicht!$E$6:$K$82,3,FALSE)=0,0.1,(VLOOKUP($A59,Übungsübersicht!$E$6:$K$82,3,FALSE)))))))),IF(VLOOKUP($A59,Übungsübersicht!$E$6:$K$82,7,FALSE)="UK",(MROUND(((INDEX($A$1:$U$68,(ROW(E59)),17))*$Q$98),(((IF(VLOOKUP($A59,Übungsübersicht!$E$6:$K$82,3,FALSE)=0,0.1,(VLOOKUP($A59,Übungsübersicht!$E$6:$K$82,3,FALSE)))))))),"Übung OK/UK?"))))),"Übung?",IF((IF(VLOOKUP($A59,Übungsübersicht!$E$6:$K$82,7,FALSE)="OK",(MROUND(((INDEX($A$1:$U$68,(ROW(E59)),17))*$Q$97),(((IF(VLOOKUP($A59,Übungsübersicht!$E$6:$K$82,3,FALSE)=0,0.1,(VLOOKUP($A59,Übungsübersicht!$E$6:$K$82,3,FALSE)))))))),IF(VLOOKUP($A59,Übungsübersicht!$E$6:$K$82,7,FALSE)="UK",(MROUND(((INDEX($A$1:$U$68,(ROW(E59)),17))*$Q$98),(((IF(VLOOKUP($A59,Übungsübersicht!$E$6:$K$82,3,FALSE)=0,0.1,(VLOOKUP($A59,Übungsübersicht!$E$6:$K$82,3,FALSE)))))))),"Übung OK/UK?")))&lt;3,"RPE 6",(IF(VLOOKUP($A59,Übungsübersicht!$E$6:$K$82,7,FALSE)="OK",(MROUND(((INDEX($A$1:$U$68,(ROW(E59)),17))*$Q$97),(((IF(VLOOKUP($A59,Übungsübersicht!$E$6:$K$82,3,FALSE)=0,0.1,(VLOOKUP($A59,Übungsübersicht!$E$6:$K$82,3,FALSE)))))))),IF(VLOOKUP($A59,Übungsübersicht!$E$6:$K$82,7,FALSE)="UK",(MROUND(((INDEX($A$1:$U$68,(ROW(E59)),17))*$Q$98),(((IF(VLOOKUP($A59,Übungsübersicht!$E$6:$K$82,3,FALSE)=0,0.1,(VLOOKUP($A59,Übungsübersicht!$E$6:$K$82,3,FALSE)))))))),"Übung OK/UK?")))))),"RPE 7")))</f>
        <v>10</v>
      </c>
      <c r="F59" s="598" t="str">
        <f>IF('Gewichts- Calculator'!$B$127="EINGEBEN","",(IF('Gewichts- Calculator'!$C$134="Ja Anzeigen",(IF($A59='Gewichts- Calculator'!$C$8," &gt;"&amp;'Gewichts- Calculator'!$B$127&amp;"  &gt; "&amp; 'Gewichts- Calculator'!$B$130,"")),"")))</f>
        <v/>
      </c>
      <c r="G59" s="670">
        <v>3</v>
      </c>
      <c r="H59" s="671">
        <f>IF(ISNA(IF($G59=0,"0",IF(VLOOKUP($A59,Übungsübersicht!$E$7:$K$83,4,FALSE)&lt;1,"RPE 8",VLOOKUP($A59,Übungsübersicht!$E$7:$K$83,4,FALSE)))),"Übung?",IF($G59=0,"0",IF(VLOOKUP($A59,Übungsübersicht!$E$7:$K$83,4,FALSE)&lt;1,"RPE 8",VLOOKUP($A59,Übungsübersicht!$E$7:$K$83,4,FALSE))))</f>
        <v>12</v>
      </c>
      <c r="I59" s="673">
        <v>12.5</v>
      </c>
      <c r="J59" s="598" t="str">
        <f>IF('Gewichts- Calculator'!$D$127="EINGEBEN","",(IF('Gewichts- Calculator'!$C$134="Ja Anzeigen",(IF($A59='Gewichts- Calculator'!$C$8," &gt;"&amp;'Gewichts- Calculator'!$D$127&amp;"  &gt; "&amp; 'Gewichts- Calculator'!$D$130,"")),"")))</f>
        <v/>
      </c>
      <c r="K59" s="670">
        <v>3</v>
      </c>
      <c r="L59" s="671">
        <f>IF(ISNA(IF($K59=0,"0",IF(VLOOKUP($A59,Übungsübersicht!$E$7:$K$83,4,FALSE)&lt;1,"RPE 8",VLOOKUP($A59,Übungsübersicht!$E$7:$K$83,4,FALSE)))),"Übung?",IF($K59=0,"0",IF(VLOOKUP($A59,Übungsübersicht!$E$7:$K$83,4,FALSE)&lt;1,"RPE 8",VLOOKUP($A59,Übungsübersicht!$E$7:$K$83,4,FALSE))))</f>
        <v>12</v>
      </c>
      <c r="M59" s="674">
        <v>12.5</v>
      </c>
      <c r="N59" s="598" t="str">
        <f>IF('Gewichts- Calculator'!$D$127="EINGEBEN","",(IF('Gewichts- Calculator'!$C$134="Ja Anzeigen",(IF($A59='Gewichts- Calculator'!$C$8," &gt;"&amp;'Gewichts- Calculator'!$D$127&amp;"  &gt; "&amp; 'Gewichts- Calculator'!$D$130,"")),"")))</f>
        <v/>
      </c>
      <c r="O59" s="670">
        <v>4</v>
      </c>
      <c r="P59" s="671">
        <f>IF(ISNA(IF($O59=0,"0",IF(VLOOKUP($A59,Übungsübersicht!$E$7:$K$83,5,FALSE)&lt;1,"RPE 9",VLOOKUP($A59,Übungsübersicht!$E$7:$K$83,5,FALSE)))),"Übung?",IF($O59=0,"0",IF(VLOOKUP($A59,Übungsübersicht!$E$7:$K$83,5,FALSE)&lt;1,"RPE 9",VLOOKUP($A59,Übungsübersicht!$E$7:$K$83,5,FALSE))))</f>
        <v>12</v>
      </c>
      <c r="Q59" s="675">
        <v>12.5</v>
      </c>
      <c r="R59" s="598" t="str">
        <f>IF('Gewichts- Calculator'!$F$127="EINGEBEN","",(IF('Gewichts- Calculator'!$C$134="Ja Anzeigen",(IF($A59='Gewichts- Calculator'!$C$8," &gt;"&amp;'Gewichts- Calculator'!$F$127&amp;"  &gt; "&amp; 'Gewichts- Calculator'!$F$130,"")),"")))</f>
        <v/>
      </c>
      <c r="S59" s="670">
        <v>2</v>
      </c>
      <c r="T59" s="671">
        <f>IF(ISNA(IF($S59=0,"0",IF(VLOOKUP($A59,Übungsübersicht!$E$7:$K$83,4,FALSE)&lt;1,"RPE 6",VLOOKUP($A59,Übungsübersicht!$E$7:$K$83,4,FALSE)))),"Übung?",IF($S59=0,"0",IF(VLOOKUP($A59,Übungsübersicht!$E$7:$K$83,4,FALSE)&lt;1,"RPE 6",VLOOKUP($A59,Übungsübersicht!$E$7:$K$83,4,FALSE))))</f>
        <v>12</v>
      </c>
      <c r="U59" s="674" cm="1">
        <f t="array" ref="U59">IFERROR((IF(ISNA(IF((IF(VLOOKUP($A59,Übungsübersicht!$E$6:$K$82,7,FALSE)="OK",(MROUND(((INDEX($A$1:$U$68,(ROW(U59)),17))*$T$97),(((IF(VLOOKUP($A59,Übungsübersicht!$E$6:$K$82,3,FALSE)=0,0.1,(VLOOKUP($A59,Übungsübersicht!$E$6:$K$82,3,FALSE)))))))),IF(VLOOKUP($A59,Übungsübersicht!$E$6:$K$82,7,FALSE)="UK",(MROUND(((INDEX($A$1:$U$68,(ROW(U59)),17))*$T$98),(((IF(VLOOKUP($A59,Übungsübersicht!$E$6:$K$82,3,FALSE)=0,0.1,(VLOOKUP($A59,Übungsübersicht!$E$6:$K$82,3,FALSE)))))))),"Übung OK/UK?")))&lt;3,"RPE 6",(IF(VLOOKUP($A59,Übungsübersicht!$E$6:$K$82,7,FALSE)="OK",(MROUND(((INDEX($A$1:$U$68,(ROW(U59)),17))*$T$97),(((IF(VLOOKUP($A59,Übungsübersicht!$E$6:$K$82,3,FALSE)=0,0.1,(VLOOKUP($A59,Übungsübersicht!$E$6:$K$82,3,FALSE)))))))),IF(VLOOKUP($A59,Übungsübersicht!$E$6:$K$82,7,FALSE)="UK",(MROUND(((INDEX($A$1:$U$68,(ROW(U59)),17))*$T$98),(((IF(VLOOKUP($A59,Übungsübersicht!$E$6:$K$82,3,FALSE)=0,0.1,(VLOOKUP($A59,Übungsübersicht!$E$6:$K$82,3,FALSE)))))))),"Übung OK/UK?"))))),"Übung?",IF((IF(VLOOKUP($A59,Übungsübersicht!$E$6:$K$82,7,FALSE)="OK",(MROUND(((INDEX($A$1:$U$68,(ROW(U59)),17))*$T$97),(((IF(VLOOKUP($A59,Übungsübersicht!$E$6:$K$82,3,FALSE)=0,0.1,(VLOOKUP($A59,Übungsübersicht!$E$6:$K$82,3,FALSE)))))))),IF(VLOOKUP($A59,Übungsübersicht!$E$6:$K$82,7,FALSE)="UK",(MROUND(((INDEX($A$1:$U$68,(ROW(U59)),17))*$T$98),(((IF(VLOOKUP($A59,Übungsübersicht!$E$6:$K$82,3,FALSE)=0,0.1,(VLOOKUP($A59,Übungsübersicht!$E$6:$K$82,3,FALSE)))))))),"Übung OK/UK?")))&lt;3,"RPE 6",(IF(VLOOKUP($A59,Übungsübersicht!$E$6:$K$82,7,FALSE)="OK",(MROUND(((INDEX($A$1:$U$68,(ROW(U59)),17))*$T$97),(((IF(VLOOKUP($A59,Übungsübersicht!$E$6:$K$82,3,FALSE)=0,0.1,(VLOOKUP($A59,Übungsübersicht!$E$6:$K$82,3,FALSE)))))))),IF(VLOOKUP($A59,Übungsübersicht!$E$6:$K$82,7,FALSE)="UK",(MROUND(((INDEX($A$1:$U$68,(ROW(U59)),17))*$T$98),(((IF(VLOOKUP($A59,Übungsübersicht!$E$6:$K$82,3,FALSE)=0,0.1,(VLOOKUP($A59,Übungsübersicht!$E$6:$K$82,3,FALSE)))))))),"Übung OK/UK?")))))),"RPE 6")</f>
        <v>10</v>
      </c>
    </row>
    <row r="60" spans="1:25" ht="26.1" customHeight="1" thickTop="1" thickBot="1">
      <c r="A60" s="668" t="s">
        <v>81</v>
      </c>
      <c r="B60" s="669" t="str">
        <f>IF(ISNA(IF(ISBLANK(VLOOKUP($A60,Übungsübersicht!$E$8:$F$83,2,FALSE)),"Muskelgruppe Auswählen",VLOOKUP($A60,Übungsübersicht!$E$8:$F$83,2,FALSE))),"Übung?",IF(ISBLANK(VLOOKUP($A60,Übungsübersicht!$E$8:$F$83,2,FALSE)),"Muskelgruppe Auswählen",VLOOKUP($A60,Übungsübersicht!$E$8:$F$83,2,FALSE)))</f>
        <v>Trizeps</v>
      </c>
      <c r="C60" s="670">
        <v>3</v>
      </c>
      <c r="D60" s="671">
        <f>IF(ISNA(IF($C60=0,"0",IF(VLOOKUP($A60,Übungsübersicht!$E$7:$K$83,4,FALSE)&lt;1,"RPE 7",VLOOKUP($A60,Übungsübersicht!$E$7:$K$83,4,FALSE)))),"Übung?",IF($C60=0,"0",IF(VLOOKUP($A60,Übungsübersicht!$E$7:$K$83,4,FALSE)&lt;1,"RPE 7",VLOOKUP($A60,Übungsübersicht!$E$7:$K$83,4,FALSE))))</f>
        <v>8</v>
      </c>
      <c r="E60" s="672" cm="1">
        <f t="array" ref="E60">IF(IFERROR((IF(ISNA(IF((IF(VLOOKUP($A60,Übungsübersicht!$E$6:$K$82,7,FALSE)="OK",(MROUND(((INDEX($A$1:$U$68,(ROW(E60)),17))*$Q$97),(((IF(VLOOKUP($A60,Übungsübersicht!$E$6:$K$82,3,FALSE)=0,0.1,(VLOOKUP($A60,Übungsübersicht!$E$6:$K$82,3,FALSE)))))))),IF(VLOOKUP($A60,Übungsübersicht!$E$6:$K$82,7,FALSE)="UK",(MROUND(((INDEX($A$1:$U$68,(ROW(E60)),17))*$Q$98),(((IF(VLOOKUP($A60,Übungsübersicht!$E$6:$K$82,3,FALSE)=0,0.1,(VLOOKUP($A60,Übungsübersicht!$E$6:$K$82,3,FALSE)))))))),"Übung OK/UK?")))&lt;3,"RPE 7",(IF(VLOOKUP($A60,Übungsübersicht!$E$6:$K$82,7,FALSE)="OK",(MROUND(((INDEX($A$1:$U$68,(ROW(E60)),17))*$Q$97),(((IF(VLOOKUP($A60,Übungsübersicht!$E$6:$K$82,3,FALSE)=0,0.1,(VLOOKUP($A60,Übungsübersicht!$E$6:$K$82,3,FALSE)))))))),IF(VLOOKUP($A60,Übungsübersicht!$E$6:$K$82,7,FALSE)="UK",(MROUND(((INDEX($A$1:$U$68,(ROW(E60)),17))*$Q$98),(((IF(VLOOKUP($A60,Übungsübersicht!$E$6:$K$82,3,FALSE)=0,0.1,(VLOOKUP($A60,Übungsübersicht!$E$6:$K$82,3,FALSE)))))))),"Übung OK/UK?"))))),"Übung?",IF((IF(VLOOKUP($A60,Übungsübersicht!$E$6:$K$82,7,FALSE)="OK",(MROUND(((INDEX($A$1:$U$68,(ROW(E60)),17))*$Q$97),(((IF(VLOOKUP($A60,Übungsübersicht!$E$6:$K$82,3,FALSE)=0,0.1,(VLOOKUP($A60,Übungsübersicht!$E$6:$K$82,3,FALSE)))))))),IF(VLOOKUP($A60,Übungsübersicht!$E$6:$K$82,7,FALSE)="UK",(MROUND(((INDEX($A$1:$U$68,(ROW(E60)),17))*$Q$98),(((IF(VLOOKUP($A60,Übungsübersicht!$E$6:$K$82,3,FALSE)=0,0.1,(VLOOKUP($A60,Übungsübersicht!$E$6:$K$82,3,FALSE)))))))),"Übung OK/UK?")))&lt;3,"RPE 7",(IF(VLOOKUP($A60,Übungsübersicht!$E$6:$K$82,7,FALSE)="OK",(MROUND(((INDEX($A$1:$U$68,(ROW(E60)),17))*$Q$97),(((IF(VLOOKUP($A60,Übungsübersicht!$E$6:$K$82,3,FALSE)=0,0.1,(VLOOKUP($A60,Übungsübersicht!$E$6:$K$82,3,FALSE)))))))),IF(VLOOKUP($A60,Übungsübersicht!$E$6:$K$82,7,FALSE)="UK",(MROUND(((INDEX($A$1:$U$68,(ROW(E60)),17))*$Q$98),(((IF(VLOOKUP($A60,Übungsübersicht!$E$6:$K$82,3,FALSE)=0,0.1,(VLOOKUP($A60,Übungsübersicht!$E$6:$K$82,3,FALSE)))))))),"Übung OK/UK?")))))),"RPE 6")=(INDEX($A$1:$U$68,(ROW(E60)),17)),(IFERROR((IF(ISNA(IF(INDEX($A$1:$U$68,(ROW(E60)),17)-(IF(VLOOKUP($A60,Übungsübersicht!$E$6:$K$82,3,FALSE)&lt;=0.5,0,(VLOOKUP($A60,Übungsübersicht!$E$6:$K$82,3,FALSE))))&lt;3,"RPE 7",INDEX($A$1:$U$68,(ROW(E60)),17)-(IF(VLOOKUP($A60,Übungsübersicht!$E$6:$K$82,3,FALSE)&lt;=0.5,0,(VLOOKUP($A60,Übungsübersicht!$E$6:$K$82,3,FALSE)))))),"Übung?",IF(INDEX($A$1:$U$68,(ROW(E60)),17)-(IF(VLOOKUP($A60,Übungsübersicht!$E$6:$K$82,3,FALSE)&lt;=0.5,0,(VLOOKUP($A60,Übungsübersicht!$E$6:$K$82,3,FALSE))))&lt;3,"RPE 7",INDEX($A$1:$U$68,(ROW(E60)),17)-(IF(VLOOKUP($A60,Übungsübersicht!$E$6:$K$82,3,FALSE)&lt;=0.5,0,(VLOOKUP($A60,Übungsübersicht!$E$6:$K$82,3,FALSE))))))),"RPE 7")),(IFERROR((IF(ISNA(IF((IF(VLOOKUP($A60,Übungsübersicht!$E$6:$K$82,7,FALSE)="OK",(MROUND(((INDEX($A$1:$U$68,(ROW(E60)),17))*$Q$97),(((IF(VLOOKUP($A60,Übungsübersicht!$E$6:$K$82,3,FALSE)=0,0.1,(VLOOKUP($A60,Übungsübersicht!$E$6:$K$82,3,FALSE)))))))),IF(VLOOKUP($A60,Übungsübersicht!$E$6:$K$82,7,FALSE)="UK",(MROUND(((INDEX($A$1:$U$68,(ROW(E60)),17))*$Q$98),(((IF(VLOOKUP($A60,Übungsübersicht!$E$6:$K$82,3,FALSE)=0,0.1,(VLOOKUP($A60,Übungsübersicht!$E$6:$K$82,3,FALSE)))))))),"Übung OK/UK?")))&lt;3,"RPE 7",(IF(VLOOKUP($A60,Übungsübersicht!$E$6:$K$82,7,FALSE)="OK",(MROUND(((INDEX($A$1:$U$68,(ROW(E60)),17))*$Q$97),(((IF(VLOOKUP($A60,Übungsübersicht!$E$6:$K$82,3,FALSE)=0,0.1,(VLOOKUP($A60,Übungsübersicht!$E$6:$K$82,3,FALSE)))))))),IF(VLOOKUP($A60,Übungsübersicht!$E$6:$K$82,7,FALSE)="UK",(MROUND(((INDEX($A$1:$U$68,(ROW(E60)),17))*$Q$98),(((IF(VLOOKUP($A60,Übungsübersicht!$E$6:$K$82,3,FALSE)=0,0.1,(VLOOKUP($A60,Übungsübersicht!$E$6:$K$82,3,FALSE)))))))),"Übung OK/UK?"))))),"Übung?",IF((IF(VLOOKUP($A60,Übungsübersicht!$E$6:$K$82,7,FALSE)="OK",(MROUND(((INDEX($A$1:$U$68,(ROW(E60)),17))*$Q$97),(((IF(VLOOKUP($A60,Übungsübersicht!$E$6:$K$82,3,FALSE)=0,0.1,(VLOOKUP($A60,Übungsübersicht!$E$6:$K$82,3,FALSE)))))))),IF(VLOOKUP($A60,Übungsübersicht!$E$6:$K$82,7,FALSE)="UK",(MROUND(((INDEX($A$1:$U$68,(ROW(E60)),17))*$Q$98),(((IF(VLOOKUP($A60,Übungsübersicht!$E$6:$K$82,3,FALSE)=0,0.1,(VLOOKUP($A60,Übungsübersicht!$E$6:$K$82,3,FALSE)))))))),"Übung OK/UK?")))&lt;3,"RPE 6",(IF(VLOOKUP($A60,Übungsübersicht!$E$6:$K$82,7,FALSE)="OK",(MROUND(((INDEX($A$1:$U$68,(ROW(E60)),17))*$Q$97),(((IF(VLOOKUP($A60,Übungsübersicht!$E$6:$K$82,3,FALSE)=0,0.1,(VLOOKUP($A60,Übungsübersicht!$E$6:$K$82,3,FALSE)))))))),IF(VLOOKUP($A60,Übungsübersicht!$E$6:$K$82,7,FALSE)="UK",(MROUND(((INDEX($A$1:$U$68,(ROW(E60)),17))*$Q$98),(((IF(VLOOKUP($A60,Übungsübersicht!$E$6:$K$82,3,FALSE)=0,0.1,(VLOOKUP($A60,Übungsübersicht!$E$6:$K$82,3,FALSE)))))))),"Übung OK/UK?")))))),"RPE 7")))</f>
        <v>42.5</v>
      </c>
      <c r="F60" s="598" t="str">
        <f>IF('Gewichts- Calculator'!$B$127="EINGEBEN","",(IF('Gewichts- Calculator'!$C$134="Ja Anzeigen",(IF($A60='Gewichts- Calculator'!$C$8," &gt;"&amp;'Gewichts- Calculator'!$B$127&amp;"  &gt; "&amp; 'Gewichts- Calculator'!$B$130,"")),"")))</f>
        <v/>
      </c>
      <c r="G60" s="670">
        <v>3</v>
      </c>
      <c r="H60" s="671">
        <f>IF(ISNA(IF($G60=0,"0",IF(VLOOKUP($A60,Übungsübersicht!$E$7:$K$83,4,FALSE)&lt;1,"RPE 8",VLOOKUP($A60,Übungsübersicht!$E$7:$K$83,4,FALSE)))),"Übung?",IF($G60=0,"0",IF(VLOOKUP($A60,Übungsübersicht!$E$7:$K$83,4,FALSE)&lt;1,"RPE 8",VLOOKUP($A60,Übungsübersicht!$E$7:$K$83,4,FALSE))))</f>
        <v>8</v>
      </c>
      <c r="I60" s="673">
        <v>45</v>
      </c>
      <c r="J60" s="598" t="str">
        <f>IF('Gewichts- Calculator'!$D$127="EINGEBEN","",(IF('Gewichts- Calculator'!$C$134="Ja Anzeigen",(IF($A60='Gewichts- Calculator'!$C$8," &gt;"&amp;'Gewichts- Calculator'!$D$127&amp;"  &gt; "&amp; 'Gewichts- Calculator'!$D$130,"")),"")))</f>
        <v/>
      </c>
      <c r="K60" s="670">
        <v>3</v>
      </c>
      <c r="L60" s="671">
        <f>IF(ISNA(IF($K60=0,"0",IF(VLOOKUP($A60,Übungsübersicht!$E$7:$K$83,4,FALSE)&lt;1,"RPE 8",VLOOKUP($A60,Übungsübersicht!$E$7:$K$83,4,FALSE)))),"Übung?",IF($K60=0,"0",IF(VLOOKUP($A60,Übungsübersicht!$E$7:$K$83,4,FALSE)&lt;1,"RPE 8",VLOOKUP($A60,Übungsübersicht!$E$7:$K$83,4,FALSE))))</f>
        <v>8</v>
      </c>
      <c r="M60" s="674">
        <v>45</v>
      </c>
      <c r="N60" s="598" t="str">
        <f>IF('Gewichts- Calculator'!$D$127="EINGEBEN","",(IF('Gewichts- Calculator'!$C$134="Ja Anzeigen",(IF($A60='Gewichts- Calculator'!$C$8," &gt;"&amp;'Gewichts- Calculator'!$D$127&amp;"  &gt; "&amp; 'Gewichts- Calculator'!$D$130,"")),"")))</f>
        <v/>
      </c>
      <c r="O60" s="670">
        <v>3</v>
      </c>
      <c r="P60" s="671">
        <f>IF(ISNA(IF($O60=0,"0",IF(VLOOKUP($A60,Übungsübersicht!$E$7:$K$83,5,FALSE)&lt;1,"RPE 9",VLOOKUP($A60,Übungsübersicht!$E$7:$K$83,5,FALSE)))),"Übung?",IF($O60=0,"0",IF(VLOOKUP($A60,Übungsübersicht!$E$7:$K$83,5,FALSE)&lt;1,"RPE 9",VLOOKUP($A60,Übungsübersicht!$E$7:$K$83,5,FALSE))))</f>
        <v>8</v>
      </c>
      <c r="Q60" s="675">
        <v>45</v>
      </c>
      <c r="R60" s="598" t="str">
        <f>IF('Gewichts- Calculator'!$F$127="EINGEBEN","",(IF('Gewichts- Calculator'!$C$134="Ja Anzeigen",(IF($A60='Gewichts- Calculator'!$C$8," &gt;"&amp;'Gewichts- Calculator'!$F$127&amp;"  &gt; "&amp; 'Gewichts- Calculator'!$F$130,"")),"")))</f>
        <v/>
      </c>
      <c r="S60" s="670">
        <v>0</v>
      </c>
      <c r="T60" s="671" t="str">
        <f>IF(ISNA(IF($S60=0,"0",IF(VLOOKUP($A60,Übungsübersicht!$E$7:$K$83,4,FALSE)&lt;1,"RPE 6",VLOOKUP($A60,Übungsübersicht!$E$7:$K$83,4,FALSE)))),"Übung?",IF($S60=0,"0",IF(VLOOKUP($A60,Übungsübersicht!$E$7:$K$83,4,FALSE)&lt;1,"RPE 6",VLOOKUP($A60,Übungsübersicht!$E$7:$K$83,4,FALSE))))</f>
        <v>0</v>
      </c>
      <c r="U60" s="674" cm="1">
        <f t="array" ref="U60">IFERROR((IF(ISNA(IF((IF(VLOOKUP($A60,Übungsübersicht!$E$6:$K$82,7,FALSE)="OK",(MROUND(((INDEX($A$1:$U$68,(ROW(U60)),17))*$T$97),(((IF(VLOOKUP($A60,Übungsübersicht!$E$6:$K$82,3,FALSE)=0,0.1,(VLOOKUP($A60,Übungsübersicht!$E$6:$K$82,3,FALSE)))))))),IF(VLOOKUP($A60,Übungsübersicht!$E$6:$K$82,7,FALSE)="UK",(MROUND(((INDEX($A$1:$U$68,(ROW(U60)),17))*$T$98),(((IF(VLOOKUP($A60,Übungsübersicht!$E$6:$K$82,3,FALSE)=0,0.1,(VLOOKUP($A60,Übungsübersicht!$E$6:$K$82,3,FALSE)))))))),"Übung OK/UK?")))&lt;3,"RPE 6",(IF(VLOOKUP($A60,Übungsübersicht!$E$6:$K$82,7,FALSE)="OK",(MROUND(((INDEX($A$1:$U$68,(ROW(U60)),17))*$T$97),(((IF(VLOOKUP($A60,Übungsübersicht!$E$6:$K$82,3,FALSE)=0,0.1,(VLOOKUP($A60,Übungsübersicht!$E$6:$K$82,3,FALSE)))))))),IF(VLOOKUP($A60,Übungsübersicht!$E$6:$K$82,7,FALSE)="UK",(MROUND(((INDEX($A$1:$U$68,(ROW(U60)),17))*$T$98),(((IF(VLOOKUP($A60,Übungsübersicht!$E$6:$K$82,3,FALSE)=0,0.1,(VLOOKUP($A60,Übungsübersicht!$E$6:$K$82,3,FALSE)))))))),"Übung OK/UK?"))))),"Übung?",IF((IF(VLOOKUP($A60,Übungsübersicht!$E$6:$K$82,7,FALSE)="OK",(MROUND(((INDEX($A$1:$U$68,(ROW(U60)),17))*$T$97),(((IF(VLOOKUP($A60,Übungsübersicht!$E$6:$K$82,3,FALSE)=0,0.1,(VLOOKUP($A60,Übungsübersicht!$E$6:$K$82,3,FALSE)))))))),IF(VLOOKUP($A60,Übungsübersicht!$E$6:$K$82,7,FALSE)="UK",(MROUND(((INDEX($A$1:$U$68,(ROW(U60)),17))*$T$98),(((IF(VLOOKUP($A60,Übungsübersicht!$E$6:$K$82,3,FALSE)=0,0.1,(VLOOKUP($A60,Übungsübersicht!$E$6:$K$82,3,FALSE)))))))),"Übung OK/UK?")))&lt;3,"RPE 6",(IF(VLOOKUP($A60,Übungsübersicht!$E$6:$K$82,7,FALSE)="OK",(MROUND(((INDEX($A$1:$U$68,(ROW(U60)),17))*$T$97),(((IF(VLOOKUP($A60,Übungsübersicht!$E$6:$K$82,3,FALSE)=0,0.1,(VLOOKUP($A60,Übungsübersicht!$E$6:$K$82,3,FALSE)))))))),IF(VLOOKUP($A60,Übungsübersicht!$E$6:$K$82,7,FALSE)="UK",(MROUND(((INDEX($A$1:$U$68,(ROW(U60)),17))*$T$98),(((IF(VLOOKUP($A60,Übungsübersicht!$E$6:$K$82,3,FALSE)=0,0.1,(VLOOKUP($A60,Übungsübersicht!$E$6:$K$82,3,FALSE)))))))),"Übung OK/UK?")))))),"RPE 6")</f>
        <v>32.5</v>
      </c>
    </row>
    <row r="61" spans="1:25" ht="26.1" customHeight="1" thickTop="1" thickBot="1">
      <c r="A61" s="668" t="s">
        <v>137</v>
      </c>
      <c r="B61" s="669" t="str">
        <f>IF(ISNA(IF(ISBLANK(VLOOKUP($A61,Übungsübersicht!$E$8:$F$83,2,FALSE)),"Muskelgruppe Auswählen",VLOOKUP($A61,Übungsübersicht!$E$8:$F$83,2,FALSE))),"Übung?",IF(ISBLANK(VLOOKUP($A61,Übungsübersicht!$E$8:$F$83,2,FALSE)),"Muskelgruppe Auswählen",VLOOKUP($A61,Übungsübersicht!$E$8:$F$83,2,FALSE)))</f>
        <v>Bizeps</v>
      </c>
      <c r="C61" s="670">
        <v>3</v>
      </c>
      <c r="D61" s="671">
        <f>IF(ISNA(IF($C61=0,"0",IF(VLOOKUP($A61,Übungsübersicht!$E$7:$K$83,4,FALSE)&lt;1,"RPE 7",VLOOKUP($A61,Übungsübersicht!$E$7:$K$83,4,FALSE)))),"Übung?",IF($C61=0,"0",IF(VLOOKUP($A61,Übungsübersicht!$E$7:$K$83,4,FALSE)&lt;1,"RPE 7",VLOOKUP($A61,Übungsübersicht!$E$7:$K$83,4,FALSE))))</f>
        <v>6</v>
      </c>
      <c r="E61" s="672" cm="1">
        <f t="array" ref="E61">IF(IFERROR((IF(ISNA(IF((IF(VLOOKUP($A61,Übungsübersicht!$E$6:$K$82,7,FALSE)="OK",(MROUND(((INDEX($A$1:$U$68,(ROW(E61)),17))*$Q$97),(((IF(VLOOKUP($A61,Übungsübersicht!$E$6:$K$82,3,FALSE)=0,0.1,(VLOOKUP($A61,Übungsübersicht!$E$6:$K$82,3,FALSE)))))))),IF(VLOOKUP($A61,Übungsübersicht!$E$6:$K$82,7,FALSE)="UK",(MROUND(((INDEX($A$1:$U$68,(ROW(E61)),17))*$Q$98),(((IF(VLOOKUP($A61,Übungsübersicht!$E$6:$K$82,3,FALSE)=0,0.1,(VLOOKUP($A61,Übungsübersicht!$E$6:$K$82,3,FALSE)))))))),"Übung OK/UK?")))&lt;3,"RPE 7",(IF(VLOOKUP($A61,Übungsübersicht!$E$6:$K$82,7,FALSE)="OK",(MROUND(((INDEX($A$1:$U$68,(ROW(E61)),17))*$Q$97),(((IF(VLOOKUP($A61,Übungsübersicht!$E$6:$K$82,3,FALSE)=0,0.1,(VLOOKUP($A61,Übungsübersicht!$E$6:$K$82,3,FALSE)))))))),IF(VLOOKUP($A61,Übungsübersicht!$E$6:$K$82,7,FALSE)="UK",(MROUND(((INDEX($A$1:$U$68,(ROW(E61)),17))*$Q$98),(((IF(VLOOKUP($A61,Übungsübersicht!$E$6:$K$82,3,FALSE)=0,0.1,(VLOOKUP($A61,Übungsübersicht!$E$6:$K$82,3,FALSE)))))))),"Übung OK/UK?"))))),"Übung?",IF((IF(VLOOKUP($A61,Übungsübersicht!$E$6:$K$82,7,FALSE)="OK",(MROUND(((INDEX($A$1:$U$68,(ROW(E61)),17))*$Q$97),(((IF(VLOOKUP($A61,Übungsübersicht!$E$6:$K$82,3,FALSE)=0,0.1,(VLOOKUP($A61,Übungsübersicht!$E$6:$K$82,3,FALSE)))))))),IF(VLOOKUP($A61,Übungsübersicht!$E$6:$K$82,7,FALSE)="UK",(MROUND(((INDEX($A$1:$U$68,(ROW(E61)),17))*$Q$98),(((IF(VLOOKUP($A61,Übungsübersicht!$E$6:$K$82,3,FALSE)=0,0.1,(VLOOKUP($A61,Übungsübersicht!$E$6:$K$82,3,FALSE)))))))),"Übung OK/UK?")))&lt;3,"RPE 7",(IF(VLOOKUP($A61,Übungsübersicht!$E$6:$K$82,7,FALSE)="OK",(MROUND(((INDEX($A$1:$U$68,(ROW(E61)),17))*$Q$97),(((IF(VLOOKUP($A61,Übungsübersicht!$E$6:$K$82,3,FALSE)=0,0.1,(VLOOKUP($A61,Übungsübersicht!$E$6:$K$82,3,FALSE)))))))),IF(VLOOKUP($A61,Übungsübersicht!$E$6:$K$82,7,FALSE)="UK",(MROUND(((INDEX($A$1:$U$68,(ROW(E61)),17))*$Q$98),(((IF(VLOOKUP($A61,Übungsübersicht!$E$6:$K$82,3,FALSE)=0,0.1,(VLOOKUP($A61,Übungsübersicht!$E$6:$K$82,3,FALSE)))))))),"Übung OK/UK?")))))),"RPE 6")=(INDEX($A$1:$U$68,(ROW(E61)),17)),(IFERROR((IF(ISNA(IF(INDEX($A$1:$U$68,(ROW(E61)),17)-(IF(VLOOKUP($A61,Übungsübersicht!$E$6:$K$82,3,FALSE)&lt;=0.5,0,(VLOOKUP($A61,Übungsübersicht!$E$6:$K$82,3,FALSE))))&lt;3,"RPE 7",INDEX($A$1:$U$68,(ROW(E61)),17)-(IF(VLOOKUP($A61,Übungsübersicht!$E$6:$K$82,3,FALSE)&lt;=0.5,0,(VLOOKUP($A61,Übungsübersicht!$E$6:$K$82,3,FALSE)))))),"Übung?",IF(INDEX($A$1:$U$68,(ROW(E61)),17)-(IF(VLOOKUP($A61,Übungsübersicht!$E$6:$K$82,3,FALSE)&lt;=0.5,0,(VLOOKUP($A61,Übungsübersicht!$E$6:$K$82,3,FALSE))))&lt;3,"RPE 7",INDEX($A$1:$U$68,(ROW(E61)),17)-(IF(VLOOKUP($A61,Übungsübersicht!$E$6:$K$82,3,FALSE)&lt;=0.5,0,(VLOOKUP($A61,Übungsübersicht!$E$6:$K$82,3,FALSE))))))),"RPE 7")),(IFERROR((IF(ISNA(IF((IF(VLOOKUP($A61,Übungsübersicht!$E$6:$K$82,7,FALSE)="OK",(MROUND(((INDEX($A$1:$U$68,(ROW(E61)),17))*$Q$97),(((IF(VLOOKUP($A61,Übungsübersicht!$E$6:$K$82,3,FALSE)=0,0.1,(VLOOKUP($A61,Übungsübersicht!$E$6:$K$82,3,FALSE)))))))),IF(VLOOKUP($A61,Übungsübersicht!$E$6:$K$82,7,FALSE)="UK",(MROUND(((INDEX($A$1:$U$68,(ROW(E61)),17))*$Q$98),(((IF(VLOOKUP($A61,Übungsübersicht!$E$6:$K$82,3,FALSE)=0,0.1,(VLOOKUP($A61,Übungsübersicht!$E$6:$K$82,3,FALSE)))))))),"Übung OK/UK?")))&lt;3,"RPE 7",(IF(VLOOKUP($A61,Übungsübersicht!$E$6:$K$82,7,FALSE)="OK",(MROUND(((INDEX($A$1:$U$68,(ROW(E61)),17))*$Q$97),(((IF(VLOOKUP($A61,Übungsübersicht!$E$6:$K$82,3,FALSE)=0,0.1,(VLOOKUP($A61,Übungsübersicht!$E$6:$K$82,3,FALSE)))))))),IF(VLOOKUP($A61,Übungsübersicht!$E$6:$K$82,7,FALSE)="UK",(MROUND(((INDEX($A$1:$U$68,(ROW(E61)),17))*$Q$98),(((IF(VLOOKUP($A61,Übungsübersicht!$E$6:$K$82,3,FALSE)=0,0.1,(VLOOKUP($A61,Übungsübersicht!$E$6:$K$82,3,FALSE)))))))),"Übung OK/UK?"))))),"Übung?",IF((IF(VLOOKUP($A61,Übungsübersicht!$E$6:$K$82,7,FALSE)="OK",(MROUND(((INDEX($A$1:$U$68,(ROW(E61)),17))*$Q$97),(((IF(VLOOKUP($A61,Übungsübersicht!$E$6:$K$82,3,FALSE)=0,0.1,(VLOOKUP($A61,Übungsübersicht!$E$6:$K$82,3,FALSE)))))))),IF(VLOOKUP($A61,Übungsübersicht!$E$6:$K$82,7,FALSE)="UK",(MROUND(((INDEX($A$1:$U$68,(ROW(E61)),17))*$Q$98),(((IF(VLOOKUP($A61,Übungsübersicht!$E$6:$K$82,3,FALSE)=0,0.1,(VLOOKUP($A61,Übungsübersicht!$E$6:$K$82,3,FALSE)))))))),"Übung OK/UK?")))&lt;3,"RPE 6",(IF(VLOOKUP($A61,Übungsübersicht!$E$6:$K$82,7,FALSE)="OK",(MROUND(((INDEX($A$1:$U$68,(ROW(E61)),17))*$Q$97),(((IF(VLOOKUP($A61,Übungsübersicht!$E$6:$K$82,3,FALSE)=0,0.1,(VLOOKUP($A61,Übungsübersicht!$E$6:$K$82,3,FALSE)))))))),IF(VLOOKUP($A61,Übungsübersicht!$E$6:$K$82,7,FALSE)="UK",(MROUND(((INDEX($A$1:$U$68,(ROW(E61)),17))*$Q$98),(((IF(VLOOKUP($A61,Übungsübersicht!$E$6:$K$82,3,FALSE)=0,0.1,(VLOOKUP($A61,Übungsübersicht!$E$6:$K$82,3,FALSE)))))))),"Übung OK/UK?")))))),"RPE 7")))</f>
        <v>42.5</v>
      </c>
      <c r="F61" s="598" t="str">
        <f>IF('Gewichts- Calculator'!$B$127="EINGEBEN","",(IF('Gewichts- Calculator'!$C$134="Ja Anzeigen",(IF($A61='Gewichts- Calculator'!$C$8," &gt;"&amp;'Gewichts- Calculator'!$B$127&amp;"  &gt; "&amp; 'Gewichts- Calculator'!$B$130,"")),"")))</f>
        <v/>
      </c>
      <c r="G61" s="670">
        <v>3</v>
      </c>
      <c r="H61" s="671">
        <f>IF(ISNA(IF($G61=0,"0",IF(VLOOKUP($A61,Übungsübersicht!$E$7:$K$83,4,FALSE)&lt;1,"RPE 8",VLOOKUP($A61,Übungsübersicht!$E$7:$K$83,4,FALSE)))),"Übung?",IF($G61=0,"0",IF(VLOOKUP($A61,Übungsübersicht!$E$7:$K$83,4,FALSE)&lt;1,"RPE 8",VLOOKUP($A61,Übungsübersicht!$E$7:$K$83,4,FALSE))))</f>
        <v>6</v>
      </c>
      <c r="I61" s="673">
        <v>45</v>
      </c>
      <c r="J61" s="598" t="str">
        <f>IF('Gewichts- Calculator'!$D$127="EINGEBEN","",(IF('Gewichts- Calculator'!$C$134="Ja Anzeigen",(IF($A61='Gewichts- Calculator'!$C$8," &gt;"&amp;'Gewichts- Calculator'!$D$127&amp;"  &gt; "&amp; 'Gewichts- Calculator'!$D$130,"")),"")))</f>
        <v/>
      </c>
      <c r="K61" s="670">
        <v>3</v>
      </c>
      <c r="L61" s="671">
        <f>IF(ISNA(IF($K61=0,"0",IF(VLOOKUP($A61,Übungsübersicht!$E$7:$K$83,4,FALSE)&lt;1,"RPE 8",VLOOKUP($A61,Übungsübersicht!$E$7:$K$83,4,FALSE)))),"Übung?",IF($K61=0,"0",IF(VLOOKUP($A61,Übungsübersicht!$E$7:$K$83,4,FALSE)&lt;1,"RPE 8",VLOOKUP($A61,Übungsübersicht!$E$7:$K$83,4,FALSE))))</f>
        <v>6</v>
      </c>
      <c r="M61" s="674">
        <v>45</v>
      </c>
      <c r="N61" s="598" t="str">
        <f>IF('Gewichts- Calculator'!$D$127="EINGEBEN","",(IF('Gewichts- Calculator'!$C$134="Ja Anzeigen",(IF($A61='Gewichts- Calculator'!$C$8," &gt;"&amp;'Gewichts- Calculator'!$D$127&amp;"  &gt; "&amp; 'Gewichts- Calculator'!$D$130,"")),"")))</f>
        <v/>
      </c>
      <c r="O61" s="670">
        <v>4</v>
      </c>
      <c r="P61" s="671">
        <f>IF(ISNA(IF($O61=0,"0",IF(VLOOKUP($A61,Übungsübersicht!$E$7:$K$83,5,FALSE)&lt;1,"RPE 9",VLOOKUP($A61,Übungsübersicht!$E$7:$K$83,5,FALSE)))),"Übung?",IF($O61=0,"0",IF(VLOOKUP($A61,Übungsübersicht!$E$7:$K$83,5,FALSE)&lt;1,"RPE 9",VLOOKUP($A61,Übungsübersicht!$E$7:$K$83,5,FALSE))))</f>
        <v>6</v>
      </c>
      <c r="Q61" s="675">
        <v>45</v>
      </c>
      <c r="R61" s="598" t="str">
        <f>IF('Gewichts- Calculator'!$F$127="EINGEBEN","",(IF('Gewichts- Calculator'!$C$134="Ja Anzeigen",(IF($A61='Gewichts- Calculator'!$C$8," &gt;"&amp;'Gewichts- Calculator'!$F$127&amp;"  &gt; "&amp; 'Gewichts- Calculator'!$F$130,"")),"")))</f>
        <v/>
      </c>
      <c r="S61" s="670">
        <v>2</v>
      </c>
      <c r="T61" s="671">
        <f>IF(ISNA(IF($S61=0,"0",IF(VLOOKUP($A61,Übungsübersicht!$E$7:$K$83,4,FALSE)&lt;1,"RPE 6",VLOOKUP($A61,Übungsübersicht!$E$7:$K$83,4,FALSE)))),"Übung?",IF($S61=0,"0",IF(VLOOKUP($A61,Übungsübersicht!$E$7:$K$83,4,FALSE)&lt;1,"RPE 6",VLOOKUP($A61,Übungsübersicht!$E$7:$K$83,4,FALSE))))</f>
        <v>6</v>
      </c>
      <c r="U61" s="674" cm="1">
        <f t="array" ref="U61">IFERROR((IF(ISNA(IF((IF(VLOOKUP($A61,Übungsübersicht!$E$6:$K$82,7,FALSE)="OK",(MROUND(((INDEX($A$1:$U$68,(ROW(U61)),17))*$T$97),(((IF(VLOOKUP($A61,Übungsübersicht!$E$6:$K$82,3,FALSE)=0,0.1,(VLOOKUP($A61,Übungsübersicht!$E$6:$K$82,3,FALSE)))))))),IF(VLOOKUP($A61,Übungsübersicht!$E$6:$K$82,7,FALSE)="UK",(MROUND(((INDEX($A$1:$U$68,(ROW(U61)),17))*$T$98),(((IF(VLOOKUP($A61,Übungsübersicht!$E$6:$K$82,3,FALSE)=0,0.1,(VLOOKUP($A61,Übungsübersicht!$E$6:$K$82,3,FALSE)))))))),"Übung OK/UK?")))&lt;3,"RPE 6",(IF(VLOOKUP($A61,Übungsübersicht!$E$6:$K$82,7,FALSE)="OK",(MROUND(((INDEX($A$1:$U$68,(ROW(U61)),17))*$T$97),(((IF(VLOOKUP($A61,Übungsübersicht!$E$6:$K$82,3,FALSE)=0,0.1,(VLOOKUP($A61,Übungsübersicht!$E$6:$K$82,3,FALSE)))))))),IF(VLOOKUP($A61,Übungsübersicht!$E$6:$K$82,7,FALSE)="UK",(MROUND(((INDEX($A$1:$U$68,(ROW(U61)),17))*$T$98),(((IF(VLOOKUP($A61,Übungsübersicht!$E$6:$K$82,3,FALSE)=0,0.1,(VLOOKUP($A61,Übungsübersicht!$E$6:$K$82,3,FALSE)))))))),"Übung OK/UK?"))))),"Übung?",IF((IF(VLOOKUP($A61,Übungsübersicht!$E$6:$K$82,7,FALSE)="OK",(MROUND(((INDEX($A$1:$U$68,(ROW(U61)),17))*$T$97),(((IF(VLOOKUP($A61,Übungsübersicht!$E$6:$K$82,3,FALSE)=0,0.1,(VLOOKUP($A61,Übungsübersicht!$E$6:$K$82,3,FALSE)))))))),IF(VLOOKUP($A61,Übungsübersicht!$E$6:$K$82,7,FALSE)="UK",(MROUND(((INDEX($A$1:$U$68,(ROW(U61)),17))*$T$98),(((IF(VLOOKUP($A61,Übungsübersicht!$E$6:$K$82,3,FALSE)=0,0.1,(VLOOKUP($A61,Übungsübersicht!$E$6:$K$82,3,FALSE)))))))),"Übung OK/UK?")))&lt;3,"RPE 6",(IF(VLOOKUP($A61,Übungsübersicht!$E$6:$K$82,7,FALSE)="OK",(MROUND(((INDEX($A$1:$U$68,(ROW(U61)),17))*$T$97),(((IF(VLOOKUP($A61,Übungsübersicht!$E$6:$K$82,3,FALSE)=0,0.1,(VLOOKUP($A61,Übungsübersicht!$E$6:$K$82,3,FALSE)))))))),IF(VLOOKUP($A61,Übungsübersicht!$E$6:$K$82,7,FALSE)="UK",(MROUND(((INDEX($A$1:$U$68,(ROW(U61)),17))*$T$98),(((IF(VLOOKUP($A61,Übungsübersicht!$E$6:$K$82,3,FALSE)=0,0.1,(VLOOKUP($A61,Übungsübersicht!$E$6:$K$82,3,FALSE)))))))),"Übung OK/UK?")))))),"RPE 6")</f>
        <v>32.5</v>
      </c>
    </row>
    <row r="62" spans="1:25" ht="26.1" customHeight="1" thickTop="1" thickBot="1">
      <c r="A62" s="668" t="s">
        <v>40</v>
      </c>
      <c r="B62" s="669" t="str">
        <f>IF(ISNA(IF(ISBLANK(VLOOKUP($A62,Übungsübersicht!$E$8:$F$83,2,FALSE)),"Muskelgruppe Auswählen",VLOOKUP($A62,Übungsübersicht!$E$8:$F$83,2,FALSE))),"Übung?",IF(ISBLANK(VLOOKUP($A62,Übungsübersicht!$E$8:$F$83,2,FALSE)),"Muskelgruppe Auswählen",VLOOKUP($A62,Übungsübersicht!$E$8:$F$83,2,FALSE)))</f>
        <v>Trizeps</v>
      </c>
      <c r="C62" s="670">
        <v>2</v>
      </c>
      <c r="D62" s="671">
        <f>IF(ISNA(IF($C62=0,"0",IF(VLOOKUP($A62,Übungsübersicht!$E$7:$K$83,4,FALSE)&lt;1,"RPE 7",VLOOKUP($A62,Übungsübersicht!$E$7:$K$83,4,FALSE)))),"Übung?",IF($C62=0,"0",IF(VLOOKUP($A62,Übungsübersicht!$E$7:$K$83,4,FALSE)&lt;1,"RPE 7",VLOOKUP($A62,Übungsübersicht!$E$7:$K$83,4,FALSE))))</f>
        <v>12</v>
      </c>
      <c r="E62" s="672" cm="1">
        <f t="array" ref="E62">IF(IFERROR((IF(ISNA(IF((IF(VLOOKUP($A62,Übungsübersicht!$E$6:$K$82,7,FALSE)="OK",(MROUND(((INDEX($A$1:$U$68,(ROW(E62)),17))*$Q$97),(((IF(VLOOKUP($A62,Übungsübersicht!$E$6:$K$82,3,FALSE)=0,0.1,(VLOOKUP($A62,Übungsübersicht!$E$6:$K$82,3,FALSE)))))))),IF(VLOOKUP($A62,Übungsübersicht!$E$6:$K$82,7,FALSE)="UK",(MROUND(((INDEX($A$1:$U$68,(ROW(E62)),17))*$Q$98),(((IF(VLOOKUP($A62,Übungsübersicht!$E$6:$K$82,3,FALSE)=0,0.1,(VLOOKUP($A62,Übungsübersicht!$E$6:$K$82,3,FALSE)))))))),"Übung OK/UK?")))&lt;3,"RPE 7",(IF(VLOOKUP($A62,Übungsübersicht!$E$6:$K$82,7,FALSE)="OK",(MROUND(((INDEX($A$1:$U$68,(ROW(E62)),17))*$Q$97),(((IF(VLOOKUP($A62,Übungsübersicht!$E$6:$K$82,3,FALSE)=0,0.1,(VLOOKUP($A62,Übungsübersicht!$E$6:$K$82,3,FALSE)))))))),IF(VLOOKUP($A62,Übungsübersicht!$E$6:$K$82,7,FALSE)="UK",(MROUND(((INDEX($A$1:$U$68,(ROW(E62)),17))*$Q$98),(((IF(VLOOKUP($A62,Übungsübersicht!$E$6:$K$82,3,FALSE)=0,0.1,(VLOOKUP($A62,Übungsübersicht!$E$6:$K$82,3,FALSE)))))))),"Übung OK/UK?"))))),"Übung?",IF((IF(VLOOKUP($A62,Übungsübersicht!$E$6:$K$82,7,FALSE)="OK",(MROUND(((INDEX($A$1:$U$68,(ROW(E62)),17))*$Q$97),(((IF(VLOOKUP($A62,Übungsübersicht!$E$6:$K$82,3,FALSE)=0,0.1,(VLOOKUP($A62,Übungsübersicht!$E$6:$K$82,3,FALSE)))))))),IF(VLOOKUP($A62,Übungsübersicht!$E$6:$K$82,7,FALSE)="UK",(MROUND(((INDEX($A$1:$U$68,(ROW(E62)),17))*$Q$98),(((IF(VLOOKUP($A62,Übungsübersicht!$E$6:$K$82,3,FALSE)=0,0.1,(VLOOKUP($A62,Übungsübersicht!$E$6:$K$82,3,FALSE)))))))),"Übung OK/UK?")))&lt;3,"RPE 7",(IF(VLOOKUP($A62,Übungsübersicht!$E$6:$K$82,7,FALSE)="OK",(MROUND(((INDEX($A$1:$U$68,(ROW(E62)),17))*$Q$97),(((IF(VLOOKUP($A62,Übungsübersicht!$E$6:$K$82,3,FALSE)=0,0.1,(VLOOKUP($A62,Übungsübersicht!$E$6:$K$82,3,FALSE)))))))),IF(VLOOKUP($A62,Übungsübersicht!$E$6:$K$82,7,FALSE)="UK",(MROUND(((INDEX($A$1:$U$68,(ROW(E62)),17))*$Q$98),(((IF(VLOOKUP($A62,Übungsübersicht!$E$6:$K$82,3,FALSE)=0,0.1,(VLOOKUP($A62,Übungsübersicht!$E$6:$K$82,3,FALSE)))))))),"Übung OK/UK?")))))),"RPE 6")=(INDEX($A$1:$U$68,(ROW(E62)),17)),(IFERROR((IF(ISNA(IF(INDEX($A$1:$U$68,(ROW(E62)),17)-(IF(VLOOKUP($A62,Übungsübersicht!$E$6:$K$82,3,FALSE)&lt;=0.5,0,(VLOOKUP($A62,Übungsübersicht!$E$6:$K$82,3,FALSE))))&lt;3,"RPE 7",INDEX($A$1:$U$68,(ROW(E62)),17)-(IF(VLOOKUP($A62,Übungsübersicht!$E$6:$K$82,3,FALSE)&lt;=0.5,0,(VLOOKUP($A62,Übungsübersicht!$E$6:$K$82,3,FALSE)))))),"Übung?",IF(INDEX($A$1:$U$68,(ROW(E62)),17)-(IF(VLOOKUP($A62,Übungsübersicht!$E$6:$K$82,3,FALSE)&lt;=0.5,0,(VLOOKUP($A62,Übungsübersicht!$E$6:$K$82,3,FALSE))))&lt;3,"RPE 7",INDEX($A$1:$U$68,(ROW(E62)),17)-(IF(VLOOKUP($A62,Übungsübersicht!$E$6:$K$82,3,FALSE)&lt;=0.5,0,(VLOOKUP($A62,Übungsübersicht!$E$6:$K$82,3,FALSE))))))),"RPE 7")),(IFERROR((IF(ISNA(IF((IF(VLOOKUP($A62,Übungsübersicht!$E$6:$K$82,7,FALSE)="OK",(MROUND(((INDEX($A$1:$U$68,(ROW(E62)),17))*$Q$97),(((IF(VLOOKUP($A62,Übungsübersicht!$E$6:$K$82,3,FALSE)=0,0.1,(VLOOKUP($A62,Übungsübersicht!$E$6:$K$82,3,FALSE)))))))),IF(VLOOKUP($A62,Übungsübersicht!$E$6:$K$82,7,FALSE)="UK",(MROUND(((INDEX($A$1:$U$68,(ROW(E62)),17))*$Q$98),(((IF(VLOOKUP($A62,Übungsübersicht!$E$6:$K$82,3,FALSE)=0,0.1,(VLOOKUP($A62,Übungsübersicht!$E$6:$K$82,3,FALSE)))))))),"Übung OK/UK?")))&lt;3,"RPE 7",(IF(VLOOKUP($A62,Übungsübersicht!$E$6:$K$82,7,FALSE)="OK",(MROUND(((INDEX($A$1:$U$68,(ROW(E62)),17))*$Q$97),(((IF(VLOOKUP($A62,Übungsübersicht!$E$6:$K$82,3,FALSE)=0,0.1,(VLOOKUP($A62,Übungsübersicht!$E$6:$K$82,3,FALSE)))))))),IF(VLOOKUP($A62,Übungsübersicht!$E$6:$K$82,7,FALSE)="UK",(MROUND(((INDEX($A$1:$U$68,(ROW(E62)),17))*$Q$98),(((IF(VLOOKUP($A62,Übungsübersicht!$E$6:$K$82,3,FALSE)=0,0.1,(VLOOKUP($A62,Übungsübersicht!$E$6:$K$82,3,FALSE)))))))),"Übung OK/UK?"))))),"Übung?",IF((IF(VLOOKUP($A62,Übungsübersicht!$E$6:$K$82,7,FALSE)="OK",(MROUND(((INDEX($A$1:$U$68,(ROW(E62)),17))*$Q$97),(((IF(VLOOKUP($A62,Übungsübersicht!$E$6:$K$82,3,FALSE)=0,0.1,(VLOOKUP($A62,Übungsübersicht!$E$6:$K$82,3,FALSE)))))))),IF(VLOOKUP($A62,Übungsübersicht!$E$6:$K$82,7,FALSE)="UK",(MROUND(((INDEX($A$1:$U$68,(ROW(E62)),17))*$Q$98),(((IF(VLOOKUP($A62,Übungsübersicht!$E$6:$K$82,3,FALSE)=0,0.1,(VLOOKUP($A62,Übungsübersicht!$E$6:$K$82,3,FALSE)))))))),"Übung OK/UK?")))&lt;3,"RPE 6",(IF(VLOOKUP($A62,Übungsübersicht!$E$6:$K$82,7,FALSE)="OK",(MROUND(((INDEX($A$1:$U$68,(ROW(E62)),17))*$Q$97),(((IF(VLOOKUP($A62,Übungsübersicht!$E$6:$K$82,3,FALSE)=0,0.1,(VLOOKUP($A62,Übungsübersicht!$E$6:$K$82,3,FALSE)))))))),IF(VLOOKUP($A62,Übungsübersicht!$E$6:$K$82,7,FALSE)="UK",(MROUND(((INDEX($A$1:$U$68,(ROW(E62)),17))*$Q$98),(((IF(VLOOKUP($A62,Übungsübersicht!$E$6:$K$82,3,FALSE)=0,0.1,(VLOOKUP($A62,Übungsübersicht!$E$6:$K$82,3,FALSE)))))))),"Übung OK/UK?")))))),"RPE 7")))</f>
        <v>17.5</v>
      </c>
      <c r="F62" s="598" t="str">
        <f>IF('Gewichts- Calculator'!$B$127="EINGEBEN","",(IF('Gewichts- Calculator'!$C$134="Ja Anzeigen",(IF($A62='Gewichts- Calculator'!$C$8," &gt;"&amp;'Gewichts- Calculator'!$B$127&amp;"  &gt; "&amp; 'Gewichts- Calculator'!$B$130,"")),"")))</f>
        <v/>
      </c>
      <c r="G62" s="670">
        <v>4</v>
      </c>
      <c r="H62" s="671">
        <f>IF(ISNA(IF($G62=0,"0",IF(VLOOKUP($A62,Übungsübersicht!$E$7:$K$83,4,FALSE)&lt;1,"RPE 8",VLOOKUP($A62,Übungsübersicht!$E$7:$K$83,4,FALSE)))),"Übung?",IF($G62=0,"0",IF(VLOOKUP($A62,Übungsübersicht!$E$7:$K$83,4,FALSE)&lt;1,"RPE 8",VLOOKUP($A62,Übungsübersicht!$E$7:$K$83,4,FALSE))))</f>
        <v>12</v>
      </c>
      <c r="I62" s="673">
        <v>20</v>
      </c>
      <c r="J62" s="598" t="str">
        <f>IF('Gewichts- Calculator'!$D$127="EINGEBEN","",(IF('Gewichts- Calculator'!$C$134="Ja Anzeigen",(IF($A62='Gewichts- Calculator'!$C$8," &gt;"&amp;'Gewichts- Calculator'!$D$127&amp;"  &gt; "&amp; 'Gewichts- Calculator'!$D$130,"")),"")))</f>
        <v/>
      </c>
      <c r="K62" s="670">
        <v>4</v>
      </c>
      <c r="L62" s="671">
        <f>IF(ISNA(IF($K62=0,"0",IF(VLOOKUP($A62,Übungsübersicht!$E$7:$K$83,4,FALSE)&lt;1,"RPE 8",VLOOKUP($A62,Übungsübersicht!$E$7:$K$83,4,FALSE)))),"Übung?",IF($K62=0,"0",IF(VLOOKUP($A62,Übungsübersicht!$E$7:$K$83,4,FALSE)&lt;1,"RPE 8",VLOOKUP($A62,Übungsübersicht!$E$7:$K$83,4,FALSE))))</f>
        <v>12</v>
      </c>
      <c r="M62" s="674">
        <v>20</v>
      </c>
      <c r="N62" s="598" t="str">
        <f>IF('Gewichts- Calculator'!$D$127="EINGEBEN","",(IF('Gewichts- Calculator'!$C$134="Ja Anzeigen",(IF($A62='Gewichts- Calculator'!$C$8," &gt;"&amp;'Gewichts- Calculator'!$D$127&amp;"  &gt; "&amp; 'Gewichts- Calculator'!$D$130,"")),"")))</f>
        <v/>
      </c>
      <c r="O62" s="670">
        <v>5</v>
      </c>
      <c r="P62" s="671">
        <f>IF(ISNA(IF($O62=0,"0",IF(VLOOKUP($A62,Übungsübersicht!$E$7:$K$83,5,FALSE)&lt;1,"RPE 9",VLOOKUP($A62,Übungsübersicht!$E$7:$K$83,5,FALSE)))),"Übung?",IF($O62=0,"0",IF(VLOOKUP($A62,Übungsübersicht!$E$7:$K$83,5,FALSE)&lt;1,"RPE 9",VLOOKUP($A62,Übungsübersicht!$E$7:$K$83,5,FALSE))))</f>
        <v>12</v>
      </c>
      <c r="Q62" s="675">
        <v>20</v>
      </c>
      <c r="R62" s="598" t="str">
        <f>IF('Gewichts- Calculator'!$F$127="EINGEBEN","",(IF('Gewichts- Calculator'!$C$134="Ja Anzeigen",(IF($A62='Gewichts- Calculator'!$C$8," &gt;"&amp;'Gewichts- Calculator'!$F$127&amp;"  &gt; "&amp; 'Gewichts- Calculator'!$F$130,"")),"")))</f>
        <v/>
      </c>
      <c r="S62" s="670">
        <v>3</v>
      </c>
      <c r="T62" s="671">
        <f>IF(ISNA(IF($S62=0,"0",IF(VLOOKUP($A62,Übungsübersicht!$E$7:$K$83,4,FALSE)&lt;1,"RPE 6",VLOOKUP($A62,Übungsübersicht!$E$7:$K$83,4,FALSE)))),"Übung?",IF($S62=0,"0",IF(VLOOKUP($A62,Übungsübersicht!$E$7:$K$83,4,FALSE)&lt;1,"RPE 6",VLOOKUP($A62,Übungsübersicht!$E$7:$K$83,4,FALSE))))</f>
        <v>12</v>
      </c>
      <c r="U62" s="674" cm="1">
        <f t="array" ref="U62">IFERROR((IF(ISNA(IF((IF(VLOOKUP($A62,Übungsübersicht!$E$6:$K$82,7,FALSE)="OK",(MROUND(((INDEX($A$1:$U$68,(ROW(U62)),17))*$T$97),(((IF(VLOOKUP($A62,Übungsübersicht!$E$6:$K$82,3,FALSE)=0,0.1,(VLOOKUP($A62,Übungsübersicht!$E$6:$K$82,3,FALSE)))))))),IF(VLOOKUP($A62,Übungsübersicht!$E$6:$K$82,7,FALSE)="UK",(MROUND(((INDEX($A$1:$U$68,(ROW(U62)),17))*$T$98),(((IF(VLOOKUP($A62,Übungsübersicht!$E$6:$K$82,3,FALSE)=0,0.1,(VLOOKUP($A62,Übungsübersicht!$E$6:$K$82,3,FALSE)))))))),"Übung OK/UK?")))&lt;3,"RPE 6",(IF(VLOOKUP($A62,Übungsübersicht!$E$6:$K$82,7,FALSE)="OK",(MROUND(((INDEX($A$1:$U$68,(ROW(U62)),17))*$T$97),(((IF(VLOOKUP($A62,Übungsübersicht!$E$6:$K$82,3,FALSE)=0,0.1,(VLOOKUP($A62,Übungsübersicht!$E$6:$K$82,3,FALSE)))))))),IF(VLOOKUP($A62,Übungsübersicht!$E$6:$K$82,7,FALSE)="UK",(MROUND(((INDEX($A$1:$U$68,(ROW(U62)),17))*$T$98),(((IF(VLOOKUP($A62,Übungsübersicht!$E$6:$K$82,3,FALSE)=0,0.1,(VLOOKUP($A62,Übungsübersicht!$E$6:$K$82,3,FALSE)))))))),"Übung OK/UK?"))))),"Übung?",IF((IF(VLOOKUP($A62,Übungsübersicht!$E$6:$K$82,7,FALSE)="OK",(MROUND(((INDEX($A$1:$U$68,(ROW(U62)),17))*$T$97),(((IF(VLOOKUP($A62,Übungsübersicht!$E$6:$K$82,3,FALSE)=0,0.1,(VLOOKUP($A62,Übungsübersicht!$E$6:$K$82,3,FALSE)))))))),IF(VLOOKUP($A62,Übungsübersicht!$E$6:$K$82,7,FALSE)="UK",(MROUND(((INDEX($A$1:$U$68,(ROW(U62)),17))*$T$98),(((IF(VLOOKUP($A62,Übungsübersicht!$E$6:$K$82,3,FALSE)=0,0.1,(VLOOKUP($A62,Übungsübersicht!$E$6:$K$82,3,FALSE)))))))),"Übung OK/UK?")))&lt;3,"RPE 6",(IF(VLOOKUP($A62,Übungsübersicht!$E$6:$K$82,7,FALSE)="OK",(MROUND(((INDEX($A$1:$U$68,(ROW(U62)),17))*$T$97),(((IF(VLOOKUP($A62,Übungsübersicht!$E$6:$K$82,3,FALSE)=0,0.1,(VLOOKUP($A62,Übungsübersicht!$E$6:$K$82,3,FALSE)))))))),IF(VLOOKUP($A62,Übungsübersicht!$E$6:$K$82,7,FALSE)="UK",(MROUND(((INDEX($A$1:$U$68,(ROW(U62)),17))*$T$98),(((IF(VLOOKUP($A62,Übungsübersicht!$E$6:$K$82,3,FALSE)=0,0.1,(VLOOKUP($A62,Übungsübersicht!$E$6:$K$82,3,FALSE)))))))),"Übung OK/UK?")))))),"RPE 6")</f>
        <v>15</v>
      </c>
    </row>
    <row r="63" spans="1:25" ht="26.1" customHeight="1" thickTop="1" thickBot="1">
      <c r="A63" s="668" t="s">
        <v>149</v>
      </c>
      <c r="B63" s="669" t="str">
        <f>IF(ISNA(IF(ISBLANK(VLOOKUP($A63,Übungsübersicht!$E$8:$F$83,2,FALSE)),"Muskelgruppe Auswählen",VLOOKUP($A63,Übungsübersicht!$E$8:$F$83,2,FALSE))),"Übung?",IF(ISBLANK(VLOOKUP($A63,Übungsübersicht!$E$8:$F$83,2,FALSE)),"Muskelgruppe Auswählen",VLOOKUP($A63,Übungsübersicht!$E$8:$F$83,2,FALSE)))</f>
        <v>Bizeps</v>
      </c>
      <c r="C63" s="670">
        <v>2</v>
      </c>
      <c r="D63" s="671">
        <f>IF(ISNA(IF($C63=0,"0",IF(VLOOKUP($A63,Übungsübersicht!$E$7:$K$83,4,FALSE)&lt;1,"RPE 7",VLOOKUP($A63,Übungsübersicht!$E$7:$K$83,4,FALSE)))),"Übung?",IF($C63=0,"0",IF(VLOOKUP($A63,Übungsübersicht!$E$7:$K$83,4,FALSE)&lt;1,"RPE 7",VLOOKUP($A63,Übungsübersicht!$E$7:$K$83,4,FALSE))))</f>
        <v>12</v>
      </c>
      <c r="E63" s="672" t="str" cm="1">
        <f t="array" ref="E63">IF(IFERROR((IF(ISNA(IF((IF(VLOOKUP($A63,Übungsübersicht!$E$6:$K$82,7,FALSE)="OK",(MROUND(((INDEX($A$1:$U$68,(ROW(E63)),17))*$Q$97),(((IF(VLOOKUP($A63,Übungsübersicht!$E$6:$K$82,3,FALSE)=0,0.1,(VLOOKUP($A63,Übungsübersicht!$E$6:$K$82,3,FALSE)))))))),IF(VLOOKUP($A63,Übungsübersicht!$E$6:$K$82,7,FALSE)="UK",(MROUND(((INDEX($A$1:$U$68,(ROW(E63)),17))*$Q$98),(((IF(VLOOKUP($A63,Übungsübersicht!$E$6:$K$82,3,FALSE)=0,0.1,(VLOOKUP($A63,Übungsübersicht!$E$6:$K$82,3,FALSE)))))))),"Übung OK/UK?")))&lt;3,"RPE 7",(IF(VLOOKUP($A63,Übungsübersicht!$E$6:$K$82,7,FALSE)="OK",(MROUND(((INDEX($A$1:$U$68,(ROW(E63)),17))*$Q$97),(((IF(VLOOKUP($A63,Übungsübersicht!$E$6:$K$82,3,FALSE)=0,0.1,(VLOOKUP($A63,Übungsübersicht!$E$6:$K$82,3,FALSE)))))))),IF(VLOOKUP($A63,Übungsübersicht!$E$6:$K$82,7,FALSE)="UK",(MROUND(((INDEX($A$1:$U$68,(ROW(E63)),17))*$Q$98),(((IF(VLOOKUP($A63,Übungsübersicht!$E$6:$K$82,3,FALSE)=0,0.1,(VLOOKUP($A63,Übungsübersicht!$E$6:$K$82,3,FALSE)))))))),"Übung OK/UK?"))))),"Übung?",IF((IF(VLOOKUP($A63,Übungsübersicht!$E$6:$K$82,7,FALSE)="OK",(MROUND(((INDEX($A$1:$U$68,(ROW(E63)),17))*$Q$97),(((IF(VLOOKUP($A63,Übungsübersicht!$E$6:$K$82,3,FALSE)=0,0.1,(VLOOKUP($A63,Übungsübersicht!$E$6:$K$82,3,FALSE)))))))),IF(VLOOKUP($A63,Übungsübersicht!$E$6:$K$82,7,FALSE)="UK",(MROUND(((INDEX($A$1:$U$68,(ROW(E63)),17))*$Q$98),(((IF(VLOOKUP($A63,Übungsübersicht!$E$6:$K$82,3,FALSE)=0,0.1,(VLOOKUP($A63,Übungsübersicht!$E$6:$K$82,3,FALSE)))))))),"Übung OK/UK?")))&lt;3,"RPE 7",(IF(VLOOKUP($A63,Übungsübersicht!$E$6:$K$82,7,FALSE)="OK",(MROUND(((INDEX($A$1:$U$68,(ROW(E63)),17))*$Q$97),(((IF(VLOOKUP($A63,Übungsübersicht!$E$6:$K$82,3,FALSE)=0,0.1,(VLOOKUP($A63,Übungsübersicht!$E$6:$K$82,3,FALSE)))))))),IF(VLOOKUP($A63,Übungsübersicht!$E$6:$K$82,7,FALSE)="UK",(MROUND(((INDEX($A$1:$U$68,(ROW(E63)),17))*$Q$98),(((IF(VLOOKUP($A63,Übungsübersicht!$E$6:$K$82,3,FALSE)=0,0.1,(VLOOKUP($A63,Übungsübersicht!$E$6:$K$82,3,FALSE)))))))),"Übung OK/UK?")))))),"RPE 6")=(INDEX($A$1:$U$68,(ROW(E63)),17)),(IFERROR((IF(ISNA(IF(INDEX($A$1:$U$68,(ROW(E63)),17)-(IF(VLOOKUP($A63,Übungsübersicht!$E$6:$K$82,3,FALSE)&lt;=0.5,0,(VLOOKUP($A63,Übungsübersicht!$E$6:$K$82,3,FALSE))))&lt;3,"RPE 7",INDEX($A$1:$U$68,(ROW(E63)),17)-(IF(VLOOKUP($A63,Übungsübersicht!$E$6:$K$82,3,FALSE)&lt;=0.5,0,(VLOOKUP($A63,Übungsübersicht!$E$6:$K$82,3,FALSE)))))),"Übung?",IF(INDEX($A$1:$U$68,(ROW(E63)),17)-(IF(VLOOKUP($A63,Übungsübersicht!$E$6:$K$82,3,FALSE)&lt;=0.5,0,(VLOOKUP($A63,Übungsübersicht!$E$6:$K$82,3,FALSE))))&lt;3,"RPE 7",INDEX($A$1:$U$68,(ROW(E63)),17)-(IF(VLOOKUP($A63,Übungsübersicht!$E$6:$K$82,3,FALSE)&lt;=0.5,0,(VLOOKUP($A63,Übungsübersicht!$E$6:$K$82,3,FALSE))))))),"RPE 7")),(IFERROR((IF(ISNA(IF((IF(VLOOKUP($A63,Übungsübersicht!$E$6:$K$82,7,FALSE)="OK",(MROUND(((INDEX($A$1:$U$68,(ROW(E63)),17))*$Q$97),(((IF(VLOOKUP($A63,Übungsübersicht!$E$6:$K$82,3,FALSE)=0,0.1,(VLOOKUP($A63,Übungsübersicht!$E$6:$K$82,3,FALSE)))))))),IF(VLOOKUP($A63,Übungsübersicht!$E$6:$K$82,7,FALSE)="UK",(MROUND(((INDEX($A$1:$U$68,(ROW(E63)),17))*$Q$98),(((IF(VLOOKUP($A63,Übungsübersicht!$E$6:$K$82,3,FALSE)=0,0.1,(VLOOKUP($A63,Übungsübersicht!$E$6:$K$82,3,FALSE)))))))),"Übung OK/UK?")))&lt;3,"RPE 7",(IF(VLOOKUP($A63,Übungsübersicht!$E$6:$K$82,7,FALSE)="OK",(MROUND(((INDEX($A$1:$U$68,(ROW(E63)),17))*$Q$97),(((IF(VLOOKUP($A63,Übungsübersicht!$E$6:$K$82,3,FALSE)=0,0.1,(VLOOKUP($A63,Übungsübersicht!$E$6:$K$82,3,FALSE)))))))),IF(VLOOKUP($A63,Übungsübersicht!$E$6:$K$82,7,FALSE)="UK",(MROUND(((INDEX($A$1:$U$68,(ROW(E63)),17))*$Q$98),(((IF(VLOOKUP($A63,Übungsübersicht!$E$6:$K$82,3,FALSE)=0,0.1,(VLOOKUP($A63,Übungsübersicht!$E$6:$K$82,3,FALSE)))))))),"Übung OK/UK?"))))),"Übung?",IF((IF(VLOOKUP($A63,Übungsübersicht!$E$6:$K$82,7,FALSE)="OK",(MROUND(((INDEX($A$1:$U$68,(ROW(E63)),17))*$Q$97),(((IF(VLOOKUP($A63,Übungsübersicht!$E$6:$K$82,3,FALSE)=0,0.1,(VLOOKUP($A63,Übungsübersicht!$E$6:$K$82,3,FALSE)))))))),IF(VLOOKUP($A63,Übungsübersicht!$E$6:$K$82,7,FALSE)="UK",(MROUND(((INDEX($A$1:$U$68,(ROW(E63)),17))*$Q$98),(((IF(VLOOKUP($A63,Übungsübersicht!$E$6:$K$82,3,FALSE)=0,0.1,(VLOOKUP($A63,Übungsübersicht!$E$6:$K$82,3,FALSE)))))))),"Übung OK/UK?")))&lt;3,"RPE 6",(IF(VLOOKUP($A63,Übungsübersicht!$E$6:$K$82,7,FALSE)="OK",(MROUND(((INDEX($A$1:$U$68,(ROW(E63)),17))*$Q$97),(((IF(VLOOKUP($A63,Übungsübersicht!$E$6:$K$82,3,FALSE)=0,0.1,(VLOOKUP($A63,Übungsübersicht!$E$6:$K$82,3,FALSE)))))))),IF(VLOOKUP($A63,Übungsübersicht!$E$6:$K$82,7,FALSE)="UK",(MROUND(((INDEX($A$1:$U$68,(ROW(E63)),17))*$Q$98),(((IF(VLOOKUP($A63,Übungsübersicht!$E$6:$K$82,3,FALSE)=0,0.1,(VLOOKUP($A63,Übungsübersicht!$E$6:$K$82,3,FALSE)))))))),"Übung OK/UK?")))))),"RPE 7")))</f>
        <v>RPE 7</v>
      </c>
      <c r="F63" s="598" t="str">
        <f>IF('Gewichts- Calculator'!$B$127="EINGEBEN","",(IF('Gewichts- Calculator'!$C$134="Ja Anzeigen",(IF($A63='Gewichts- Calculator'!$C$8," &gt;"&amp;'Gewichts- Calculator'!$B$127&amp;"  &gt; "&amp; 'Gewichts- Calculator'!$B$130,"")),"")))</f>
        <v/>
      </c>
      <c r="G63" s="670">
        <v>3</v>
      </c>
      <c r="H63" s="671">
        <f>IF(ISNA(IF($G63=0,"0",IF(VLOOKUP($A63,Übungsübersicht!$E$7:$K$83,4,FALSE)&lt;1,"RPE 8",VLOOKUP($A63,Übungsübersicht!$E$7:$K$83,4,FALSE)))),"Übung?",IF($G63=0,"0",IF(VLOOKUP($A63,Übungsübersicht!$E$7:$K$83,4,FALSE)&lt;1,"RPE 8",VLOOKUP($A63,Übungsübersicht!$E$7:$K$83,4,FALSE))))</f>
        <v>12</v>
      </c>
      <c r="I63" s="673">
        <v>0</v>
      </c>
      <c r="J63" s="598" t="str">
        <f>IF('Gewichts- Calculator'!$D$127="EINGEBEN","",(IF('Gewichts- Calculator'!$C$134="Ja Anzeigen",(IF($A63='Gewichts- Calculator'!$C$8," &gt;"&amp;'Gewichts- Calculator'!$D$127&amp;"  &gt; "&amp; 'Gewichts- Calculator'!$D$130,"")),"")))</f>
        <v/>
      </c>
      <c r="K63" s="670">
        <v>3</v>
      </c>
      <c r="L63" s="671">
        <f>IF(ISNA(IF($K63=0,"0",IF(VLOOKUP($A63,Übungsübersicht!$E$7:$K$83,4,FALSE)&lt;1,"RPE 8",VLOOKUP($A63,Übungsübersicht!$E$7:$K$83,4,FALSE)))),"Übung?",IF($K63=0,"0",IF(VLOOKUP($A63,Übungsübersicht!$E$7:$K$83,4,FALSE)&lt;1,"RPE 8",VLOOKUP($A63,Übungsübersicht!$E$7:$K$83,4,FALSE))))</f>
        <v>12</v>
      </c>
      <c r="M63" s="674" t="s">
        <v>360</v>
      </c>
      <c r="N63" s="598" t="str">
        <f>IF('Gewichts- Calculator'!$D$127="EINGEBEN","",(IF('Gewichts- Calculator'!$C$134="Ja Anzeigen",(IF($A63='Gewichts- Calculator'!$C$8," &gt;"&amp;'Gewichts- Calculator'!$D$127&amp;"  &gt; "&amp; 'Gewichts- Calculator'!$D$130,"")),"")))</f>
        <v/>
      </c>
      <c r="O63" s="670">
        <v>5</v>
      </c>
      <c r="P63" s="671">
        <f>IF(ISNA(IF($O63=0,"0",IF(VLOOKUP($A63,Übungsübersicht!$E$7:$K$83,5,FALSE)&lt;1,"RPE 9",VLOOKUP($A63,Übungsübersicht!$E$7:$K$83,5,FALSE)))),"Übung?",IF($O63=0,"0",IF(VLOOKUP($A63,Übungsübersicht!$E$7:$K$83,5,FALSE)&lt;1,"RPE 9",VLOOKUP($A63,Übungsübersicht!$E$7:$K$83,5,FALSE))))</f>
        <v>12</v>
      </c>
      <c r="Q63" s="675" t="s">
        <v>361</v>
      </c>
      <c r="R63" s="598" t="str">
        <f>IF('Gewichts- Calculator'!$F$127="EINGEBEN","",(IF('Gewichts- Calculator'!$C$134="Ja Anzeigen",(IF($A63='Gewichts- Calculator'!$C$8," &gt;"&amp;'Gewichts- Calculator'!$F$127&amp;"  &gt; "&amp; 'Gewichts- Calculator'!$F$130,"")),"")))</f>
        <v/>
      </c>
      <c r="S63" s="670">
        <v>0</v>
      </c>
      <c r="T63" s="671" t="str">
        <f>IF(ISNA(IF($S63=0,"0",IF(VLOOKUP($A63,Übungsübersicht!$E$7:$K$83,4,FALSE)&lt;1,"RPE 6",VLOOKUP($A63,Übungsübersicht!$E$7:$K$83,4,FALSE)))),"Übung?",IF($S63=0,"0",IF(VLOOKUP($A63,Übungsübersicht!$E$7:$K$83,4,FALSE)&lt;1,"RPE 6",VLOOKUP($A63,Übungsübersicht!$E$7:$K$83,4,FALSE))))</f>
        <v>0</v>
      </c>
      <c r="U63" s="674" t="str" cm="1">
        <f t="array" ref="U63">IFERROR((IF(ISNA(IF((IF(VLOOKUP($A63,Übungsübersicht!$E$6:$K$82,7,FALSE)="OK",(MROUND(((INDEX($A$1:$U$68,(ROW(U63)),17))*$T$97),(((IF(VLOOKUP($A63,Übungsübersicht!$E$6:$K$82,3,FALSE)=0,0.1,(VLOOKUP($A63,Übungsübersicht!$E$6:$K$82,3,FALSE)))))))),IF(VLOOKUP($A63,Übungsübersicht!$E$6:$K$82,7,FALSE)="UK",(MROUND(((INDEX($A$1:$U$68,(ROW(U63)),17))*$T$98),(((IF(VLOOKUP($A63,Übungsübersicht!$E$6:$K$82,3,FALSE)=0,0.1,(VLOOKUP($A63,Übungsübersicht!$E$6:$K$82,3,FALSE)))))))),"Übung OK/UK?")))&lt;3,"RPE 6",(IF(VLOOKUP($A63,Übungsübersicht!$E$6:$K$82,7,FALSE)="OK",(MROUND(((INDEX($A$1:$U$68,(ROW(U63)),17))*$T$97),(((IF(VLOOKUP($A63,Übungsübersicht!$E$6:$K$82,3,FALSE)=0,0.1,(VLOOKUP($A63,Übungsübersicht!$E$6:$K$82,3,FALSE)))))))),IF(VLOOKUP($A63,Übungsübersicht!$E$6:$K$82,7,FALSE)="UK",(MROUND(((INDEX($A$1:$U$68,(ROW(U63)),17))*$T$98),(((IF(VLOOKUP($A63,Übungsübersicht!$E$6:$K$82,3,FALSE)=0,0.1,(VLOOKUP($A63,Übungsübersicht!$E$6:$K$82,3,FALSE)))))))),"Übung OK/UK?"))))),"Übung?",IF((IF(VLOOKUP($A63,Übungsübersicht!$E$6:$K$82,7,FALSE)="OK",(MROUND(((INDEX($A$1:$U$68,(ROW(U63)),17))*$T$97),(((IF(VLOOKUP($A63,Übungsübersicht!$E$6:$K$82,3,FALSE)=0,0.1,(VLOOKUP($A63,Übungsübersicht!$E$6:$K$82,3,FALSE)))))))),IF(VLOOKUP($A63,Übungsübersicht!$E$6:$K$82,7,FALSE)="UK",(MROUND(((INDEX($A$1:$U$68,(ROW(U63)),17))*$T$98),(((IF(VLOOKUP($A63,Übungsübersicht!$E$6:$K$82,3,FALSE)=0,0.1,(VLOOKUP($A63,Übungsübersicht!$E$6:$K$82,3,FALSE)))))))),"Übung OK/UK?")))&lt;3,"RPE 6",(IF(VLOOKUP($A63,Übungsübersicht!$E$6:$K$82,7,FALSE)="OK",(MROUND(((INDEX($A$1:$U$68,(ROW(U63)),17))*$T$97),(((IF(VLOOKUP($A63,Übungsübersicht!$E$6:$K$82,3,FALSE)=0,0.1,(VLOOKUP($A63,Übungsübersicht!$E$6:$K$82,3,FALSE)))))))),IF(VLOOKUP($A63,Übungsübersicht!$E$6:$K$82,7,FALSE)="UK",(MROUND(((INDEX($A$1:$U$68,(ROW(U63)),17))*$T$98),(((IF(VLOOKUP($A63,Übungsübersicht!$E$6:$K$82,3,FALSE)=0,0.1,(VLOOKUP($A63,Übungsübersicht!$E$6:$K$82,3,FALSE)))))))),"Übung OK/UK?")))))),"RPE 6")</f>
        <v>RPE 6</v>
      </c>
      <c r="V63" s="7"/>
    </row>
    <row r="64" spans="1:25" ht="26.1" customHeight="1" thickTop="1">
      <c r="A64" s="24"/>
      <c r="B64" s="24"/>
      <c r="C64" s="25"/>
      <c r="D64" s="25"/>
      <c r="E64" s="25"/>
      <c r="F64" s="598" t="str">
        <f>IF('Gewichts- Calculator'!$B$127="EINGEBEN","",(IF('Gewichts- Calculator'!$C$134="Ja Anzeigen",(IF($A64='Gewichts- Calculator'!$C$8," &gt;"&amp;'Gewichts- Calculator'!$B$127&amp;"  &gt; "&amp; 'Gewichts- Calculator'!$B$130,"")),"")))</f>
        <v/>
      </c>
      <c r="G64" s="25"/>
      <c r="H64" s="25"/>
      <c r="I64" s="26"/>
      <c r="J64" s="598" t="str">
        <f>IF('Gewichts- Calculator'!$D$127="EINGEBEN","",(IF('Gewichts- Calculator'!$C$134="Ja Anzeigen",(IF($A64='Gewichts- Calculator'!$C$8," &gt;"&amp;'Gewichts- Calculator'!$D$127&amp;"  &gt; "&amp; 'Gewichts- Calculator'!$D$130,"")),"")))</f>
        <v/>
      </c>
      <c r="K64" s="25"/>
      <c r="L64" s="25"/>
      <c r="M64" s="26"/>
      <c r="N64" s="598" t="str">
        <f>IF('Gewichts- Calculator'!$D$127="EINGEBEN","",(IF('Gewichts- Calculator'!$C$134="Ja Anzeigen",(IF($A64='Gewichts- Calculator'!$C$8," &gt;"&amp;'Gewichts- Calculator'!$D$127&amp;"  &gt; "&amp; 'Gewichts- Calculator'!$D$130,"")),"")))</f>
        <v/>
      </c>
      <c r="O64" s="25"/>
      <c r="P64" s="25"/>
      <c r="Q64" s="25"/>
      <c r="R64" s="598" t="str">
        <f>IF('Gewichts- Calculator'!$F$127="EINGEBEN","",(IF('Gewichts- Calculator'!$C$134="Ja Anzeigen",(IF($A64='Gewichts- Calculator'!$C$8," &gt;"&amp;'Gewichts- Calculator'!$F$127&amp;"  &gt; "&amp; 'Gewichts- Calculator'!$F$130,"")),"")))</f>
        <v/>
      </c>
      <c r="S64" s="25"/>
      <c r="T64" s="25"/>
      <c r="U64" s="299"/>
    </row>
    <row r="65" spans="1:25" ht="26.1" customHeight="1">
      <c r="A65" s="24"/>
      <c r="B65" s="24"/>
      <c r="C65" s="25"/>
      <c r="D65" s="25"/>
      <c r="E65" s="25"/>
      <c r="F65" s="598" t="str">
        <f>IF('Gewichts- Calculator'!$B$127="EINGEBEN","",(IF('Gewichts- Calculator'!$C$134="Ja Anzeigen",(IF($A65='Gewichts- Calculator'!$C$8," &gt;"&amp;'Gewichts- Calculator'!$B$127&amp;"  &gt; "&amp; 'Gewichts- Calculator'!$B$130,"")),"")))</f>
        <v/>
      </c>
      <c r="G65" s="25"/>
      <c r="H65" s="25"/>
      <c r="I65" s="26"/>
      <c r="J65" s="598" t="str">
        <f>IF('Gewichts- Calculator'!$D$127="EINGEBEN","",(IF('Gewichts- Calculator'!$C$134="Ja Anzeigen",(IF($A65='Gewichts- Calculator'!$C$8," &gt;"&amp;'Gewichts- Calculator'!$D$127&amp;"  &gt; "&amp; 'Gewichts- Calculator'!$D$130,"")),"")))</f>
        <v/>
      </c>
      <c r="K65" s="25"/>
      <c r="L65" s="25"/>
      <c r="M65" s="26"/>
      <c r="N65" s="598" t="str">
        <f>IF('Gewichts- Calculator'!$D$127="EINGEBEN","",(IF('Gewichts- Calculator'!$C$134="Ja Anzeigen",(IF($A65='Gewichts- Calculator'!$C$8," &gt;"&amp;'Gewichts- Calculator'!$D$127&amp;"  &gt; "&amp; 'Gewichts- Calculator'!$D$130,"")),"")))</f>
        <v/>
      </c>
      <c r="O65" s="25"/>
      <c r="P65" s="25"/>
      <c r="Q65" s="25"/>
      <c r="R65" s="598" t="str">
        <f>IF('Gewichts- Calculator'!$F$127="EINGEBEN","",(IF('Gewichts- Calculator'!$C$134="Ja Anzeigen",(IF($A65='Gewichts- Calculator'!$C$8," &gt;"&amp;'Gewichts- Calculator'!$F$127&amp;"  &gt; "&amp; 'Gewichts- Calculator'!$F$130,"")),"")))</f>
        <v/>
      </c>
      <c r="S65" s="25"/>
      <c r="T65" s="25"/>
      <c r="U65" s="299"/>
    </row>
    <row r="66" spans="1:25" ht="33.950000000000003" customHeight="1">
      <c r="A66" s="912" t="s">
        <v>288</v>
      </c>
      <c r="B66" s="913" t="str" cm="1">
        <f t="array" aca="1" ref="B66" ca="1">IF(INDEX(Kalender!$B$6:$H$18,Zyklus!$AB$25,1)=$A66,INDEX(Kalender!$B$6:$H$18,Zyklus!$AB$25-1,1),IF(INDEX(Kalender!$B$6:$H$18,Zyklus!$AB$25,2)=$A66,INDEX(Kalender!$B$6:$H$18,Zyklus!$AB$25-1,2),IF(INDEX(Kalender!$B$6:$H$18,Zyklus!$AB$25,3)=$A66,INDEX(Kalender!$B$6:$H$18,Zyklus!$AB$25-1,3),IF(INDEX(Kalender!$B$6:$H$18,Zyklus!$AB$25,4)=$A66,INDEX(Kalender!$B$6:$H$18,Zyklus!$AB$25-1,4),IF(INDEX(Kalender!$B$6:$H$18,Zyklus!$AB$25,5)=$A66,INDEX(Kalender!$B$6:$H$18,Zyklus!$AB$25-1,5),IF(INDEX(Kalender!$B$6:$H$18,Zyklus!$AB$25,6)=$A66,INDEX(Kalender!$B$6:$H$18,Zyklus!$AB$25-1,6),IF(INDEX(Kalender!$B$6:$H$18,Zyklus!$AB$25,7)=$A66,INDEX(Kalender!$B$6:$H$18,Zyklus!$AB$25-1,7),"")))))))</f>
        <v/>
      </c>
      <c r="C66" s="999" t="str">
        <f>IF($A$66="","","A6")</f>
        <v/>
      </c>
      <c r="D66" s="999"/>
      <c r="E66" s="999"/>
      <c r="F66" s="598" t="str">
        <f>IF('Gewichts- Calculator'!$B$127="EINGEBEN","",(IF('Gewichts- Calculator'!$C$134="Ja Anzeigen",(IF(#REF!='Gewichts- Calculator'!$C$8," &gt;"&amp;'Gewichts- Calculator'!$B$127&amp;"  &gt; "&amp; 'Gewichts- Calculator'!$B$130,"")),"")))</f>
        <v/>
      </c>
      <c r="G66" s="999" t="str">
        <f>IF($A$66="","","B6")</f>
        <v/>
      </c>
      <c r="H66" s="999"/>
      <c r="I66" s="999"/>
      <c r="J66" s="598" t="str">
        <f>IF('Gewichts- Calculator'!$D$127="EINGEBEN","",(IF('Gewichts- Calculator'!$C$134="Ja Anzeigen",(IF(#REF!='Gewichts- Calculator'!$C$8," &gt;"&amp;'Gewichts- Calculator'!$D$127&amp;"  &gt; "&amp; 'Gewichts- Calculator'!$D$130,"")),"")))</f>
        <v/>
      </c>
      <c r="K66" s="999" t="str">
        <f>IF($A$66="","","C6")</f>
        <v/>
      </c>
      <c r="L66" s="999"/>
      <c r="M66" s="999"/>
      <c r="N66" s="598" t="str">
        <f>IF('Gewichts- Calculator'!$D$127="EINGEBEN","",(IF('Gewichts- Calculator'!$C$134="Ja Anzeigen",(IF(#REF!='Gewichts- Calculator'!$C$8," &gt;"&amp;'Gewichts- Calculator'!$D$127&amp;"  &gt; "&amp; 'Gewichts- Calculator'!$D$130,"")),"")))</f>
        <v/>
      </c>
      <c r="O66" s="999" t="str">
        <f>IF($A$66="","","D6")</f>
        <v/>
      </c>
      <c r="P66" s="999"/>
      <c r="Q66" s="999"/>
      <c r="R66" s="598" t="str">
        <f>IF('Gewichts- Calculator'!$F$127="EINGEBEN","",(IF('Gewichts- Calculator'!$C$134="Ja Anzeigen",(IF(#REF!='Gewichts- Calculator'!$C$8," &gt;"&amp;'Gewichts- Calculator'!$F$127&amp;"  &gt; "&amp; 'Gewichts- Calculator'!$F$130,"")),"")))</f>
        <v/>
      </c>
      <c r="S66" s="999" t="str">
        <f>IF($A$66="","","E6")</f>
        <v/>
      </c>
      <c r="T66" s="999"/>
      <c r="U66" s="999"/>
    </row>
    <row r="67" spans="1:25" ht="25.5" hidden="1" customHeight="1" thickBot="1">
      <c r="B67" s="1000"/>
      <c r="C67" s="1000"/>
      <c r="D67" s="27"/>
      <c r="E67" s="27"/>
      <c r="F67" s="598" t="str">
        <f>IF('Gewichts- Calculator'!$B$127="EINGEBEN","",(IF('Gewichts- Calculator'!$C$134="Ja Anzeigen",(IF($A66='Gewichts- Calculator'!$C$8," &gt;"&amp;'Gewichts- Calculator'!$B$127&amp;"  &gt; "&amp; 'Gewichts- Calculator'!$B$130,"")),"")))</f>
        <v/>
      </c>
      <c r="G67" s="27"/>
      <c r="H67" s="27"/>
      <c r="I67" s="26"/>
      <c r="J67" s="598" t="str">
        <f>IF('Gewichts- Calculator'!$D$127="EINGEBEN","",(IF('Gewichts- Calculator'!$C$134="Ja Anzeigen",(IF($A66='Gewichts- Calculator'!$C$8," &gt;"&amp;'Gewichts- Calculator'!$D$127&amp;"  &gt; "&amp; 'Gewichts- Calculator'!$D$130,"")),"")))</f>
        <v/>
      </c>
      <c r="K67" s="27"/>
      <c r="L67" s="27"/>
      <c r="M67" s="26"/>
      <c r="N67" s="598" t="str">
        <f>IF('Gewichts- Calculator'!$D$127="EINGEBEN","",(IF('Gewichts- Calculator'!$C$134="Ja Anzeigen",(IF($A66='Gewichts- Calculator'!$C$8," &gt;"&amp;'Gewichts- Calculator'!$D$127&amp;"  &gt; "&amp; 'Gewichts- Calculator'!$D$130,"")),"")))</f>
        <v/>
      </c>
      <c r="O67" s="27"/>
      <c r="P67" s="27"/>
      <c r="Q67" s="27"/>
      <c r="R67" s="598" t="str">
        <f>IF('Gewichts- Calculator'!$F$127="EINGEBEN","",(IF('Gewichts- Calculator'!$C$134="Ja Anzeigen",(IF($A66='Gewichts- Calculator'!$C$8," &gt;"&amp;'Gewichts- Calculator'!$F$127&amp;"  &gt; "&amp; 'Gewichts- Calculator'!$F$130,"")),"")))</f>
        <v/>
      </c>
      <c r="S67" s="27"/>
      <c r="T67" s="27"/>
      <c r="U67" s="299"/>
    </row>
    <row r="68" spans="1:25" ht="26.1" hidden="1" customHeight="1" thickTop="1" thickBot="1">
      <c r="A68" s="668" t="s">
        <v>276</v>
      </c>
      <c r="B68" s="669" t="str">
        <f>IF(ISNA(IF(ISBLANK(VLOOKUP($A68,Übungsübersicht!$E$8:$F$83,2,FALSE)),"Muskelgruppe Auswählen",VLOOKUP($A68,Übungsübersicht!$E$8:$F$83,2,FALSE))),"Übung?",IF(ISBLANK(VLOOKUP($A68,Übungsübersicht!$E$8:$F$83,2,FALSE)),"Muskelgruppe Auswählen",VLOOKUP($A68,Übungsübersicht!$E$8:$F$83,2,FALSE)))</f>
        <v>Test Muskel</v>
      </c>
      <c r="C68" s="672" t="s">
        <v>194</v>
      </c>
      <c r="D68" s="671">
        <f>IF(ISNA(IF($C68=0,"0",IF(VLOOKUP($A68,Übungsübersicht!$E$7:$K$83,4,FALSE)&lt;1,"RPE 7",VLOOKUP($A68,Übungsübersicht!$E$7:$K$83,4,FALSE)))),"Übung?",IF($C68=0,"0",IF(VLOOKUP($A68,Übungsübersicht!$E$7:$K$83,4,FALSE)&lt;1,"RPE 7",VLOOKUP($A68,Übungsübersicht!$E$7:$K$83,4,FALSE))))</f>
        <v>30</v>
      </c>
      <c r="E68" s="672" t="str" cm="1">
        <f t="array" ref="E68">IF(IFERROR((IF(ISNA(IF((IF(VLOOKUP($A68,Übungsübersicht!$E$6:$K$82,7,FALSE)="OK",(MROUND(((INDEX($A$1:$U$68,(ROW(E68)),17))*$Q$97),(((IF(VLOOKUP($A68,Übungsübersicht!$E$6:$K$82,3,FALSE)=0,0.1,(VLOOKUP($A68,Übungsübersicht!$E$6:$K$82,3,FALSE)))))))),IF(VLOOKUP($A68,Übungsübersicht!$E$6:$K$82,7,FALSE)="UK",(MROUND(((INDEX($A$1:$U$68,(ROW(E68)),17))*$Q$98),(((IF(VLOOKUP($A68,Übungsübersicht!$E$6:$K$82,3,FALSE)=0,0.1,(VLOOKUP($A68,Übungsübersicht!$E$6:$K$82,3,FALSE)))))))),"Übung OK/UK?")))&lt;3,"RPE 7",(IF(VLOOKUP($A68,Übungsübersicht!$E$6:$K$82,7,FALSE)="OK",(MROUND(((INDEX($A$1:$U$68,(ROW(E68)),17))*$Q$97),(((IF(VLOOKUP($A68,Übungsübersicht!$E$6:$K$82,3,FALSE)=0,0.1,(VLOOKUP($A68,Übungsübersicht!$E$6:$K$82,3,FALSE)))))))),IF(VLOOKUP($A68,Übungsübersicht!$E$6:$K$82,7,FALSE)="UK",(MROUND(((INDEX($A$1:$U$68,(ROW(E68)),17))*$Q$98),(((IF(VLOOKUP($A68,Übungsübersicht!$E$6:$K$82,3,FALSE)=0,0.1,(VLOOKUP($A68,Übungsübersicht!$E$6:$K$82,3,FALSE)))))))),"Übung OK/UK?"))))),"Übung?",IF((IF(VLOOKUP($A68,Übungsübersicht!$E$6:$K$82,7,FALSE)="OK",(MROUND(((INDEX($A$1:$U$68,(ROW(E68)),17))*$Q$97),(((IF(VLOOKUP($A68,Übungsübersicht!$E$6:$K$82,3,FALSE)=0,0.1,(VLOOKUP($A68,Übungsübersicht!$E$6:$K$82,3,FALSE)))))))),IF(VLOOKUP($A68,Übungsübersicht!$E$6:$K$82,7,FALSE)="UK",(MROUND(((INDEX($A$1:$U$68,(ROW(E68)),17))*$Q$98),(((IF(VLOOKUP($A68,Übungsübersicht!$E$6:$K$82,3,FALSE)=0,0.1,(VLOOKUP($A68,Übungsübersicht!$E$6:$K$82,3,FALSE)))))))),"Übung OK/UK?")))&lt;3,"RPE 7",(IF(VLOOKUP($A68,Übungsübersicht!$E$6:$K$82,7,FALSE)="OK",(MROUND(((INDEX($A$1:$U$68,(ROW(E68)),17))*$Q$97),(((IF(VLOOKUP($A68,Übungsübersicht!$E$6:$K$82,3,FALSE)=0,0.1,(VLOOKUP($A68,Übungsübersicht!$E$6:$K$82,3,FALSE)))))))),IF(VLOOKUP($A68,Übungsübersicht!$E$6:$K$82,7,FALSE)="UK",(MROUND(((INDEX($A$1:$U$68,(ROW(E68)),17))*$Q$98),(((IF(VLOOKUP($A68,Übungsübersicht!$E$6:$K$82,3,FALSE)=0,0.1,(VLOOKUP($A68,Übungsübersicht!$E$6:$K$82,3,FALSE)))))))),"Übung OK/UK?")))))),"RPE 6")=(INDEX($A$1:$U$68,(ROW(E68)),17)),(IFERROR((IF(ISNA(IF(INDEX($A$1:$U$68,(ROW(E68)),17)-(IF(VLOOKUP($A68,Übungsübersicht!$E$6:$K$82,3,FALSE)&lt;=0.5,0,(VLOOKUP($A68,Übungsübersicht!$E$6:$K$82,3,FALSE))))&lt;3,"RPE 7",INDEX($A$1:$U$68,(ROW(E68)),17)-(IF(VLOOKUP($A68,Übungsübersicht!$E$6:$K$82,3,FALSE)&lt;=0.5,0,(VLOOKUP($A68,Übungsübersicht!$E$6:$K$82,3,FALSE)))))),"Übung?",IF(INDEX($A$1:$U$68,(ROW(E68)),17)-(IF(VLOOKUP($A68,Übungsübersicht!$E$6:$K$82,3,FALSE)&lt;=0.5,0,(VLOOKUP($A68,Übungsübersicht!$E$6:$K$82,3,FALSE))))&lt;3,"RPE 7",INDEX($A$1:$U$68,(ROW(E68)),17)-(IF(VLOOKUP($A68,Übungsübersicht!$E$6:$K$82,3,FALSE)&lt;=0.5,0,(VLOOKUP($A68,Übungsübersicht!$E$6:$K$82,3,FALSE))))))),"RPE 7")),(IFERROR((IF(ISNA(IF((IF(VLOOKUP($A68,Übungsübersicht!$E$6:$K$82,7,FALSE)="OK",(MROUND(((INDEX($A$1:$U$68,(ROW(E68)),17))*$Q$97),(((IF(VLOOKUP($A68,Übungsübersicht!$E$6:$K$82,3,FALSE)=0,0.1,(VLOOKUP($A68,Übungsübersicht!$E$6:$K$82,3,FALSE)))))))),IF(VLOOKUP($A68,Übungsübersicht!$E$6:$K$82,7,FALSE)="UK",(MROUND(((INDEX($A$1:$U$68,(ROW(E68)),17))*$Q$98),(((IF(VLOOKUP($A68,Übungsübersicht!$E$6:$K$82,3,FALSE)=0,0.1,(VLOOKUP($A68,Übungsübersicht!$E$6:$K$82,3,FALSE)))))))),"Übung OK/UK?")))&lt;3,"RPE 7",(IF(VLOOKUP($A68,Übungsübersicht!$E$6:$K$82,7,FALSE)="OK",(MROUND(((INDEX($A$1:$U$68,(ROW(E68)),17))*$Q$97),(((IF(VLOOKUP($A68,Übungsübersicht!$E$6:$K$82,3,FALSE)=0,0.1,(VLOOKUP($A68,Übungsübersicht!$E$6:$K$82,3,FALSE)))))))),IF(VLOOKUP($A68,Übungsübersicht!$E$6:$K$82,7,FALSE)="UK",(MROUND(((INDEX($A$1:$U$68,(ROW(E68)),17))*$Q$98),(((IF(VLOOKUP($A68,Übungsübersicht!$E$6:$K$82,3,FALSE)=0,0.1,(VLOOKUP($A68,Übungsübersicht!$E$6:$K$82,3,FALSE)))))))),"Übung OK/UK?"))))),"Übung?",IF((IF(VLOOKUP($A68,Übungsübersicht!$E$6:$K$82,7,FALSE)="OK",(MROUND(((INDEX($A$1:$U$68,(ROW(E68)),17))*$Q$97),(((IF(VLOOKUP($A68,Übungsübersicht!$E$6:$K$82,3,FALSE)=0,0.1,(VLOOKUP($A68,Übungsübersicht!$E$6:$K$82,3,FALSE)))))))),IF(VLOOKUP($A68,Übungsübersicht!$E$6:$K$82,7,FALSE)="UK",(MROUND(((INDEX($A$1:$U$68,(ROW(E68)),17))*$Q$98),(((IF(VLOOKUP($A68,Übungsübersicht!$E$6:$K$82,3,FALSE)=0,0.1,(VLOOKUP($A68,Übungsübersicht!$E$6:$K$82,3,FALSE)))))))),"Übung OK/UK?")))&lt;3,"RPE 6",(IF(VLOOKUP($A68,Übungsübersicht!$E$6:$K$82,7,FALSE)="OK",(MROUND(((INDEX($A$1:$U$68,(ROW(E68)),17))*$Q$97),(((IF(VLOOKUP($A68,Übungsübersicht!$E$6:$K$82,3,FALSE)=0,0.1,(VLOOKUP($A68,Übungsübersicht!$E$6:$K$82,3,FALSE)))))))),IF(VLOOKUP($A68,Übungsübersicht!$E$6:$K$82,7,FALSE)="UK",(MROUND(((INDEX($A$1:$U$68,(ROW(E68)),17))*$Q$98),(((IF(VLOOKUP($A68,Übungsübersicht!$E$6:$K$82,3,FALSE)=0,0.1,(VLOOKUP($A68,Übungsübersicht!$E$6:$K$82,3,FALSE)))))))),"Übung OK/UK?")))))),"RPE 7")))</f>
        <v>Übung OK/UK?</v>
      </c>
      <c r="F68" s="676" t="str">
        <f>IF('Gewichts- Calculator'!$B$127="EINGEBEN","",(IF('Gewichts- Calculator'!$C$134="Ja Anzeigen",(IF($A68='Gewichts- Calculator'!$C$8," &gt;"&amp;'Gewichts- Calculator'!$B$127&amp;"  &gt; "&amp; 'Gewichts- Calculator'!$B$130,"")),"")))</f>
        <v/>
      </c>
      <c r="G68" s="672" t="s">
        <v>194</v>
      </c>
      <c r="H68" s="671">
        <f>IF(ISNA(IF($G68=0,"0",IF(VLOOKUP($A68,Übungsübersicht!$E$7:$K$83,4,FALSE)&lt;1,"RPE 8",VLOOKUP($A68,Übungsübersicht!$E$7:$K$83,4,FALSE)))),"Übung?",IF($G68=0,"0",IF(VLOOKUP($A68,Übungsübersicht!$E$7:$K$83,4,FALSE)&lt;1,"RPE 8",VLOOKUP($A68,Übungsübersicht!$E$7:$K$83,4,FALSE))))</f>
        <v>30</v>
      </c>
      <c r="I68" s="811" t="s">
        <v>57</v>
      </c>
      <c r="J68" s="598" t="str">
        <f>IF('Gewichts- Calculator'!$D$127="EINGEBEN","",(IF('Gewichts- Calculator'!$C$134="Ja Anzeigen",(IF($A68='Gewichts- Calculator'!$C$8," &gt;"&amp;'Gewichts- Calculator'!$D$127&amp;"  &gt; "&amp; 'Gewichts- Calculator'!$D$130,"")),"")))</f>
        <v/>
      </c>
      <c r="K68" s="672" t="s">
        <v>194</v>
      </c>
      <c r="L68" s="671">
        <f>IF(ISNA(IF($K68=0,"0",IF(VLOOKUP($A68,Übungsübersicht!$E$7:$K$83,4,FALSE)&lt;1,"RPE 8",VLOOKUP($A68,Übungsübersicht!$E$7:$K$83,4,FALSE)))),"Übung?",IF($K68=0,"0",IF(VLOOKUP($A68,Übungsübersicht!$E$7:$K$83,4,FALSE)&lt;1,"RPE 8",VLOOKUP($A68,Übungsübersicht!$E$7:$K$83,4,FALSE))))</f>
        <v>30</v>
      </c>
      <c r="M68" s="674">
        <v>200</v>
      </c>
      <c r="N68" s="676" t="str">
        <f>IF('Gewichts- Calculator'!$D$127="EINGEBEN","",(IF('Gewichts- Calculator'!$C$134="Ja Anzeigen",(IF($A68='Gewichts- Calculator'!$C$8," &gt;"&amp;'Gewichts- Calculator'!$D$127&amp;"  &gt; "&amp; 'Gewichts- Calculator'!$D$130,"")),"")))</f>
        <v/>
      </c>
      <c r="O68" s="672" t="s">
        <v>194</v>
      </c>
      <c r="P68" s="671">
        <f>IF(ISNA(IF($O68=0,"0",IF(VLOOKUP($A68,Übungsübersicht!$E$7:$K$83,5,FALSE)&lt;1,"RPE 9",VLOOKUP($A68,Übungsübersicht!$E$7:$K$83,5,FALSE)))),"Übung?",IF($O68=0,"0",IF(VLOOKUP($A68,Übungsübersicht!$E$7:$K$83,5,FALSE)&lt;1,"RPE 9",VLOOKUP($A68,Übungsübersicht!$E$7:$K$83,5,FALSE))))</f>
        <v>35</v>
      </c>
      <c r="Q68" s="675">
        <v>210</v>
      </c>
      <c r="R68" s="676" t="str">
        <f>IF('Gewichts- Calculator'!$F$127="EINGEBEN","",(IF('Gewichts- Calculator'!$C$134="Ja Anzeigen",(IF($A68='Gewichts- Calculator'!$C$8," &gt;"&amp;'Gewichts- Calculator'!$F$127&amp;"  &gt; "&amp; 'Gewichts- Calculator'!$F$130,"")),"")))</f>
        <v/>
      </c>
      <c r="S68" s="672" t="s">
        <v>194</v>
      </c>
      <c r="T68" s="671">
        <f>IF(ISNA(IF($S68=0,"0",IF(VLOOKUP($A68,Übungsübersicht!$E$7:$K$83,4,FALSE)&lt;1,"RPE 6",VLOOKUP($A68,Übungsübersicht!$E$7:$K$83,4,FALSE)))),"Übung?",IF($S68=0,"0",IF(VLOOKUP($A68,Übungsübersicht!$E$7:$K$83,4,FALSE)&lt;1,"RPE 6",VLOOKUP($A68,Übungsübersicht!$E$7:$K$83,4,FALSE))))</f>
        <v>30</v>
      </c>
      <c r="U68" s="674" t="str" cm="1">
        <f t="array" ref="U68">IFERROR((IF(ISNA(IF((IF(VLOOKUP($A68,Übungsübersicht!$E$6:$K$82,7,FALSE)="OK",(MROUND(((INDEX($A$1:$U$68,(ROW(U68)),17))*$T$97),(((IF(VLOOKUP($A68,Übungsübersicht!$E$6:$K$82,3,FALSE)=0,0.1,(VLOOKUP($A68,Übungsübersicht!$E$6:$K$82,3,FALSE)))))))),IF(VLOOKUP($A68,Übungsübersicht!$E$6:$K$82,7,FALSE)="UK",(MROUND(((INDEX($A$1:$U$68,(ROW(U68)),17))*$T$98),(((IF(VLOOKUP($A68,Übungsübersicht!$E$6:$K$82,3,FALSE)=0,0.1,(VLOOKUP($A68,Übungsübersicht!$E$6:$K$82,3,FALSE)))))))),"Übung OK/UK?")))&lt;3,"RPE 6",(IF(VLOOKUP($A68,Übungsübersicht!$E$6:$K$82,7,FALSE)="OK",(MROUND(((INDEX($A$1:$U$68,(ROW(U68)),17))*$T$97),(((IF(VLOOKUP($A68,Übungsübersicht!$E$6:$K$82,3,FALSE)=0,0.1,(VLOOKUP($A68,Übungsübersicht!$E$6:$K$82,3,FALSE)))))))),IF(VLOOKUP($A68,Übungsübersicht!$E$6:$K$82,7,FALSE)="UK",(MROUND(((INDEX($A$1:$U$68,(ROW(U68)),17))*$T$98),(((IF(VLOOKUP($A68,Übungsübersicht!$E$6:$K$82,3,FALSE)=0,0.1,(VLOOKUP($A68,Übungsübersicht!$E$6:$K$82,3,FALSE)))))))),"Übung OK/UK?"))))),"Übung?",IF((IF(VLOOKUP($A68,Übungsübersicht!$E$6:$K$82,7,FALSE)="OK",(MROUND(((INDEX($A$1:$U$68,(ROW(U68)),17))*$T$97),(((IF(VLOOKUP($A68,Übungsübersicht!$E$6:$K$82,3,FALSE)=0,0.1,(VLOOKUP($A68,Übungsübersicht!$E$6:$K$82,3,FALSE)))))))),IF(VLOOKUP($A68,Übungsübersicht!$E$6:$K$82,7,FALSE)="UK",(MROUND(((INDEX($A$1:$U$68,(ROW(U68)),17))*$T$98),(((IF(VLOOKUP($A68,Übungsübersicht!$E$6:$K$82,3,FALSE)=0,0.1,(VLOOKUP($A68,Übungsübersicht!$E$6:$K$82,3,FALSE)))))))),"Übung OK/UK?")))&lt;3,"RPE 6",(IF(VLOOKUP($A68,Übungsübersicht!$E$6:$K$82,7,FALSE)="OK",(MROUND(((INDEX($A$1:$U$68,(ROW(U68)),17))*$T$97),(((IF(VLOOKUP($A68,Übungsübersicht!$E$6:$K$82,3,FALSE)=0,0.1,(VLOOKUP($A68,Übungsübersicht!$E$6:$K$82,3,FALSE)))))))),IF(VLOOKUP($A68,Übungsübersicht!$E$6:$K$82,7,FALSE)="UK",(MROUND(((INDEX($A$1:$U$68,(ROW(U68)),17))*$T$98),(((IF(VLOOKUP($A68,Übungsübersicht!$E$6:$K$82,3,FALSE)=0,0.1,(VLOOKUP($A68,Übungsübersicht!$E$6:$K$82,3,FALSE)))))))),"Übung OK/UK?")))))),"RPE 6")</f>
        <v>Übung OK/UK?</v>
      </c>
      <c r="V68" s="7"/>
    </row>
    <row r="69" spans="1:25" ht="51.75" hidden="1" customHeight="1" thickTop="1">
      <c r="A69" s="29"/>
      <c r="B69" s="680" t="s">
        <v>278</v>
      </c>
      <c r="C69" s="677" t="s">
        <v>279</v>
      </c>
      <c r="D69" s="678" t="s">
        <v>198</v>
      </c>
      <c r="E69" s="679" t="s">
        <v>195</v>
      </c>
      <c r="F69" s="232"/>
      <c r="G69" s="27"/>
      <c r="H69" s="27"/>
      <c r="I69" s="27"/>
      <c r="J69" s="15"/>
      <c r="K69" s="27"/>
      <c r="L69" s="27"/>
      <c r="M69" s="27"/>
      <c r="N69" s="15"/>
      <c r="O69" s="27"/>
      <c r="P69" s="27"/>
      <c r="Q69" s="27"/>
      <c r="R69" s="15"/>
      <c r="S69" s="28"/>
      <c r="T69" s="27"/>
      <c r="U69" s="14"/>
      <c r="V69" s="7"/>
      <c r="W69" s="7"/>
      <c r="X69" s="7"/>
      <c r="Y69" s="7"/>
    </row>
    <row r="70" spans="1:25" ht="26.1" customHeight="1">
      <c r="A70" s="680" t="s">
        <v>196</v>
      </c>
      <c r="B70" s="33"/>
      <c r="C70" s="33"/>
      <c r="D70" s="33"/>
      <c r="E70" s="31"/>
      <c r="F70" s="8"/>
      <c r="G70" s="1017" t="s">
        <v>66</v>
      </c>
      <c r="H70" s="1018"/>
      <c r="I70" s="1018"/>
      <c r="J70" s="1018"/>
      <c r="K70" s="1018"/>
      <c r="L70" s="1018"/>
      <c r="M70" s="1018"/>
      <c r="N70" s="1018"/>
      <c r="O70" s="1018"/>
      <c r="P70" s="1018"/>
      <c r="Q70" s="1018"/>
      <c r="R70" s="1018"/>
      <c r="S70" s="1018"/>
      <c r="T70" s="1018"/>
      <c r="U70" s="1019"/>
    </row>
    <row r="71" spans="1:25" ht="25.5" customHeight="1">
      <c r="A71" s="681" t="s">
        <v>303</v>
      </c>
      <c r="B71" s="34"/>
      <c r="G71" s="1005"/>
      <c r="H71" s="1003"/>
      <c r="I71" s="1003"/>
      <c r="J71" s="1003"/>
      <c r="K71" s="1003"/>
      <c r="L71" s="1003"/>
      <c r="M71" s="1003"/>
      <c r="N71" s="1003"/>
      <c r="O71" s="1003"/>
      <c r="P71" s="1003"/>
      <c r="Q71" s="1003"/>
      <c r="R71" s="1003"/>
      <c r="S71" s="1003"/>
      <c r="T71" s="1003"/>
      <c r="U71" s="1006"/>
    </row>
    <row r="72" spans="1:25" ht="48" customHeight="1">
      <c r="A72" s="35"/>
      <c r="B72" s="34"/>
      <c r="G72" s="36"/>
      <c r="H72" s="263" t="s">
        <v>3</v>
      </c>
      <c r="I72" s="263" t="s">
        <v>12</v>
      </c>
      <c r="J72" s="263" t="s">
        <v>31</v>
      </c>
      <c r="K72" s="263" t="s">
        <v>33</v>
      </c>
      <c r="L72" s="263" t="s">
        <v>18</v>
      </c>
      <c r="M72" s="263" t="s">
        <v>42</v>
      </c>
      <c r="N72" s="263" t="s">
        <v>39</v>
      </c>
      <c r="O72" s="263" t="s">
        <v>20</v>
      </c>
      <c r="P72" s="263" t="s">
        <v>28</v>
      </c>
      <c r="Q72" s="263" t="s">
        <v>44</v>
      </c>
      <c r="R72" s="264" t="s">
        <v>46</v>
      </c>
      <c r="S72" s="996" t="s">
        <v>67</v>
      </c>
      <c r="T72" s="997"/>
      <c r="U72" s="998"/>
    </row>
    <row r="73" spans="1:25" ht="26.1" customHeight="1">
      <c r="A73" s="34"/>
      <c r="B73" s="23"/>
      <c r="G73" s="268" t="s">
        <v>68</v>
      </c>
      <c r="H73" s="265">
        <f t="shared" ref="H73:R73" ca="1" si="0">SUMIF($B$15:$B$65,H$72,$C$15:$C$65)</f>
        <v>12</v>
      </c>
      <c r="I73" s="266">
        <f t="shared" ca="1" si="0"/>
        <v>13</v>
      </c>
      <c r="J73" s="266">
        <f t="shared" ca="1" si="0"/>
        <v>9</v>
      </c>
      <c r="K73" s="266">
        <f t="shared" ca="1" si="0"/>
        <v>6</v>
      </c>
      <c r="L73" s="266">
        <f t="shared" ca="1" si="0"/>
        <v>0</v>
      </c>
      <c r="M73" s="266">
        <f t="shared" ca="1" si="0"/>
        <v>9</v>
      </c>
      <c r="N73" s="266">
        <f t="shared" ca="1" si="0"/>
        <v>8</v>
      </c>
      <c r="O73" s="266">
        <f t="shared" ca="1" si="0"/>
        <v>8</v>
      </c>
      <c r="P73" s="266">
        <f t="shared" ca="1" si="0"/>
        <v>7</v>
      </c>
      <c r="Q73" s="266">
        <f t="shared" ca="1" si="0"/>
        <v>3</v>
      </c>
      <c r="R73" s="266">
        <f t="shared" ca="1" si="0"/>
        <v>10</v>
      </c>
      <c r="S73" s="987">
        <f ca="1">SUM(H73:P73)</f>
        <v>72</v>
      </c>
      <c r="T73" s="988"/>
      <c r="U73" s="989"/>
    </row>
    <row r="74" spans="1:25" ht="25.7" customHeight="1">
      <c r="B74" s="23"/>
      <c r="G74" s="269" t="str">
        <f>IF(Dashboard!$C$31="4 Wochen","V",IF(Dashboard!$C$31="5 Wochen","Woche 2",IF(Dashboard!$C$31="6 Wochen","Woche 2",IF(Dashboard!$C$31="7 Wochen","Woche 2-3",IF(Dashboard!$C$31="8 Wochen","Woche 2-3 ","Dauer des Meso-Zyklus?")))))</f>
        <v>Woche 2</v>
      </c>
      <c r="H74" s="267">
        <f t="shared" ref="H74:R74" ca="1" si="1">SUMIF($B$15:$B$65,H$72,$G$15:$G$65)</f>
        <v>15</v>
      </c>
      <c r="I74" s="259">
        <f t="shared" ca="1" si="1"/>
        <v>16</v>
      </c>
      <c r="J74" s="259">
        <f t="shared" ca="1" si="1"/>
        <v>13</v>
      </c>
      <c r="K74" s="259">
        <f t="shared" ca="1" si="1"/>
        <v>10</v>
      </c>
      <c r="L74" s="259">
        <f t="shared" ca="1" si="1"/>
        <v>0</v>
      </c>
      <c r="M74" s="259">
        <f t="shared" ca="1" si="1"/>
        <v>13</v>
      </c>
      <c r="N74" s="259">
        <f t="shared" ca="1" si="1"/>
        <v>12</v>
      </c>
      <c r="O74" s="259">
        <f t="shared" ca="1" si="1"/>
        <v>9</v>
      </c>
      <c r="P74" s="259">
        <f t="shared" ca="1" si="1"/>
        <v>9</v>
      </c>
      <c r="Q74" s="259">
        <f t="shared" ca="1" si="1"/>
        <v>5</v>
      </c>
      <c r="R74" s="259">
        <f t="shared" ca="1" si="1"/>
        <v>11</v>
      </c>
      <c r="S74" s="990">
        <f ca="1">SUM(H74:P74)</f>
        <v>97</v>
      </c>
      <c r="T74" s="991"/>
      <c r="U74" s="992"/>
    </row>
    <row r="75" spans="1:25" ht="25.5" customHeight="1">
      <c r="A75" s="37"/>
      <c r="B75" s="985"/>
      <c r="C75" s="27"/>
      <c r="D75" s="27"/>
      <c r="E75" s="27"/>
      <c r="G75" s="269" t="str">
        <f>IF(Dashboard!$C$31="4 Wochen","Woche 2: ",IF(Dashboard!$C$31="5 Wochen","Woche 3",IF(Dashboard!$C$31="6 Wochen","Woche 3-4: ",IF(Dashboard!$C$31="7 Wochen","Woche 4-5",IF(Dashboard!$C$31="8 Wochen","Woche 4-6","Dauer des Meso-Zyklus?")))))</f>
        <v>Woche 3</v>
      </c>
      <c r="H75" s="267">
        <f t="shared" ref="H75:R75" ca="1" si="2">SUMIF($B$15:$B$65,H$72,$K$15:$K$65)</f>
        <v>15</v>
      </c>
      <c r="I75" s="259">
        <f t="shared" ca="1" si="2"/>
        <v>16</v>
      </c>
      <c r="J75" s="259">
        <f t="shared" ca="1" si="2"/>
        <v>14</v>
      </c>
      <c r="K75" s="259">
        <f t="shared" ca="1" si="2"/>
        <v>10</v>
      </c>
      <c r="L75" s="259">
        <f t="shared" ca="1" si="2"/>
        <v>0</v>
      </c>
      <c r="M75" s="259">
        <f t="shared" ca="1" si="2"/>
        <v>13</v>
      </c>
      <c r="N75" s="259">
        <f t="shared" ca="1" si="2"/>
        <v>12</v>
      </c>
      <c r="O75" s="259">
        <f t="shared" ca="1" si="2"/>
        <v>9</v>
      </c>
      <c r="P75" s="259">
        <f t="shared" ca="1" si="2"/>
        <v>9</v>
      </c>
      <c r="Q75" s="259">
        <f t="shared" ca="1" si="2"/>
        <v>5</v>
      </c>
      <c r="R75" s="259">
        <f t="shared" ca="1" si="2"/>
        <v>11</v>
      </c>
      <c r="S75" s="990">
        <f ca="1">SUM(H75:P75)</f>
        <v>98</v>
      </c>
      <c r="T75" s="991"/>
      <c r="U75" s="992"/>
    </row>
    <row r="76" spans="1:25" ht="26.1" customHeight="1">
      <c r="A76" s="23"/>
      <c r="B76" s="986"/>
      <c r="G76" s="269" t="str">
        <f>IF(Dashboard!$C$31="4 Wochen","Woche 3",IF(Dashboard!$C$31="5 Wochen","Woche 4",IF(Dashboard!$C$31="6 Wochen","Woche 5",IF(Dashboard!$C$31="7 Wochen","Woche 6 ",IF(Dashboard!$C$31="8 Wochen","Woche 7","Dauer des Meso-Zyklus?")))))</f>
        <v>Woche 4</v>
      </c>
      <c r="H76" s="267">
        <f t="shared" ref="H76:R76" ca="1" si="3">SUMIF($B$15:$B$65,H$72,$O$15:$O$65)</f>
        <v>18</v>
      </c>
      <c r="I76" s="259">
        <f t="shared" ca="1" si="3"/>
        <v>19</v>
      </c>
      <c r="J76" s="259">
        <f t="shared" ca="1" si="3"/>
        <v>17</v>
      </c>
      <c r="K76" s="259">
        <f t="shared" ca="1" si="3"/>
        <v>12</v>
      </c>
      <c r="L76" s="259">
        <f t="shared" ca="1" si="3"/>
        <v>0</v>
      </c>
      <c r="M76" s="259">
        <f t="shared" ca="1" si="3"/>
        <v>16</v>
      </c>
      <c r="N76" s="259">
        <f t="shared" ca="1" si="3"/>
        <v>14</v>
      </c>
      <c r="O76" s="259">
        <f t="shared" ca="1" si="3"/>
        <v>13</v>
      </c>
      <c r="P76" s="259">
        <f t="shared" ca="1" si="3"/>
        <v>12</v>
      </c>
      <c r="Q76" s="259">
        <f t="shared" ca="1" si="3"/>
        <v>6</v>
      </c>
      <c r="R76" s="259">
        <f t="shared" ca="1" si="3"/>
        <v>0</v>
      </c>
      <c r="S76" s="990">
        <f ca="1">SUM(H76:P76)</f>
        <v>121</v>
      </c>
      <c r="T76" s="991"/>
      <c r="U76" s="992"/>
    </row>
    <row r="77" spans="1:25" ht="26.1" customHeight="1">
      <c r="A77" s="34"/>
      <c r="B77" s="35"/>
      <c r="E77" s="985"/>
      <c r="G77" s="270" t="str">
        <f>IF(Dashboard!$C$31="4 Wochen","Woche 4",IF(Dashboard!$C$31="5 Wochen","Woche 5",IF(Dashboard!$C$31="6 Wochen","Woche 6",IF(Dashboard!$C$31="7 Wochen","Woche 7",IF(Dashboard!$C$31="8 Wochen","Woche 8","Dauer des Meso-Zyklus?")))))</f>
        <v>Woche 5</v>
      </c>
      <c r="H77" s="618">
        <f t="shared" ref="H77:R77" ca="1" si="4">SUMIF($B$15:$B$65,H$72,$S$15:$S$65)</f>
        <v>10</v>
      </c>
      <c r="I77" s="619">
        <f t="shared" ca="1" si="4"/>
        <v>10</v>
      </c>
      <c r="J77" s="619">
        <f t="shared" ca="1" si="4"/>
        <v>6</v>
      </c>
      <c r="K77" s="619">
        <f t="shared" ca="1" si="4"/>
        <v>5</v>
      </c>
      <c r="L77" s="619">
        <f t="shared" ca="1" si="4"/>
        <v>0</v>
      </c>
      <c r="M77" s="619">
        <f t="shared" ca="1" si="4"/>
        <v>5</v>
      </c>
      <c r="N77" s="619">
        <f t="shared" ca="1" si="4"/>
        <v>5</v>
      </c>
      <c r="O77" s="619">
        <f t="shared" ca="1" si="4"/>
        <v>7</v>
      </c>
      <c r="P77" s="619">
        <f t="shared" ca="1" si="4"/>
        <v>6</v>
      </c>
      <c r="Q77" s="619">
        <f t="shared" ca="1" si="4"/>
        <v>0</v>
      </c>
      <c r="R77" s="619">
        <f t="shared" ca="1" si="4"/>
        <v>19</v>
      </c>
      <c r="S77" s="993">
        <f ca="1">SUM(H77:P77,F83)</f>
        <v>54</v>
      </c>
      <c r="T77" s="994"/>
      <c r="U77" s="995"/>
    </row>
    <row r="78" spans="1:25" ht="26.1" customHeight="1">
      <c r="A78" s="35"/>
      <c r="B78" s="35"/>
      <c r="E78" s="985"/>
      <c r="G78" s="621" t="s">
        <v>308</v>
      </c>
      <c r="H78" s="366" t="s">
        <v>132</v>
      </c>
      <c r="I78" s="366" t="s">
        <v>84</v>
      </c>
      <c r="J78" s="366" t="s">
        <v>85</v>
      </c>
      <c r="K78" s="366" t="s">
        <v>86</v>
      </c>
      <c r="L78" s="366"/>
      <c r="M78" s="366" t="s">
        <v>87</v>
      </c>
      <c r="N78" s="366" t="s">
        <v>88</v>
      </c>
      <c r="O78" s="366"/>
      <c r="P78" s="366"/>
      <c r="Q78" s="366"/>
      <c r="R78" s="366"/>
      <c r="S78" s="366"/>
      <c r="T78" s="366"/>
      <c r="U78" s="366"/>
    </row>
    <row r="79" spans="1:25" ht="26.1" customHeight="1">
      <c r="A79" s="35"/>
      <c r="B79" s="35"/>
      <c r="E79" s="985"/>
      <c r="G79" s="363" t="str">
        <f>"Vol. "&amp;IF(Dashboard!$C$31="4 Wochen","Woche 3",IF(Dashboard!$C$31="5 Wochen","Woche 4",IF(Dashboard!$C$31="6 Wochen","Woche 5",IF(Dashboard!$C$31="7 Wochen","Woche 6 ",IF(Dashboard!$C$31="8 Wochen","Woche 7","Dauer des Meso-Zyklus?")))))</f>
        <v>Vol. Woche 4</v>
      </c>
      <c r="H79" s="360">
        <f t="shared" ref="H79:R79" ca="1" si="5">IF(H74=0,"",IF((H$76/(MAX(H74,H75)))=0,"",(H$76/(MAX(H74,H75)))))</f>
        <v>1.2</v>
      </c>
      <c r="I79" s="360">
        <f t="shared" ca="1" si="5"/>
        <v>1.1875</v>
      </c>
      <c r="J79" s="360">
        <f t="shared" ca="1" si="5"/>
        <v>1.2142857142857142</v>
      </c>
      <c r="K79" s="360">
        <f t="shared" ca="1" si="5"/>
        <v>1.2</v>
      </c>
      <c r="L79" s="360" t="str">
        <f t="shared" ca="1" si="5"/>
        <v/>
      </c>
      <c r="M79" s="360">
        <f t="shared" ca="1" si="5"/>
        <v>1.2307692307692308</v>
      </c>
      <c r="N79" s="360">
        <f t="shared" ca="1" si="5"/>
        <v>1.1666666666666667</v>
      </c>
      <c r="O79" s="360">
        <f t="shared" ca="1" si="5"/>
        <v>1.4444444444444444</v>
      </c>
      <c r="P79" s="360">
        <f t="shared" ca="1" si="5"/>
        <v>1.3333333333333333</v>
      </c>
      <c r="Q79" s="360">
        <f t="shared" ca="1" si="5"/>
        <v>1.2</v>
      </c>
      <c r="R79" s="360" t="str">
        <f t="shared" ca="1" si="5"/>
        <v/>
      </c>
      <c r="S79" s="1010">
        <f ca="1">AVERAGE(H79:P79)</f>
        <v>1.2471249236874238</v>
      </c>
      <c r="T79" s="1011"/>
      <c r="U79" s="1012"/>
    </row>
    <row r="80" spans="1:25" ht="26.1" customHeight="1">
      <c r="A80" s="35"/>
      <c r="B80" s="35"/>
      <c r="E80" s="985"/>
      <c r="G80" s="364" t="str">
        <f>"Vol. "&amp;IF(Dashboard!$C$31="4 Wochen","Woche 4",IF(Dashboard!$C$31="5 Wochen","Woche 5",IF(Dashboard!$C$31="6 Wochen","Woche 6",IF(Dashboard!$C$31="7 Wochen","Woche 7",IF(Dashboard!$C$31="8 Wochen","Woche 8","Dauer des Meso-Zyklus?")))))</f>
        <v>Vol. Woche 5</v>
      </c>
      <c r="H80" s="620">
        <f t="shared" ref="H80:R80" ca="1" si="6">IF(H75=0,"",IF((H$77/(MAX(H74,H75)))=0,"",(H$77/(MAX(H74,H75)))))</f>
        <v>0.66666666666666663</v>
      </c>
      <c r="I80" s="620">
        <f t="shared" ca="1" si="6"/>
        <v>0.625</v>
      </c>
      <c r="J80" s="620">
        <f t="shared" ca="1" si="6"/>
        <v>0.42857142857142855</v>
      </c>
      <c r="K80" s="620">
        <f t="shared" ca="1" si="6"/>
        <v>0.5</v>
      </c>
      <c r="L80" s="620" t="str">
        <f t="shared" ca="1" si="6"/>
        <v/>
      </c>
      <c r="M80" s="620">
        <f t="shared" ca="1" si="6"/>
        <v>0.38461538461538464</v>
      </c>
      <c r="N80" s="620">
        <f t="shared" ca="1" si="6"/>
        <v>0.41666666666666669</v>
      </c>
      <c r="O80" s="620">
        <f t="shared" ca="1" si="6"/>
        <v>0.77777777777777779</v>
      </c>
      <c r="P80" s="620">
        <f t="shared" ca="1" si="6"/>
        <v>0.66666666666666663</v>
      </c>
      <c r="Q80" s="620" t="str">
        <f t="shared" ca="1" si="6"/>
        <v/>
      </c>
      <c r="R80" s="620">
        <f t="shared" ca="1" si="6"/>
        <v>1.7272727272727273</v>
      </c>
      <c r="S80" s="1007">
        <f ca="1">AVERAGE(H80:P80)</f>
        <v>0.55824557387057383</v>
      </c>
      <c r="T80" s="1008"/>
      <c r="U80" s="1009"/>
    </row>
    <row r="81" spans="1:25" ht="26.1" customHeight="1">
      <c r="A81" s="23"/>
      <c r="B81" s="34"/>
      <c r="E81" s="986"/>
      <c r="G81" s="358"/>
      <c r="H81" s="359"/>
      <c r="I81" s="359"/>
      <c r="J81" s="359"/>
      <c r="K81" s="359"/>
      <c r="L81" s="359"/>
      <c r="M81" s="359"/>
      <c r="N81" s="359"/>
      <c r="O81" s="359"/>
      <c r="P81" s="359"/>
      <c r="Q81" s="359"/>
      <c r="R81" s="359"/>
      <c r="S81" s="359"/>
      <c r="T81" s="359"/>
      <c r="U81" s="365"/>
      <c r="V81" s="38"/>
      <c r="W81" s="39"/>
      <c r="X81" s="38"/>
      <c r="Y81" s="39"/>
    </row>
    <row r="82" spans="1:25" ht="41.25" customHeight="1">
      <c r="A82" s="23"/>
      <c r="B82" s="23"/>
      <c r="C82" s="7"/>
      <c r="D82" s="7"/>
      <c r="E82" s="7"/>
      <c r="F82" s="8"/>
      <c r="G82" s="1002" t="s">
        <v>136</v>
      </c>
      <c r="H82" s="1003"/>
      <c r="I82" s="1003"/>
      <c r="J82" s="1003"/>
      <c r="K82" s="1003"/>
      <c r="L82" s="1003"/>
      <c r="M82" s="1003"/>
      <c r="N82" s="1003"/>
      <c r="O82" s="1003"/>
      <c r="P82" s="1003"/>
      <c r="Q82" s="1003"/>
      <c r="R82" s="1003"/>
      <c r="S82" s="1003"/>
      <c r="T82" s="1003"/>
      <c r="U82" s="1004"/>
      <c r="V82" s="7"/>
      <c r="W82" s="7"/>
      <c r="X82" s="7"/>
      <c r="Y82" s="7"/>
    </row>
    <row r="83" spans="1:25" ht="23.1" customHeight="1">
      <c r="A83" s="23"/>
      <c r="B83" s="23"/>
      <c r="C83" s="7"/>
      <c r="D83" s="7"/>
      <c r="E83" s="7"/>
      <c r="F83" s="8"/>
      <c r="G83" s="1005"/>
      <c r="H83" s="1003"/>
      <c r="I83" s="1003"/>
      <c r="J83" s="1003"/>
      <c r="K83" s="1003"/>
      <c r="L83" s="1003"/>
      <c r="M83" s="1003"/>
      <c r="N83" s="1003"/>
      <c r="O83" s="1003"/>
      <c r="P83" s="1003"/>
      <c r="Q83" s="1003"/>
      <c r="R83" s="1003"/>
      <c r="S83" s="1003"/>
      <c r="T83" s="1003"/>
      <c r="U83" s="1006"/>
      <c r="V83" s="7"/>
      <c r="W83" s="7"/>
      <c r="X83" s="7"/>
      <c r="Y83" s="7"/>
    </row>
    <row r="84" spans="1:25" ht="26.1" customHeight="1">
      <c r="A84" s="23"/>
      <c r="B84" s="23"/>
      <c r="C84" s="7"/>
      <c r="D84" s="7"/>
      <c r="E84" s="7"/>
      <c r="F84" s="8"/>
      <c r="G84" s="260" t="s">
        <v>91</v>
      </c>
      <c r="H84" s="274">
        <v>8</v>
      </c>
      <c r="I84" s="274">
        <v>8</v>
      </c>
      <c r="J84" s="274">
        <v>6</v>
      </c>
      <c r="K84" s="274">
        <v>0</v>
      </c>
      <c r="L84" s="274">
        <v>0</v>
      </c>
      <c r="M84" s="274" t="s">
        <v>239</v>
      </c>
      <c r="N84" s="274">
        <v>4</v>
      </c>
      <c r="O84" s="274">
        <v>6</v>
      </c>
      <c r="P84" s="274">
        <v>4</v>
      </c>
      <c r="Q84" s="274">
        <v>6</v>
      </c>
      <c r="R84" s="274">
        <v>0</v>
      </c>
      <c r="S84" s="1020" t="s">
        <v>285</v>
      </c>
      <c r="T84" s="1020"/>
      <c r="U84" s="271" t="str">
        <f>IF(Dashboard!$C$31="4 Wochen","Woche 4",IF(Dashboard!$C$31="5 Wochen","Woche 5",IF(Dashboard!$C$31="6 Wochen","Woche 6",IF(Dashboard!$C$31="7 Wochen","Woche 7",IF(Dashboard!$C$31="8 Wochen","Woche 8","Dauer des Meso-Zyklus?")))))</f>
        <v>Woche 5</v>
      </c>
      <c r="V84" s="7"/>
      <c r="W84" s="7"/>
      <c r="X84" s="7"/>
      <c r="Y84" s="7"/>
    </row>
    <row r="85" spans="1:25" ht="26.1" customHeight="1">
      <c r="A85" s="23"/>
      <c r="B85" s="23"/>
      <c r="C85" s="7"/>
      <c r="D85" s="7"/>
      <c r="E85" s="7"/>
      <c r="F85" s="8"/>
      <c r="G85" s="260" t="s">
        <v>94</v>
      </c>
      <c r="H85" s="275">
        <v>10</v>
      </c>
      <c r="I85" s="275">
        <v>10</v>
      </c>
      <c r="J85" s="275">
        <v>8</v>
      </c>
      <c r="K85" s="275">
        <v>6</v>
      </c>
      <c r="L85" s="275">
        <v>0</v>
      </c>
      <c r="M85" s="275">
        <v>8</v>
      </c>
      <c r="N85" s="275">
        <v>6</v>
      </c>
      <c r="O85" s="275">
        <v>8</v>
      </c>
      <c r="P85" s="275">
        <v>6</v>
      </c>
      <c r="Q85" s="275">
        <v>8</v>
      </c>
      <c r="R85" s="275">
        <v>0</v>
      </c>
      <c r="S85" s="1021" t="s">
        <v>287</v>
      </c>
      <c r="T85" s="1021"/>
      <c r="U85" s="271" t="s">
        <v>68</v>
      </c>
      <c r="V85" s="7"/>
      <c r="W85" s="7"/>
      <c r="X85" s="7"/>
      <c r="Y85" s="7"/>
    </row>
    <row r="86" spans="1:25" ht="26.1" customHeight="1">
      <c r="A86" s="23"/>
      <c r="B86" s="23"/>
      <c r="C86" s="7"/>
      <c r="D86" s="7"/>
      <c r="E86" s="7"/>
      <c r="F86" s="8"/>
      <c r="G86" s="260" t="s">
        <v>92</v>
      </c>
      <c r="H86" s="273" t="s">
        <v>241</v>
      </c>
      <c r="I86" s="273" t="s">
        <v>89</v>
      </c>
      <c r="J86" s="273" t="s">
        <v>90</v>
      </c>
      <c r="K86" s="273" t="s">
        <v>90</v>
      </c>
      <c r="L86" s="273" t="s">
        <v>158</v>
      </c>
      <c r="M86" s="273" t="s">
        <v>240</v>
      </c>
      <c r="N86" s="273" t="s">
        <v>242</v>
      </c>
      <c r="O86" s="273" t="s">
        <v>243</v>
      </c>
      <c r="P86" s="273" t="s">
        <v>244</v>
      </c>
      <c r="Q86" s="273" t="s">
        <v>157</v>
      </c>
      <c r="R86" s="273" t="s">
        <v>156</v>
      </c>
      <c r="S86" s="1001" t="s">
        <v>286</v>
      </c>
      <c r="T86" s="1001"/>
      <c r="U86" s="271" t="str">
        <f>IF(Dashboard!$C$31="4 Wochen","Woche 2 ",IF(Dashboard!$C$31="5 Wochen","Woche 2-3",IF(Dashboard!$C$31="6 Wochen","Woche 2-4: ",IF(Dashboard!$C$31="7 Wochen","Woche 2-5",IF(Dashboard!$C$31="8 Wochen","Woche 2-6","Dauer des Meso-Zyklus?")))))</f>
        <v>Woche 2-3</v>
      </c>
      <c r="V86" s="7"/>
      <c r="W86" s="7"/>
      <c r="X86" s="7"/>
      <c r="Y86" s="7"/>
    </row>
    <row r="87" spans="1:25" ht="26.1" customHeight="1">
      <c r="A87" s="23"/>
      <c r="B87" s="23"/>
      <c r="C87" s="7"/>
      <c r="D87" s="7"/>
      <c r="E87" s="7"/>
      <c r="F87" s="8"/>
      <c r="G87" s="260" t="s">
        <v>93</v>
      </c>
      <c r="H87" s="276">
        <v>22</v>
      </c>
      <c r="I87" s="276">
        <v>25</v>
      </c>
      <c r="J87" s="276">
        <v>26</v>
      </c>
      <c r="K87" s="277">
        <v>24</v>
      </c>
      <c r="L87" s="276">
        <v>26</v>
      </c>
      <c r="M87" s="276" t="s">
        <v>246</v>
      </c>
      <c r="N87" s="276" t="s">
        <v>245</v>
      </c>
      <c r="O87" s="276">
        <v>20</v>
      </c>
      <c r="P87" s="276">
        <v>20</v>
      </c>
      <c r="Q87" s="276">
        <v>20</v>
      </c>
      <c r="R87" s="276">
        <v>25</v>
      </c>
      <c r="S87" s="1015" t="s">
        <v>388</v>
      </c>
      <c r="T87" s="1015"/>
      <c r="U87" s="271" t="str">
        <f>IF(Dashboard!$C$31="4 Wochen","Woche 3",IF(Dashboard!$C$31="5 Wochen","Woche 4",IF(Dashboard!$C$31="6 Wochen","Woche 5",IF(Dashboard!$C$31="7 Wochen","Woche 6 ",IF(Dashboard!$C$31="8 Wochen","Woche 7","Dauer des Meso-Zyklus?")))))</f>
        <v>Woche 4</v>
      </c>
      <c r="V87" s="7"/>
      <c r="W87" s="7"/>
      <c r="X87" s="7"/>
      <c r="Y87" s="7"/>
    </row>
    <row r="88" spans="1:25" ht="26.1" customHeight="1">
      <c r="A88" s="23"/>
      <c r="B88" s="23"/>
      <c r="C88" s="7"/>
      <c r="D88" s="7"/>
      <c r="E88" s="7"/>
      <c r="F88" s="8"/>
      <c r="G88" s="261" t="s">
        <v>237</v>
      </c>
      <c r="H88" s="361">
        <v>22</v>
      </c>
      <c r="I88" s="361">
        <v>24</v>
      </c>
      <c r="J88" s="361">
        <v>19</v>
      </c>
      <c r="K88" s="361">
        <v>8</v>
      </c>
      <c r="L88" s="362"/>
      <c r="M88" s="361">
        <v>16</v>
      </c>
      <c r="N88" s="361">
        <v>14</v>
      </c>
      <c r="O88" s="361">
        <v>21</v>
      </c>
      <c r="P88" s="361">
        <v>21</v>
      </c>
      <c r="Q88" s="362"/>
      <c r="R88" s="362"/>
      <c r="S88" s="1016"/>
      <c r="T88" s="1016"/>
      <c r="U88" s="272"/>
      <c r="V88" s="7"/>
      <c r="W88" s="7"/>
      <c r="X88" s="7"/>
      <c r="Y88" s="7"/>
    </row>
    <row r="89" spans="1:25" ht="23.1" customHeight="1">
      <c r="A89" s="23"/>
      <c r="B89" s="23"/>
      <c r="C89" s="7"/>
      <c r="D89" s="7"/>
      <c r="E89" s="7"/>
      <c r="F89" s="7"/>
      <c r="G89" s="8"/>
      <c r="H89" s="8"/>
      <c r="I89" s="8"/>
      <c r="J89" s="8"/>
      <c r="K89" s="8"/>
      <c r="L89" s="8"/>
      <c r="M89" s="8"/>
      <c r="N89" s="8"/>
      <c r="O89" s="8"/>
      <c r="P89" s="8"/>
      <c r="Q89" s="8"/>
      <c r="R89" s="8"/>
      <c r="S89" s="8"/>
      <c r="T89" s="8"/>
      <c r="U89" s="7"/>
      <c r="V89" s="7"/>
      <c r="W89" s="7"/>
      <c r="X89" s="7"/>
      <c r="Y89" s="7"/>
    </row>
    <row r="90" spans="1:25" ht="19.7" customHeight="1">
      <c r="A90" s="23"/>
      <c r="B90" s="23"/>
      <c r="C90" s="7"/>
      <c r="D90" s="7"/>
      <c r="E90" s="7"/>
      <c r="F90" s="7"/>
      <c r="G90" s="7"/>
      <c r="H90" s="7"/>
      <c r="I90" s="7"/>
      <c r="J90" s="7"/>
      <c r="K90" s="7"/>
      <c r="L90" s="7"/>
      <c r="M90" s="7"/>
      <c r="N90" s="7"/>
      <c r="O90" s="7"/>
      <c r="P90" s="7"/>
      <c r="Q90" s="7"/>
      <c r="R90" s="7"/>
      <c r="S90" s="7"/>
      <c r="T90" s="7"/>
      <c r="U90" s="7"/>
      <c r="V90" s="7"/>
      <c r="W90" s="7"/>
      <c r="X90" s="7"/>
      <c r="Y90" s="7"/>
    </row>
    <row r="91" spans="1:25" ht="35.1" customHeight="1">
      <c r="A91" s="23"/>
      <c r="B91" s="23"/>
      <c r="C91" s="7"/>
      <c r="D91" s="7"/>
      <c r="E91" s="7"/>
      <c r="F91" s="7"/>
      <c r="G91" s="7"/>
      <c r="H91" s="7"/>
      <c r="I91" s="7"/>
      <c r="J91" s="7"/>
      <c r="K91" s="7"/>
      <c r="L91" s="7"/>
      <c r="M91" s="7"/>
      <c r="N91" s="7"/>
      <c r="O91" s="7"/>
      <c r="P91" s="7"/>
      <c r="Q91" s="8"/>
      <c r="R91" s="7"/>
      <c r="S91" s="7"/>
      <c r="T91" s="7"/>
      <c r="U91" s="7"/>
      <c r="V91" s="7"/>
      <c r="W91" s="7"/>
      <c r="X91" s="7"/>
      <c r="Y91" s="7"/>
    </row>
    <row r="92" spans="1:25" ht="35.1" customHeight="1">
      <c r="A92" s="23"/>
      <c r="B92" s="23"/>
      <c r="C92" s="7"/>
      <c r="D92" s="7"/>
      <c r="E92" s="7"/>
      <c r="F92" s="7"/>
      <c r="G92" s="7"/>
      <c r="H92" s="7"/>
      <c r="I92" s="7"/>
      <c r="J92" s="7"/>
      <c r="K92" s="7"/>
      <c r="L92" s="7"/>
      <c r="M92" s="7"/>
      <c r="N92" s="7"/>
      <c r="O92" s="7"/>
      <c r="P92" s="8"/>
      <c r="R92" s="8"/>
      <c r="S92" s="8"/>
      <c r="T92" s="8"/>
      <c r="U92" s="7"/>
      <c r="V92" s="7"/>
      <c r="W92" s="7"/>
      <c r="X92" s="7"/>
      <c r="Y92" s="7"/>
    </row>
    <row r="93" spans="1:25" ht="35.1" customHeight="1">
      <c r="A93" s="23"/>
      <c r="B93" s="23"/>
      <c r="C93" s="7"/>
      <c r="D93" s="7"/>
      <c r="E93" s="7"/>
      <c r="F93" s="7"/>
      <c r="G93" s="7"/>
      <c r="H93" s="7"/>
      <c r="I93" s="7"/>
      <c r="J93" s="7"/>
      <c r="K93" s="7"/>
      <c r="L93" s="7"/>
      <c r="M93" s="7"/>
      <c r="N93" s="7"/>
      <c r="O93" s="8"/>
      <c r="P93" s="1013" t="s">
        <v>307</v>
      </c>
      <c r="Q93" s="1013"/>
      <c r="R93" s="1013"/>
      <c r="S93" s="1013"/>
      <c r="T93" s="1013"/>
      <c r="V93" s="7"/>
      <c r="W93" s="7"/>
      <c r="X93" s="7"/>
      <c r="Y93" s="7"/>
    </row>
    <row r="94" spans="1:25" ht="35.1" customHeight="1">
      <c r="A94" s="23"/>
      <c r="B94" s="23"/>
      <c r="C94" s="7"/>
      <c r="D94" s="7"/>
      <c r="E94" s="7"/>
      <c r="F94" s="7"/>
      <c r="G94" s="7"/>
      <c r="H94" s="7"/>
      <c r="I94" s="7"/>
      <c r="J94" s="7"/>
      <c r="K94" s="7"/>
      <c r="L94" s="7"/>
      <c r="M94" s="7"/>
      <c r="N94" s="7"/>
      <c r="O94" s="210"/>
      <c r="P94" s="1013"/>
      <c r="Q94" s="1013"/>
      <c r="R94" s="1013"/>
      <c r="S94" s="1013"/>
      <c r="T94" s="1013"/>
      <c r="V94" s="7"/>
      <c r="W94" s="7"/>
      <c r="X94" s="7"/>
      <c r="Y94" s="7"/>
    </row>
    <row r="95" spans="1:25" ht="39.950000000000003" customHeight="1">
      <c r="A95" s="23"/>
      <c r="B95" s="23"/>
      <c r="C95" s="7"/>
      <c r="D95" s="7"/>
      <c r="E95" s="7"/>
      <c r="F95" s="7"/>
      <c r="G95" s="7"/>
      <c r="H95" s="7"/>
      <c r="I95" s="7"/>
      <c r="J95" s="7"/>
      <c r="K95" s="7"/>
      <c r="L95" s="7"/>
      <c r="M95" s="7"/>
      <c r="N95" s="7"/>
      <c r="O95" s="8"/>
      <c r="P95" s="40"/>
      <c r="Q95" s="357" t="str">
        <f>$U$85&amp;" Intro MEV"</f>
        <v>Woche 1 Intro MEV</v>
      </c>
      <c r="R95" s="357" t="str">
        <f>$U$86&amp;" MAV"</f>
        <v>Woche 2-3 MAV</v>
      </c>
      <c r="S95" s="357" t="str">
        <f>$U$87&amp;" MRV Overload"</f>
        <v>Woche 4 MRV Overload</v>
      </c>
      <c r="T95" s="357" t="str">
        <f>$U$84&amp;" MV Deload"</f>
        <v>Woche 5 MV Deload</v>
      </c>
      <c r="V95" s="7"/>
      <c r="W95" s="7"/>
      <c r="X95" s="7"/>
      <c r="Y95" s="7"/>
    </row>
    <row r="96" spans="1:25" ht="39.950000000000003" customHeight="1">
      <c r="A96" s="23"/>
      <c r="B96" s="23"/>
      <c r="C96" s="7"/>
      <c r="D96" s="7"/>
      <c r="E96" s="7"/>
      <c r="F96" s="7"/>
      <c r="G96" s="7"/>
      <c r="H96" s="7"/>
      <c r="I96" s="7"/>
      <c r="J96" s="7"/>
      <c r="K96" s="7"/>
      <c r="L96" s="41"/>
      <c r="M96" s="7"/>
      <c r="N96" s="7"/>
      <c r="O96" s="8"/>
      <c r="P96" s="366" t="s">
        <v>344</v>
      </c>
      <c r="Q96" s="43" t="s">
        <v>143</v>
      </c>
      <c r="R96" s="44">
        <v>1</v>
      </c>
      <c r="S96" s="44">
        <v>1.2</v>
      </c>
      <c r="T96" s="45">
        <v>0.6</v>
      </c>
      <c r="V96" s="628" t="str">
        <f>IF($T$97="","Empfehlungen","")</f>
        <v/>
      </c>
      <c r="W96" s="7"/>
      <c r="X96" s="7"/>
    </row>
    <row r="97" spans="1:25" ht="39.950000000000003" customHeight="1">
      <c r="A97" s="23"/>
      <c r="B97" s="23"/>
      <c r="C97" s="7"/>
      <c r="D97" s="7"/>
      <c r="E97" s="7"/>
      <c r="F97" s="7"/>
      <c r="G97" s="7"/>
      <c r="H97" s="7"/>
      <c r="I97" s="7"/>
      <c r="J97" s="7"/>
      <c r="K97" s="7"/>
      <c r="L97" s="7"/>
      <c r="M97" s="7"/>
      <c r="N97" s="7"/>
      <c r="O97" s="8"/>
      <c r="P97" s="366" t="s">
        <v>345</v>
      </c>
      <c r="Q97" s="262">
        <v>0.95</v>
      </c>
      <c r="R97" s="47">
        <v>1</v>
      </c>
      <c r="S97" s="48">
        <v>1</v>
      </c>
      <c r="T97" s="262">
        <v>0.7</v>
      </c>
      <c r="U97" s="625" t="str">
        <f>IF($T$97="","EINGEBEN",IF($T$97&lt;0.1,"Nur Werte über 10%",IF($T$97&gt;1.2,"ERROR","")))</f>
        <v/>
      </c>
      <c r="V97" s="626" t="str">
        <f>IF($T$97="","60-70%","")</f>
        <v/>
      </c>
    </row>
    <row r="98" spans="1:25" ht="39.950000000000003" customHeight="1">
      <c r="A98" s="23"/>
      <c r="B98" s="23"/>
      <c r="C98" s="7"/>
      <c r="D98" s="7"/>
      <c r="E98" s="7"/>
      <c r="F98" s="7"/>
      <c r="G98" s="7"/>
      <c r="H98" s="7"/>
      <c r="I98" s="7"/>
      <c r="J98" s="7"/>
      <c r="K98" s="7"/>
      <c r="L98" s="7"/>
      <c r="M98" s="7"/>
      <c r="N98" s="7"/>
      <c r="O98" s="8"/>
      <c r="P98" s="366" t="s">
        <v>346</v>
      </c>
      <c r="Q98" s="262">
        <v>0.95</v>
      </c>
      <c r="R98" s="49">
        <v>1</v>
      </c>
      <c r="S98" s="50">
        <v>1</v>
      </c>
      <c r="T98" s="262">
        <v>0.6</v>
      </c>
      <c r="U98" s="625" t="str">
        <f>IF($T$98="","EINGEBEN",IF($T$98&lt;0.1,"Nur Werte über 10%",IF($T$98&gt;1.2,"ERROR","")))</f>
        <v/>
      </c>
      <c r="V98" s="626" t="str">
        <f>IF($T$98="","60-70%","")</f>
        <v/>
      </c>
    </row>
    <row r="99" spans="1:25" ht="39.950000000000003" customHeight="1">
      <c r="A99" s="23"/>
      <c r="B99" s="23"/>
      <c r="C99" s="7"/>
      <c r="D99" s="7"/>
      <c r="E99" s="7"/>
      <c r="F99" s="7"/>
      <c r="G99" s="7"/>
      <c r="H99" s="7"/>
      <c r="I99" s="7"/>
      <c r="J99" s="7"/>
      <c r="K99" s="7"/>
      <c r="L99" s="7"/>
      <c r="M99" s="7"/>
      <c r="N99" s="7"/>
      <c r="O99" s="8"/>
      <c r="P99" s="42" t="s">
        <v>144</v>
      </c>
      <c r="Q99" s="367" t="s">
        <v>145</v>
      </c>
      <c r="R99" s="368">
        <v>2</v>
      </c>
      <c r="S99" s="368">
        <v>1</v>
      </c>
      <c r="T99" s="369" t="s">
        <v>142</v>
      </c>
      <c r="U99" s="8"/>
    </row>
    <row r="100" spans="1:25" ht="39.950000000000003" customHeight="1">
      <c r="A100" s="23"/>
      <c r="B100" s="23"/>
      <c r="C100" s="7"/>
      <c r="D100" s="7"/>
      <c r="E100" s="7"/>
      <c r="F100" s="7"/>
      <c r="G100" s="7"/>
      <c r="H100" s="7"/>
      <c r="I100" s="7"/>
      <c r="J100" s="7"/>
      <c r="K100" s="7"/>
      <c r="L100" s="7"/>
      <c r="M100" s="7"/>
      <c r="N100" s="7"/>
      <c r="O100" s="8"/>
      <c r="P100" s="42" t="s">
        <v>238</v>
      </c>
      <c r="Q100" s="238">
        <v>7</v>
      </c>
      <c r="R100" s="237">
        <v>8</v>
      </c>
      <c r="S100" s="237">
        <v>9</v>
      </c>
      <c r="T100" s="237">
        <v>6</v>
      </c>
      <c r="X100" s="627"/>
    </row>
    <row r="101" spans="1:25" ht="39.950000000000003" customHeight="1">
      <c r="A101" s="23"/>
      <c r="B101" s="23"/>
      <c r="C101" s="7"/>
      <c r="D101" s="7"/>
      <c r="E101" s="7"/>
      <c r="F101" s="7"/>
      <c r="G101" s="7"/>
      <c r="H101" s="7"/>
      <c r="I101" s="7"/>
      <c r="J101" s="7"/>
      <c r="K101" s="7"/>
      <c r="L101" s="7"/>
      <c r="M101" s="7"/>
      <c r="N101" s="7"/>
      <c r="O101" s="8"/>
      <c r="P101" s="42" t="s">
        <v>161</v>
      </c>
      <c r="Q101" s="46" t="s">
        <v>170</v>
      </c>
      <c r="R101" s="47" t="s">
        <v>347</v>
      </c>
      <c r="S101" s="47" t="s">
        <v>261</v>
      </c>
      <c r="T101" s="47" t="s">
        <v>171</v>
      </c>
    </row>
    <row r="102" spans="1:25" ht="35.1" customHeight="1">
      <c r="A102" s="23"/>
      <c r="B102" s="23"/>
      <c r="C102" s="7"/>
      <c r="D102" s="7"/>
      <c r="E102" s="7"/>
      <c r="F102" s="7"/>
      <c r="G102" s="7"/>
      <c r="H102" s="7"/>
      <c r="I102" s="7"/>
      <c r="J102" s="7"/>
      <c r="K102" s="7"/>
      <c r="L102" s="7"/>
      <c r="M102" s="7"/>
      <c r="N102" s="51"/>
      <c r="O102" s="52"/>
      <c r="Q102" s="53"/>
      <c r="R102" s="53"/>
      <c r="S102" s="53"/>
      <c r="T102" s="54"/>
    </row>
    <row r="103" spans="1:25" ht="35.1" customHeight="1">
      <c r="A103" s="23"/>
      <c r="B103" s="23"/>
      <c r="C103" s="7"/>
      <c r="D103" s="7"/>
      <c r="E103" s="7"/>
      <c r="F103" s="7"/>
      <c r="G103" s="7"/>
      <c r="H103" s="7"/>
      <c r="I103" s="7"/>
      <c r="J103" s="7"/>
      <c r="K103" s="7"/>
      <c r="L103" s="7"/>
      <c r="M103" s="7"/>
      <c r="N103" s="7"/>
      <c r="O103" s="8"/>
      <c r="P103" s="55"/>
      <c r="Q103" s="56"/>
      <c r="R103" s="7"/>
      <c r="S103" s="7"/>
    </row>
    <row r="104" spans="1:25" ht="19.5" customHeight="1">
      <c r="A104" s="23"/>
      <c r="B104" s="23"/>
      <c r="C104" s="7"/>
      <c r="D104" s="7"/>
      <c r="E104" s="7"/>
      <c r="F104" s="7"/>
      <c r="G104" s="7"/>
      <c r="H104" s="7"/>
      <c r="I104" s="7"/>
      <c r="J104" s="7"/>
      <c r="K104" s="7"/>
      <c r="L104" s="7"/>
      <c r="M104" s="7"/>
      <c r="N104" s="7"/>
      <c r="O104" s="8"/>
      <c r="P104" s="57"/>
      <c r="Q104" s="55"/>
      <c r="U104" s="7"/>
    </row>
    <row r="105" spans="1:25" ht="19.5" customHeight="1">
      <c r="A105" s="23"/>
      <c r="B105" s="23"/>
      <c r="C105" s="7"/>
      <c r="D105" s="7"/>
      <c r="E105" s="7"/>
      <c r="F105" s="7"/>
      <c r="G105" s="7"/>
      <c r="H105" s="7"/>
      <c r="I105" s="7"/>
      <c r="J105" s="7"/>
      <c r="K105" s="7"/>
      <c r="L105" s="7"/>
      <c r="M105" s="7"/>
      <c r="N105" s="7"/>
      <c r="O105" s="8"/>
      <c r="P105" s="57"/>
      <c r="Q105" s="58"/>
      <c r="T105" s="8"/>
      <c r="U105" s="7"/>
    </row>
    <row r="106" spans="1:25" ht="19.5" customHeight="1">
      <c r="A106" s="23"/>
      <c r="B106" s="23"/>
      <c r="C106" s="7"/>
      <c r="D106" s="7"/>
      <c r="E106" s="7"/>
      <c r="F106" s="7"/>
      <c r="G106" s="7"/>
      <c r="H106" s="7"/>
      <c r="I106" s="7"/>
      <c r="J106" s="7"/>
      <c r="K106" s="7"/>
      <c r="L106" s="7"/>
      <c r="M106" s="7"/>
      <c r="N106" s="7"/>
      <c r="O106" s="8"/>
      <c r="P106" s="57"/>
      <c r="Q106" s="56"/>
      <c r="T106" s="7"/>
      <c r="U106" s="7"/>
    </row>
    <row r="107" spans="1:25" ht="19.5" customHeight="1">
      <c r="A107" s="23"/>
      <c r="B107" s="23"/>
      <c r="C107" s="7"/>
      <c r="D107" s="7"/>
      <c r="E107" s="7"/>
      <c r="F107" s="7"/>
      <c r="G107" s="7"/>
      <c r="H107" s="7"/>
      <c r="I107" s="7"/>
      <c r="J107" s="7"/>
      <c r="K107" s="7"/>
      <c r="L107" s="7"/>
      <c r="M107" s="7"/>
      <c r="N107" s="7"/>
      <c r="O107" s="8"/>
      <c r="P107" s="57"/>
      <c r="Q107" s="56"/>
      <c r="R107" s="7"/>
      <c r="S107" s="7"/>
      <c r="T107" s="7"/>
      <c r="U107" s="7"/>
      <c r="X107" s="7"/>
    </row>
    <row r="108" spans="1:25" ht="19.5" customHeight="1">
      <c r="A108" s="23"/>
      <c r="B108" s="23"/>
      <c r="C108" s="7"/>
      <c r="D108" s="7"/>
      <c r="E108" s="7"/>
      <c r="F108" s="7"/>
      <c r="G108" s="7"/>
      <c r="H108" s="7"/>
      <c r="I108" s="7"/>
      <c r="J108" s="7"/>
      <c r="K108" s="7"/>
      <c r="L108" s="7"/>
      <c r="M108" s="7"/>
      <c r="N108" s="7"/>
      <c r="O108" s="8"/>
      <c r="P108" s="59"/>
      <c r="Q108" s="56"/>
      <c r="X108" s="7"/>
    </row>
    <row r="109" spans="1:25" ht="19.5" customHeight="1">
      <c r="A109" s="23"/>
      <c r="B109" s="23"/>
      <c r="C109" s="7"/>
      <c r="D109" s="7"/>
      <c r="E109" s="7"/>
      <c r="F109" s="7"/>
      <c r="G109" s="7"/>
      <c r="H109" s="7"/>
      <c r="I109" s="7"/>
      <c r="J109" s="7"/>
      <c r="K109" s="7"/>
      <c r="L109" s="7"/>
      <c r="M109" s="7"/>
      <c r="N109" s="7"/>
      <c r="O109" s="7"/>
      <c r="P109" s="56"/>
      <c r="Q109" s="55"/>
      <c r="R109" s="7"/>
      <c r="X109" s="7"/>
    </row>
    <row r="110" spans="1:25" ht="19.5" customHeight="1">
      <c r="A110" s="23"/>
      <c r="B110" s="23"/>
      <c r="C110" s="7"/>
      <c r="D110" s="7"/>
      <c r="E110" s="7"/>
      <c r="F110" s="7"/>
      <c r="G110" s="7"/>
      <c r="H110" s="7"/>
      <c r="I110" s="7"/>
      <c r="J110" s="7"/>
      <c r="K110" s="7"/>
      <c r="L110" s="7"/>
      <c r="M110" s="7"/>
      <c r="N110" s="7"/>
      <c r="O110" s="7"/>
      <c r="P110" s="7"/>
      <c r="R110" s="7"/>
      <c r="S110" s="7"/>
      <c r="T110" s="7"/>
      <c r="U110" s="7"/>
      <c r="X110" s="7"/>
    </row>
    <row r="111" spans="1:25" ht="19.5" customHeight="1">
      <c r="A111" s="23"/>
      <c r="B111" s="23"/>
      <c r="C111" s="7"/>
      <c r="D111" s="7"/>
      <c r="E111" s="7"/>
      <c r="F111" s="7"/>
      <c r="G111" s="7"/>
      <c r="H111" s="7"/>
      <c r="I111" s="7"/>
      <c r="J111" s="7"/>
      <c r="K111" s="7"/>
      <c r="L111" s="7"/>
      <c r="M111" s="7"/>
      <c r="N111" s="7"/>
      <c r="O111" s="7"/>
      <c r="P111" s="7"/>
      <c r="R111" s="7"/>
      <c r="X111" s="7"/>
    </row>
    <row r="112" spans="1:25" ht="19.5" customHeight="1">
      <c r="A112" s="60"/>
      <c r="B112" s="23"/>
      <c r="C112" s="7"/>
      <c r="D112" s="7"/>
      <c r="E112" s="7"/>
      <c r="F112" s="7"/>
      <c r="G112" s="7"/>
      <c r="H112" s="7"/>
      <c r="I112" s="7"/>
      <c r="J112" s="7"/>
      <c r="K112" s="7"/>
      <c r="L112" s="7"/>
      <c r="M112" s="7"/>
      <c r="N112" s="7"/>
      <c r="O112" s="7"/>
      <c r="P112" s="7"/>
      <c r="Q112" s="7"/>
      <c r="R112" s="7"/>
      <c r="S112" s="7"/>
      <c r="T112" s="7"/>
      <c r="U112" s="7"/>
      <c r="V112" s="7"/>
      <c r="W112" s="7"/>
      <c r="X112" s="7"/>
      <c r="Y112" s="7"/>
    </row>
    <row r="113" spans="1:25" ht="19.5" customHeight="1">
      <c r="A113" s="23"/>
      <c r="B113" s="23"/>
      <c r="C113" s="7"/>
      <c r="D113" s="7"/>
      <c r="E113" s="7"/>
      <c r="F113" s="7"/>
      <c r="G113" s="7"/>
      <c r="H113" s="7"/>
      <c r="I113" s="7"/>
      <c r="J113" s="7"/>
      <c r="K113" s="7"/>
      <c r="L113" s="7"/>
      <c r="M113" s="7"/>
      <c r="N113" s="7"/>
      <c r="O113" s="7"/>
      <c r="P113" s="7"/>
      <c r="Q113" s="7"/>
      <c r="R113" s="7"/>
      <c r="S113" s="7"/>
      <c r="T113" s="7"/>
      <c r="U113" s="7"/>
      <c r="V113" s="7"/>
      <c r="W113" s="7"/>
      <c r="X113" s="7"/>
      <c r="Y113" s="7"/>
    </row>
    <row r="114" spans="1:25" ht="19.5" customHeight="1">
      <c r="A114" s="23"/>
      <c r="B114" s="23"/>
      <c r="C114" s="7"/>
      <c r="D114" s="7"/>
      <c r="E114" s="7"/>
      <c r="F114" s="7"/>
      <c r="G114" s="7"/>
      <c r="H114" s="7"/>
      <c r="I114" s="7"/>
      <c r="J114" s="7"/>
      <c r="K114" s="7"/>
      <c r="L114" s="7"/>
      <c r="M114" s="7"/>
      <c r="N114" s="7"/>
      <c r="O114" s="7"/>
      <c r="P114" s="7"/>
      <c r="Q114" s="7"/>
      <c r="R114" s="7"/>
      <c r="S114" s="7"/>
      <c r="T114" s="7"/>
      <c r="U114" s="7"/>
      <c r="V114" s="7"/>
      <c r="W114" s="7"/>
      <c r="X114" s="7"/>
      <c r="Y114" s="7"/>
    </row>
    <row r="115" spans="1:25" ht="19.5" customHeight="1">
      <c r="A115" s="23"/>
      <c r="B115" s="23"/>
      <c r="C115" s="7"/>
      <c r="D115" s="7"/>
      <c r="E115" s="7"/>
      <c r="F115" s="7"/>
      <c r="G115" s="7"/>
      <c r="H115" s="7"/>
      <c r="I115" s="7"/>
      <c r="J115" s="7"/>
      <c r="K115" s="7"/>
      <c r="L115" s="7"/>
      <c r="M115" s="7"/>
      <c r="N115" s="7"/>
      <c r="O115" s="7"/>
      <c r="P115" s="7"/>
      <c r="Q115" s="7"/>
      <c r="R115" s="7"/>
      <c r="S115" s="7"/>
      <c r="T115" s="7"/>
      <c r="U115" s="7"/>
      <c r="V115" s="7"/>
      <c r="W115" s="7"/>
      <c r="X115" s="7"/>
      <c r="Y115" s="7"/>
    </row>
    <row r="116" spans="1:25" ht="19.5" customHeight="1">
      <c r="A116" s="23"/>
      <c r="B116" s="23"/>
      <c r="C116" s="7"/>
      <c r="D116" s="7"/>
      <c r="E116" s="7"/>
      <c r="F116" s="7"/>
      <c r="G116" s="7"/>
      <c r="H116" s="7"/>
      <c r="I116" s="7"/>
      <c r="J116" s="7"/>
      <c r="K116" s="7"/>
      <c r="L116" s="7"/>
      <c r="M116" s="7"/>
      <c r="N116" s="7"/>
      <c r="O116" s="7"/>
      <c r="P116" s="7"/>
      <c r="Q116" s="7"/>
      <c r="R116" s="7"/>
      <c r="S116" s="7"/>
      <c r="T116" s="7"/>
      <c r="U116" s="7"/>
      <c r="V116" s="7"/>
      <c r="W116" s="7"/>
      <c r="X116" s="7"/>
      <c r="Y116" s="7"/>
    </row>
    <row r="117" spans="1:25" ht="19.5" customHeight="1">
      <c r="A117" s="23"/>
      <c r="B117" s="23"/>
      <c r="C117" s="7"/>
      <c r="D117" s="7"/>
      <c r="E117" s="7"/>
      <c r="F117" s="7"/>
      <c r="G117" s="7"/>
      <c r="H117" s="7"/>
      <c r="I117" s="7"/>
      <c r="J117" s="7"/>
      <c r="K117" s="7"/>
      <c r="L117" s="7"/>
      <c r="M117" s="7"/>
      <c r="N117" s="7"/>
      <c r="O117" s="7"/>
      <c r="P117" s="7"/>
      <c r="Q117" s="7"/>
      <c r="R117" s="7"/>
      <c r="S117" s="7"/>
      <c r="T117" s="7"/>
      <c r="U117" s="7"/>
      <c r="V117" s="7"/>
      <c r="W117" s="7"/>
      <c r="X117" s="7"/>
      <c r="Y117" s="7"/>
    </row>
    <row r="118" spans="1:25" ht="19.5" customHeight="1">
      <c r="A118" s="23"/>
      <c r="B118" s="23"/>
      <c r="C118" s="7"/>
      <c r="D118" s="7"/>
      <c r="E118" s="7"/>
      <c r="F118" s="7"/>
      <c r="G118" s="7"/>
      <c r="H118" s="7"/>
      <c r="I118" s="7"/>
      <c r="J118" s="7"/>
      <c r="K118" s="7"/>
      <c r="L118" s="7"/>
      <c r="M118" s="7"/>
      <c r="N118" s="7"/>
      <c r="O118" s="7"/>
      <c r="P118" s="7"/>
      <c r="Q118" s="7"/>
      <c r="R118" s="7"/>
      <c r="S118" s="7"/>
      <c r="T118" s="7"/>
      <c r="U118" s="7"/>
      <c r="V118" s="7"/>
      <c r="W118" s="7"/>
      <c r="X118" s="7"/>
      <c r="Y118" s="7"/>
    </row>
    <row r="119" spans="1:25" ht="19.5" customHeight="1">
      <c r="A119" s="23"/>
      <c r="B119" s="23"/>
      <c r="C119" s="7"/>
      <c r="D119" s="7"/>
      <c r="E119" s="7"/>
      <c r="F119" s="7"/>
      <c r="G119" s="7"/>
      <c r="H119" s="7"/>
      <c r="I119" s="7"/>
      <c r="J119" s="7"/>
      <c r="K119" s="7"/>
      <c r="L119" s="7"/>
      <c r="M119" s="7"/>
      <c r="N119" s="7"/>
      <c r="O119" s="7"/>
      <c r="P119" s="7"/>
      <c r="Q119" s="7"/>
      <c r="R119" s="7"/>
      <c r="S119" s="7"/>
      <c r="T119" s="7"/>
      <c r="U119" s="7"/>
      <c r="V119" s="7"/>
      <c r="W119" s="7"/>
      <c r="X119" s="7"/>
      <c r="Y119" s="7"/>
    </row>
    <row r="120" spans="1:25" ht="19.5" customHeight="1">
      <c r="A120" s="23"/>
      <c r="B120" s="23"/>
      <c r="C120" s="7"/>
      <c r="D120" s="7"/>
      <c r="E120" s="7"/>
      <c r="F120" s="7"/>
      <c r="G120" s="7"/>
      <c r="H120" s="7"/>
      <c r="I120" s="7"/>
      <c r="J120" s="7"/>
      <c r="K120" s="7"/>
      <c r="L120" s="7"/>
      <c r="M120" s="7"/>
      <c r="N120" s="7"/>
      <c r="O120" s="7"/>
      <c r="P120" s="7"/>
      <c r="Q120" s="7"/>
      <c r="R120" s="7"/>
      <c r="S120" s="7"/>
      <c r="T120" s="7"/>
      <c r="U120" s="7"/>
      <c r="V120" s="7"/>
      <c r="W120" s="7"/>
      <c r="X120" s="7"/>
      <c r="Y120" s="7"/>
    </row>
    <row r="121" spans="1:25" ht="19.5" customHeight="1">
      <c r="A121" s="23"/>
      <c r="B121" s="23"/>
      <c r="C121" s="7"/>
      <c r="D121" s="7"/>
      <c r="E121" s="7"/>
      <c r="F121" s="7"/>
      <c r="G121" s="7"/>
      <c r="H121" s="7"/>
      <c r="I121" s="7"/>
      <c r="J121" s="7"/>
      <c r="K121" s="7"/>
      <c r="L121" s="7"/>
      <c r="M121" s="7"/>
      <c r="N121" s="7"/>
      <c r="O121" s="7"/>
      <c r="P121" s="7"/>
      <c r="Q121" s="7"/>
      <c r="R121" s="7"/>
      <c r="S121" s="7"/>
      <c r="T121" s="7"/>
      <c r="U121" s="7"/>
      <c r="V121" s="7"/>
      <c r="W121" s="7"/>
      <c r="X121" s="7"/>
      <c r="Y121" s="7"/>
    </row>
    <row r="122" spans="1:25" ht="19.5" customHeight="1">
      <c r="A122" s="23"/>
      <c r="B122" s="23"/>
      <c r="C122" s="7"/>
      <c r="D122" s="7"/>
      <c r="E122" s="7"/>
      <c r="F122" s="7"/>
      <c r="G122" s="7"/>
      <c r="H122" s="7"/>
      <c r="I122" s="7"/>
      <c r="J122" s="7"/>
      <c r="K122" s="7"/>
      <c r="L122" s="7"/>
      <c r="M122" s="7"/>
      <c r="N122" s="7"/>
      <c r="O122" s="7"/>
      <c r="P122" s="7"/>
      <c r="Q122" s="7"/>
      <c r="R122" s="7"/>
      <c r="S122" s="7"/>
      <c r="T122" s="7"/>
      <c r="U122" s="7"/>
      <c r="V122" s="7"/>
      <c r="W122" s="7"/>
      <c r="X122" s="7"/>
      <c r="Y122" s="7"/>
    </row>
    <row r="123" spans="1:25" ht="19.5" customHeight="1">
      <c r="A123" s="23"/>
      <c r="B123" s="23"/>
      <c r="C123" s="7"/>
      <c r="D123" s="7"/>
      <c r="E123" s="7"/>
      <c r="F123" s="7"/>
      <c r="G123" s="7"/>
      <c r="H123" s="7"/>
      <c r="I123" s="7"/>
      <c r="J123" s="7"/>
      <c r="K123" s="7"/>
      <c r="L123" s="7"/>
      <c r="M123" s="7"/>
      <c r="N123" s="7"/>
      <c r="O123" s="7"/>
      <c r="P123" s="7"/>
      <c r="Q123" s="7"/>
      <c r="R123" s="7"/>
      <c r="S123" s="7"/>
      <c r="T123" s="7"/>
      <c r="U123" s="7"/>
      <c r="V123" s="7"/>
      <c r="W123" s="7"/>
      <c r="X123" s="7"/>
      <c r="Y123" s="7"/>
    </row>
    <row r="124" spans="1:25" ht="19.5" customHeight="1">
      <c r="A124" s="23"/>
      <c r="B124" s="23"/>
      <c r="C124" s="7"/>
      <c r="D124" s="7"/>
      <c r="E124" s="7"/>
      <c r="F124" s="7"/>
      <c r="G124" s="7"/>
      <c r="H124" s="7"/>
      <c r="I124" s="7"/>
      <c r="J124" s="7"/>
      <c r="K124" s="7"/>
      <c r="L124" s="7"/>
      <c r="M124" s="7"/>
      <c r="N124" s="7"/>
      <c r="O124" s="7"/>
      <c r="P124" s="7"/>
      <c r="Q124" s="7"/>
      <c r="R124" s="7"/>
      <c r="S124" s="7"/>
      <c r="T124" s="7"/>
      <c r="U124" s="7"/>
      <c r="V124" s="7"/>
      <c r="W124" s="7"/>
      <c r="X124" s="7"/>
      <c r="Y124" s="7"/>
    </row>
    <row r="125" spans="1:25" ht="19.5" customHeight="1">
      <c r="A125" s="23"/>
      <c r="B125" s="23"/>
      <c r="C125" s="7"/>
      <c r="D125" s="7"/>
      <c r="E125" s="7"/>
      <c r="F125" s="7"/>
      <c r="G125" s="7"/>
      <c r="H125" s="7"/>
      <c r="I125" s="7"/>
      <c r="J125" s="7"/>
      <c r="K125" s="7"/>
      <c r="L125" s="7"/>
      <c r="M125" s="7"/>
      <c r="N125" s="7"/>
      <c r="O125" s="7"/>
      <c r="P125" s="7"/>
      <c r="Q125" s="7"/>
      <c r="R125" s="7"/>
      <c r="S125" s="7"/>
      <c r="T125" s="7"/>
      <c r="U125" s="7"/>
      <c r="V125" s="7"/>
      <c r="W125" s="7"/>
      <c r="X125" s="7"/>
      <c r="Y125" s="7"/>
    </row>
    <row r="126" spans="1:25" ht="19.5" customHeight="1">
      <c r="A126" s="23"/>
      <c r="B126" s="23"/>
      <c r="C126" s="7"/>
      <c r="D126" s="7"/>
      <c r="E126" s="7"/>
      <c r="F126" s="7"/>
      <c r="G126" s="7"/>
      <c r="H126" s="7"/>
      <c r="I126" s="7"/>
      <c r="J126" s="7"/>
      <c r="K126" s="7"/>
      <c r="L126" s="7"/>
      <c r="M126" s="7"/>
      <c r="N126" s="7"/>
      <c r="O126" s="7"/>
      <c r="P126" s="7"/>
      <c r="Q126" s="7"/>
      <c r="R126" s="7"/>
      <c r="S126" s="7"/>
      <c r="T126" s="7"/>
      <c r="U126" s="7"/>
      <c r="V126" s="7"/>
      <c r="W126" s="7"/>
      <c r="X126" s="7"/>
      <c r="Y126" s="7"/>
    </row>
    <row r="127" spans="1:25" ht="19.5" customHeight="1">
      <c r="A127" s="23"/>
      <c r="B127" s="23"/>
      <c r="C127" s="7"/>
      <c r="D127" s="7"/>
      <c r="E127" s="7"/>
      <c r="F127" s="7"/>
      <c r="G127" s="7"/>
      <c r="H127" s="7"/>
      <c r="I127" s="7"/>
      <c r="J127" s="7"/>
      <c r="K127" s="7"/>
      <c r="L127" s="7"/>
      <c r="M127" s="7"/>
      <c r="N127" s="7"/>
      <c r="O127" s="7"/>
      <c r="P127" s="7"/>
      <c r="Q127" s="7"/>
      <c r="R127" s="7"/>
      <c r="S127" s="7"/>
      <c r="T127" s="7"/>
      <c r="U127" s="7"/>
      <c r="V127" s="7"/>
      <c r="W127" s="7"/>
      <c r="X127" s="7"/>
      <c r="Y127" s="7"/>
    </row>
    <row r="128" spans="1:25" ht="19.5" customHeight="1">
      <c r="A128" s="23"/>
      <c r="B128" s="23"/>
      <c r="C128" s="7"/>
      <c r="D128" s="7"/>
      <c r="E128" s="7"/>
      <c r="F128" s="7"/>
      <c r="G128" s="7"/>
      <c r="H128" s="7"/>
      <c r="I128" s="7"/>
      <c r="J128" s="7"/>
      <c r="K128" s="7"/>
      <c r="L128" s="7"/>
      <c r="M128" s="7"/>
      <c r="N128" s="7"/>
      <c r="O128" s="7"/>
      <c r="P128" s="7"/>
      <c r="Q128" s="7"/>
      <c r="R128" s="7"/>
      <c r="S128" s="7"/>
      <c r="T128" s="7"/>
      <c r="U128" s="7"/>
      <c r="V128" s="7"/>
      <c r="W128" s="7"/>
      <c r="X128" s="7"/>
      <c r="Y128" s="7"/>
    </row>
    <row r="129" spans="1:25" ht="19.5" customHeight="1">
      <c r="A129" s="23"/>
      <c r="B129" s="23"/>
      <c r="C129" s="7"/>
      <c r="D129" s="7"/>
      <c r="E129" s="7"/>
      <c r="F129" s="7"/>
      <c r="G129" s="7"/>
      <c r="H129" s="7"/>
      <c r="I129" s="7"/>
      <c r="J129" s="7"/>
      <c r="K129" s="7"/>
      <c r="L129" s="7"/>
      <c r="M129" s="7"/>
      <c r="N129" s="7"/>
      <c r="O129" s="7"/>
      <c r="P129" s="7"/>
      <c r="Q129" s="7"/>
      <c r="R129" s="7"/>
      <c r="S129" s="7"/>
      <c r="T129" s="7"/>
      <c r="U129" s="7"/>
      <c r="V129" s="7"/>
      <c r="W129" s="7"/>
      <c r="X129" s="7"/>
      <c r="Y129" s="7"/>
    </row>
    <row r="130" spans="1:25" ht="19.5" customHeight="1">
      <c r="A130" s="23"/>
      <c r="B130" s="23"/>
      <c r="C130" s="7"/>
      <c r="D130" s="7"/>
      <c r="E130" s="7"/>
      <c r="F130" s="7"/>
      <c r="G130" s="7"/>
      <c r="H130" s="7"/>
      <c r="I130" s="7"/>
      <c r="J130" s="7"/>
      <c r="K130" s="7"/>
      <c r="L130" s="7"/>
      <c r="M130" s="7"/>
      <c r="N130" s="7"/>
      <c r="O130" s="7"/>
      <c r="P130" s="7"/>
      <c r="Q130" s="7"/>
      <c r="R130" s="7"/>
      <c r="S130" s="7"/>
      <c r="T130" s="7"/>
      <c r="U130" s="7"/>
      <c r="V130" s="7"/>
      <c r="W130" s="7"/>
      <c r="X130" s="7"/>
      <c r="Y130" s="7"/>
    </row>
    <row r="131" spans="1:25" ht="19.5" customHeight="1">
      <c r="A131" s="23"/>
      <c r="B131" s="23"/>
      <c r="C131" s="7"/>
      <c r="D131" s="7"/>
      <c r="E131" s="7"/>
      <c r="F131" s="7"/>
      <c r="G131" s="7"/>
      <c r="H131" s="7"/>
      <c r="I131" s="7"/>
      <c r="J131" s="7"/>
      <c r="K131" s="7"/>
      <c r="L131" s="7"/>
      <c r="M131" s="7"/>
      <c r="N131" s="7"/>
      <c r="O131" s="7"/>
      <c r="P131" s="7"/>
      <c r="Q131" s="7"/>
      <c r="R131" s="7"/>
      <c r="S131" s="7"/>
      <c r="T131" s="7"/>
      <c r="U131" s="7"/>
      <c r="V131" s="7"/>
      <c r="W131" s="7"/>
      <c r="X131" s="7"/>
      <c r="Y131" s="7"/>
    </row>
    <row r="132" spans="1:25" ht="19.5" customHeight="1">
      <c r="A132" s="23"/>
      <c r="B132" s="23"/>
      <c r="C132" s="7"/>
      <c r="D132" s="7"/>
      <c r="E132" s="7"/>
      <c r="F132" s="7"/>
      <c r="G132" s="7"/>
      <c r="H132" s="7"/>
      <c r="I132" s="7"/>
      <c r="J132" s="7"/>
      <c r="K132" s="7"/>
      <c r="L132" s="7"/>
      <c r="M132" s="7"/>
      <c r="N132" s="7"/>
      <c r="O132" s="7"/>
      <c r="P132" s="7"/>
      <c r="Q132" s="7"/>
      <c r="R132" s="7"/>
      <c r="S132" s="7"/>
      <c r="T132" s="7"/>
      <c r="U132" s="7"/>
      <c r="V132" s="7"/>
      <c r="W132" s="7"/>
      <c r="X132" s="7"/>
      <c r="Y132" s="7"/>
    </row>
    <row r="133" spans="1:25" ht="19.5" customHeight="1">
      <c r="A133" s="23"/>
      <c r="B133" s="23"/>
      <c r="C133" s="7"/>
      <c r="D133" s="7"/>
      <c r="E133" s="7"/>
      <c r="F133" s="7"/>
      <c r="G133" s="7"/>
      <c r="H133" s="7"/>
      <c r="I133" s="7"/>
      <c r="J133" s="7"/>
      <c r="K133" s="7"/>
      <c r="L133" s="7"/>
      <c r="M133" s="7"/>
      <c r="N133" s="7"/>
      <c r="O133" s="7"/>
      <c r="P133" s="7"/>
      <c r="Q133" s="7"/>
      <c r="R133" s="7"/>
      <c r="S133" s="7"/>
      <c r="T133" s="7"/>
      <c r="U133" s="7"/>
      <c r="V133" s="7"/>
      <c r="W133" s="7"/>
      <c r="X133" s="7"/>
      <c r="Y133" s="7"/>
    </row>
    <row r="134" spans="1:25" ht="19.5" customHeight="1">
      <c r="A134" s="23"/>
      <c r="B134" s="23"/>
      <c r="C134" s="7"/>
      <c r="D134" s="7"/>
      <c r="E134" s="7"/>
      <c r="F134" s="7"/>
      <c r="G134" s="7"/>
      <c r="H134" s="7"/>
      <c r="I134" s="7"/>
      <c r="J134" s="7"/>
      <c r="K134" s="7"/>
      <c r="L134" s="7"/>
      <c r="M134" s="7"/>
      <c r="N134" s="7"/>
      <c r="O134" s="7"/>
      <c r="P134" s="7"/>
      <c r="Q134" s="7"/>
      <c r="R134" s="7"/>
      <c r="S134" s="7"/>
      <c r="T134" s="7"/>
      <c r="U134" s="7"/>
      <c r="V134" s="7"/>
      <c r="W134" s="7"/>
      <c r="X134" s="7"/>
      <c r="Y134" s="7"/>
    </row>
    <row r="135" spans="1:25" ht="19.5" customHeight="1">
      <c r="A135" s="23"/>
      <c r="B135" s="23"/>
      <c r="C135" s="7"/>
      <c r="D135" s="7"/>
      <c r="E135" s="7"/>
      <c r="F135" s="7"/>
      <c r="G135" s="7"/>
      <c r="H135" s="7"/>
      <c r="I135" s="7"/>
      <c r="J135" s="7"/>
      <c r="K135" s="7"/>
      <c r="L135" s="7"/>
      <c r="M135" s="7"/>
      <c r="N135" s="7"/>
      <c r="O135" s="7"/>
      <c r="P135" s="7"/>
      <c r="Q135" s="7"/>
      <c r="R135" s="7"/>
      <c r="S135" s="7"/>
      <c r="T135" s="7"/>
      <c r="U135" s="7"/>
      <c r="V135" s="7"/>
      <c r="W135" s="7"/>
      <c r="X135" s="7"/>
      <c r="Y135" s="7"/>
    </row>
    <row r="136" spans="1:25" ht="19.5" customHeight="1">
      <c r="A136" s="23"/>
      <c r="B136" s="23"/>
      <c r="C136" s="7"/>
      <c r="D136" s="7"/>
      <c r="E136" s="7"/>
      <c r="F136" s="7"/>
      <c r="G136" s="7"/>
      <c r="H136" s="7"/>
      <c r="I136" s="7"/>
      <c r="J136" s="7"/>
      <c r="K136" s="7"/>
      <c r="L136" s="7"/>
      <c r="M136" s="7"/>
      <c r="N136" s="7"/>
      <c r="O136" s="7"/>
      <c r="P136" s="7"/>
      <c r="Q136" s="7"/>
      <c r="R136" s="7"/>
      <c r="S136" s="7"/>
      <c r="T136" s="7"/>
      <c r="U136" s="7"/>
      <c r="V136" s="7"/>
      <c r="W136" s="7"/>
      <c r="X136" s="7"/>
      <c r="Y136" s="7"/>
    </row>
    <row r="137" spans="1:25" ht="19.5" customHeight="1">
      <c r="A137" s="23"/>
      <c r="B137" s="23"/>
      <c r="C137" s="7"/>
      <c r="D137" s="7"/>
      <c r="E137" s="7"/>
      <c r="F137" s="7"/>
      <c r="G137" s="7"/>
      <c r="H137" s="7"/>
      <c r="I137" s="7"/>
      <c r="J137" s="7"/>
      <c r="K137" s="7"/>
      <c r="L137" s="7"/>
      <c r="M137" s="7"/>
      <c r="N137" s="7"/>
      <c r="O137" s="7"/>
      <c r="P137" s="7"/>
      <c r="Q137" s="7"/>
      <c r="R137" s="7"/>
      <c r="S137" s="7"/>
      <c r="T137" s="7"/>
      <c r="U137" s="7"/>
      <c r="V137" s="7"/>
      <c r="W137" s="7"/>
      <c r="X137" s="7"/>
      <c r="Y137" s="7"/>
    </row>
    <row r="138" spans="1:25" ht="19.5" customHeight="1">
      <c r="A138" s="23"/>
      <c r="B138" s="23"/>
      <c r="C138" s="7"/>
      <c r="D138" s="7"/>
      <c r="E138" s="7"/>
      <c r="F138" s="7"/>
      <c r="G138" s="7"/>
      <c r="H138" s="7"/>
      <c r="I138" s="7"/>
      <c r="J138" s="7"/>
      <c r="K138" s="7"/>
      <c r="L138" s="7"/>
      <c r="M138" s="7"/>
      <c r="N138" s="7"/>
      <c r="O138" s="7"/>
      <c r="P138" s="7"/>
      <c r="Q138" s="7"/>
      <c r="R138" s="7"/>
      <c r="S138" s="7"/>
      <c r="T138" s="7"/>
      <c r="U138" s="7"/>
      <c r="V138" s="7"/>
      <c r="W138" s="7"/>
      <c r="X138" s="7"/>
      <c r="Y138" s="7"/>
    </row>
    <row r="139" spans="1:25" ht="19.5" customHeight="1">
      <c r="A139" s="23"/>
      <c r="B139" s="23"/>
      <c r="C139" s="7"/>
      <c r="D139" s="7"/>
      <c r="E139" s="7"/>
      <c r="F139" s="7"/>
      <c r="G139" s="7"/>
      <c r="H139" s="7"/>
      <c r="I139" s="7"/>
      <c r="J139" s="7"/>
      <c r="K139" s="7"/>
      <c r="L139" s="7"/>
      <c r="M139" s="7"/>
      <c r="N139" s="7"/>
      <c r="O139" s="7"/>
      <c r="P139" s="7"/>
      <c r="Q139" s="7"/>
      <c r="R139" s="7"/>
      <c r="S139" s="7"/>
      <c r="T139" s="7"/>
      <c r="U139" s="7"/>
      <c r="V139" s="7"/>
      <c r="W139" s="7"/>
      <c r="X139" s="7"/>
      <c r="Y139" s="7"/>
    </row>
    <row r="140" spans="1:25" ht="19.5" customHeight="1">
      <c r="A140" s="23"/>
      <c r="B140" s="23"/>
      <c r="C140" s="7"/>
      <c r="D140" s="7"/>
      <c r="E140" s="7"/>
      <c r="F140" s="7"/>
      <c r="G140" s="7"/>
      <c r="H140" s="7"/>
      <c r="I140" s="7"/>
      <c r="J140" s="7"/>
      <c r="K140" s="7"/>
      <c r="L140" s="7"/>
      <c r="M140" s="7"/>
      <c r="N140" s="7"/>
      <c r="O140" s="7"/>
      <c r="P140" s="7"/>
      <c r="Q140" s="7"/>
      <c r="R140" s="7"/>
      <c r="S140" s="7"/>
      <c r="T140" s="7"/>
      <c r="U140" s="7"/>
      <c r="V140" s="7"/>
      <c r="W140" s="7"/>
      <c r="X140" s="7"/>
      <c r="Y140" s="7"/>
    </row>
    <row r="141" spans="1:25" ht="19.5" customHeight="1">
      <c r="A141" s="23"/>
      <c r="B141" s="23"/>
      <c r="C141" s="7"/>
      <c r="D141" s="7"/>
      <c r="E141" s="7"/>
      <c r="F141" s="7"/>
      <c r="G141" s="7"/>
      <c r="H141" s="7"/>
      <c r="I141" s="7"/>
      <c r="J141" s="7"/>
      <c r="K141" s="7"/>
      <c r="L141" s="7"/>
      <c r="M141" s="7"/>
      <c r="N141" s="7"/>
      <c r="O141" s="7"/>
      <c r="P141" s="7"/>
      <c r="Q141" s="7"/>
      <c r="R141" s="7"/>
      <c r="S141" s="7"/>
      <c r="T141" s="7"/>
      <c r="U141" s="7"/>
      <c r="V141" s="7"/>
      <c r="W141" s="7"/>
      <c r="X141" s="7"/>
      <c r="Y141" s="7"/>
    </row>
    <row r="142" spans="1:25" ht="19.5" customHeight="1">
      <c r="A142" s="23"/>
      <c r="B142" s="23"/>
      <c r="C142" s="7"/>
      <c r="D142" s="7"/>
      <c r="E142" s="7"/>
      <c r="F142" s="7"/>
      <c r="G142" s="7"/>
      <c r="H142" s="7"/>
      <c r="I142" s="7"/>
      <c r="J142" s="7"/>
      <c r="K142" s="7"/>
      <c r="L142" s="7"/>
      <c r="M142" s="7"/>
      <c r="N142" s="7"/>
      <c r="O142" s="7"/>
      <c r="P142" s="7"/>
      <c r="Q142" s="7"/>
      <c r="R142" s="7"/>
      <c r="S142" s="7"/>
      <c r="T142" s="7"/>
      <c r="U142" s="7"/>
      <c r="V142" s="7"/>
      <c r="W142" s="7"/>
      <c r="X142" s="7"/>
      <c r="Y142" s="7"/>
    </row>
    <row r="143" spans="1:25" ht="19.5" customHeight="1">
      <c r="A143" s="23"/>
      <c r="B143" s="23"/>
      <c r="C143" s="7"/>
      <c r="D143" s="7"/>
      <c r="E143" s="7"/>
      <c r="F143" s="7"/>
      <c r="G143" s="7"/>
      <c r="H143" s="7"/>
      <c r="I143" s="7"/>
      <c r="J143" s="7"/>
      <c r="K143" s="7"/>
      <c r="L143" s="7"/>
      <c r="M143" s="7"/>
      <c r="N143" s="7"/>
      <c r="O143" s="7"/>
      <c r="P143" s="7"/>
      <c r="Q143" s="7"/>
      <c r="R143" s="7"/>
      <c r="S143" s="7"/>
      <c r="T143" s="7"/>
      <c r="U143" s="7"/>
      <c r="V143" s="7"/>
      <c r="W143" s="7"/>
      <c r="X143" s="7"/>
      <c r="Y143" s="7"/>
    </row>
    <row r="144" spans="1:25" ht="19.5" customHeight="1">
      <c r="A144" s="23"/>
      <c r="B144" s="23"/>
      <c r="C144" s="7"/>
      <c r="D144" s="7"/>
      <c r="E144" s="7"/>
      <c r="F144" s="7"/>
      <c r="G144" s="7"/>
      <c r="H144" s="7"/>
      <c r="I144" s="7"/>
      <c r="J144" s="7"/>
      <c r="K144" s="7"/>
      <c r="L144" s="7"/>
      <c r="M144" s="7"/>
      <c r="N144" s="7"/>
      <c r="O144" s="7"/>
      <c r="P144" s="7"/>
      <c r="Q144" s="7"/>
      <c r="R144" s="7"/>
      <c r="S144" s="7"/>
      <c r="T144" s="7"/>
      <c r="U144" s="7"/>
      <c r="V144" s="7"/>
      <c r="W144" s="7"/>
      <c r="X144" s="7"/>
      <c r="Y144" s="7"/>
    </row>
    <row r="145" spans="1:25" ht="19.5" customHeight="1">
      <c r="A145" s="23"/>
      <c r="B145" s="23"/>
      <c r="C145" s="7"/>
      <c r="D145" s="7"/>
      <c r="E145" s="7"/>
      <c r="F145" s="7"/>
      <c r="G145" s="7"/>
      <c r="H145" s="7"/>
      <c r="I145" s="7"/>
      <c r="J145" s="7"/>
      <c r="K145" s="7"/>
      <c r="L145" s="7"/>
      <c r="M145" s="7"/>
      <c r="N145" s="7"/>
      <c r="O145" s="7"/>
      <c r="P145" s="7"/>
      <c r="Q145" s="7"/>
      <c r="R145" s="7"/>
      <c r="S145" s="7"/>
      <c r="T145" s="7"/>
      <c r="U145" s="7"/>
      <c r="V145" s="7"/>
      <c r="W145" s="7"/>
      <c r="X145" s="7"/>
      <c r="Y145" s="7"/>
    </row>
    <row r="146" spans="1:25" ht="19.5" customHeight="1">
      <c r="A146" s="23"/>
      <c r="B146" s="23"/>
      <c r="C146" s="7"/>
      <c r="D146" s="7"/>
      <c r="E146" s="7"/>
      <c r="F146" s="7"/>
      <c r="G146" s="7"/>
      <c r="H146" s="7"/>
      <c r="I146" s="7"/>
      <c r="J146" s="7"/>
      <c r="K146" s="7"/>
      <c r="L146" s="7"/>
      <c r="M146" s="7"/>
      <c r="N146" s="7"/>
      <c r="O146" s="7"/>
      <c r="P146" s="7"/>
      <c r="Q146" s="7"/>
      <c r="R146" s="7"/>
      <c r="S146" s="7"/>
      <c r="T146" s="7"/>
      <c r="U146" s="7"/>
      <c r="V146" s="7"/>
      <c r="W146" s="7"/>
      <c r="X146" s="7"/>
      <c r="Y146" s="7"/>
    </row>
    <row r="147" spans="1:25" ht="19.5" customHeight="1">
      <c r="A147" s="23"/>
      <c r="B147" s="23"/>
      <c r="C147" s="7"/>
      <c r="D147" s="7"/>
      <c r="E147" s="7"/>
      <c r="F147" s="7"/>
      <c r="G147" s="7"/>
      <c r="H147" s="7"/>
      <c r="I147" s="7"/>
      <c r="J147" s="7"/>
      <c r="K147" s="7"/>
      <c r="L147" s="7"/>
      <c r="M147" s="7"/>
      <c r="N147" s="7"/>
      <c r="O147" s="7"/>
      <c r="P147" s="7"/>
      <c r="Q147" s="7"/>
      <c r="R147" s="7"/>
      <c r="S147" s="7"/>
      <c r="T147" s="7"/>
      <c r="U147" s="7"/>
      <c r="V147" s="7"/>
      <c r="W147" s="7"/>
      <c r="X147" s="7"/>
      <c r="Y147" s="7"/>
    </row>
    <row r="148" spans="1:25" ht="19.5" customHeight="1">
      <c r="A148" s="23"/>
      <c r="B148" s="23"/>
      <c r="C148" s="7"/>
      <c r="D148" s="7"/>
      <c r="E148" s="7"/>
      <c r="F148" s="7"/>
      <c r="G148" s="7"/>
      <c r="H148" s="7"/>
      <c r="I148" s="7"/>
      <c r="J148" s="7"/>
      <c r="K148" s="7"/>
      <c r="L148" s="7"/>
      <c r="M148" s="7"/>
      <c r="N148" s="7"/>
      <c r="O148" s="7"/>
      <c r="P148" s="7"/>
      <c r="Q148" s="7"/>
      <c r="R148" s="7"/>
      <c r="S148" s="7"/>
      <c r="T148" s="7"/>
      <c r="U148" s="7"/>
      <c r="V148" s="7"/>
      <c r="W148" s="7"/>
      <c r="X148" s="7"/>
      <c r="Y148" s="7"/>
    </row>
    <row r="149" spans="1:25" ht="19.5" customHeight="1">
      <c r="A149" s="23"/>
      <c r="B149" s="23"/>
      <c r="C149" s="7"/>
      <c r="D149" s="7"/>
      <c r="E149" s="7"/>
      <c r="F149" s="7"/>
      <c r="G149" s="7"/>
      <c r="H149" s="7"/>
      <c r="I149" s="7"/>
      <c r="J149" s="7"/>
      <c r="K149" s="7"/>
      <c r="L149" s="7"/>
      <c r="M149" s="7"/>
      <c r="N149" s="7"/>
      <c r="O149" s="7"/>
      <c r="P149" s="7"/>
      <c r="Q149" s="7"/>
      <c r="R149" s="7"/>
      <c r="S149" s="7"/>
      <c r="T149" s="7"/>
      <c r="U149" s="7"/>
      <c r="V149" s="7"/>
      <c r="W149" s="7"/>
      <c r="X149" s="7"/>
      <c r="Y149" s="7"/>
    </row>
    <row r="150" spans="1:25" ht="19.5" customHeight="1">
      <c r="A150" s="23"/>
      <c r="B150" s="23"/>
      <c r="C150" s="7"/>
      <c r="D150" s="7"/>
      <c r="E150" s="7"/>
      <c r="F150" s="7"/>
      <c r="G150" s="7"/>
      <c r="H150" s="7"/>
      <c r="I150" s="7"/>
      <c r="J150" s="7"/>
      <c r="K150" s="7"/>
      <c r="L150" s="7"/>
      <c r="M150" s="7"/>
      <c r="N150" s="7"/>
      <c r="O150" s="7"/>
      <c r="P150" s="7"/>
      <c r="Q150" s="7"/>
      <c r="R150" s="7"/>
      <c r="S150" s="7"/>
      <c r="T150" s="7"/>
      <c r="U150" s="7"/>
      <c r="V150" s="7"/>
      <c r="W150" s="7"/>
      <c r="X150" s="7"/>
      <c r="Y150" s="7"/>
    </row>
    <row r="151" spans="1:25" ht="19.5" customHeight="1">
      <c r="A151" s="23"/>
      <c r="B151" s="23"/>
      <c r="C151" s="7"/>
      <c r="D151" s="7"/>
      <c r="E151" s="7"/>
      <c r="F151" s="7"/>
      <c r="G151" s="7"/>
      <c r="H151" s="7"/>
      <c r="I151" s="7"/>
      <c r="J151" s="7"/>
      <c r="K151" s="7"/>
      <c r="L151" s="7"/>
      <c r="M151" s="7"/>
      <c r="N151" s="7"/>
      <c r="O151" s="7"/>
      <c r="P151" s="7"/>
      <c r="Q151" s="7"/>
      <c r="R151" s="7"/>
      <c r="S151" s="7"/>
      <c r="T151" s="7"/>
      <c r="U151" s="7"/>
      <c r="V151" s="7"/>
      <c r="W151" s="7"/>
      <c r="X151" s="7"/>
      <c r="Y151" s="7"/>
    </row>
    <row r="152" spans="1:25" ht="19.5" customHeight="1">
      <c r="A152" s="23"/>
      <c r="B152" s="23"/>
      <c r="C152" s="7"/>
      <c r="D152" s="7"/>
      <c r="E152" s="7"/>
      <c r="F152" s="7"/>
      <c r="G152" s="7"/>
      <c r="H152" s="7"/>
      <c r="I152" s="7"/>
      <c r="J152" s="7"/>
      <c r="K152" s="7"/>
      <c r="L152" s="7"/>
      <c r="M152" s="7"/>
      <c r="N152" s="7"/>
      <c r="O152" s="7"/>
      <c r="P152" s="7"/>
      <c r="Q152" s="7"/>
      <c r="R152" s="7"/>
      <c r="S152" s="7"/>
      <c r="T152" s="7"/>
      <c r="U152" s="7"/>
      <c r="V152" s="7"/>
      <c r="W152" s="7"/>
      <c r="X152" s="7"/>
      <c r="Y152" s="7"/>
    </row>
    <row r="153" spans="1:25" ht="19.5" customHeight="1">
      <c r="A153" s="23"/>
      <c r="B153" s="23"/>
      <c r="C153" s="7"/>
      <c r="D153" s="7"/>
      <c r="E153" s="7"/>
      <c r="F153" s="7"/>
      <c r="G153" s="7"/>
      <c r="H153" s="7"/>
      <c r="I153" s="7"/>
      <c r="J153" s="7"/>
      <c r="K153" s="7"/>
      <c r="L153" s="7"/>
      <c r="M153" s="7"/>
      <c r="N153" s="7"/>
      <c r="O153" s="7"/>
      <c r="P153" s="7"/>
      <c r="Q153" s="7"/>
      <c r="R153" s="7"/>
      <c r="S153" s="7"/>
      <c r="T153" s="7"/>
      <c r="U153" s="7"/>
      <c r="V153" s="7"/>
      <c r="W153" s="7"/>
      <c r="X153" s="7"/>
      <c r="Y153" s="7"/>
    </row>
    <row r="154" spans="1:25" ht="19.5" customHeight="1">
      <c r="A154" s="23"/>
      <c r="B154" s="23"/>
      <c r="C154" s="7"/>
      <c r="D154" s="7"/>
      <c r="E154" s="7"/>
      <c r="F154" s="7"/>
      <c r="G154" s="7"/>
      <c r="H154" s="7"/>
      <c r="I154" s="7"/>
      <c r="J154" s="7"/>
      <c r="K154" s="7"/>
      <c r="L154" s="7"/>
      <c r="M154" s="7"/>
      <c r="N154" s="7"/>
      <c r="O154" s="7"/>
      <c r="P154" s="7"/>
      <c r="Q154" s="7"/>
      <c r="R154" s="7"/>
      <c r="S154" s="7"/>
      <c r="T154" s="7"/>
      <c r="U154" s="7"/>
      <c r="V154" s="7"/>
      <c r="W154" s="7"/>
      <c r="X154" s="7"/>
      <c r="Y154" s="7"/>
    </row>
    <row r="155" spans="1:25" ht="19.5" customHeight="1">
      <c r="A155" s="23"/>
      <c r="B155" s="23"/>
      <c r="C155" s="7"/>
      <c r="D155" s="7"/>
      <c r="E155" s="7"/>
      <c r="F155" s="7"/>
      <c r="G155" s="7"/>
      <c r="H155" s="7"/>
      <c r="I155" s="7"/>
      <c r="J155" s="7"/>
      <c r="K155" s="7"/>
      <c r="L155" s="7"/>
      <c r="M155" s="7"/>
      <c r="N155" s="7"/>
      <c r="O155" s="7"/>
      <c r="P155" s="7"/>
      <c r="Q155" s="7"/>
      <c r="R155" s="7"/>
      <c r="S155" s="7"/>
      <c r="T155" s="7"/>
      <c r="U155" s="7"/>
      <c r="V155" s="7"/>
      <c r="W155" s="7"/>
      <c r="X155" s="7"/>
      <c r="Y155" s="7"/>
    </row>
    <row r="156" spans="1:25" ht="19.5" customHeight="1">
      <c r="A156" s="23"/>
      <c r="B156" s="23"/>
      <c r="C156" s="7"/>
      <c r="D156" s="7"/>
      <c r="E156" s="7"/>
      <c r="F156" s="7"/>
      <c r="G156" s="7"/>
      <c r="H156" s="7"/>
      <c r="I156" s="7"/>
      <c r="J156" s="7"/>
      <c r="K156" s="7"/>
      <c r="L156" s="7"/>
      <c r="M156" s="7"/>
      <c r="N156" s="7"/>
      <c r="O156" s="7"/>
      <c r="P156" s="7"/>
      <c r="Q156" s="7"/>
      <c r="R156" s="7"/>
      <c r="S156" s="7"/>
      <c r="T156" s="7"/>
      <c r="U156" s="7"/>
      <c r="V156" s="7"/>
      <c r="W156" s="7"/>
      <c r="X156" s="7"/>
      <c r="Y156" s="7"/>
    </row>
    <row r="157" spans="1:25" ht="19.5" customHeight="1">
      <c r="A157" s="23"/>
      <c r="B157" s="23"/>
      <c r="C157" s="7"/>
      <c r="D157" s="7"/>
      <c r="E157" s="7"/>
      <c r="F157" s="7"/>
      <c r="G157" s="7"/>
      <c r="H157" s="7"/>
      <c r="I157" s="7"/>
      <c r="J157" s="7"/>
      <c r="K157" s="7"/>
      <c r="L157" s="7"/>
      <c r="M157" s="7"/>
      <c r="N157" s="7"/>
      <c r="O157" s="7"/>
      <c r="P157" s="7"/>
      <c r="Q157" s="7"/>
      <c r="R157" s="7"/>
      <c r="S157" s="7"/>
      <c r="T157" s="7"/>
      <c r="U157" s="7"/>
      <c r="V157" s="7"/>
      <c r="W157" s="7"/>
      <c r="X157" s="7"/>
      <c r="Y157" s="7"/>
    </row>
    <row r="158" spans="1:25" ht="19.5" customHeight="1">
      <c r="A158" s="23"/>
      <c r="B158" s="23"/>
      <c r="C158" s="7"/>
      <c r="D158" s="7"/>
      <c r="E158" s="7"/>
      <c r="F158" s="7"/>
      <c r="G158" s="7"/>
      <c r="H158" s="7"/>
      <c r="I158" s="7"/>
      <c r="J158" s="7"/>
      <c r="K158" s="7"/>
      <c r="L158" s="7"/>
      <c r="M158" s="7"/>
      <c r="N158" s="7"/>
      <c r="O158" s="7"/>
      <c r="P158" s="7"/>
      <c r="Q158" s="7"/>
      <c r="R158" s="7"/>
      <c r="S158" s="7"/>
      <c r="T158" s="7"/>
      <c r="U158" s="7"/>
      <c r="V158" s="7"/>
      <c r="W158" s="7"/>
      <c r="X158" s="7"/>
      <c r="Y158" s="7"/>
    </row>
    <row r="159" spans="1:25" ht="19.5" customHeight="1">
      <c r="A159" s="23"/>
      <c r="B159" s="23"/>
      <c r="C159" s="7"/>
      <c r="D159" s="7"/>
      <c r="E159" s="7"/>
      <c r="F159" s="7"/>
      <c r="G159" s="7"/>
      <c r="H159" s="7"/>
      <c r="I159" s="7"/>
      <c r="J159" s="7"/>
      <c r="K159" s="7"/>
      <c r="L159" s="7"/>
      <c r="M159" s="7"/>
      <c r="N159" s="7"/>
      <c r="O159" s="7"/>
      <c r="P159" s="7"/>
      <c r="Q159" s="7"/>
      <c r="R159" s="7"/>
      <c r="S159" s="7"/>
      <c r="T159" s="7"/>
      <c r="U159" s="7"/>
      <c r="V159" s="7"/>
      <c r="W159" s="7"/>
      <c r="X159" s="7"/>
      <c r="Y159" s="7"/>
    </row>
    <row r="160" spans="1:25" ht="19.5" customHeight="1">
      <c r="A160" s="23"/>
      <c r="B160" s="23"/>
      <c r="C160" s="7"/>
      <c r="D160" s="7"/>
      <c r="E160" s="7"/>
      <c r="F160" s="7"/>
      <c r="G160" s="7"/>
      <c r="H160" s="7"/>
      <c r="I160" s="7"/>
      <c r="J160" s="7"/>
      <c r="K160" s="7"/>
      <c r="L160" s="7"/>
      <c r="M160" s="7"/>
      <c r="N160" s="7"/>
      <c r="O160" s="7"/>
      <c r="P160" s="7"/>
      <c r="Q160" s="7"/>
      <c r="R160" s="7"/>
      <c r="S160" s="7"/>
      <c r="T160" s="7"/>
      <c r="U160" s="7"/>
      <c r="V160" s="7"/>
      <c r="W160" s="7"/>
      <c r="X160" s="7"/>
      <c r="Y160" s="7"/>
    </row>
    <row r="161" spans="1:25" ht="19.5" customHeight="1">
      <c r="A161" s="23"/>
      <c r="B161" s="23"/>
      <c r="C161" s="7"/>
      <c r="D161" s="7"/>
      <c r="E161" s="7"/>
      <c r="F161" s="7"/>
      <c r="G161" s="7"/>
      <c r="H161" s="7"/>
      <c r="I161" s="7"/>
      <c r="J161" s="7"/>
      <c r="K161" s="7"/>
      <c r="L161" s="7"/>
      <c r="M161" s="7"/>
      <c r="N161" s="7"/>
      <c r="O161" s="7"/>
      <c r="P161" s="7"/>
      <c r="Q161" s="7"/>
      <c r="R161" s="7"/>
      <c r="S161" s="7"/>
      <c r="T161" s="7"/>
      <c r="U161" s="7"/>
      <c r="V161" s="7"/>
      <c r="W161" s="7"/>
      <c r="X161" s="7"/>
      <c r="Y161" s="7"/>
    </row>
    <row r="162" spans="1:25" ht="19.5" customHeight="1">
      <c r="A162" s="23"/>
      <c r="B162" s="23"/>
      <c r="C162" s="7"/>
      <c r="D162" s="7"/>
      <c r="E162" s="7"/>
      <c r="F162" s="7"/>
      <c r="G162" s="7"/>
      <c r="H162" s="7"/>
      <c r="I162" s="7"/>
      <c r="J162" s="7"/>
      <c r="K162" s="7"/>
      <c r="L162" s="7"/>
      <c r="M162" s="7"/>
      <c r="N162" s="7"/>
      <c r="O162" s="7"/>
      <c r="P162" s="7"/>
      <c r="Q162" s="7"/>
      <c r="R162" s="7"/>
      <c r="S162" s="7"/>
      <c r="T162" s="7"/>
      <c r="U162" s="7"/>
      <c r="V162" s="7"/>
      <c r="W162" s="7"/>
      <c r="X162" s="7"/>
      <c r="Y162" s="7"/>
    </row>
    <row r="163" spans="1:25" ht="19.5" customHeight="1">
      <c r="A163" s="23"/>
      <c r="B163" s="23"/>
      <c r="C163" s="7"/>
      <c r="D163" s="7"/>
      <c r="E163" s="7"/>
      <c r="F163" s="7"/>
      <c r="G163" s="7"/>
      <c r="H163" s="7"/>
      <c r="I163" s="7"/>
      <c r="J163" s="7"/>
      <c r="K163" s="7"/>
      <c r="L163" s="7"/>
      <c r="M163" s="7"/>
      <c r="N163" s="7"/>
      <c r="O163" s="7"/>
      <c r="P163" s="7"/>
      <c r="Q163" s="7"/>
      <c r="R163" s="7"/>
      <c r="S163" s="7"/>
      <c r="T163" s="7"/>
      <c r="U163" s="7"/>
      <c r="V163" s="7"/>
      <c r="W163" s="7"/>
      <c r="X163" s="7"/>
      <c r="Y163" s="7"/>
    </row>
    <row r="164" spans="1:25" ht="19.5" customHeight="1">
      <c r="A164" s="23"/>
      <c r="B164" s="23"/>
      <c r="C164" s="7"/>
      <c r="D164" s="7"/>
      <c r="E164" s="7"/>
      <c r="F164" s="7"/>
      <c r="G164" s="7"/>
      <c r="H164" s="7"/>
      <c r="I164" s="7"/>
      <c r="J164" s="7"/>
      <c r="K164" s="7"/>
      <c r="L164" s="7"/>
      <c r="M164" s="7"/>
      <c r="N164" s="7"/>
      <c r="O164" s="7"/>
      <c r="P164" s="7"/>
      <c r="Q164" s="7"/>
      <c r="R164" s="7"/>
      <c r="S164" s="7"/>
      <c r="T164" s="7"/>
      <c r="U164" s="7"/>
      <c r="V164" s="7"/>
      <c r="W164" s="7"/>
      <c r="X164" s="7"/>
      <c r="Y164" s="7"/>
    </row>
    <row r="165" spans="1:25" ht="19.5" customHeight="1">
      <c r="A165" s="23"/>
      <c r="B165" s="23"/>
      <c r="C165" s="7"/>
      <c r="D165" s="7"/>
      <c r="E165" s="7"/>
      <c r="F165" s="7"/>
      <c r="G165" s="7"/>
      <c r="H165" s="7"/>
      <c r="I165" s="7"/>
      <c r="J165" s="7"/>
      <c r="K165" s="7"/>
      <c r="L165" s="7"/>
      <c r="M165" s="7"/>
      <c r="N165" s="7"/>
      <c r="O165" s="7"/>
      <c r="P165" s="7"/>
      <c r="Q165" s="7"/>
      <c r="R165" s="7"/>
      <c r="S165" s="7"/>
      <c r="T165" s="7"/>
      <c r="U165" s="7"/>
      <c r="V165" s="7"/>
      <c r="W165" s="7"/>
      <c r="X165" s="7"/>
      <c r="Y165" s="7"/>
    </row>
    <row r="166" spans="1:25" ht="19.5" customHeight="1">
      <c r="A166" s="23"/>
      <c r="B166" s="23"/>
      <c r="C166" s="7"/>
      <c r="D166" s="7"/>
      <c r="E166" s="7"/>
      <c r="F166" s="7"/>
      <c r="G166" s="7"/>
      <c r="H166" s="7"/>
      <c r="I166" s="7"/>
      <c r="J166" s="7"/>
      <c r="K166" s="7"/>
      <c r="L166" s="7"/>
      <c r="M166" s="7"/>
      <c r="N166" s="7"/>
      <c r="O166" s="7"/>
      <c r="P166" s="7"/>
      <c r="Q166" s="7"/>
      <c r="R166" s="7"/>
      <c r="S166" s="7"/>
      <c r="T166" s="7"/>
      <c r="U166" s="7"/>
      <c r="V166" s="7"/>
      <c r="W166" s="7"/>
      <c r="X166" s="7"/>
      <c r="Y166" s="7"/>
    </row>
    <row r="167" spans="1:25" ht="19.5" customHeight="1">
      <c r="A167" s="23"/>
      <c r="B167" s="23"/>
      <c r="C167" s="7"/>
      <c r="D167" s="7"/>
      <c r="E167" s="7"/>
      <c r="F167" s="7"/>
      <c r="G167" s="7"/>
      <c r="H167" s="7"/>
      <c r="I167" s="7"/>
      <c r="J167" s="7"/>
      <c r="K167" s="7"/>
      <c r="L167" s="7"/>
      <c r="M167" s="7"/>
      <c r="N167" s="7"/>
      <c r="O167" s="7"/>
      <c r="P167" s="7"/>
      <c r="Q167" s="7"/>
      <c r="R167" s="7"/>
      <c r="S167" s="7"/>
      <c r="T167" s="7"/>
      <c r="U167" s="7"/>
      <c r="V167" s="7"/>
      <c r="W167" s="7"/>
      <c r="X167" s="7"/>
      <c r="Y167" s="7"/>
    </row>
    <row r="168" spans="1:25" ht="19.5" customHeight="1">
      <c r="A168" s="23"/>
      <c r="B168" s="23"/>
      <c r="C168" s="7"/>
      <c r="D168" s="7"/>
      <c r="E168" s="7"/>
      <c r="F168" s="7"/>
      <c r="G168" s="7"/>
      <c r="H168" s="7"/>
      <c r="I168" s="7"/>
      <c r="J168" s="7"/>
      <c r="K168" s="7"/>
      <c r="L168" s="7"/>
      <c r="M168" s="7"/>
      <c r="N168" s="7"/>
      <c r="O168" s="7"/>
      <c r="P168" s="7"/>
      <c r="Q168" s="7"/>
      <c r="R168" s="7"/>
      <c r="S168" s="7"/>
      <c r="T168" s="7"/>
      <c r="U168" s="7"/>
      <c r="V168" s="7"/>
      <c r="W168" s="7"/>
      <c r="X168" s="7"/>
      <c r="Y168" s="7"/>
    </row>
    <row r="169" spans="1:25" ht="19.5" customHeight="1">
      <c r="A169" s="23"/>
      <c r="B169" s="23"/>
      <c r="C169" s="7"/>
      <c r="D169" s="7"/>
      <c r="E169" s="7"/>
      <c r="F169" s="7"/>
      <c r="G169" s="7"/>
      <c r="H169" s="7"/>
      <c r="I169" s="7"/>
      <c r="J169" s="7"/>
      <c r="K169" s="7"/>
      <c r="L169" s="7"/>
      <c r="M169" s="7"/>
      <c r="N169" s="7"/>
      <c r="O169" s="7"/>
      <c r="P169" s="7"/>
      <c r="Q169" s="7"/>
      <c r="R169" s="7"/>
      <c r="S169" s="7"/>
      <c r="T169" s="7"/>
      <c r="U169" s="7"/>
      <c r="V169" s="7"/>
      <c r="W169" s="7"/>
      <c r="X169" s="7"/>
      <c r="Y169" s="7"/>
    </row>
    <row r="170" spans="1:25" ht="19.5" customHeight="1">
      <c r="A170" s="23"/>
      <c r="B170" s="23"/>
      <c r="C170" s="7"/>
      <c r="D170" s="7"/>
      <c r="E170" s="7"/>
      <c r="F170" s="7"/>
      <c r="G170" s="7"/>
      <c r="H170" s="7"/>
      <c r="I170" s="7"/>
      <c r="J170" s="7"/>
      <c r="K170" s="7"/>
      <c r="L170" s="7"/>
      <c r="M170" s="7"/>
      <c r="N170" s="7"/>
      <c r="O170" s="7"/>
      <c r="P170" s="7"/>
      <c r="Q170" s="7"/>
      <c r="R170" s="7"/>
      <c r="S170" s="7"/>
      <c r="T170" s="7"/>
      <c r="U170" s="7"/>
      <c r="V170" s="7"/>
      <c r="W170" s="7"/>
      <c r="X170" s="7"/>
      <c r="Y170" s="7"/>
    </row>
    <row r="171" spans="1:25" ht="19.5" customHeight="1">
      <c r="A171" s="23"/>
      <c r="B171" s="23"/>
      <c r="C171" s="7"/>
      <c r="D171" s="7"/>
      <c r="E171" s="7"/>
      <c r="F171" s="7"/>
      <c r="G171" s="7"/>
      <c r="H171" s="7"/>
      <c r="I171" s="7"/>
      <c r="J171" s="7"/>
      <c r="K171" s="7"/>
      <c r="L171" s="7"/>
      <c r="M171" s="7"/>
      <c r="N171" s="7"/>
      <c r="O171" s="7"/>
      <c r="P171" s="7"/>
      <c r="Q171" s="7"/>
      <c r="R171" s="7"/>
      <c r="S171" s="7"/>
      <c r="T171" s="7"/>
      <c r="U171" s="7"/>
      <c r="V171" s="7"/>
      <c r="W171" s="7"/>
      <c r="X171" s="7"/>
      <c r="Y171" s="7"/>
    </row>
    <row r="172" spans="1:25" ht="19.5" customHeight="1">
      <c r="A172" s="23"/>
      <c r="B172" s="23"/>
      <c r="C172" s="7"/>
      <c r="D172" s="7"/>
      <c r="E172" s="7"/>
      <c r="F172" s="7"/>
      <c r="G172" s="7"/>
      <c r="H172" s="7"/>
      <c r="I172" s="7"/>
      <c r="J172" s="7"/>
      <c r="K172" s="7"/>
      <c r="L172" s="7"/>
      <c r="M172" s="7"/>
      <c r="N172" s="7"/>
      <c r="O172" s="7"/>
      <c r="P172" s="7"/>
      <c r="Q172" s="7"/>
      <c r="R172" s="7"/>
      <c r="S172" s="7"/>
      <c r="T172" s="7"/>
      <c r="U172" s="7"/>
      <c r="V172" s="7"/>
      <c r="W172" s="7"/>
      <c r="X172" s="7"/>
      <c r="Y172" s="7"/>
    </row>
    <row r="173" spans="1:25" ht="19.5" customHeight="1">
      <c r="A173" s="23"/>
      <c r="B173" s="23"/>
      <c r="C173" s="7"/>
      <c r="D173" s="7"/>
      <c r="E173" s="7"/>
      <c r="F173" s="7"/>
      <c r="G173" s="7"/>
      <c r="H173" s="7"/>
      <c r="I173" s="7"/>
      <c r="J173" s="7"/>
      <c r="K173" s="7"/>
      <c r="L173" s="7"/>
      <c r="M173" s="7"/>
      <c r="N173" s="7"/>
      <c r="O173" s="7"/>
      <c r="P173" s="7"/>
      <c r="Q173" s="7"/>
      <c r="R173" s="7"/>
      <c r="S173" s="7"/>
      <c r="T173" s="7"/>
      <c r="U173" s="7"/>
      <c r="V173" s="7"/>
      <c r="W173" s="7"/>
      <c r="X173" s="7"/>
      <c r="Y173" s="7"/>
    </row>
    <row r="174" spans="1:25" ht="19.5" customHeight="1">
      <c r="A174" s="23"/>
      <c r="B174" s="23"/>
      <c r="C174" s="7"/>
      <c r="D174" s="7"/>
      <c r="E174" s="7"/>
      <c r="F174" s="7"/>
      <c r="G174" s="7"/>
      <c r="H174" s="7"/>
      <c r="I174" s="7"/>
      <c r="J174" s="7"/>
      <c r="K174" s="7"/>
      <c r="L174" s="7"/>
      <c r="M174" s="7"/>
      <c r="N174" s="7"/>
      <c r="O174" s="7"/>
      <c r="P174" s="7"/>
      <c r="Q174" s="7"/>
      <c r="R174" s="7"/>
      <c r="S174" s="7"/>
      <c r="T174" s="7"/>
      <c r="U174" s="7"/>
      <c r="V174" s="7"/>
      <c r="W174" s="7"/>
      <c r="X174" s="7"/>
      <c r="Y174" s="7"/>
    </row>
    <row r="175" spans="1:25" ht="19.5" customHeight="1">
      <c r="A175" s="23"/>
      <c r="B175" s="23"/>
      <c r="C175" s="7"/>
      <c r="D175" s="7"/>
      <c r="E175" s="7"/>
      <c r="F175" s="7"/>
      <c r="G175" s="7"/>
      <c r="H175" s="7"/>
      <c r="I175" s="7"/>
      <c r="J175" s="7"/>
      <c r="K175" s="7"/>
      <c r="L175" s="7"/>
      <c r="M175" s="7"/>
      <c r="N175" s="7"/>
      <c r="O175" s="7"/>
      <c r="P175" s="7"/>
      <c r="Q175" s="7"/>
      <c r="R175" s="7"/>
      <c r="S175" s="7"/>
      <c r="T175" s="7"/>
      <c r="U175" s="7"/>
      <c r="V175" s="7"/>
      <c r="W175" s="7"/>
      <c r="X175" s="7"/>
      <c r="Y175" s="7"/>
    </row>
    <row r="176" spans="1:25" ht="19.5" customHeight="1">
      <c r="A176" s="23"/>
      <c r="B176" s="23"/>
      <c r="C176" s="7"/>
      <c r="D176" s="7"/>
      <c r="E176" s="7"/>
      <c r="F176" s="7"/>
      <c r="G176" s="7"/>
      <c r="H176" s="7"/>
      <c r="I176" s="7"/>
      <c r="J176" s="7"/>
      <c r="K176" s="7"/>
      <c r="L176" s="7"/>
      <c r="M176" s="7"/>
      <c r="N176" s="7"/>
      <c r="O176" s="7"/>
      <c r="P176" s="7"/>
      <c r="Q176" s="7"/>
      <c r="R176" s="7"/>
      <c r="S176" s="7"/>
      <c r="T176" s="7"/>
      <c r="U176" s="7"/>
      <c r="V176" s="7"/>
      <c r="W176" s="7"/>
      <c r="X176" s="7"/>
      <c r="Y176" s="7"/>
    </row>
    <row r="177" spans="1:25" ht="19.5" customHeight="1">
      <c r="A177" s="23"/>
      <c r="B177" s="23"/>
      <c r="C177" s="7"/>
      <c r="D177" s="7"/>
      <c r="E177" s="7"/>
      <c r="F177" s="7"/>
      <c r="G177" s="7"/>
      <c r="H177" s="7"/>
      <c r="I177" s="7"/>
      <c r="J177" s="7"/>
      <c r="K177" s="7"/>
      <c r="L177" s="7"/>
      <c r="M177" s="7"/>
      <c r="N177" s="7"/>
      <c r="O177" s="7"/>
      <c r="P177" s="7"/>
      <c r="Q177" s="7"/>
      <c r="R177" s="7"/>
      <c r="S177" s="7"/>
      <c r="T177" s="7"/>
      <c r="U177" s="7"/>
      <c r="V177" s="7"/>
      <c r="W177" s="7"/>
      <c r="X177" s="7"/>
      <c r="Y177" s="7"/>
    </row>
    <row r="178" spans="1:25" ht="19.5" customHeight="1">
      <c r="A178" s="23"/>
      <c r="B178" s="23"/>
      <c r="C178" s="7"/>
      <c r="D178" s="7"/>
      <c r="E178" s="7"/>
      <c r="F178" s="7"/>
      <c r="G178" s="7"/>
      <c r="H178" s="7"/>
      <c r="I178" s="7"/>
      <c r="J178" s="7"/>
      <c r="K178" s="7"/>
      <c r="L178" s="7"/>
      <c r="M178" s="7"/>
      <c r="N178" s="7"/>
      <c r="O178" s="7"/>
      <c r="P178" s="7"/>
      <c r="Q178" s="7"/>
      <c r="R178" s="7"/>
      <c r="S178" s="7"/>
      <c r="T178" s="7"/>
      <c r="U178" s="7"/>
      <c r="V178" s="7"/>
      <c r="W178" s="7"/>
      <c r="X178" s="7"/>
      <c r="Y178" s="7"/>
    </row>
    <row r="179" spans="1:25" ht="19.5" customHeight="1">
      <c r="A179" s="23"/>
      <c r="B179" s="23"/>
      <c r="C179" s="7"/>
      <c r="D179" s="7"/>
      <c r="E179" s="7"/>
      <c r="F179" s="7"/>
      <c r="G179" s="7"/>
      <c r="H179" s="7"/>
      <c r="I179" s="7"/>
      <c r="J179" s="7"/>
      <c r="K179" s="7"/>
      <c r="L179" s="7"/>
      <c r="M179" s="7"/>
      <c r="N179" s="7"/>
      <c r="O179" s="7"/>
      <c r="P179" s="7"/>
      <c r="Q179" s="7"/>
      <c r="R179" s="7"/>
      <c r="S179" s="7"/>
      <c r="T179" s="7"/>
      <c r="U179" s="7"/>
      <c r="V179" s="7"/>
      <c r="W179" s="7"/>
      <c r="X179" s="7"/>
      <c r="Y179" s="7"/>
    </row>
    <row r="180" spans="1:25" ht="19.5" customHeight="1">
      <c r="A180" s="23"/>
      <c r="B180" s="23"/>
      <c r="C180" s="7"/>
      <c r="D180" s="7"/>
      <c r="E180" s="7"/>
      <c r="F180" s="7"/>
      <c r="G180" s="7"/>
      <c r="H180" s="7"/>
      <c r="I180" s="7"/>
      <c r="J180" s="7"/>
      <c r="K180" s="7"/>
      <c r="L180" s="7"/>
      <c r="M180" s="7"/>
      <c r="N180" s="7"/>
      <c r="O180" s="7"/>
      <c r="P180" s="7"/>
      <c r="Q180" s="7"/>
      <c r="R180" s="7"/>
      <c r="S180" s="7"/>
      <c r="T180" s="7"/>
      <c r="U180" s="7"/>
      <c r="V180" s="7"/>
      <c r="W180" s="7"/>
      <c r="X180" s="7"/>
      <c r="Y180" s="7"/>
    </row>
    <row r="181" spans="1:25" ht="19.5" customHeight="1">
      <c r="A181" s="23"/>
      <c r="B181" s="23"/>
      <c r="C181" s="7"/>
      <c r="D181" s="7"/>
      <c r="E181" s="7"/>
      <c r="F181" s="7"/>
      <c r="G181" s="7"/>
      <c r="H181" s="7"/>
      <c r="I181" s="7"/>
      <c r="J181" s="7"/>
      <c r="K181" s="7"/>
      <c r="L181" s="7"/>
      <c r="M181" s="7"/>
      <c r="N181" s="7"/>
      <c r="O181" s="7"/>
      <c r="P181" s="7"/>
      <c r="Q181" s="7"/>
      <c r="R181" s="7"/>
      <c r="S181" s="7"/>
      <c r="T181" s="7"/>
      <c r="U181" s="7"/>
      <c r="V181" s="7"/>
      <c r="W181" s="7"/>
      <c r="X181" s="7"/>
      <c r="Y181" s="7"/>
    </row>
    <row r="182" spans="1:25" ht="19.5" customHeight="1">
      <c r="A182" s="23"/>
      <c r="B182" s="23"/>
      <c r="C182" s="7"/>
      <c r="D182" s="7"/>
      <c r="E182" s="7"/>
      <c r="F182" s="7"/>
      <c r="G182" s="7"/>
      <c r="H182" s="7"/>
      <c r="I182" s="7"/>
      <c r="J182" s="7"/>
      <c r="K182" s="7"/>
      <c r="L182" s="7"/>
      <c r="M182" s="7"/>
      <c r="N182" s="7"/>
      <c r="O182" s="7"/>
      <c r="P182" s="7"/>
      <c r="Q182" s="7"/>
      <c r="R182" s="7"/>
      <c r="S182" s="7"/>
      <c r="T182" s="7"/>
      <c r="U182" s="7"/>
      <c r="V182" s="7"/>
      <c r="W182" s="7"/>
      <c r="X182" s="7"/>
      <c r="Y182" s="7"/>
    </row>
    <row r="183" spans="1:25" ht="19.5" customHeight="1">
      <c r="A183" s="23"/>
      <c r="B183" s="23"/>
      <c r="C183" s="7"/>
      <c r="D183" s="7"/>
      <c r="E183" s="7"/>
      <c r="F183" s="7"/>
      <c r="G183" s="7"/>
      <c r="H183" s="7"/>
      <c r="I183" s="7"/>
      <c r="J183" s="7"/>
      <c r="K183" s="7"/>
      <c r="L183" s="7"/>
      <c r="M183" s="7"/>
      <c r="N183" s="7"/>
      <c r="O183" s="7"/>
      <c r="P183" s="7"/>
      <c r="Q183" s="7"/>
      <c r="R183" s="7"/>
      <c r="S183" s="7"/>
      <c r="T183" s="7"/>
      <c r="U183" s="7"/>
      <c r="V183" s="7"/>
      <c r="W183" s="7"/>
      <c r="X183" s="7"/>
      <c r="Y183" s="7"/>
    </row>
    <row r="184" spans="1:25" ht="19.5" customHeight="1">
      <c r="A184" s="23"/>
      <c r="B184" s="23"/>
      <c r="C184" s="7"/>
      <c r="D184" s="7"/>
      <c r="E184" s="7"/>
      <c r="F184" s="7"/>
      <c r="G184" s="7"/>
      <c r="H184" s="7"/>
      <c r="I184" s="7"/>
      <c r="J184" s="7"/>
      <c r="K184" s="7"/>
      <c r="L184" s="7"/>
      <c r="M184" s="7"/>
      <c r="N184" s="7"/>
      <c r="O184" s="7"/>
      <c r="P184" s="7"/>
      <c r="Q184" s="7"/>
      <c r="R184" s="7"/>
      <c r="S184" s="7"/>
      <c r="T184" s="7"/>
      <c r="U184" s="7"/>
      <c r="V184" s="7"/>
      <c r="W184" s="7"/>
      <c r="X184" s="7"/>
      <c r="Y184" s="7"/>
    </row>
    <row r="185" spans="1:25" ht="19.5" customHeight="1">
      <c r="A185" s="23"/>
      <c r="B185" s="23"/>
      <c r="C185" s="7"/>
      <c r="D185" s="7"/>
      <c r="E185" s="7"/>
      <c r="F185" s="7"/>
      <c r="G185" s="7"/>
      <c r="H185" s="7"/>
      <c r="I185" s="7"/>
      <c r="J185" s="7"/>
      <c r="K185" s="7"/>
      <c r="L185" s="7"/>
      <c r="M185" s="7"/>
      <c r="N185" s="7"/>
      <c r="O185" s="7"/>
      <c r="P185" s="7"/>
      <c r="Q185" s="7"/>
      <c r="R185" s="7"/>
      <c r="S185" s="7"/>
      <c r="T185" s="7"/>
      <c r="U185" s="7"/>
      <c r="V185" s="7"/>
      <c r="W185" s="7"/>
      <c r="X185" s="7"/>
      <c r="Y185" s="7"/>
    </row>
    <row r="186" spans="1:25" ht="19.5" customHeight="1">
      <c r="A186" s="23"/>
      <c r="B186" s="23"/>
      <c r="C186" s="7"/>
      <c r="D186" s="7"/>
      <c r="E186" s="7"/>
      <c r="F186" s="7"/>
      <c r="G186" s="7"/>
      <c r="H186" s="7"/>
      <c r="I186" s="7"/>
      <c r="J186" s="7"/>
      <c r="K186" s="7"/>
      <c r="L186" s="7"/>
      <c r="M186" s="7"/>
      <c r="N186" s="7"/>
      <c r="O186" s="7"/>
      <c r="P186" s="7"/>
      <c r="Q186" s="7"/>
      <c r="R186" s="7"/>
      <c r="S186" s="7"/>
      <c r="T186" s="7"/>
      <c r="U186" s="7"/>
      <c r="V186" s="7"/>
      <c r="W186" s="7"/>
      <c r="X186" s="7"/>
      <c r="Y186" s="7"/>
    </row>
    <row r="187" spans="1:25" ht="19.5" customHeight="1">
      <c r="A187" s="23"/>
      <c r="B187" s="23"/>
      <c r="C187" s="7"/>
      <c r="D187" s="7"/>
      <c r="E187" s="7"/>
      <c r="F187" s="7"/>
      <c r="G187" s="7"/>
      <c r="H187" s="7"/>
      <c r="I187" s="7"/>
      <c r="J187" s="7"/>
      <c r="K187" s="7"/>
      <c r="L187" s="7"/>
      <c r="M187" s="7"/>
      <c r="N187" s="7"/>
      <c r="O187" s="7"/>
      <c r="P187" s="7"/>
      <c r="Q187" s="7"/>
      <c r="R187" s="7"/>
      <c r="S187" s="7"/>
      <c r="T187" s="7"/>
      <c r="U187" s="7"/>
      <c r="V187" s="7"/>
      <c r="W187" s="7"/>
      <c r="X187" s="7"/>
      <c r="Y187" s="7"/>
    </row>
    <row r="188" spans="1:25" ht="19.5" customHeight="1">
      <c r="A188" s="23"/>
      <c r="B188" s="23"/>
      <c r="C188" s="7"/>
      <c r="D188" s="7"/>
      <c r="E188" s="7"/>
      <c r="F188" s="7"/>
      <c r="G188" s="7"/>
      <c r="H188" s="7"/>
      <c r="I188" s="7"/>
      <c r="J188" s="7"/>
      <c r="K188" s="7"/>
      <c r="L188" s="7"/>
      <c r="M188" s="7"/>
      <c r="N188" s="7"/>
      <c r="O188" s="7"/>
      <c r="P188" s="7"/>
      <c r="Q188" s="7"/>
      <c r="R188" s="7"/>
      <c r="S188" s="7"/>
      <c r="T188" s="7"/>
      <c r="U188" s="7"/>
      <c r="V188" s="7"/>
      <c r="W188" s="7"/>
      <c r="X188" s="7"/>
      <c r="Y188" s="7"/>
    </row>
    <row r="189" spans="1:25" ht="19.5" customHeight="1">
      <c r="A189" s="23"/>
      <c r="B189" s="23"/>
      <c r="C189" s="7"/>
      <c r="D189" s="7"/>
      <c r="E189" s="7"/>
      <c r="F189" s="7"/>
      <c r="G189" s="7"/>
      <c r="H189" s="7"/>
      <c r="I189" s="7"/>
      <c r="J189" s="7"/>
      <c r="K189" s="7"/>
      <c r="L189" s="7"/>
      <c r="M189" s="7"/>
      <c r="N189" s="7"/>
      <c r="O189" s="7"/>
      <c r="P189" s="7"/>
      <c r="Q189" s="7"/>
      <c r="R189" s="7"/>
      <c r="S189" s="7"/>
      <c r="T189" s="7"/>
      <c r="U189" s="7"/>
      <c r="V189" s="7"/>
      <c r="W189" s="7"/>
      <c r="X189" s="7"/>
      <c r="Y189" s="7"/>
    </row>
    <row r="190" spans="1:25" ht="19.5" customHeight="1">
      <c r="A190" s="23"/>
      <c r="B190" s="23"/>
      <c r="C190" s="7"/>
      <c r="D190" s="7"/>
      <c r="E190" s="7"/>
      <c r="F190" s="7"/>
      <c r="G190" s="7"/>
      <c r="H190" s="7"/>
      <c r="I190" s="7"/>
      <c r="J190" s="7"/>
      <c r="K190" s="7"/>
      <c r="L190" s="7"/>
      <c r="M190" s="7"/>
      <c r="N190" s="7"/>
      <c r="O190" s="7"/>
      <c r="P190" s="7"/>
      <c r="Q190" s="7"/>
      <c r="R190" s="7"/>
      <c r="S190" s="7"/>
      <c r="T190" s="7"/>
      <c r="U190" s="7"/>
      <c r="V190" s="7"/>
      <c r="W190" s="7"/>
      <c r="X190" s="7"/>
      <c r="Y190" s="7"/>
    </row>
    <row r="191" spans="1:25" ht="19.5" customHeight="1">
      <c r="A191" s="23"/>
      <c r="B191" s="23"/>
      <c r="C191" s="7"/>
      <c r="D191" s="7"/>
      <c r="E191" s="7"/>
      <c r="F191" s="7"/>
      <c r="G191" s="7"/>
      <c r="H191" s="7"/>
      <c r="I191" s="7"/>
      <c r="J191" s="7"/>
      <c r="K191" s="7"/>
      <c r="L191" s="7"/>
      <c r="M191" s="7"/>
      <c r="N191" s="7"/>
      <c r="O191" s="7"/>
      <c r="P191" s="7"/>
      <c r="Q191" s="7"/>
      <c r="R191" s="7"/>
      <c r="S191" s="7"/>
      <c r="T191" s="7"/>
      <c r="U191" s="7"/>
      <c r="V191" s="7"/>
      <c r="W191" s="7"/>
      <c r="X191" s="7"/>
      <c r="Y191" s="7"/>
    </row>
    <row r="192" spans="1:25" ht="19.5" customHeight="1">
      <c r="A192" s="23"/>
      <c r="B192" s="23"/>
      <c r="C192" s="7"/>
      <c r="D192" s="7"/>
      <c r="E192" s="7"/>
      <c r="F192" s="7"/>
      <c r="G192" s="7"/>
      <c r="H192" s="7"/>
      <c r="I192" s="7"/>
      <c r="J192" s="7"/>
      <c r="K192" s="7"/>
      <c r="L192" s="7"/>
      <c r="M192" s="7"/>
      <c r="N192" s="7"/>
      <c r="O192" s="7"/>
      <c r="P192" s="7"/>
      <c r="Q192" s="7"/>
      <c r="R192" s="7"/>
      <c r="S192" s="7"/>
      <c r="T192" s="7"/>
      <c r="U192" s="7"/>
      <c r="V192" s="7"/>
      <c r="W192" s="7"/>
      <c r="X192" s="7"/>
      <c r="Y192" s="7"/>
    </row>
    <row r="193" spans="1:25" ht="19.5" customHeight="1">
      <c r="A193" s="23"/>
      <c r="B193" s="23"/>
      <c r="C193" s="7"/>
      <c r="D193" s="7"/>
      <c r="E193" s="7"/>
      <c r="F193" s="7"/>
      <c r="G193" s="7"/>
      <c r="H193" s="7"/>
      <c r="I193" s="7"/>
      <c r="J193" s="7"/>
      <c r="K193" s="7"/>
      <c r="L193" s="7"/>
      <c r="M193" s="7"/>
      <c r="N193" s="7"/>
      <c r="O193" s="7"/>
      <c r="P193" s="7"/>
      <c r="Q193" s="7"/>
      <c r="R193" s="7"/>
      <c r="S193" s="7"/>
      <c r="T193" s="7"/>
      <c r="U193" s="7"/>
      <c r="V193" s="7"/>
      <c r="W193" s="7"/>
      <c r="X193" s="7"/>
      <c r="Y193" s="7"/>
    </row>
    <row r="194" spans="1:25" ht="19.5" customHeight="1">
      <c r="A194" s="23"/>
      <c r="B194" s="23"/>
      <c r="C194" s="7"/>
      <c r="D194" s="7"/>
      <c r="E194" s="7"/>
      <c r="F194" s="7"/>
      <c r="G194" s="7"/>
      <c r="H194" s="7"/>
      <c r="I194" s="7"/>
      <c r="J194" s="7"/>
      <c r="K194" s="7"/>
      <c r="L194" s="7"/>
      <c r="M194" s="7"/>
      <c r="N194" s="7"/>
      <c r="O194" s="7"/>
      <c r="P194" s="7"/>
      <c r="Q194" s="7"/>
      <c r="R194" s="7"/>
      <c r="S194" s="7"/>
      <c r="T194" s="7"/>
      <c r="U194" s="7"/>
      <c r="V194" s="7"/>
      <c r="W194" s="7"/>
      <c r="X194" s="7"/>
      <c r="Y194" s="7"/>
    </row>
    <row r="195" spans="1:25" ht="19.5" customHeight="1">
      <c r="A195" s="23"/>
      <c r="B195" s="23"/>
      <c r="C195" s="7"/>
      <c r="D195" s="7"/>
      <c r="E195" s="7"/>
      <c r="F195" s="7"/>
      <c r="G195" s="7"/>
      <c r="H195" s="7"/>
      <c r="I195" s="7"/>
      <c r="J195" s="7"/>
      <c r="K195" s="7"/>
      <c r="L195" s="7"/>
      <c r="M195" s="7"/>
      <c r="N195" s="7"/>
      <c r="O195" s="7"/>
      <c r="P195" s="7"/>
      <c r="Q195" s="7"/>
      <c r="R195" s="7"/>
      <c r="S195" s="7"/>
      <c r="T195" s="7"/>
      <c r="U195" s="7"/>
      <c r="V195" s="7"/>
      <c r="W195" s="7"/>
      <c r="X195" s="7"/>
      <c r="Y195" s="7"/>
    </row>
    <row r="196" spans="1:25" ht="19.5" customHeight="1">
      <c r="A196" s="23"/>
      <c r="B196" s="23"/>
      <c r="C196" s="7"/>
      <c r="D196" s="7"/>
      <c r="E196" s="7"/>
      <c r="F196" s="7"/>
      <c r="G196" s="7"/>
      <c r="H196" s="7"/>
      <c r="I196" s="7"/>
      <c r="J196" s="7"/>
      <c r="K196" s="7"/>
      <c r="L196" s="7"/>
      <c r="M196" s="7"/>
      <c r="N196" s="7"/>
      <c r="O196" s="7"/>
      <c r="P196" s="7"/>
      <c r="Q196" s="7"/>
      <c r="R196" s="7"/>
      <c r="S196" s="7"/>
      <c r="T196" s="7"/>
      <c r="U196" s="7"/>
      <c r="V196" s="7"/>
      <c r="W196" s="7"/>
      <c r="X196" s="7"/>
      <c r="Y196" s="7"/>
    </row>
    <row r="197" spans="1:25" ht="19.5" customHeight="1">
      <c r="A197" s="23"/>
      <c r="B197" s="23"/>
      <c r="C197" s="7"/>
      <c r="D197" s="7"/>
      <c r="E197" s="7"/>
      <c r="F197" s="7"/>
      <c r="G197" s="7"/>
      <c r="H197" s="7"/>
      <c r="I197" s="7"/>
      <c r="J197" s="7"/>
      <c r="K197" s="7"/>
      <c r="L197" s="7"/>
      <c r="M197" s="7"/>
      <c r="N197" s="7"/>
      <c r="O197" s="7"/>
      <c r="P197" s="7"/>
      <c r="Q197" s="7"/>
      <c r="R197" s="7"/>
      <c r="S197" s="7"/>
      <c r="T197" s="7"/>
      <c r="U197" s="7"/>
      <c r="V197" s="7"/>
      <c r="W197" s="7"/>
      <c r="X197" s="7"/>
      <c r="Y197" s="7"/>
    </row>
    <row r="198" spans="1:25" ht="19.5" customHeight="1">
      <c r="A198" s="23"/>
      <c r="B198" s="23"/>
      <c r="C198" s="7"/>
      <c r="D198" s="7"/>
      <c r="E198" s="7"/>
      <c r="F198" s="7"/>
      <c r="G198" s="7"/>
      <c r="H198" s="7"/>
      <c r="I198" s="7"/>
      <c r="J198" s="7"/>
      <c r="K198" s="7"/>
      <c r="L198" s="7"/>
      <c r="M198" s="7"/>
      <c r="N198" s="7"/>
      <c r="O198" s="7"/>
      <c r="P198" s="7"/>
      <c r="Q198" s="7"/>
      <c r="R198" s="7"/>
      <c r="S198" s="7"/>
      <c r="T198" s="7"/>
      <c r="U198" s="7"/>
      <c r="V198" s="7"/>
      <c r="W198" s="7"/>
      <c r="X198" s="7"/>
      <c r="Y198" s="7"/>
    </row>
    <row r="199" spans="1:25" ht="19.5" customHeight="1">
      <c r="A199" s="23"/>
      <c r="B199" s="23"/>
      <c r="C199" s="7"/>
      <c r="D199" s="7"/>
      <c r="E199" s="7"/>
      <c r="F199" s="7"/>
      <c r="G199" s="7"/>
      <c r="H199" s="7"/>
      <c r="I199" s="7"/>
      <c r="J199" s="7"/>
      <c r="K199" s="7"/>
      <c r="L199" s="7"/>
      <c r="M199" s="7"/>
      <c r="N199" s="7"/>
      <c r="O199" s="7"/>
      <c r="P199" s="7"/>
      <c r="Q199" s="7"/>
      <c r="R199" s="7"/>
      <c r="S199" s="7"/>
      <c r="T199" s="7"/>
      <c r="U199" s="7"/>
      <c r="V199" s="7"/>
      <c r="W199" s="7"/>
      <c r="X199" s="7"/>
      <c r="Y199" s="7"/>
    </row>
    <row r="200" spans="1:25" ht="19.5" customHeight="1">
      <c r="A200" s="23"/>
      <c r="B200" s="23"/>
      <c r="C200" s="7"/>
      <c r="D200" s="7"/>
      <c r="E200" s="7"/>
      <c r="F200" s="7"/>
      <c r="G200" s="7"/>
      <c r="H200" s="7"/>
      <c r="I200" s="7"/>
      <c r="J200" s="7"/>
      <c r="K200" s="7"/>
      <c r="L200" s="7"/>
      <c r="M200" s="7"/>
      <c r="N200" s="7"/>
      <c r="O200" s="7"/>
      <c r="P200" s="7"/>
      <c r="Q200" s="7"/>
      <c r="R200" s="7"/>
      <c r="S200" s="7"/>
      <c r="T200" s="7"/>
      <c r="U200" s="7"/>
      <c r="V200" s="7"/>
      <c r="W200" s="7"/>
      <c r="X200" s="7"/>
      <c r="Y200" s="7"/>
    </row>
    <row r="201" spans="1:25" ht="19.5" customHeight="1">
      <c r="A201" s="23"/>
      <c r="B201" s="23"/>
      <c r="C201" s="7"/>
      <c r="D201" s="7"/>
      <c r="E201" s="7"/>
      <c r="F201" s="7"/>
      <c r="G201" s="7"/>
      <c r="H201" s="7"/>
      <c r="I201" s="7"/>
      <c r="J201" s="7"/>
      <c r="K201" s="7"/>
      <c r="L201" s="7"/>
      <c r="M201" s="7"/>
      <c r="N201" s="7"/>
      <c r="O201" s="7"/>
      <c r="P201" s="7"/>
      <c r="Q201" s="7"/>
      <c r="R201" s="7"/>
      <c r="S201" s="7"/>
      <c r="T201" s="7"/>
      <c r="U201" s="7"/>
      <c r="V201" s="7"/>
      <c r="W201" s="7"/>
      <c r="X201" s="7"/>
      <c r="Y201" s="7"/>
    </row>
    <row r="202" spans="1:25" ht="19.5" customHeight="1">
      <c r="A202" s="23"/>
      <c r="B202" s="23"/>
      <c r="C202" s="7"/>
      <c r="D202" s="7"/>
      <c r="E202" s="7"/>
      <c r="F202" s="7"/>
      <c r="G202" s="7"/>
      <c r="H202" s="7"/>
      <c r="I202" s="7"/>
      <c r="J202" s="7"/>
      <c r="K202" s="7"/>
      <c r="L202" s="7"/>
      <c r="M202" s="7"/>
      <c r="N202" s="7"/>
      <c r="O202" s="7"/>
      <c r="P202" s="7"/>
      <c r="Q202" s="7"/>
      <c r="R202" s="7"/>
      <c r="S202" s="7"/>
      <c r="T202" s="7"/>
      <c r="U202" s="7"/>
      <c r="V202" s="7"/>
      <c r="W202" s="7"/>
      <c r="X202" s="7"/>
      <c r="Y202" s="7"/>
    </row>
    <row r="203" spans="1:25" ht="19.5" customHeight="1">
      <c r="A203" s="23"/>
      <c r="B203" s="23"/>
      <c r="C203" s="7"/>
      <c r="D203" s="7"/>
      <c r="E203" s="7"/>
      <c r="F203" s="7"/>
      <c r="G203" s="7"/>
      <c r="H203" s="7"/>
      <c r="I203" s="7"/>
      <c r="J203" s="7"/>
      <c r="K203" s="7"/>
      <c r="L203" s="7"/>
      <c r="M203" s="7"/>
      <c r="N203" s="7"/>
      <c r="O203" s="7"/>
      <c r="P203" s="7"/>
      <c r="Q203" s="7"/>
      <c r="R203" s="7"/>
      <c r="S203" s="7"/>
      <c r="T203" s="7"/>
      <c r="U203" s="7"/>
      <c r="V203" s="7"/>
      <c r="W203" s="7"/>
      <c r="X203" s="7"/>
      <c r="Y203" s="7"/>
    </row>
    <row r="204" spans="1:25" ht="19.5" customHeight="1">
      <c r="A204" s="23"/>
      <c r="B204" s="23"/>
      <c r="C204" s="7"/>
      <c r="D204" s="7"/>
      <c r="E204" s="7"/>
      <c r="F204" s="7"/>
      <c r="G204" s="7"/>
      <c r="H204" s="7"/>
      <c r="I204" s="7"/>
      <c r="J204" s="7"/>
      <c r="K204" s="7"/>
      <c r="L204" s="7"/>
      <c r="M204" s="7"/>
      <c r="N204" s="7"/>
      <c r="O204" s="7"/>
      <c r="P204" s="7"/>
      <c r="Q204" s="7"/>
      <c r="R204" s="7"/>
      <c r="S204" s="7"/>
      <c r="T204" s="7"/>
      <c r="U204" s="7"/>
      <c r="V204" s="7"/>
      <c r="W204" s="7"/>
      <c r="X204" s="7"/>
      <c r="Y204" s="7"/>
    </row>
    <row r="205" spans="1:25" ht="19.5" customHeight="1">
      <c r="A205" s="23"/>
      <c r="B205" s="23"/>
      <c r="C205" s="7"/>
      <c r="D205" s="7"/>
      <c r="E205" s="7"/>
      <c r="F205" s="7"/>
      <c r="G205" s="7"/>
      <c r="H205" s="7"/>
      <c r="I205" s="7"/>
      <c r="J205" s="7"/>
      <c r="K205" s="7"/>
      <c r="L205" s="7"/>
      <c r="M205" s="7"/>
      <c r="N205" s="7"/>
      <c r="O205" s="7"/>
      <c r="P205" s="7"/>
      <c r="Q205" s="7"/>
      <c r="R205" s="7"/>
      <c r="S205" s="7"/>
      <c r="T205" s="7"/>
      <c r="U205" s="7"/>
      <c r="V205" s="7"/>
      <c r="W205" s="7"/>
      <c r="X205" s="7"/>
      <c r="Y205" s="7"/>
    </row>
    <row r="206" spans="1:25" ht="19.5" customHeight="1">
      <c r="A206" s="23"/>
      <c r="B206" s="23"/>
      <c r="C206" s="7"/>
      <c r="D206" s="7"/>
      <c r="E206" s="7"/>
      <c r="F206" s="7"/>
      <c r="G206" s="7"/>
      <c r="H206" s="7"/>
      <c r="I206" s="7"/>
      <c r="J206" s="7"/>
      <c r="K206" s="7"/>
      <c r="L206" s="7"/>
      <c r="M206" s="7"/>
      <c r="N206" s="7"/>
      <c r="O206" s="7"/>
      <c r="P206" s="7"/>
      <c r="Q206" s="7"/>
      <c r="R206" s="7"/>
      <c r="S206" s="7"/>
      <c r="T206" s="7"/>
      <c r="U206" s="7"/>
      <c r="V206" s="7"/>
      <c r="W206" s="7"/>
      <c r="X206" s="7"/>
      <c r="Y206" s="7"/>
    </row>
    <row r="207" spans="1:25" ht="19.5" customHeight="1">
      <c r="A207" s="23"/>
      <c r="B207" s="23"/>
      <c r="C207" s="7"/>
      <c r="D207" s="7"/>
      <c r="E207" s="7"/>
      <c r="F207" s="7"/>
      <c r="G207" s="7"/>
      <c r="H207" s="7"/>
      <c r="I207" s="7"/>
      <c r="J207" s="7"/>
      <c r="K207" s="7"/>
      <c r="L207" s="7"/>
      <c r="M207" s="7"/>
      <c r="N207" s="7"/>
      <c r="O207" s="7"/>
      <c r="P207" s="7"/>
      <c r="Q207" s="7"/>
      <c r="R207" s="7"/>
      <c r="S207" s="7"/>
      <c r="T207" s="7"/>
      <c r="U207" s="7"/>
      <c r="V207" s="7"/>
      <c r="W207" s="7"/>
      <c r="X207" s="7"/>
      <c r="Y207" s="7"/>
    </row>
    <row r="208" spans="1:25" ht="19.5" customHeight="1">
      <c r="A208" s="23"/>
      <c r="B208" s="23"/>
      <c r="C208" s="7"/>
      <c r="D208" s="7"/>
      <c r="E208" s="7"/>
      <c r="F208" s="7"/>
      <c r="G208" s="7"/>
      <c r="H208" s="7"/>
      <c r="I208" s="7"/>
      <c r="J208" s="7"/>
      <c r="K208" s="7"/>
      <c r="L208" s="7"/>
      <c r="M208" s="7"/>
      <c r="N208" s="7"/>
      <c r="O208" s="7"/>
      <c r="P208" s="7"/>
      <c r="Q208" s="7"/>
      <c r="R208" s="7"/>
      <c r="S208" s="7"/>
      <c r="T208" s="7"/>
      <c r="U208" s="7"/>
      <c r="V208" s="7"/>
      <c r="W208" s="7"/>
      <c r="X208" s="7"/>
      <c r="Y208" s="7"/>
    </row>
    <row r="209" spans="1:25" ht="19.5" customHeight="1">
      <c r="A209" s="23"/>
      <c r="B209" s="23"/>
      <c r="C209" s="7"/>
      <c r="D209" s="7"/>
      <c r="E209" s="7"/>
      <c r="F209" s="7"/>
      <c r="G209" s="7"/>
      <c r="H209" s="7"/>
      <c r="I209" s="7"/>
      <c r="J209" s="7"/>
      <c r="K209" s="7"/>
      <c r="L209" s="7"/>
      <c r="M209" s="7"/>
      <c r="N209" s="7"/>
      <c r="O209" s="7"/>
      <c r="P209" s="7"/>
      <c r="Q209" s="7"/>
      <c r="R209" s="7"/>
      <c r="S209" s="7"/>
      <c r="T209" s="7"/>
      <c r="U209" s="7"/>
      <c r="V209" s="7"/>
      <c r="W209" s="7"/>
      <c r="X209" s="7"/>
      <c r="Y209" s="7"/>
    </row>
    <row r="210" spans="1:25" ht="19.5" customHeight="1">
      <c r="A210" s="23"/>
      <c r="B210" s="23"/>
      <c r="C210" s="7"/>
      <c r="D210" s="7"/>
      <c r="E210" s="7"/>
      <c r="F210" s="7"/>
      <c r="G210" s="7"/>
      <c r="H210" s="7"/>
      <c r="I210" s="7"/>
      <c r="J210" s="7"/>
      <c r="K210" s="7"/>
      <c r="L210" s="7"/>
      <c r="M210" s="7"/>
      <c r="N210" s="7"/>
      <c r="O210" s="7"/>
      <c r="P210" s="7"/>
      <c r="Q210" s="7"/>
      <c r="R210" s="7"/>
      <c r="S210" s="7"/>
      <c r="T210" s="7"/>
      <c r="U210" s="7"/>
      <c r="V210" s="7"/>
      <c r="W210" s="7"/>
      <c r="X210" s="7"/>
      <c r="Y210" s="7"/>
    </row>
    <row r="211" spans="1:25" ht="19.5" customHeight="1">
      <c r="A211" s="23"/>
      <c r="B211" s="23"/>
      <c r="C211" s="7"/>
      <c r="D211" s="7"/>
      <c r="E211" s="7"/>
      <c r="F211" s="7"/>
      <c r="G211" s="7"/>
      <c r="H211" s="7"/>
      <c r="I211" s="7"/>
      <c r="J211" s="7"/>
      <c r="K211" s="7"/>
      <c r="L211" s="7"/>
      <c r="M211" s="7"/>
      <c r="N211" s="7"/>
      <c r="O211" s="7"/>
      <c r="P211" s="7"/>
      <c r="Q211" s="7"/>
      <c r="R211" s="7"/>
      <c r="S211" s="7"/>
      <c r="T211" s="7"/>
      <c r="U211" s="7"/>
      <c r="V211" s="7"/>
      <c r="W211" s="7"/>
      <c r="X211" s="7"/>
      <c r="Y211" s="7"/>
    </row>
    <row r="212" spans="1:25" ht="19.5" customHeight="1">
      <c r="A212" s="23"/>
      <c r="B212" s="23"/>
      <c r="C212" s="7"/>
      <c r="D212" s="7"/>
      <c r="E212" s="7"/>
      <c r="F212" s="7"/>
      <c r="G212" s="7"/>
      <c r="H212" s="7"/>
      <c r="I212" s="7"/>
      <c r="J212" s="7"/>
      <c r="K212" s="7"/>
      <c r="L212" s="7"/>
      <c r="M212" s="7"/>
      <c r="N212" s="7"/>
      <c r="O212" s="7"/>
      <c r="P212" s="7"/>
      <c r="Q212" s="7"/>
      <c r="R212" s="7"/>
      <c r="S212" s="7"/>
      <c r="T212" s="7"/>
      <c r="U212" s="7"/>
      <c r="V212" s="7"/>
      <c r="W212" s="7"/>
      <c r="X212" s="7"/>
      <c r="Y212" s="7"/>
    </row>
    <row r="213" spans="1:25" ht="19.5" customHeight="1">
      <c r="A213" s="23"/>
      <c r="B213" s="23"/>
      <c r="C213" s="7"/>
      <c r="D213" s="7"/>
      <c r="E213" s="7"/>
      <c r="F213" s="7"/>
      <c r="G213" s="7"/>
      <c r="H213" s="7"/>
      <c r="I213" s="7"/>
      <c r="J213" s="7"/>
      <c r="K213" s="7"/>
      <c r="L213" s="7"/>
      <c r="M213" s="7"/>
      <c r="N213" s="7"/>
      <c r="O213" s="7"/>
      <c r="P213" s="7"/>
      <c r="Q213" s="7"/>
      <c r="R213" s="7"/>
      <c r="S213" s="7"/>
      <c r="T213" s="7"/>
      <c r="U213" s="7"/>
      <c r="V213" s="7"/>
      <c r="W213" s="7"/>
      <c r="X213" s="7"/>
      <c r="Y213" s="7"/>
    </row>
    <row r="214" spans="1:25" ht="19.5" customHeight="1">
      <c r="A214" s="23"/>
      <c r="B214" s="23"/>
      <c r="C214" s="7"/>
      <c r="D214" s="7"/>
      <c r="E214" s="7"/>
      <c r="F214" s="7"/>
      <c r="G214" s="7"/>
      <c r="H214" s="7"/>
      <c r="I214" s="7"/>
      <c r="J214" s="7"/>
      <c r="K214" s="7"/>
      <c r="L214" s="7"/>
      <c r="M214" s="7"/>
      <c r="N214" s="7"/>
      <c r="O214" s="7"/>
      <c r="P214" s="7"/>
      <c r="Q214" s="7"/>
      <c r="R214" s="7"/>
      <c r="S214" s="7"/>
      <c r="T214" s="7"/>
      <c r="U214" s="7"/>
      <c r="V214" s="7"/>
      <c r="W214" s="7"/>
      <c r="X214" s="7"/>
      <c r="Y214" s="7"/>
    </row>
    <row r="215" spans="1:25" ht="19.5" customHeight="1">
      <c r="A215" s="23"/>
      <c r="B215" s="23"/>
      <c r="C215" s="7"/>
      <c r="D215" s="7"/>
      <c r="E215" s="7"/>
      <c r="F215" s="7"/>
      <c r="G215" s="7"/>
      <c r="H215" s="7"/>
      <c r="I215" s="7"/>
      <c r="J215" s="7"/>
      <c r="K215" s="7"/>
      <c r="L215" s="7"/>
      <c r="M215" s="7"/>
      <c r="N215" s="7"/>
      <c r="O215" s="7"/>
      <c r="P215" s="7"/>
      <c r="Q215" s="7"/>
      <c r="R215" s="7"/>
      <c r="S215" s="7"/>
      <c r="T215" s="7"/>
      <c r="U215" s="7"/>
      <c r="V215" s="7"/>
      <c r="W215" s="7"/>
      <c r="X215" s="7"/>
      <c r="Y215" s="7"/>
    </row>
    <row r="216" spans="1:25" ht="19.5" customHeight="1">
      <c r="A216" s="23"/>
      <c r="B216" s="23"/>
      <c r="C216" s="7"/>
      <c r="D216" s="7"/>
      <c r="E216" s="7"/>
      <c r="F216" s="7"/>
      <c r="G216" s="7"/>
      <c r="H216" s="7"/>
      <c r="I216" s="7"/>
      <c r="J216" s="7"/>
      <c r="K216" s="7"/>
      <c r="L216" s="7"/>
      <c r="M216" s="7"/>
      <c r="N216" s="7"/>
      <c r="O216" s="7"/>
      <c r="P216" s="7"/>
      <c r="Q216" s="7"/>
      <c r="R216" s="7"/>
      <c r="S216" s="7"/>
      <c r="T216" s="7"/>
      <c r="U216" s="7"/>
      <c r="V216" s="7"/>
      <c r="W216" s="7"/>
      <c r="X216" s="7"/>
      <c r="Y216" s="7"/>
    </row>
    <row r="217" spans="1:25" ht="19.5" customHeight="1">
      <c r="A217" s="23"/>
      <c r="B217" s="23"/>
      <c r="C217" s="7"/>
      <c r="D217" s="7"/>
      <c r="E217" s="7"/>
      <c r="F217" s="7"/>
      <c r="G217" s="7"/>
      <c r="H217" s="7"/>
      <c r="I217" s="7"/>
      <c r="J217" s="7"/>
      <c r="K217" s="7"/>
      <c r="L217" s="7"/>
      <c r="M217" s="7"/>
      <c r="N217" s="7"/>
      <c r="O217" s="7"/>
      <c r="P217" s="7"/>
      <c r="Q217" s="7"/>
      <c r="R217" s="7"/>
      <c r="S217" s="7"/>
      <c r="T217" s="7"/>
      <c r="U217" s="7"/>
      <c r="V217" s="7"/>
      <c r="W217" s="7"/>
      <c r="X217" s="7"/>
      <c r="Y217" s="7"/>
    </row>
    <row r="218" spans="1:25" ht="19.5" customHeight="1">
      <c r="A218" s="23"/>
      <c r="B218" s="23"/>
      <c r="C218" s="7"/>
      <c r="D218" s="7"/>
      <c r="E218" s="7"/>
      <c r="F218" s="7"/>
      <c r="G218" s="7"/>
      <c r="H218" s="7"/>
      <c r="I218" s="7"/>
      <c r="J218" s="7"/>
      <c r="K218" s="7"/>
      <c r="L218" s="7"/>
      <c r="M218" s="7"/>
      <c r="N218" s="7"/>
      <c r="O218" s="7"/>
      <c r="P218" s="7"/>
      <c r="Q218" s="7"/>
      <c r="R218" s="7"/>
      <c r="S218" s="7"/>
      <c r="T218" s="7"/>
      <c r="U218" s="7"/>
      <c r="V218" s="7"/>
      <c r="W218" s="7"/>
      <c r="X218" s="7"/>
      <c r="Y218" s="7"/>
    </row>
    <row r="219" spans="1:25" ht="19.5" customHeight="1">
      <c r="A219" s="23"/>
      <c r="B219" s="23"/>
      <c r="C219" s="7"/>
      <c r="D219" s="7"/>
      <c r="E219" s="7"/>
      <c r="F219" s="7"/>
      <c r="G219" s="7"/>
      <c r="H219" s="7"/>
      <c r="I219" s="7"/>
      <c r="J219" s="7"/>
      <c r="K219" s="7"/>
      <c r="L219" s="7"/>
      <c r="M219" s="7"/>
      <c r="N219" s="7"/>
      <c r="O219" s="7"/>
      <c r="P219" s="7"/>
      <c r="Q219" s="7"/>
      <c r="R219" s="7"/>
      <c r="S219" s="7"/>
      <c r="T219" s="7"/>
      <c r="U219" s="7"/>
      <c r="V219" s="7"/>
      <c r="W219" s="7"/>
      <c r="X219" s="7"/>
      <c r="Y219" s="7"/>
    </row>
    <row r="220" spans="1:25" ht="19.5" customHeight="1">
      <c r="A220" s="23"/>
      <c r="B220" s="23"/>
      <c r="C220" s="7"/>
      <c r="D220" s="7"/>
      <c r="E220" s="7"/>
      <c r="F220" s="7"/>
      <c r="G220" s="7"/>
      <c r="H220" s="7"/>
      <c r="I220" s="7"/>
      <c r="J220" s="7"/>
      <c r="K220" s="7"/>
      <c r="L220" s="7"/>
      <c r="M220" s="7"/>
      <c r="N220" s="7"/>
      <c r="O220" s="7"/>
      <c r="P220" s="7"/>
      <c r="Q220" s="7"/>
      <c r="R220" s="7"/>
      <c r="S220" s="7"/>
      <c r="T220" s="7"/>
      <c r="U220" s="7"/>
      <c r="V220" s="7"/>
      <c r="W220" s="7"/>
      <c r="X220" s="7"/>
      <c r="Y220" s="7"/>
    </row>
    <row r="221" spans="1:25" ht="19.5" customHeight="1">
      <c r="A221" s="23"/>
      <c r="B221" s="23"/>
      <c r="C221" s="7"/>
      <c r="D221" s="7"/>
      <c r="E221" s="7"/>
      <c r="F221" s="7"/>
      <c r="G221" s="7"/>
      <c r="H221" s="7"/>
      <c r="I221" s="7"/>
      <c r="J221" s="7"/>
      <c r="K221" s="7"/>
      <c r="L221" s="7"/>
      <c r="M221" s="7"/>
      <c r="N221" s="7"/>
      <c r="O221" s="7"/>
      <c r="P221" s="7"/>
      <c r="Q221" s="7"/>
      <c r="R221" s="7"/>
      <c r="S221" s="7"/>
      <c r="T221" s="7"/>
      <c r="U221" s="7"/>
      <c r="V221" s="7"/>
      <c r="W221" s="7"/>
      <c r="X221" s="7"/>
      <c r="Y221" s="7"/>
    </row>
    <row r="222" spans="1:25" ht="19.5" customHeight="1">
      <c r="A222" s="23"/>
      <c r="B222" s="23"/>
      <c r="C222" s="7"/>
      <c r="D222" s="7"/>
      <c r="E222" s="7"/>
      <c r="F222" s="7"/>
      <c r="G222" s="7"/>
      <c r="H222" s="7"/>
      <c r="I222" s="7"/>
      <c r="J222" s="7"/>
      <c r="K222" s="7"/>
      <c r="L222" s="7"/>
      <c r="M222" s="7"/>
      <c r="N222" s="7"/>
      <c r="O222" s="7"/>
      <c r="P222" s="7"/>
      <c r="Q222" s="7"/>
      <c r="R222" s="7"/>
      <c r="S222" s="7"/>
      <c r="T222" s="7"/>
      <c r="U222" s="7"/>
      <c r="V222" s="7"/>
      <c r="W222" s="7"/>
      <c r="X222" s="7"/>
      <c r="Y222" s="7"/>
    </row>
    <row r="223" spans="1:25" ht="19.5" customHeight="1">
      <c r="A223" s="23"/>
      <c r="B223" s="23"/>
      <c r="C223" s="7"/>
      <c r="D223" s="7"/>
      <c r="E223" s="7"/>
      <c r="F223" s="7"/>
      <c r="G223" s="7"/>
      <c r="H223" s="7"/>
      <c r="I223" s="7"/>
      <c r="J223" s="7"/>
      <c r="K223" s="7"/>
      <c r="L223" s="7"/>
      <c r="M223" s="7"/>
      <c r="N223" s="7"/>
      <c r="O223" s="7"/>
      <c r="P223" s="7"/>
      <c r="Q223" s="7"/>
      <c r="R223" s="7"/>
      <c r="S223" s="7"/>
      <c r="T223" s="7"/>
      <c r="U223" s="7"/>
      <c r="V223" s="7"/>
      <c r="W223" s="7"/>
      <c r="X223" s="7"/>
      <c r="Y223" s="7"/>
    </row>
    <row r="224" spans="1:25" ht="19.5" customHeight="1">
      <c r="A224" s="23"/>
      <c r="B224" s="23"/>
      <c r="C224" s="7"/>
      <c r="D224" s="7"/>
      <c r="E224" s="7"/>
      <c r="F224" s="7"/>
      <c r="G224" s="7"/>
      <c r="H224" s="7"/>
      <c r="I224" s="7"/>
      <c r="J224" s="7"/>
      <c r="K224" s="7"/>
      <c r="L224" s="7"/>
      <c r="M224" s="7"/>
      <c r="N224" s="7"/>
      <c r="O224" s="7"/>
      <c r="P224" s="7"/>
      <c r="Q224" s="7"/>
      <c r="R224" s="7"/>
      <c r="S224" s="7"/>
      <c r="T224" s="7"/>
      <c r="U224" s="7"/>
      <c r="V224" s="7"/>
      <c r="W224" s="7"/>
      <c r="X224" s="7"/>
      <c r="Y224" s="7"/>
    </row>
    <row r="225" spans="1:25" ht="19.5" customHeight="1">
      <c r="A225" s="23"/>
      <c r="B225" s="23"/>
      <c r="C225" s="7"/>
      <c r="D225" s="7"/>
      <c r="E225" s="7"/>
      <c r="F225" s="7"/>
      <c r="G225" s="7"/>
      <c r="H225" s="7"/>
      <c r="I225" s="7"/>
      <c r="J225" s="7"/>
      <c r="K225" s="7"/>
      <c r="L225" s="7"/>
      <c r="M225" s="7"/>
      <c r="N225" s="7"/>
      <c r="O225" s="7"/>
      <c r="P225" s="7"/>
      <c r="Q225" s="7"/>
      <c r="R225" s="7"/>
      <c r="S225" s="7"/>
      <c r="T225" s="7"/>
      <c r="U225" s="7"/>
      <c r="V225" s="7"/>
      <c r="W225" s="7"/>
      <c r="X225" s="7"/>
      <c r="Y225" s="7"/>
    </row>
    <row r="226" spans="1:25" ht="19.5" customHeight="1">
      <c r="A226" s="23"/>
      <c r="B226" s="23"/>
      <c r="C226" s="7"/>
      <c r="D226" s="7"/>
      <c r="E226" s="7"/>
      <c r="F226" s="7"/>
      <c r="G226" s="7"/>
      <c r="H226" s="7"/>
      <c r="I226" s="7"/>
      <c r="J226" s="7"/>
      <c r="K226" s="7"/>
      <c r="L226" s="7"/>
      <c r="M226" s="7"/>
      <c r="N226" s="7"/>
      <c r="O226" s="7"/>
      <c r="P226" s="7"/>
      <c r="Q226" s="7"/>
      <c r="R226" s="7"/>
      <c r="S226" s="7"/>
      <c r="T226" s="7"/>
      <c r="U226" s="7"/>
      <c r="V226" s="7"/>
      <c r="W226" s="7"/>
      <c r="X226" s="7"/>
      <c r="Y226" s="7"/>
    </row>
    <row r="227" spans="1:25" ht="19.5" customHeight="1">
      <c r="A227" s="23"/>
      <c r="B227" s="23"/>
      <c r="C227" s="7"/>
      <c r="D227" s="7"/>
      <c r="E227" s="7"/>
      <c r="F227" s="7"/>
      <c r="G227" s="7"/>
      <c r="H227" s="7"/>
      <c r="I227" s="7"/>
      <c r="J227" s="7"/>
      <c r="K227" s="7"/>
      <c r="L227" s="7"/>
      <c r="M227" s="7"/>
      <c r="N227" s="7"/>
      <c r="O227" s="7"/>
      <c r="P227" s="7"/>
      <c r="Q227" s="7"/>
      <c r="R227" s="7"/>
      <c r="S227" s="7"/>
      <c r="T227" s="7"/>
      <c r="U227" s="7"/>
      <c r="V227" s="7"/>
      <c r="W227" s="7"/>
      <c r="X227" s="7"/>
      <c r="Y227" s="7"/>
    </row>
    <row r="228" spans="1:25" ht="19.5" customHeight="1">
      <c r="A228" s="23"/>
      <c r="B228" s="23"/>
      <c r="C228" s="7"/>
      <c r="D228" s="7"/>
      <c r="E228" s="7"/>
      <c r="F228" s="7"/>
      <c r="G228" s="7"/>
      <c r="H228" s="7"/>
      <c r="I228" s="7"/>
      <c r="J228" s="7"/>
      <c r="K228" s="7"/>
      <c r="L228" s="7"/>
      <c r="M228" s="7"/>
      <c r="N228" s="7"/>
      <c r="O228" s="7"/>
      <c r="P228" s="7"/>
      <c r="Q228" s="7"/>
      <c r="R228" s="7"/>
      <c r="S228" s="7"/>
      <c r="T228" s="7"/>
      <c r="U228" s="7"/>
      <c r="V228" s="7"/>
      <c r="W228" s="7"/>
      <c r="X228" s="7"/>
      <c r="Y228" s="7"/>
    </row>
    <row r="229" spans="1:25" ht="19.5" customHeight="1">
      <c r="A229" s="23"/>
      <c r="B229" s="23"/>
      <c r="C229" s="7"/>
      <c r="D229" s="7"/>
      <c r="E229" s="7"/>
      <c r="F229" s="7"/>
      <c r="G229" s="7"/>
      <c r="H229" s="7"/>
      <c r="I229" s="7"/>
      <c r="J229" s="7"/>
      <c r="K229" s="7"/>
      <c r="L229" s="7"/>
      <c r="M229" s="7"/>
      <c r="N229" s="7"/>
      <c r="O229" s="7"/>
      <c r="P229" s="7"/>
      <c r="Q229" s="7"/>
      <c r="R229" s="7"/>
      <c r="S229" s="7"/>
      <c r="T229" s="7"/>
      <c r="U229" s="7"/>
      <c r="V229" s="7"/>
      <c r="W229" s="7"/>
      <c r="X229" s="7"/>
      <c r="Y229" s="7"/>
    </row>
    <row r="230" spans="1:25" ht="19.5" customHeight="1">
      <c r="A230" s="23"/>
      <c r="B230" s="23"/>
      <c r="C230" s="7"/>
      <c r="D230" s="7"/>
      <c r="E230" s="7"/>
      <c r="F230" s="7"/>
      <c r="G230" s="7"/>
      <c r="H230" s="7"/>
      <c r="I230" s="7"/>
      <c r="J230" s="7"/>
      <c r="K230" s="7"/>
      <c r="L230" s="7"/>
      <c r="M230" s="7"/>
      <c r="N230" s="7"/>
      <c r="O230" s="7"/>
      <c r="P230" s="7"/>
      <c r="Q230" s="7"/>
      <c r="R230" s="7"/>
      <c r="S230" s="7"/>
      <c r="T230" s="7"/>
      <c r="U230" s="7"/>
      <c r="V230" s="7"/>
      <c r="W230" s="7"/>
      <c r="X230" s="7"/>
      <c r="Y230" s="7"/>
    </row>
    <row r="231" spans="1:25" ht="19.5" customHeight="1">
      <c r="A231" s="23"/>
      <c r="B231" s="23"/>
      <c r="C231" s="7"/>
      <c r="D231" s="7"/>
      <c r="E231" s="7"/>
      <c r="F231" s="7"/>
      <c r="G231" s="7"/>
      <c r="H231" s="7"/>
      <c r="I231" s="7"/>
      <c r="J231" s="7"/>
      <c r="K231" s="7"/>
      <c r="L231" s="7"/>
      <c r="M231" s="7"/>
      <c r="N231" s="7"/>
      <c r="O231" s="7"/>
      <c r="P231" s="7"/>
      <c r="Q231" s="7"/>
      <c r="R231" s="7"/>
      <c r="S231" s="7"/>
      <c r="T231" s="7"/>
      <c r="U231" s="7"/>
      <c r="V231" s="7"/>
      <c r="W231" s="7"/>
      <c r="X231" s="7"/>
      <c r="Y231" s="7"/>
    </row>
    <row r="232" spans="1:25" ht="19.5" customHeight="1">
      <c r="A232" s="23"/>
      <c r="B232" s="23"/>
      <c r="C232" s="7"/>
      <c r="D232" s="7"/>
      <c r="E232" s="7"/>
      <c r="F232" s="7"/>
      <c r="G232" s="7"/>
      <c r="H232" s="7"/>
      <c r="I232" s="7"/>
      <c r="J232" s="7"/>
      <c r="K232" s="7"/>
      <c r="L232" s="7"/>
      <c r="M232" s="7"/>
      <c r="N232" s="7"/>
      <c r="O232" s="7"/>
      <c r="P232" s="7"/>
      <c r="Q232" s="7"/>
      <c r="R232" s="7"/>
      <c r="S232" s="7"/>
      <c r="T232" s="7"/>
      <c r="U232" s="7"/>
      <c r="V232" s="7"/>
      <c r="W232" s="7"/>
      <c r="X232" s="7"/>
      <c r="Y232" s="7"/>
    </row>
    <row r="233" spans="1:25" ht="19.5" customHeight="1">
      <c r="A233" s="23"/>
      <c r="B233" s="23"/>
      <c r="C233" s="7"/>
      <c r="D233" s="7"/>
      <c r="E233" s="7"/>
      <c r="F233" s="7"/>
      <c r="G233" s="7"/>
      <c r="H233" s="7"/>
      <c r="I233" s="7"/>
      <c r="J233" s="7"/>
      <c r="K233" s="7"/>
      <c r="L233" s="7"/>
      <c r="M233" s="7"/>
      <c r="N233" s="7"/>
      <c r="O233" s="7"/>
      <c r="P233" s="7"/>
      <c r="Q233" s="7"/>
      <c r="R233" s="7"/>
      <c r="S233" s="7"/>
      <c r="T233" s="7"/>
      <c r="U233" s="7"/>
      <c r="V233" s="7"/>
      <c r="W233" s="7"/>
      <c r="X233" s="7"/>
      <c r="Y233" s="7"/>
    </row>
    <row r="234" spans="1:25" ht="19.5" customHeight="1">
      <c r="A234" s="23"/>
      <c r="B234" s="23"/>
      <c r="C234" s="7"/>
      <c r="D234" s="7"/>
      <c r="E234" s="7"/>
      <c r="F234" s="7"/>
      <c r="G234" s="7"/>
      <c r="H234" s="7"/>
      <c r="I234" s="7"/>
      <c r="J234" s="7"/>
      <c r="K234" s="7"/>
      <c r="L234" s="7"/>
      <c r="M234" s="7"/>
      <c r="N234" s="7"/>
      <c r="O234" s="7"/>
      <c r="P234" s="7"/>
      <c r="Q234" s="7"/>
      <c r="R234" s="7"/>
      <c r="S234" s="7"/>
      <c r="T234" s="7"/>
      <c r="U234" s="7"/>
      <c r="V234" s="7"/>
      <c r="W234" s="7"/>
      <c r="X234" s="7"/>
      <c r="Y234" s="7"/>
    </row>
    <row r="235" spans="1:25" ht="19.5" customHeight="1">
      <c r="A235" s="23"/>
      <c r="B235" s="23"/>
      <c r="C235" s="7"/>
      <c r="D235" s="7"/>
      <c r="E235" s="7"/>
      <c r="F235" s="7"/>
      <c r="G235" s="7"/>
      <c r="H235" s="7"/>
      <c r="I235" s="7"/>
      <c r="J235" s="7"/>
      <c r="K235" s="7"/>
      <c r="L235" s="7"/>
      <c r="M235" s="7"/>
      <c r="N235" s="7"/>
      <c r="O235" s="7"/>
      <c r="P235" s="7"/>
      <c r="Q235" s="7"/>
      <c r="R235" s="7"/>
      <c r="S235" s="7"/>
      <c r="T235" s="7"/>
      <c r="U235" s="7"/>
      <c r="V235" s="7"/>
      <c r="W235" s="7"/>
      <c r="X235" s="7"/>
      <c r="Y235" s="7"/>
    </row>
    <row r="236" spans="1:25" ht="19.5" customHeight="1">
      <c r="A236" s="23"/>
      <c r="B236" s="23"/>
      <c r="C236" s="7"/>
      <c r="D236" s="7"/>
      <c r="E236" s="7"/>
      <c r="F236" s="7"/>
      <c r="G236" s="7"/>
      <c r="H236" s="7"/>
      <c r="I236" s="7"/>
      <c r="J236" s="7"/>
      <c r="K236" s="7"/>
      <c r="L236" s="7"/>
      <c r="M236" s="7"/>
      <c r="N236" s="7"/>
      <c r="O236" s="7"/>
      <c r="P236" s="7"/>
      <c r="Q236" s="7"/>
      <c r="R236" s="7"/>
      <c r="S236" s="7"/>
      <c r="T236" s="7"/>
      <c r="U236" s="7"/>
      <c r="V236" s="7"/>
      <c r="W236" s="7"/>
      <c r="X236" s="7"/>
      <c r="Y236" s="7"/>
    </row>
    <row r="237" spans="1:25" ht="19.5" customHeight="1">
      <c r="A237" s="23"/>
      <c r="B237" s="23"/>
      <c r="C237" s="7"/>
      <c r="D237" s="7"/>
      <c r="E237" s="7"/>
      <c r="F237" s="7"/>
      <c r="G237" s="7"/>
      <c r="H237" s="7"/>
      <c r="I237" s="7"/>
      <c r="J237" s="7"/>
      <c r="K237" s="7"/>
      <c r="L237" s="7"/>
      <c r="M237" s="7"/>
      <c r="N237" s="7"/>
      <c r="O237" s="7"/>
      <c r="P237" s="7"/>
      <c r="Q237" s="7"/>
      <c r="R237" s="7"/>
      <c r="S237" s="7"/>
      <c r="T237" s="7"/>
      <c r="U237" s="7"/>
      <c r="V237" s="7"/>
      <c r="W237" s="7"/>
      <c r="X237" s="7"/>
      <c r="Y237" s="7"/>
    </row>
    <row r="238" spans="1:25" ht="19.5" customHeight="1">
      <c r="A238" s="23"/>
      <c r="B238" s="23"/>
      <c r="C238" s="7"/>
      <c r="D238" s="7"/>
      <c r="E238" s="7"/>
      <c r="F238" s="7"/>
      <c r="G238" s="7"/>
      <c r="H238" s="7"/>
      <c r="I238" s="7"/>
      <c r="J238" s="7"/>
      <c r="K238" s="7"/>
      <c r="L238" s="7"/>
      <c r="M238" s="7"/>
      <c r="N238" s="7"/>
      <c r="O238" s="7"/>
      <c r="P238" s="7"/>
      <c r="Q238" s="7"/>
      <c r="R238" s="7"/>
      <c r="S238" s="7"/>
      <c r="T238" s="7"/>
      <c r="U238" s="7"/>
      <c r="V238" s="7"/>
      <c r="W238" s="7"/>
      <c r="X238" s="7"/>
      <c r="Y238" s="7"/>
    </row>
    <row r="239" spans="1:25" ht="19.5" customHeight="1">
      <c r="A239" s="23"/>
      <c r="B239" s="23"/>
      <c r="C239" s="7"/>
      <c r="D239" s="7"/>
      <c r="E239" s="7"/>
      <c r="F239" s="7"/>
      <c r="G239" s="7"/>
      <c r="H239" s="7"/>
      <c r="I239" s="7"/>
      <c r="J239" s="7"/>
      <c r="K239" s="7"/>
      <c r="L239" s="7"/>
      <c r="M239" s="7"/>
      <c r="N239" s="7"/>
      <c r="O239" s="7"/>
      <c r="P239" s="7"/>
      <c r="Q239" s="7"/>
      <c r="R239" s="7"/>
      <c r="S239" s="7"/>
      <c r="T239" s="7"/>
      <c r="U239" s="7"/>
      <c r="V239" s="7"/>
      <c r="W239" s="7"/>
      <c r="X239" s="7"/>
      <c r="Y239" s="7"/>
    </row>
    <row r="240" spans="1:25" ht="19.5" customHeight="1">
      <c r="A240" s="23"/>
      <c r="B240" s="23"/>
      <c r="C240" s="7"/>
      <c r="D240" s="7"/>
      <c r="E240" s="7"/>
      <c r="F240" s="7"/>
      <c r="G240" s="7"/>
      <c r="H240" s="7"/>
      <c r="I240" s="7"/>
      <c r="J240" s="7"/>
      <c r="K240" s="7"/>
      <c r="L240" s="7"/>
      <c r="M240" s="7"/>
      <c r="N240" s="7"/>
      <c r="O240" s="7"/>
      <c r="P240" s="7"/>
      <c r="Q240" s="7"/>
      <c r="R240" s="7"/>
      <c r="S240" s="7"/>
      <c r="T240" s="7"/>
      <c r="U240" s="7"/>
      <c r="V240" s="7"/>
      <c r="W240" s="7"/>
      <c r="X240" s="7"/>
      <c r="Y240" s="7"/>
    </row>
    <row r="241" spans="1:25" ht="19.5" customHeight="1">
      <c r="A241" s="23"/>
      <c r="B241" s="23"/>
      <c r="C241" s="7"/>
      <c r="D241" s="7"/>
      <c r="E241" s="7"/>
      <c r="F241" s="7"/>
      <c r="G241" s="7"/>
      <c r="H241" s="7"/>
      <c r="I241" s="7"/>
      <c r="J241" s="7"/>
      <c r="K241" s="7"/>
      <c r="L241" s="7"/>
      <c r="M241" s="7"/>
      <c r="N241" s="7"/>
      <c r="O241" s="7"/>
      <c r="P241" s="7"/>
      <c r="Q241" s="7"/>
      <c r="R241" s="7"/>
      <c r="S241" s="7"/>
      <c r="T241" s="7"/>
      <c r="U241" s="7"/>
      <c r="V241" s="7"/>
      <c r="W241" s="7"/>
      <c r="X241" s="7"/>
      <c r="Y241" s="7"/>
    </row>
    <row r="242" spans="1:25" ht="19.5" customHeight="1">
      <c r="A242" s="23"/>
      <c r="B242" s="23"/>
      <c r="C242" s="7"/>
      <c r="D242" s="7"/>
      <c r="E242" s="7"/>
      <c r="F242" s="7"/>
      <c r="G242" s="7"/>
      <c r="H242" s="7"/>
      <c r="I242" s="7"/>
      <c r="J242" s="7"/>
      <c r="K242" s="7"/>
      <c r="L242" s="7"/>
      <c r="M242" s="7"/>
      <c r="N242" s="7"/>
      <c r="O242" s="7"/>
      <c r="P242" s="7"/>
      <c r="Q242" s="7"/>
      <c r="R242" s="7"/>
      <c r="S242" s="7"/>
      <c r="T242" s="7"/>
      <c r="U242" s="7"/>
      <c r="V242" s="7"/>
      <c r="W242" s="7"/>
      <c r="X242" s="7"/>
      <c r="Y242" s="7"/>
    </row>
    <row r="243" spans="1:25" ht="19.5" customHeight="1">
      <c r="A243" s="23"/>
      <c r="B243" s="23"/>
      <c r="C243" s="7"/>
      <c r="D243" s="7"/>
      <c r="E243" s="7"/>
      <c r="F243" s="7"/>
      <c r="G243" s="7"/>
      <c r="H243" s="7"/>
      <c r="I243" s="7"/>
      <c r="J243" s="7"/>
      <c r="K243" s="7"/>
      <c r="L243" s="7"/>
      <c r="M243" s="7"/>
      <c r="N243" s="7"/>
      <c r="O243" s="7"/>
      <c r="P243" s="7"/>
      <c r="Q243" s="7"/>
      <c r="R243" s="7"/>
      <c r="S243" s="7"/>
      <c r="T243" s="7"/>
      <c r="U243" s="7"/>
      <c r="V243" s="7"/>
      <c r="W243" s="7"/>
      <c r="X243" s="7"/>
      <c r="Y243" s="7"/>
    </row>
    <row r="244" spans="1:25" ht="19.5" customHeight="1">
      <c r="A244" s="23"/>
      <c r="B244" s="23"/>
      <c r="C244" s="7"/>
      <c r="D244" s="7"/>
      <c r="E244" s="7"/>
      <c r="F244" s="7"/>
      <c r="G244" s="7"/>
      <c r="H244" s="7"/>
      <c r="I244" s="7"/>
      <c r="J244" s="7"/>
      <c r="K244" s="7"/>
      <c r="L244" s="7"/>
      <c r="M244" s="7"/>
      <c r="N244" s="7"/>
      <c r="O244" s="7"/>
      <c r="P244" s="7"/>
      <c r="Q244" s="7"/>
      <c r="R244" s="7"/>
      <c r="S244" s="7"/>
      <c r="T244" s="7"/>
      <c r="U244" s="7"/>
      <c r="V244" s="7"/>
      <c r="W244" s="7"/>
      <c r="X244" s="7"/>
      <c r="Y244" s="7"/>
    </row>
    <row r="245" spans="1:25" ht="19.5" customHeight="1">
      <c r="A245" s="23"/>
      <c r="B245" s="23"/>
      <c r="C245" s="7"/>
      <c r="D245" s="7"/>
      <c r="E245" s="7"/>
      <c r="F245" s="7"/>
      <c r="G245" s="7"/>
      <c r="H245" s="7"/>
      <c r="I245" s="7"/>
      <c r="J245" s="7"/>
      <c r="K245" s="7"/>
      <c r="L245" s="7"/>
      <c r="M245" s="7"/>
      <c r="N245" s="7"/>
      <c r="O245" s="7"/>
      <c r="P245" s="7"/>
      <c r="Q245" s="7"/>
      <c r="R245" s="7"/>
      <c r="S245" s="7"/>
      <c r="T245" s="7"/>
      <c r="U245" s="7"/>
      <c r="V245" s="7"/>
      <c r="W245" s="7"/>
      <c r="X245" s="7"/>
      <c r="Y245" s="7"/>
    </row>
    <row r="246" spans="1:25" ht="19.5" customHeight="1">
      <c r="A246" s="23"/>
      <c r="B246" s="23"/>
      <c r="C246" s="7"/>
      <c r="D246" s="7"/>
      <c r="E246" s="7"/>
      <c r="F246" s="7"/>
      <c r="G246" s="7"/>
      <c r="H246" s="7"/>
      <c r="I246" s="7"/>
      <c r="J246" s="7"/>
      <c r="K246" s="7"/>
      <c r="L246" s="7"/>
      <c r="M246" s="7"/>
      <c r="N246" s="7"/>
      <c r="O246" s="7"/>
      <c r="P246" s="7"/>
      <c r="Q246" s="7"/>
      <c r="R246" s="7"/>
      <c r="S246" s="7"/>
      <c r="T246" s="7"/>
      <c r="U246" s="7"/>
      <c r="V246" s="7"/>
      <c r="W246" s="7"/>
      <c r="X246" s="7"/>
      <c r="Y246" s="7"/>
    </row>
    <row r="247" spans="1:25" ht="19.5" customHeight="1">
      <c r="A247" s="23"/>
      <c r="B247" s="23"/>
      <c r="C247" s="7"/>
      <c r="D247" s="7"/>
      <c r="E247" s="7"/>
      <c r="F247" s="7"/>
      <c r="G247" s="7"/>
      <c r="H247" s="7"/>
      <c r="I247" s="7"/>
      <c r="J247" s="7"/>
      <c r="K247" s="7"/>
      <c r="L247" s="7"/>
      <c r="M247" s="7"/>
      <c r="N247" s="7"/>
      <c r="O247" s="7"/>
      <c r="P247" s="7"/>
      <c r="Q247" s="7"/>
      <c r="R247" s="7"/>
      <c r="S247" s="7"/>
      <c r="T247" s="7"/>
      <c r="U247" s="7"/>
      <c r="V247" s="7"/>
      <c r="W247" s="7"/>
      <c r="X247" s="7"/>
      <c r="Y247" s="7"/>
    </row>
    <row r="248" spans="1:25" ht="19.5" customHeight="1">
      <c r="A248" s="23"/>
      <c r="B248" s="23"/>
      <c r="C248" s="7"/>
      <c r="D248" s="7"/>
      <c r="E248" s="7"/>
      <c r="F248" s="7"/>
      <c r="G248" s="7"/>
      <c r="H248" s="7"/>
      <c r="I248" s="7"/>
      <c r="J248" s="7"/>
      <c r="K248" s="7"/>
      <c r="L248" s="7"/>
      <c r="M248" s="7"/>
      <c r="N248" s="7"/>
      <c r="O248" s="7"/>
      <c r="P248" s="7"/>
      <c r="Q248" s="7"/>
      <c r="R248" s="7"/>
      <c r="S248" s="7"/>
      <c r="T248" s="7"/>
      <c r="U248" s="7"/>
      <c r="V248" s="7"/>
      <c r="W248" s="7"/>
      <c r="X248" s="7"/>
      <c r="Y248" s="7"/>
    </row>
    <row r="249" spans="1:25" ht="19.5" customHeight="1">
      <c r="A249" s="23"/>
      <c r="B249" s="23"/>
      <c r="C249" s="7"/>
      <c r="D249" s="7"/>
      <c r="E249" s="7"/>
      <c r="F249" s="7"/>
      <c r="G249" s="7"/>
      <c r="H249" s="7"/>
      <c r="I249" s="7"/>
      <c r="J249" s="7"/>
      <c r="K249" s="7"/>
      <c r="L249" s="7"/>
      <c r="M249" s="7"/>
      <c r="N249" s="7"/>
      <c r="O249" s="7"/>
      <c r="P249" s="7"/>
      <c r="Q249" s="7"/>
      <c r="R249" s="7"/>
      <c r="S249" s="7"/>
      <c r="T249" s="7"/>
      <c r="U249" s="7"/>
      <c r="V249" s="7"/>
      <c r="W249" s="7"/>
      <c r="X249" s="7"/>
      <c r="Y249" s="7"/>
    </row>
    <row r="250" spans="1:25" ht="19.5" customHeight="1">
      <c r="A250" s="23"/>
      <c r="B250" s="23"/>
      <c r="C250" s="7"/>
      <c r="D250" s="7"/>
      <c r="E250" s="7"/>
      <c r="F250" s="7"/>
      <c r="G250" s="7"/>
      <c r="H250" s="7"/>
      <c r="I250" s="7"/>
      <c r="J250" s="7"/>
      <c r="K250" s="7"/>
      <c r="L250" s="7"/>
      <c r="M250" s="7"/>
      <c r="N250" s="7"/>
      <c r="O250" s="7"/>
      <c r="P250" s="7"/>
      <c r="Q250" s="7"/>
      <c r="R250" s="7"/>
      <c r="S250" s="7"/>
      <c r="T250" s="7"/>
      <c r="U250" s="7"/>
      <c r="V250" s="7"/>
      <c r="W250" s="7"/>
      <c r="X250" s="7"/>
      <c r="Y250" s="7"/>
    </row>
    <row r="251" spans="1:25" ht="19.5" customHeight="1">
      <c r="A251" s="23"/>
      <c r="B251" s="23"/>
      <c r="C251" s="7"/>
      <c r="D251" s="7"/>
      <c r="E251" s="7"/>
      <c r="F251" s="7"/>
      <c r="G251" s="7"/>
      <c r="H251" s="7"/>
      <c r="I251" s="7"/>
      <c r="J251" s="7"/>
      <c r="K251" s="7"/>
      <c r="L251" s="7"/>
      <c r="M251" s="7"/>
      <c r="N251" s="7"/>
      <c r="O251" s="7"/>
      <c r="P251" s="7"/>
      <c r="Q251" s="7"/>
      <c r="R251" s="7"/>
      <c r="S251" s="7"/>
      <c r="T251" s="7"/>
      <c r="U251" s="7"/>
      <c r="V251" s="7"/>
      <c r="W251" s="7"/>
      <c r="X251" s="7"/>
      <c r="Y251" s="7"/>
    </row>
    <row r="252" spans="1:25" ht="19.5" customHeight="1">
      <c r="A252" s="23"/>
      <c r="B252" s="23"/>
      <c r="C252" s="7"/>
      <c r="D252" s="7"/>
      <c r="E252" s="7"/>
      <c r="F252" s="7"/>
      <c r="G252" s="7"/>
      <c r="H252" s="7"/>
      <c r="I252" s="7"/>
      <c r="J252" s="7"/>
      <c r="K252" s="7"/>
      <c r="L252" s="7"/>
      <c r="M252" s="7"/>
      <c r="N252" s="7"/>
      <c r="O252" s="7"/>
      <c r="P252" s="7"/>
      <c r="Q252" s="7"/>
      <c r="R252" s="7"/>
      <c r="S252" s="7"/>
      <c r="T252" s="7"/>
      <c r="U252" s="7"/>
      <c r="V252" s="7"/>
      <c r="W252" s="7"/>
      <c r="X252" s="7"/>
      <c r="Y252" s="7"/>
    </row>
    <row r="253" spans="1:25" ht="19.5" customHeight="1">
      <c r="A253" s="23"/>
      <c r="B253" s="23"/>
      <c r="C253" s="7"/>
      <c r="D253" s="7"/>
      <c r="E253" s="7"/>
      <c r="F253" s="7"/>
      <c r="G253" s="7"/>
      <c r="H253" s="7"/>
      <c r="I253" s="7"/>
      <c r="J253" s="7"/>
      <c r="K253" s="7"/>
      <c r="L253" s="7"/>
      <c r="M253" s="7"/>
      <c r="N253" s="7"/>
      <c r="O253" s="7"/>
      <c r="P253" s="7"/>
      <c r="Q253" s="7"/>
      <c r="R253" s="7"/>
      <c r="S253" s="7"/>
      <c r="T253" s="7"/>
      <c r="U253" s="7"/>
      <c r="V253" s="7"/>
      <c r="W253" s="7"/>
      <c r="X253" s="7"/>
      <c r="Y253" s="7"/>
    </row>
    <row r="254" spans="1:25" ht="19.5" customHeight="1">
      <c r="A254" s="23"/>
      <c r="B254" s="23"/>
      <c r="C254" s="7"/>
      <c r="D254" s="7"/>
      <c r="E254" s="7"/>
      <c r="F254" s="7"/>
      <c r="G254" s="7"/>
      <c r="H254" s="7"/>
      <c r="I254" s="7"/>
      <c r="J254" s="7"/>
      <c r="K254" s="7"/>
      <c r="L254" s="7"/>
      <c r="M254" s="7"/>
      <c r="N254" s="7"/>
      <c r="O254" s="7"/>
      <c r="P254" s="7"/>
      <c r="Q254" s="7"/>
      <c r="R254" s="7"/>
      <c r="S254" s="7"/>
      <c r="T254" s="7"/>
      <c r="U254" s="7"/>
      <c r="V254" s="7"/>
      <c r="W254" s="7"/>
      <c r="X254" s="7"/>
      <c r="Y254" s="7"/>
    </row>
    <row r="255" spans="1:25" ht="19.5" customHeight="1">
      <c r="A255" s="23"/>
      <c r="B255" s="23"/>
      <c r="C255" s="7"/>
      <c r="D255" s="7"/>
      <c r="E255" s="7"/>
      <c r="F255" s="7"/>
      <c r="G255" s="7"/>
      <c r="H255" s="7"/>
      <c r="I255" s="7"/>
      <c r="J255" s="7"/>
      <c r="K255" s="7"/>
      <c r="L255" s="7"/>
      <c r="M255" s="7"/>
      <c r="N255" s="7"/>
      <c r="O255" s="7"/>
      <c r="P255" s="7"/>
      <c r="Q255" s="7"/>
      <c r="R255" s="7"/>
      <c r="S255" s="7"/>
      <c r="T255" s="7"/>
      <c r="U255" s="7"/>
      <c r="V255" s="7"/>
      <c r="W255" s="7"/>
      <c r="X255" s="7"/>
      <c r="Y255" s="7"/>
    </row>
    <row r="256" spans="1:25" ht="19.5" customHeight="1">
      <c r="A256" s="23"/>
      <c r="B256" s="23"/>
      <c r="C256" s="7"/>
      <c r="D256" s="7"/>
      <c r="E256" s="7"/>
      <c r="F256" s="7"/>
      <c r="G256" s="7"/>
      <c r="H256" s="7"/>
      <c r="I256" s="7"/>
      <c r="J256" s="7"/>
      <c r="K256" s="7"/>
      <c r="L256" s="7"/>
      <c r="M256" s="7"/>
      <c r="N256" s="7"/>
      <c r="O256" s="7"/>
      <c r="P256" s="7"/>
      <c r="Q256" s="7"/>
      <c r="R256" s="7"/>
      <c r="S256" s="7"/>
      <c r="T256" s="7"/>
      <c r="U256" s="7"/>
      <c r="V256" s="7"/>
      <c r="W256" s="7"/>
      <c r="X256" s="7"/>
      <c r="Y256" s="7"/>
    </row>
    <row r="257" spans="1:25" ht="19.5" customHeight="1">
      <c r="A257" s="23"/>
      <c r="B257" s="23"/>
      <c r="C257" s="7"/>
      <c r="D257" s="7"/>
      <c r="E257" s="7"/>
      <c r="F257" s="7"/>
      <c r="G257" s="7"/>
      <c r="H257" s="7"/>
      <c r="I257" s="7"/>
      <c r="J257" s="7"/>
      <c r="K257" s="7"/>
      <c r="L257" s="7"/>
      <c r="M257" s="7"/>
      <c r="N257" s="7"/>
      <c r="O257" s="7"/>
      <c r="P257" s="7"/>
      <c r="Q257" s="7"/>
      <c r="R257" s="7"/>
      <c r="S257" s="7"/>
      <c r="T257" s="7"/>
      <c r="U257" s="7"/>
      <c r="V257" s="7"/>
      <c r="W257" s="7"/>
      <c r="X257" s="7"/>
      <c r="Y257" s="7"/>
    </row>
    <row r="258" spans="1:25" ht="19.5" customHeight="1">
      <c r="A258" s="23"/>
      <c r="B258" s="23"/>
      <c r="C258" s="7"/>
      <c r="D258" s="7"/>
      <c r="E258" s="7"/>
      <c r="F258" s="7"/>
      <c r="G258" s="7"/>
      <c r="H258" s="7"/>
      <c r="I258" s="7"/>
      <c r="J258" s="7"/>
      <c r="K258" s="7"/>
      <c r="L258" s="7"/>
      <c r="M258" s="7"/>
      <c r="N258" s="7"/>
      <c r="O258" s="7"/>
      <c r="P258" s="7"/>
      <c r="Q258" s="7"/>
      <c r="R258" s="7"/>
      <c r="S258" s="7"/>
      <c r="T258" s="7"/>
      <c r="U258" s="7"/>
      <c r="V258" s="7"/>
      <c r="W258" s="7"/>
      <c r="X258" s="7"/>
      <c r="Y258" s="7"/>
    </row>
    <row r="259" spans="1:25" ht="19.5" customHeight="1">
      <c r="A259" s="23"/>
      <c r="B259" s="23"/>
      <c r="C259" s="7"/>
      <c r="D259" s="7"/>
      <c r="E259" s="7"/>
      <c r="F259" s="7"/>
      <c r="G259" s="7"/>
      <c r="H259" s="7"/>
      <c r="I259" s="7"/>
      <c r="J259" s="7"/>
      <c r="K259" s="7"/>
      <c r="L259" s="7"/>
      <c r="M259" s="7"/>
      <c r="N259" s="7"/>
      <c r="O259" s="7"/>
      <c r="P259" s="7"/>
      <c r="Q259" s="7"/>
      <c r="R259" s="7"/>
      <c r="S259" s="7"/>
      <c r="T259" s="7"/>
      <c r="U259" s="7"/>
      <c r="V259" s="7"/>
      <c r="W259" s="7"/>
      <c r="X259" s="7"/>
      <c r="Y259" s="7"/>
    </row>
    <row r="260" spans="1:25" ht="19.5" customHeight="1">
      <c r="A260" s="23"/>
      <c r="B260" s="23"/>
      <c r="C260" s="7"/>
      <c r="D260" s="7"/>
      <c r="E260" s="7"/>
      <c r="F260" s="7"/>
      <c r="G260" s="7"/>
      <c r="H260" s="7"/>
      <c r="I260" s="7"/>
      <c r="J260" s="7"/>
      <c r="K260" s="7"/>
      <c r="L260" s="7"/>
      <c r="M260" s="7"/>
      <c r="N260" s="7"/>
      <c r="O260" s="7"/>
      <c r="P260" s="7"/>
      <c r="Q260" s="7"/>
      <c r="R260" s="7"/>
      <c r="S260" s="7"/>
      <c r="T260" s="7"/>
      <c r="U260" s="7"/>
      <c r="V260" s="7"/>
      <c r="W260" s="7"/>
      <c r="X260" s="7"/>
      <c r="Y260" s="7"/>
    </row>
    <row r="261" spans="1:25" ht="19.5" customHeight="1">
      <c r="A261" s="23"/>
      <c r="B261" s="23"/>
      <c r="C261" s="7"/>
      <c r="D261" s="7"/>
      <c r="E261" s="7"/>
      <c r="F261" s="7"/>
      <c r="G261" s="7"/>
      <c r="H261" s="7"/>
      <c r="I261" s="7"/>
      <c r="J261" s="7"/>
      <c r="K261" s="7"/>
      <c r="L261" s="7"/>
      <c r="M261" s="7"/>
      <c r="N261" s="7"/>
      <c r="O261" s="7"/>
      <c r="P261" s="7"/>
      <c r="Q261" s="7"/>
      <c r="R261" s="7"/>
      <c r="S261" s="7"/>
      <c r="T261" s="7"/>
      <c r="U261" s="7"/>
      <c r="V261" s="7"/>
      <c r="W261" s="7"/>
      <c r="X261" s="7"/>
      <c r="Y261" s="7"/>
    </row>
    <row r="262" spans="1:25" ht="19.5" customHeight="1">
      <c r="A262" s="23"/>
      <c r="B262" s="23"/>
      <c r="C262" s="7"/>
      <c r="D262" s="7"/>
      <c r="E262" s="7"/>
      <c r="F262" s="7"/>
      <c r="G262" s="7"/>
      <c r="H262" s="7"/>
      <c r="I262" s="7"/>
      <c r="J262" s="7"/>
      <c r="K262" s="7"/>
      <c r="L262" s="7"/>
      <c r="M262" s="7"/>
      <c r="N262" s="7"/>
      <c r="O262" s="7"/>
      <c r="P262" s="7"/>
      <c r="Q262" s="7"/>
      <c r="R262" s="7"/>
      <c r="S262" s="7"/>
      <c r="T262" s="7"/>
      <c r="U262" s="7"/>
      <c r="V262" s="7"/>
      <c r="W262" s="7"/>
      <c r="X262" s="7"/>
      <c r="Y262" s="7"/>
    </row>
    <row r="263" spans="1:25" ht="19.5" customHeight="1">
      <c r="A263" s="23"/>
      <c r="B263" s="23"/>
      <c r="C263" s="7"/>
      <c r="D263" s="7"/>
      <c r="E263" s="7"/>
      <c r="F263" s="7"/>
      <c r="G263" s="7"/>
      <c r="H263" s="7"/>
      <c r="I263" s="7"/>
      <c r="J263" s="7"/>
      <c r="K263" s="7"/>
      <c r="L263" s="7"/>
      <c r="M263" s="7"/>
      <c r="N263" s="7"/>
      <c r="O263" s="7"/>
      <c r="P263" s="7"/>
      <c r="Q263" s="7"/>
      <c r="R263" s="7"/>
      <c r="S263" s="7"/>
      <c r="T263" s="7"/>
      <c r="U263" s="7"/>
      <c r="V263" s="7"/>
      <c r="W263" s="7"/>
      <c r="X263" s="7"/>
      <c r="Y263" s="7"/>
    </row>
    <row r="264" spans="1:25" ht="19.5" customHeight="1">
      <c r="A264" s="23"/>
      <c r="B264" s="23"/>
      <c r="C264" s="7"/>
      <c r="D264" s="7"/>
      <c r="E264" s="7"/>
      <c r="F264" s="7"/>
      <c r="G264" s="7"/>
      <c r="H264" s="7"/>
      <c r="I264" s="7"/>
      <c r="J264" s="7"/>
      <c r="K264" s="7"/>
      <c r="L264" s="7"/>
      <c r="M264" s="7"/>
      <c r="N264" s="7"/>
      <c r="O264" s="7"/>
      <c r="P264" s="7"/>
      <c r="Q264" s="7"/>
      <c r="R264" s="7"/>
      <c r="S264" s="7"/>
      <c r="T264" s="7"/>
      <c r="U264" s="7"/>
      <c r="V264" s="7"/>
      <c r="W264" s="7"/>
      <c r="X264" s="7"/>
      <c r="Y264" s="7"/>
    </row>
    <row r="265" spans="1:25" ht="19.5" customHeight="1">
      <c r="A265" s="23"/>
      <c r="B265" s="23"/>
      <c r="C265" s="7"/>
      <c r="D265" s="7"/>
      <c r="E265" s="7"/>
      <c r="F265" s="7"/>
      <c r="G265" s="7"/>
      <c r="H265" s="7"/>
      <c r="I265" s="7"/>
      <c r="J265" s="7"/>
      <c r="K265" s="7"/>
      <c r="L265" s="7"/>
      <c r="M265" s="7"/>
      <c r="N265" s="7"/>
      <c r="O265" s="7"/>
      <c r="P265" s="7"/>
      <c r="Q265" s="7"/>
      <c r="R265" s="7"/>
      <c r="S265" s="7"/>
      <c r="T265" s="7"/>
      <c r="U265" s="7"/>
      <c r="V265" s="7"/>
      <c r="W265" s="7"/>
      <c r="X265" s="7"/>
      <c r="Y265" s="7"/>
    </row>
    <row r="266" spans="1:25" ht="19.5" customHeight="1">
      <c r="A266" s="23"/>
      <c r="B266" s="23"/>
      <c r="C266" s="7"/>
      <c r="D266" s="7"/>
      <c r="E266" s="7"/>
      <c r="F266" s="7"/>
      <c r="G266" s="7"/>
      <c r="H266" s="7"/>
      <c r="I266" s="7"/>
      <c r="J266" s="7"/>
      <c r="K266" s="7"/>
      <c r="L266" s="7"/>
      <c r="M266" s="7"/>
      <c r="N266" s="7"/>
      <c r="O266" s="7"/>
      <c r="P266" s="7"/>
      <c r="Q266" s="7"/>
      <c r="R266" s="7"/>
      <c r="S266" s="7"/>
      <c r="T266" s="7"/>
      <c r="U266" s="7"/>
      <c r="V266" s="7"/>
      <c r="W266" s="7"/>
      <c r="X266" s="7"/>
      <c r="Y266" s="7"/>
    </row>
    <row r="267" spans="1:25" ht="19.5" customHeight="1">
      <c r="A267" s="23"/>
      <c r="B267" s="23"/>
      <c r="C267" s="7"/>
      <c r="D267" s="7"/>
      <c r="E267" s="7"/>
      <c r="F267" s="7"/>
      <c r="G267" s="7"/>
      <c r="H267" s="7"/>
      <c r="I267" s="7"/>
      <c r="J267" s="7"/>
      <c r="K267" s="7"/>
      <c r="L267" s="7"/>
      <c r="M267" s="7"/>
      <c r="N267" s="7"/>
      <c r="O267" s="7"/>
      <c r="P267" s="7"/>
      <c r="Q267" s="7"/>
      <c r="R267" s="7"/>
      <c r="S267" s="7"/>
      <c r="T267" s="7"/>
      <c r="U267" s="7"/>
      <c r="V267" s="7"/>
      <c r="W267" s="7"/>
      <c r="X267" s="7"/>
      <c r="Y267" s="7"/>
    </row>
    <row r="268" spans="1:25" ht="19.5" customHeight="1">
      <c r="A268" s="23"/>
      <c r="B268" s="23"/>
      <c r="C268" s="7"/>
      <c r="D268" s="7"/>
      <c r="E268" s="7"/>
      <c r="F268" s="7"/>
      <c r="G268" s="7"/>
      <c r="H268" s="7"/>
      <c r="I268" s="7"/>
      <c r="J268" s="7"/>
      <c r="K268" s="7"/>
      <c r="L268" s="7"/>
      <c r="M268" s="7"/>
      <c r="N268" s="7"/>
      <c r="O268" s="7"/>
      <c r="P268" s="7"/>
      <c r="Q268" s="7"/>
      <c r="R268" s="7"/>
      <c r="S268" s="7"/>
      <c r="T268" s="7"/>
      <c r="U268" s="7"/>
      <c r="V268" s="7"/>
      <c r="W268" s="7"/>
      <c r="X268" s="7"/>
      <c r="Y268" s="7"/>
    </row>
    <row r="269" spans="1:25" ht="19.5" customHeight="1">
      <c r="A269" s="23"/>
      <c r="B269" s="23"/>
      <c r="C269" s="7"/>
      <c r="D269" s="7"/>
      <c r="E269" s="7"/>
      <c r="F269" s="7"/>
      <c r="G269" s="7"/>
      <c r="H269" s="7"/>
      <c r="I269" s="7"/>
      <c r="J269" s="7"/>
      <c r="K269" s="7"/>
      <c r="L269" s="7"/>
      <c r="M269" s="7"/>
      <c r="N269" s="7"/>
      <c r="O269" s="7"/>
      <c r="P269" s="7"/>
      <c r="Q269" s="7"/>
      <c r="R269" s="7"/>
      <c r="S269" s="7"/>
      <c r="T269" s="7"/>
      <c r="U269" s="7"/>
      <c r="V269" s="7"/>
      <c r="W269" s="7"/>
      <c r="X269" s="7"/>
      <c r="Y269" s="7"/>
    </row>
    <row r="270" spans="1:25" ht="19.5" customHeight="1">
      <c r="A270" s="23"/>
      <c r="B270" s="23"/>
      <c r="C270" s="7"/>
      <c r="D270" s="7"/>
      <c r="E270" s="7"/>
      <c r="F270" s="7"/>
      <c r="G270" s="7"/>
      <c r="H270" s="7"/>
      <c r="I270" s="7"/>
      <c r="J270" s="7"/>
      <c r="K270" s="7"/>
      <c r="L270" s="7"/>
      <c r="M270" s="7"/>
      <c r="N270" s="7"/>
      <c r="O270" s="7"/>
      <c r="P270" s="7"/>
      <c r="Q270" s="7"/>
      <c r="R270" s="7"/>
      <c r="S270" s="7"/>
      <c r="T270" s="7"/>
      <c r="U270" s="7"/>
      <c r="V270" s="7"/>
      <c r="W270" s="7"/>
      <c r="X270" s="7"/>
      <c r="Y270" s="7"/>
    </row>
    <row r="271" spans="1:25" ht="19.5" customHeight="1">
      <c r="A271" s="23"/>
      <c r="B271" s="23"/>
      <c r="C271" s="7"/>
      <c r="D271" s="7"/>
      <c r="E271" s="7"/>
      <c r="F271" s="7"/>
      <c r="G271" s="7"/>
      <c r="H271" s="7"/>
      <c r="I271" s="7"/>
      <c r="J271" s="7"/>
      <c r="K271" s="7"/>
      <c r="L271" s="7"/>
      <c r="M271" s="7"/>
      <c r="N271" s="7"/>
      <c r="O271" s="7"/>
      <c r="P271" s="7"/>
      <c r="Q271" s="7"/>
      <c r="R271" s="7"/>
      <c r="S271" s="7"/>
      <c r="T271" s="7"/>
      <c r="U271" s="7"/>
      <c r="V271" s="7"/>
      <c r="W271" s="7"/>
      <c r="X271" s="7"/>
      <c r="Y271" s="7"/>
    </row>
    <row r="272" spans="1:25" ht="19.5" customHeight="1">
      <c r="A272" s="23"/>
      <c r="B272" s="23"/>
      <c r="C272" s="7"/>
      <c r="D272" s="7"/>
      <c r="E272" s="7"/>
      <c r="F272" s="7"/>
      <c r="G272" s="7"/>
      <c r="H272" s="7"/>
      <c r="I272" s="7"/>
      <c r="J272" s="7"/>
      <c r="K272" s="7"/>
      <c r="L272" s="7"/>
      <c r="M272" s="7"/>
      <c r="N272" s="7"/>
      <c r="O272" s="7"/>
      <c r="P272" s="7"/>
      <c r="Q272" s="7"/>
      <c r="R272" s="7"/>
      <c r="S272" s="7"/>
      <c r="T272" s="7"/>
      <c r="U272" s="7"/>
      <c r="V272" s="7"/>
      <c r="W272" s="7"/>
      <c r="X272" s="7"/>
      <c r="Y272" s="7"/>
    </row>
    <row r="273" spans="1:25" ht="19.5" customHeight="1">
      <c r="A273" s="23"/>
      <c r="B273" s="23"/>
      <c r="C273" s="7"/>
      <c r="D273" s="7"/>
      <c r="E273" s="7"/>
      <c r="F273" s="7"/>
      <c r="G273" s="7"/>
      <c r="H273" s="7"/>
      <c r="I273" s="7"/>
      <c r="J273" s="7"/>
      <c r="K273" s="7"/>
      <c r="L273" s="7"/>
      <c r="M273" s="7"/>
      <c r="N273" s="7"/>
      <c r="O273" s="7"/>
      <c r="P273" s="7"/>
      <c r="Q273" s="7"/>
      <c r="R273" s="7"/>
      <c r="S273" s="7"/>
      <c r="T273" s="7"/>
      <c r="U273" s="7"/>
      <c r="V273" s="7"/>
      <c r="W273" s="7"/>
      <c r="X273" s="7"/>
      <c r="Y273" s="7"/>
    </row>
    <row r="274" spans="1:25" ht="19.5" customHeight="1">
      <c r="A274" s="23"/>
      <c r="B274" s="23"/>
      <c r="C274" s="7"/>
      <c r="D274" s="7"/>
      <c r="E274" s="7"/>
      <c r="F274" s="7"/>
      <c r="G274" s="7"/>
      <c r="H274" s="7"/>
      <c r="I274" s="7"/>
      <c r="J274" s="7"/>
      <c r="K274" s="7"/>
      <c r="L274" s="7"/>
      <c r="M274" s="7"/>
      <c r="N274" s="7"/>
      <c r="O274" s="7"/>
      <c r="P274" s="7"/>
      <c r="Q274" s="7"/>
      <c r="R274" s="7"/>
      <c r="S274" s="7"/>
      <c r="T274" s="7"/>
      <c r="U274" s="7"/>
      <c r="V274" s="7"/>
      <c r="W274" s="7"/>
      <c r="X274" s="7"/>
      <c r="Y274" s="7"/>
    </row>
    <row r="275" spans="1:25" ht="19.5" customHeight="1">
      <c r="A275" s="23"/>
      <c r="B275" s="23"/>
      <c r="C275" s="7"/>
      <c r="D275" s="7"/>
      <c r="E275" s="7"/>
      <c r="F275" s="7"/>
      <c r="G275" s="7"/>
      <c r="H275" s="7"/>
      <c r="I275" s="7"/>
      <c r="J275" s="7"/>
      <c r="K275" s="7"/>
      <c r="L275" s="7"/>
      <c r="M275" s="7"/>
      <c r="N275" s="7"/>
      <c r="O275" s="7"/>
      <c r="P275" s="7"/>
      <c r="Q275" s="7"/>
      <c r="R275" s="7"/>
      <c r="S275" s="7"/>
      <c r="T275" s="7"/>
      <c r="U275" s="7"/>
      <c r="V275" s="7"/>
      <c r="W275" s="7"/>
      <c r="X275" s="7"/>
      <c r="Y275" s="7"/>
    </row>
    <row r="276" spans="1:25" ht="19.5" customHeight="1">
      <c r="A276" s="23"/>
      <c r="B276" s="23"/>
      <c r="C276" s="7"/>
      <c r="D276" s="7"/>
      <c r="E276" s="7"/>
      <c r="F276" s="7"/>
      <c r="G276" s="7"/>
      <c r="H276" s="7"/>
      <c r="I276" s="7"/>
      <c r="J276" s="7"/>
      <c r="K276" s="7"/>
      <c r="L276" s="7"/>
      <c r="M276" s="7"/>
      <c r="N276" s="7"/>
      <c r="O276" s="7"/>
      <c r="P276" s="7"/>
      <c r="Q276" s="7"/>
      <c r="R276" s="7"/>
      <c r="S276" s="7"/>
      <c r="T276" s="7"/>
      <c r="U276" s="7"/>
      <c r="V276" s="7"/>
      <c r="W276" s="7"/>
      <c r="X276" s="7"/>
      <c r="Y276" s="7"/>
    </row>
    <row r="277" spans="1:25" ht="19.5" customHeight="1">
      <c r="A277" s="23"/>
      <c r="B277" s="23"/>
      <c r="C277" s="7"/>
      <c r="D277" s="7"/>
      <c r="E277" s="7"/>
      <c r="F277" s="7"/>
      <c r="G277" s="7"/>
      <c r="H277" s="7"/>
      <c r="I277" s="7"/>
      <c r="J277" s="7"/>
      <c r="K277" s="7"/>
      <c r="L277" s="7"/>
      <c r="M277" s="7"/>
      <c r="N277" s="7"/>
      <c r="O277" s="7"/>
      <c r="P277" s="7"/>
      <c r="Q277" s="7"/>
      <c r="R277" s="7"/>
      <c r="S277" s="7"/>
      <c r="T277" s="7"/>
      <c r="U277" s="7"/>
      <c r="V277" s="7"/>
      <c r="W277" s="7"/>
      <c r="X277" s="7"/>
      <c r="Y277" s="7"/>
    </row>
    <row r="278" spans="1:25" ht="19.5" customHeight="1">
      <c r="A278" s="23"/>
      <c r="B278" s="23"/>
      <c r="C278" s="7"/>
      <c r="D278" s="7"/>
      <c r="E278" s="7"/>
      <c r="F278" s="7"/>
      <c r="G278" s="7"/>
      <c r="H278" s="7"/>
      <c r="I278" s="7"/>
      <c r="J278" s="7"/>
      <c r="K278" s="7"/>
      <c r="L278" s="7"/>
      <c r="M278" s="7"/>
      <c r="N278" s="7"/>
      <c r="O278" s="7"/>
      <c r="P278" s="7"/>
      <c r="Q278" s="7"/>
      <c r="R278" s="7"/>
      <c r="S278" s="7"/>
      <c r="T278" s="7"/>
      <c r="U278" s="7"/>
      <c r="V278" s="7"/>
      <c r="W278" s="7"/>
      <c r="X278" s="7"/>
      <c r="Y278" s="7"/>
    </row>
    <row r="279" spans="1:25" ht="19.5" customHeight="1">
      <c r="A279" s="23"/>
      <c r="B279" s="23"/>
      <c r="C279" s="7"/>
      <c r="D279" s="7"/>
      <c r="E279" s="7"/>
      <c r="F279" s="7"/>
      <c r="G279" s="7"/>
      <c r="H279" s="7"/>
      <c r="I279" s="7"/>
      <c r="J279" s="7"/>
      <c r="K279" s="7"/>
      <c r="L279" s="7"/>
      <c r="M279" s="7"/>
      <c r="N279" s="7"/>
      <c r="O279" s="7"/>
      <c r="P279" s="7"/>
      <c r="Q279" s="7"/>
      <c r="R279" s="7"/>
      <c r="S279" s="7"/>
      <c r="T279" s="7"/>
      <c r="U279" s="7"/>
      <c r="V279" s="7"/>
      <c r="W279" s="7"/>
      <c r="X279" s="7"/>
      <c r="Y279" s="7"/>
    </row>
    <row r="280" spans="1:25" ht="19.5" customHeight="1">
      <c r="A280" s="23"/>
      <c r="B280" s="23"/>
      <c r="C280" s="7"/>
      <c r="D280" s="7"/>
      <c r="E280" s="7"/>
      <c r="F280" s="7"/>
      <c r="G280" s="7"/>
      <c r="H280" s="7"/>
      <c r="I280" s="7"/>
      <c r="J280" s="7"/>
      <c r="K280" s="7"/>
      <c r="L280" s="7"/>
      <c r="M280" s="7"/>
      <c r="N280" s="7"/>
      <c r="O280" s="7"/>
      <c r="P280" s="7"/>
      <c r="Q280" s="7"/>
      <c r="R280" s="7"/>
      <c r="S280" s="7"/>
      <c r="T280" s="7"/>
      <c r="U280" s="7"/>
      <c r="V280" s="7"/>
      <c r="W280" s="7"/>
      <c r="X280" s="7"/>
      <c r="Y280" s="7"/>
    </row>
    <row r="281" spans="1:25" ht="19.5" customHeight="1">
      <c r="A281" s="23"/>
      <c r="B281" s="23"/>
      <c r="C281" s="7"/>
      <c r="D281" s="7"/>
      <c r="E281" s="7"/>
      <c r="F281" s="7"/>
      <c r="G281" s="7"/>
      <c r="H281" s="7"/>
      <c r="I281" s="7"/>
      <c r="J281" s="7"/>
      <c r="K281" s="7"/>
      <c r="L281" s="7"/>
      <c r="M281" s="7"/>
      <c r="N281" s="7"/>
      <c r="O281" s="7"/>
      <c r="P281" s="7"/>
      <c r="Q281" s="7"/>
      <c r="R281" s="7"/>
      <c r="S281" s="7"/>
      <c r="T281" s="7"/>
      <c r="U281" s="7"/>
      <c r="V281" s="7"/>
      <c r="W281" s="7"/>
      <c r="X281" s="7"/>
      <c r="Y281" s="7"/>
    </row>
    <row r="282" spans="1:25" ht="19.5" customHeight="1">
      <c r="A282" s="23"/>
      <c r="B282" s="23"/>
      <c r="C282" s="7"/>
      <c r="D282" s="7"/>
      <c r="E282" s="7"/>
      <c r="F282" s="7"/>
      <c r="G282" s="7"/>
      <c r="H282" s="7"/>
      <c r="I282" s="7"/>
      <c r="J282" s="7"/>
      <c r="K282" s="7"/>
      <c r="L282" s="7"/>
      <c r="M282" s="7"/>
      <c r="N282" s="7"/>
      <c r="O282" s="7"/>
      <c r="P282" s="7"/>
      <c r="Q282" s="7"/>
      <c r="R282" s="7"/>
      <c r="S282" s="7"/>
      <c r="T282" s="7"/>
      <c r="U282" s="7"/>
      <c r="V282" s="7"/>
      <c r="W282" s="7"/>
      <c r="X282" s="7"/>
      <c r="Y282" s="7"/>
    </row>
    <row r="283" spans="1:25" ht="19.5" customHeight="1">
      <c r="A283" s="23"/>
      <c r="B283" s="23"/>
      <c r="C283" s="7"/>
      <c r="D283" s="7"/>
      <c r="E283" s="7"/>
      <c r="F283" s="7"/>
      <c r="G283" s="7"/>
      <c r="H283" s="7"/>
      <c r="I283" s="7"/>
      <c r="J283" s="7"/>
      <c r="K283" s="7"/>
      <c r="L283" s="7"/>
      <c r="M283" s="7"/>
      <c r="N283" s="7"/>
      <c r="O283" s="7"/>
      <c r="P283" s="7"/>
      <c r="Q283" s="7"/>
      <c r="R283" s="7"/>
      <c r="S283" s="7"/>
      <c r="T283" s="7"/>
      <c r="U283" s="7"/>
      <c r="V283" s="7"/>
      <c r="W283" s="7"/>
      <c r="X283" s="7"/>
      <c r="Y283" s="7"/>
    </row>
    <row r="284" spans="1:25" ht="19.5" customHeight="1">
      <c r="A284" s="23"/>
      <c r="B284" s="23"/>
      <c r="C284" s="7"/>
      <c r="D284" s="7"/>
      <c r="E284" s="7"/>
      <c r="F284" s="7"/>
      <c r="G284" s="7"/>
      <c r="H284" s="7"/>
      <c r="I284" s="7"/>
      <c r="J284" s="7"/>
      <c r="K284" s="7"/>
      <c r="L284" s="7"/>
      <c r="M284" s="7"/>
      <c r="N284" s="7"/>
      <c r="O284" s="7"/>
      <c r="P284" s="7"/>
      <c r="Q284" s="7"/>
      <c r="R284" s="7"/>
      <c r="S284" s="7"/>
      <c r="T284" s="7"/>
      <c r="U284" s="7"/>
      <c r="V284" s="7"/>
      <c r="W284" s="7"/>
      <c r="X284" s="7"/>
      <c r="Y284" s="7"/>
    </row>
    <row r="285" spans="1:25" ht="19.5" customHeight="1">
      <c r="A285" s="23"/>
      <c r="B285" s="23"/>
      <c r="C285" s="7"/>
      <c r="D285" s="7"/>
      <c r="E285" s="7"/>
      <c r="F285" s="7"/>
      <c r="G285" s="7"/>
      <c r="H285" s="7"/>
      <c r="I285" s="7"/>
      <c r="J285" s="7"/>
      <c r="K285" s="7"/>
      <c r="L285" s="7"/>
      <c r="M285" s="7"/>
      <c r="N285" s="7"/>
      <c r="O285" s="7"/>
      <c r="P285" s="7"/>
      <c r="Q285" s="7"/>
      <c r="R285" s="7"/>
      <c r="S285" s="7"/>
      <c r="T285" s="7"/>
      <c r="U285" s="7"/>
      <c r="V285" s="7"/>
      <c r="W285" s="7"/>
      <c r="X285" s="7"/>
      <c r="Y285" s="7"/>
    </row>
    <row r="286" spans="1:25" ht="19.5" customHeight="1">
      <c r="A286" s="23"/>
      <c r="B286" s="23"/>
      <c r="C286" s="7"/>
      <c r="D286" s="7"/>
      <c r="E286" s="7"/>
      <c r="F286" s="7"/>
      <c r="G286" s="7"/>
      <c r="H286" s="7"/>
      <c r="I286" s="7"/>
      <c r="J286" s="7"/>
      <c r="K286" s="7"/>
      <c r="L286" s="7"/>
      <c r="M286" s="7"/>
      <c r="N286" s="7"/>
      <c r="O286" s="7"/>
      <c r="P286" s="7"/>
      <c r="Q286" s="7"/>
      <c r="R286" s="7"/>
      <c r="S286" s="7"/>
      <c r="T286" s="7"/>
      <c r="U286" s="7"/>
      <c r="V286" s="7"/>
      <c r="W286" s="7"/>
      <c r="X286" s="7"/>
      <c r="Y286" s="7"/>
    </row>
    <row r="287" spans="1:25" ht="19.5" customHeight="1">
      <c r="A287" s="23"/>
      <c r="B287" s="23"/>
      <c r="C287" s="7"/>
      <c r="D287" s="7"/>
      <c r="E287" s="7"/>
      <c r="F287" s="7"/>
      <c r="G287" s="7"/>
      <c r="H287" s="7"/>
      <c r="I287" s="7"/>
      <c r="J287" s="7"/>
      <c r="K287" s="7"/>
      <c r="L287" s="7"/>
      <c r="M287" s="7"/>
      <c r="N287" s="7"/>
      <c r="O287" s="7"/>
      <c r="P287" s="7"/>
      <c r="Q287" s="7"/>
      <c r="R287" s="7"/>
      <c r="S287" s="7"/>
      <c r="T287" s="7"/>
      <c r="U287" s="7"/>
      <c r="V287" s="7"/>
      <c r="W287" s="7"/>
      <c r="X287" s="7"/>
      <c r="Y287" s="7"/>
    </row>
    <row r="288" spans="1:25" ht="19.5" customHeight="1">
      <c r="A288" s="23"/>
      <c r="B288" s="23"/>
      <c r="C288" s="7"/>
      <c r="D288" s="7"/>
      <c r="E288" s="7"/>
      <c r="F288" s="7"/>
      <c r="G288" s="7"/>
      <c r="H288" s="7"/>
      <c r="I288" s="7"/>
      <c r="J288" s="7"/>
      <c r="K288" s="7"/>
      <c r="L288" s="7"/>
      <c r="M288" s="7"/>
      <c r="N288" s="7"/>
      <c r="O288" s="7"/>
      <c r="P288" s="7"/>
      <c r="Q288" s="7"/>
      <c r="R288" s="7"/>
      <c r="S288" s="7"/>
      <c r="T288" s="7"/>
      <c r="U288" s="7"/>
      <c r="V288" s="7"/>
      <c r="W288" s="7"/>
      <c r="X288" s="7"/>
      <c r="Y288" s="7"/>
    </row>
    <row r="289" spans="1:25" ht="19.5" customHeight="1">
      <c r="A289" s="23"/>
      <c r="B289" s="23"/>
      <c r="C289" s="7"/>
      <c r="D289" s="7"/>
      <c r="E289" s="7"/>
      <c r="F289" s="7"/>
      <c r="G289" s="7"/>
      <c r="H289" s="7"/>
      <c r="I289" s="7"/>
      <c r="J289" s="7"/>
      <c r="K289" s="7"/>
      <c r="L289" s="7"/>
      <c r="M289" s="7"/>
      <c r="N289" s="7"/>
      <c r="O289" s="7"/>
      <c r="P289" s="7"/>
      <c r="Q289" s="7"/>
      <c r="R289" s="7"/>
      <c r="S289" s="7"/>
      <c r="T289" s="7"/>
      <c r="U289" s="7"/>
      <c r="V289" s="7"/>
      <c r="W289" s="7"/>
      <c r="X289" s="7"/>
      <c r="Y289" s="7"/>
    </row>
    <row r="290" spans="1:25" ht="19.5" customHeight="1">
      <c r="A290" s="23"/>
      <c r="B290" s="23"/>
      <c r="C290" s="7"/>
      <c r="D290" s="7"/>
      <c r="E290" s="7"/>
      <c r="F290" s="7"/>
      <c r="G290" s="7"/>
      <c r="H290" s="7"/>
      <c r="I290" s="7"/>
      <c r="J290" s="7"/>
      <c r="K290" s="7"/>
      <c r="L290" s="7"/>
      <c r="M290" s="7"/>
      <c r="N290" s="7"/>
      <c r="O290" s="7"/>
      <c r="P290" s="7"/>
      <c r="Q290" s="7"/>
      <c r="R290" s="7"/>
      <c r="S290" s="7"/>
      <c r="T290" s="7"/>
      <c r="U290" s="7"/>
      <c r="V290" s="7"/>
      <c r="W290" s="7"/>
      <c r="X290" s="7"/>
      <c r="Y290" s="7"/>
    </row>
    <row r="291" spans="1:25" ht="19.5" customHeight="1">
      <c r="A291" s="23"/>
      <c r="B291" s="23"/>
      <c r="C291" s="7"/>
      <c r="D291" s="7"/>
      <c r="E291" s="7"/>
      <c r="F291" s="7"/>
      <c r="G291" s="7"/>
      <c r="H291" s="7"/>
      <c r="I291" s="7"/>
      <c r="J291" s="7"/>
      <c r="K291" s="7"/>
      <c r="L291" s="7"/>
      <c r="M291" s="7"/>
      <c r="N291" s="7"/>
      <c r="O291" s="7"/>
      <c r="P291" s="7"/>
      <c r="Q291" s="7"/>
      <c r="R291" s="7"/>
      <c r="S291" s="7"/>
      <c r="T291" s="7"/>
      <c r="U291" s="7"/>
      <c r="V291" s="7"/>
      <c r="W291" s="7"/>
      <c r="X291" s="7"/>
      <c r="Y291" s="7"/>
    </row>
    <row r="292" spans="1:25" ht="19.5" customHeight="1">
      <c r="A292" s="23"/>
      <c r="B292" s="23"/>
      <c r="C292" s="7"/>
      <c r="D292" s="7"/>
      <c r="E292" s="7"/>
      <c r="F292" s="7"/>
      <c r="G292" s="7"/>
      <c r="H292" s="7"/>
      <c r="I292" s="7"/>
      <c r="J292" s="7"/>
      <c r="K292" s="7"/>
      <c r="L292" s="7"/>
      <c r="M292" s="7"/>
      <c r="N292" s="7"/>
      <c r="O292" s="7"/>
      <c r="P292" s="7"/>
      <c r="Q292" s="7"/>
      <c r="R292" s="7"/>
      <c r="S292" s="7"/>
      <c r="T292" s="7"/>
      <c r="U292" s="7"/>
      <c r="V292" s="7"/>
      <c r="W292" s="7"/>
      <c r="X292" s="7"/>
      <c r="Y292" s="7"/>
    </row>
    <row r="293" spans="1:25" ht="19.5" customHeight="1">
      <c r="A293" s="23"/>
      <c r="B293" s="23"/>
      <c r="C293" s="7"/>
      <c r="D293" s="7"/>
      <c r="E293" s="7"/>
      <c r="F293" s="7"/>
      <c r="G293" s="7"/>
      <c r="H293" s="7"/>
      <c r="I293" s="7"/>
      <c r="J293" s="7"/>
      <c r="K293" s="7"/>
      <c r="L293" s="7"/>
      <c r="M293" s="7"/>
      <c r="N293" s="7"/>
      <c r="O293" s="7"/>
      <c r="P293" s="7"/>
      <c r="Q293" s="7"/>
      <c r="R293" s="7"/>
      <c r="S293" s="7"/>
      <c r="T293" s="7"/>
      <c r="U293" s="7"/>
      <c r="V293" s="7"/>
      <c r="W293" s="7"/>
      <c r="X293" s="7"/>
      <c r="Y293" s="7"/>
    </row>
    <row r="294" spans="1:25" ht="19.5" customHeight="1">
      <c r="A294" s="23"/>
      <c r="B294" s="23"/>
      <c r="C294" s="7"/>
      <c r="D294" s="7"/>
      <c r="E294" s="7"/>
      <c r="F294" s="7"/>
      <c r="G294" s="7"/>
      <c r="H294" s="7"/>
      <c r="I294" s="7"/>
      <c r="J294" s="7"/>
      <c r="K294" s="7"/>
      <c r="L294" s="7"/>
      <c r="M294" s="7"/>
      <c r="N294" s="7"/>
      <c r="O294" s="7"/>
      <c r="P294" s="7"/>
      <c r="Q294" s="7"/>
      <c r="R294" s="7"/>
      <c r="S294" s="7"/>
      <c r="T294" s="7"/>
      <c r="U294" s="7"/>
      <c r="V294" s="7"/>
      <c r="W294" s="7"/>
      <c r="X294" s="7"/>
      <c r="Y294" s="7"/>
    </row>
    <row r="295" spans="1:25" ht="19.5" customHeight="1">
      <c r="A295" s="23"/>
      <c r="B295" s="23"/>
      <c r="C295" s="7"/>
      <c r="D295" s="7"/>
      <c r="E295" s="7"/>
      <c r="F295" s="7"/>
      <c r="G295" s="7"/>
      <c r="H295" s="7"/>
      <c r="I295" s="7"/>
      <c r="J295" s="7"/>
      <c r="K295" s="7"/>
      <c r="L295" s="7"/>
      <c r="M295" s="7"/>
      <c r="N295" s="7"/>
      <c r="O295" s="7"/>
      <c r="P295" s="7"/>
      <c r="Q295" s="7"/>
      <c r="R295" s="7"/>
      <c r="S295" s="7"/>
      <c r="T295" s="7"/>
      <c r="U295" s="7"/>
      <c r="V295" s="7"/>
      <c r="W295" s="7"/>
      <c r="X295" s="7"/>
      <c r="Y295" s="7"/>
    </row>
    <row r="296" spans="1:25" ht="19.5" customHeight="1">
      <c r="A296" s="23"/>
      <c r="B296" s="23"/>
      <c r="C296" s="7"/>
      <c r="D296" s="7"/>
      <c r="E296" s="7"/>
      <c r="F296" s="7"/>
      <c r="G296" s="7"/>
      <c r="H296" s="7"/>
      <c r="I296" s="7"/>
      <c r="J296" s="7"/>
      <c r="K296" s="7"/>
      <c r="L296" s="7"/>
      <c r="M296" s="7"/>
      <c r="N296" s="7"/>
      <c r="O296" s="7"/>
      <c r="P296" s="7"/>
      <c r="Q296" s="7"/>
      <c r="R296" s="7"/>
      <c r="S296" s="7"/>
      <c r="T296" s="7"/>
      <c r="U296" s="7"/>
      <c r="V296" s="7"/>
      <c r="W296" s="7"/>
      <c r="X296" s="7"/>
      <c r="Y296" s="7"/>
    </row>
    <row r="297" spans="1:25" ht="19.5" customHeight="1">
      <c r="A297" s="23"/>
      <c r="B297" s="23"/>
      <c r="C297" s="7"/>
      <c r="D297" s="7"/>
      <c r="E297" s="7"/>
      <c r="F297" s="7"/>
      <c r="G297" s="7"/>
      <c r="H297" s="7"/>
      <c r="I297" s="7"/>
      <c r="J297" s="7"/>
      <c r="K297" s="7"/>
      <c r="L297" s="7"/>
      <c r="M297" s="7"/>
      <c r="N297" s="7"/>
      <c r="O297" s="7"/>
      <c r="P297" s="7"/>
      <c r="Q297" s="7"/>
      <c r="R297" s="7"/>
      <c r="S297" s="7"/>
      <c r="T297" s="7"/>
      <c r="U297" s="7"/>
      <c r="V297" s="7"/>
      <c r="W297" s="7"/>
      <c r="X297" s="7"/>
      <c r="Y297" s="7"/>
    </row>
    <row r="298" spans="1:25" ht="19.5" customHeight="1">
      <c r="A298" s="23"/>
      <c r="B298" s="23"/>
      <c r="C298" s="7"/>
      <c r="D298" s="7"/>
      <c r="E298" s="7"/>
      <c r="F298" s="7"/>
      <c r="G298" s="7"/>
      <c r="H298" s="7"/>
      <c r="I298" s="7"/>
      <c r="J298" s="7"/>
      <c r="K298" s="7"/>
      <c r="L298" s="7"/>
      <c r="M298" s="7"/>
      <c r="N298" s="7"/>
      <c r="O298" s="7"/>
      <c r="P298" s="7"/>
      <c r="Q298" s="7"/>
      <c r="R298" s="7"/>
      <c r="S298" s="7"/>
      <c r="T298" s="7"/>
      <c r="U298" s="7"/>
      <c r="V298" s="7"/>
      <c r="W298" s="7"/>
      <c r="X298" s="7"/>
      <c r="Y298" s="7"/>
    </row>
    <row r="299" spans="1:25" ht="19.5" customHeight="1">
      <c r="A299" s="23"/>
      <c r="B299" s="23"/>
      <c r="C299" s="7"/>
      <c r="D299" s="7"/>
      <c r="E299" s="7"/>
      <c r="F299" s="7"/>
      <c r="G299" s="7"/>
      <c r="H299" s="7"/>
      <c r="I299" s="7"/>
      <c r="J299" s="7"/>
      <c r="K299" s="7"/>
      <c r="L299" s="7"/>
      <c r="M299" s="7"/>
      <c r="N299" s="7"/>
      <c r="O299" s="7"/>
      <c r="P299" s="7"/>
      <c r="Q299" s="7"/>
      <c r="R299" s="7"/>
      <c r="S299" s="7"/>
      <c r="T299" s="7"/>
      <c r="U299" s="7"/>
      <c r="V299" s="7"/>
      <c r="W299" s="7"/>
      <c r="X299" s="7"/>
      <c r="Y299" s="7"/>
    </row>
    <row r="300" spans="1:25" ht="19.5" customHeight="1">
      <c r="A300" s="23"/>
      <c r="B300" s="23"/>
      <c r="C300" s="7"/>
      <c r="D300" s="7"/>
      <c r="E300" s="7"/>
      <c r="F300" s="7"/>
      <c r="G300" s="7"/>
      <c r="H300" s="7"/>
      <c r="I300" s="7"/>
      <c r="J300" s="7"/>
      <c r="K300" s="7"/>
      <c r="L300" s="7"/>
      <c r="M300" s="7"/>
      <c r="N300" s="7"/>
      <c r="O300" s="7"/>
      <c r="P300" s="7"/>
      <c r="Q300" s="7"/>
      <c r="R300" s="7"/>
      <c r="S300" s="7"/>
      <c r="T300" s="7"/>
      <c r="U300" s="7"/>
      <c r="V300" s="7"/>
      <c r="W300" s="7"/>
      <c r="X300" s="7"/>
      <c r="Y300" s="7"/>
    </row>
    <row r="301" spans="1:25" ht="19.5" customHeight="1">
      <c r="A301" s="23"/>
      <c r="B301" s="23"/>
      <c r="C301" s="7"/>
      <c r="D301" s="7"/>
      <c r="E301" s="7"/>
      <c r="F301" s="7"/>
      <c r="G301" s="7"/>
      <c r="H301" s="7"/>
      <c r="I301" s="7"/>
      <c r="J301" s="7"/>
      <c r="K301" s="7"/>
      <c r="L301" s="7"/>
      <c r="M301" s="7"/>
      <c r="N301" s="7"/>
      <c r="O301" s="7"/>
      <c r="P301" s="7"/>
      <c r="Q301" s="7"/>
      <c r="R301" s="7"/>
      <c r="S301" s="7"/>
      <c r="T301" s="7"/>
      <c r="U301" s="7"/>
      <c r="V301" s="7"/>
      <c r="W301" s="7"/>
      <c r="X301" s="7"/>
      <c r="Y301" s="7"/>
    </row>
    <row r="302" spans="1:25" ht="19.5" customHeight="1">
      <c r="A302" s="23"/>
      <c r="B302" s="23"/>
      <c r="C302" s="7"/>
      <c r="D302" s="7"/>
      <c r="E302" s="7"/>
      <c r="F302" s="7"/>
      <c r="G302" s="7"/>
      <c r="H302" s="7"/>
      <c r="I302" s="7"/>
      <c r="J302" s="7"/>
      <c r="K302" s="7"/>
      <c r="L302" s="7"/>
      <c r="M302" s="7"/>
      <c r="N302" s="7"/>
      <c r="O302" s="7"/>
      <c r="P302" s="7"/>
      <c r="Q302" s="7"/>
      <c r="R302" s="7"/>
      <c r="S302" s="7"/>
      <c r="T302" s="7"/>
      <c r="U302" s="7"/>
      <c r="V302" s="7"/>
      <c r="W302" s="7"/>
      <c r="X302" s="7"/>
      <c r="Y302" s="7"/>
    </row>
    <row r="303" spans="1:25" ht="19.5" customHeight="1">
      <c r="A303" s="23"/>
      <c r="B303" s="23"/>
      <c r="C303" s="7"/>
      <c r="D303" s="7"/>
      <c r="E303" s="7"/>
      <c r="F303" s="7"/>
      <c r="G303" s="7"/>
      <c r="H303" s="7"/>
      <c r="I303" s="7"/>
      <c r="J303" s="7"/>
      <c r="K303" s="7"/>
      <c r="L303" s="7"/>
      <c r="M303" s="7"/>
      <c r="N303" s="7"/>
      <c r="O303" s="7"/>
      <c r="P303" s="7"/>
      <c r="Q303" s="7"/>
      <c r="R303" s="7"/>
      <c r="S303" s="7"/>
      <c r="T303" s="7"/>
      <c r="U303" s="7"/>
      <c r="V303" s="7"/>
      <c r="W303" s="7"/>
      <c r="X303" s="7"/>
      <c r="Y303" s="7"/>
    </row>
    <row r="304" spans="1:25" ht="19.5" customHeight="1">
      <c r="A304" s="23"/>
      <c r="B304" s="23"/>
      <c r="C304" s="7"/>
      <c r="D304" s="7"/>
      <c r="E304" s="7"/>
      <c r="F304" s="7"/>
      <c r="G304" s="7"/>
      <c r="H304" s="7"/>
      <c r="I304" s="7"/>
      <c r="J304" s="7"/>
      <c r="K304" s="7"/>
      <c r="L304" s="7"/>
      <c r="M304" s="7"/>
      <c r="N304" s="7"/>
      <c r="O304" s="7"/>
      <c r="P304" s="7"/>
      <c r="Q304" s="7"/>
      <c r="R304" s="7"/>
      <c r="S304" s="7"/>
      <c r="T304" s="7"/>
      <c r="U304" s="7"/>
      <c r="V304" s="7"/>
      <c r="W304" s="7"/>
      <c r="X304" s="7"/>
      <c r="Y304" s="7"/>
    </row>
    <row r="305" spans="1:25" ht="19.5" customHeight="1">
      <c r="A305" s="23"/>
      <c r="B305" s="23"/>
      <c r="C305" s="7"/>
      <c r="D305" s="7"/>
      <c r="E305" s="7"/>
      <c r="F305" s="7"/>
      <c r="G305" s="7"/>
      <c r="H305" s="7"/>
      <c r="I305" s="7"/>
      <c r="J305" s="7"/>
      <c r="K305" s="7"/>
      <c r="L305" s="7"/>
      <c r="M305" s="7"/>
      <c r="N305" s="7"/>
      <c r="O305" s="7"/>
      <c r="P305" s="7"/>
      <c r="Q305" s="7"/>
      <c r="R305" s="7"/>
      <c r="S305" s="7"/>
      <c r="T305" s="7"/>
      <c r="U305" s="7"/>
      <c r="V305" s="7"/>
      <c r="W305" s="7"/>
      <c r="X305" s="7"/>
      <c r="Y305" s="7"/>
    </row>
    <row r="306" spans="1:25" ht="19.5" customHeight="1">
      <c r="A306" s="23"/>
      <c r="B306" s="23"/>
      <c r="C306" s="7"/>
      <c r="D306" s="7"/>
      <c r="E306" s="7"/>
      <c r="F306" s="7"/>
      <c r="G306" s="7"/>
      <c r="H306" s="7"/>
      <c r="I306" s="7"/>
      <c r="J306" s="7"/>
      <c r="K306" s="7"/>
      <c r="L306" s="7"/>
      <c r="M306" s="7"/>
      <c r="N306" s="7"/>
      <c r="O306" s="7"/>
      <c r="P306" s="7"/>
      <c r="Q306" s="7"/>
      <c r="R306" s="7"/>
      <c r="S306" s="7"/>
      <c r="T306" s="7"/>
      <c r="U306" s="7"/>
      <c r="V306" s="7"/>
      <c r="W306" s="7"/>
      <c r="X306" s="7"/>
      <c r="Y306" s="7"/>
    </row>
    <row r="307" spans="1:25" ht="19.5" customHeight="1">
      <c r="A307" s="23"/>
      <c r="B307" s="23"/>
      <c r="C307" s="7"/>
      <c r="D307" s="7"/>
      <c r="E307" s="7"/>
      <c r="F307" s="7"/>
      <c r="G307" s="7"/>
      <c r="H307" s="7"/>
      <c r="I307" s="7"/>
      <c r="J307" s="7"/>
      <c r="K307" s="7"/>
      <c r="L307" s="7"/>
      <c r="M307" s="7"/>
      <c r="N307" s="7"/>
      <c r="O307" s="7"/>
      <c r="P307" s="7"/>
      <c r="Q307" s="7"/>
      <c r="R307" s="7"/>
      <c r="S307" s="7"/>
      <c r="T307" s="7"/>
      <c r="U307" s="7"/>
      <c r="V307" s="7"/>
      <c r="W307" s="7"/>
      <c r="X307" s="7"/>
      <c r="Y307" s="7"/>
    </row>
    <row r="308" spans="1:25" ht="19.5" customHeight="1">
      <c r="A308" s="23"/>
      <c r="B308" s="23"/>
      <c r="C308" s="7"/>
      <c r="D308" s="7"/>
      <c r="E308" s="7"/>
      <c r="F308" s="7"/>
      <c r="G308" s="7"/>
      <c r="H308" s="7"/>
      <c r="I308" s="7"/>
      <c r="J308" s="7"/>
      <c r="K308" s="7"/>
      <c r="L308" s="7"/>
      <c r="M308" s="7"/>
      <c r="N308" s="7"/>
      <c r="O308" s="7"/>
      <c r="P308" s="7"/>
      <c r="Q308" s="7"/>
      <c r="R308" s="7"/>
      <c r="S308" s="7"/>
      <c r="T308" s="7"/>
      <c r="U308" s="7"/>
      <c r="V308" s="7"/>
      <c r="W308" s="7"/>
      <c r="X308" s="7"/>
      <c r="Y308" s="7"/>
    </row>
    <row r="309" spans="1:25" ht="19.5" customHeight="1">
      <c r="A309" s="23"/>
      <c r="B309" s="23"/>
      <c r="C309" s="7"/>
      <c r="D309" s="7"/>
      <c r="E309" s="7"/>
      <c r="F309" s="7"/>
      <c r="G309" s="7"/>
      <c r="H309" s="7"/>
      <c r="I309" s="7"/>
      <c r="J309" s="7"/>
      <c r="K309" s="7"/>
      <c r="L309" s="7"/>
      <c r="M309" s="7"/>
      <c r="N309" s="7"/>
      <c r="O309" s="7"/>
      <c r="P309" s="7"/>
      <c r="Q309" s="7"/>
      <c r="R309" s="7"/>
      <c r="S309" s="7"/>
      <c r="T309" s="7"/>
      <c r="U309" s="7"/>
      <c r="V309" s="7"/>
      <c r="W309" s="7"/>
      <c r="X309" s="7"/>
      <c r="Y309" s="7"/>
    </row>
    <row r="310" spans="1:25" ht="19.5" customHeight="1">
      <c r="A310" s="23"/>
      <c r="B310" s="23"/>
      <c r="C310" s="7"/>
      <c r="D310" s="7"/>
      <c r="E310" s="7"/>
      <c r="F310" s="7"/>
      <c r="G310" s="7"/>
      <c r="H310" s="7"/>
      <c r="I310" s="7"/>
      <c r="J310" s="7"/>
      <c r="K310" s="7"/>
      <c r="L310" s="7"/>
      <c r="M310" s="7"/>
      <c r="N310" s="7"/>
      <c r="O310" s="7"/>
      <c r="P310" s="7"/>
      <c r="Q310" s="7"/>
      <c r="R310" s="7"/>
      <c r="S310" s="7"/>
      <c r="T310" s="7"/>
      <c r="U310" s="7"/>
      <c r="V310" s="7"/>
      <c r="W310" s="7"/>
      <c r="X310" s="7"/>
      <c r="Y310" s="7"/>
    </row>
    <row r="311" spans="1:25" ht="19.5" customHeight="1">
      <c r="A311" s="23"/>
      <c r="B311" s="23"/>
      <c r="C311" s="7"/>
      <c r="D311" s="7"/>
      <c r="E311" s="7"/>
      <c r="F311" s="7"/>
      <c r="G311" s="7"/>
      <c r="H311" s="7"/>
      <c r="I311" s="7"/>
      <c r="J311" s="7"/>
      <c r="K311" s="7"/>
      <c r="L311" s="7"/>
      <c r="M311" s="7"/>
      <c r="N311" s="7"/>
      <c r="O311" s="7"/>
      <c r="P311" s="7"/>
      <c r="Q311" s="7"/>
      <c r="R311" s="7"/>
      <c r="S311" s="7"/>
      <c r="T311" s="7"/>
      <c r="U311" s="7"/>
      <c r="V311" s="7"/>
      <c r="W311" s="7"/>
      <c r="X311" s="7"/>
      <c r="Y311" s="7"/>
    </row>
    <row r="312" spans="1:25" ht="19.5" customHeight="1">
      <c r="A312" s="23"/>
      <c r="B312" s="23"/>
      <c r="C312" s="7"/>
      <c r="D312" s="7"/>
      <c r="E312" s="7"/>
      <c r="F312" s="7"/>
      <c r="G312" s="7"/>
      <c r="H312" s="7"/>
      <c r="I312" s="7"/>
      <c r="J312" s="7"/>
      <c r="K312" s="7"/>
      <c r="L312" s="7"/>
      <c r="M312" s="7"/>
      <c r="N312" s="7"/>
      <c r="O312" s="7"/>
      <c r="P312" s="7"/>
      <c r="Q312" s="7"/>
      <c r="R312" s="7"/>
      <c r="S312" s="7"/>
      <c r="T312" s="7"/>
      <c r="U312" s="7"/>
      <c r="V312" s="7"/>
      <c r="W312" s="7"/>
      <c r="X312" s="7"/>
      <c r="Y312" s="7"/>
    </row>
    <row r="313" spans="1:25" ht="19.5" customHeight="1">
      <c r="A313" s="23"/>
      <c r="B313" s="23"/>
      <c r="C313" s="7"/>
      <c r="D313" s="7"/>
      <c r="E313" s="7"/>
      <c r="F313" s="7"/>
      <c r="G313" s="7"/>
      <c r="H313" s="7"/>
      <c r="I313" s="7"/>
      <c r="J313" s="7"/>
      <c r="K313" s="7"/>
      <c r="L313" s="7"/>
      <c r="M313" s="7"/>
      <c r="N313" s="7"/>
      <c r="O313" s="7"/>
      <c r="P313" s="7"/>
      <c r="Q313" s="7"/>
      <c r="R313" s="7"/>
      <c r="S313" s="7"/>
      <c r="T313" s="7"/>
      <c r="U313" s="7"/>
      <c r="V313" s="7"/>
      <c r="W313" s="7"/>
      <c r="X313" s="7"/>
      <c r="Y313" s="7"/>
    </row>
    <row r="314" spans="1:25" ht="19.5" customHeight="1">
      <c r="A314" s="23"/>
      <c r="B314" s="23"/>
      <c r="C314" s="7"/>
      <c r="D314" s="7"/>
      <c r="E314" s="7"/>
      <c r="F314" s="7"/>
      <c r="G314" s="7"/>
      <c r="H314" s="7"/>
      <c r="I314" s="7"/>
      <c r="J314" s="7"/>
      <c r="K314" s="7"/>
      <c r="L314" s="7"/>
      <c r="M314" s="7"/>
      <c r="N314" s="7"/>
      <c r="O314" s="7"/>
      <c r="P314" s="7"/>
      <c r="Q314" s="7"/>
      <c r="R314" s="7"/>
      <c r="S314" s="7"/>
      <c r="T314" s="7"/>
      <c r="U314" s="7"/>
      <c r="V314" s="7"/>
      <c r="W314" s="7"/>
      <c r="X314" s="7"/>
      <c r="Y314" s="7"/>
    </row>
    <row r="315" spans="1:25" ht="19.5" customHeight="1">
      <c r="A315" s="23"/>
      <c r="B315" s="23"/>
      <c r="C315" s="7"/>
      <c r="D315" s="7"/>
      <c r="E315" s="7"/>
      <c r="F315" s="7"/>
      <c r="G315" s="7"/>
      <c r="H315" s="7"/>
      <c r="I315" s="7"/>
      <c r="J315" s="7"/>
      <c r="K315" s="7"/>
      <c r="L315" s="7"/>
      <c r="M315" s="7"/>
      <c r="N315" s="7"/>
      <c r="O315" s="7"/>
      <c r="P315" s="7"/>
      <c r="Q315" s="7"/>
      <c r="R315" s="7"/>
      <c r="S315" s="7"/>
      <c r="T315" s="7"/>
      <c r="U315" s="7"/>
      <c r="V315" s="7"/>
      <c r="W315" s="7"/>
      <c r="X315" s="7"/>
      <c r="Y315" s="7"/>
    </row>
    <row r="316" spans="1:25" ht="19.5" customHeight="1">
      <c r="A316" s="23"/>
      <c r="B316" s="23"/>
      <c r="C316" s="7"/>
      <c r="D316" s="7"/>
      <c r="E316" s="7"/>
      <c r="F316" s="7"/>
      <c r="G316" s="7"/>
      <c r="H316" s="7"/>
      <c r="I316" s="7"/>
      <c r="J316" s="7"/>
      <c r="K316" s="7"/>
      <c r="L316" s="7"/>
      <c r="M316" s="7"/>
      <c r="N316" s="7"/>
      <c r="O316" s="7"/>
      <c r="P316" s="7"/>
      <c r="Q316" s="7"/>
      <c r="R316" s="7"/>
      <c r="S316" s="7"/>
      <c r="T316" s="7"/>
      <c r="U316" s="7"/>
      <c r="V316" s="7"/>
      <c r="W316" s="7"/>
      <c r="X316" s="7"/>
      <c r="Y316" s="7"/>
    </row>
    <row r="317" spans="1:25" ht="19.5" customHeight="1">
      <c r="A317" s="23"/>
      <c r="B317" s="23"/>
      <c r="C317" s="7"/>
      <c r="D317" s="7"/>
      <c r="E317" s="7"/>
      <c r="F317" s="7"/>
      <c r="G317" s="7"/>
      <c r="H317" s="7"/>
      <c r="I317" s="7"/>
      <c r="J317" s="7"/>
      <c r="K317" s="7"/>
      <c r="L317" s="7"/>
      <c r="M317" s="7"/>
      <c r="N317" s="7"/>
      <c r="O317" s="7"/>
      <c r="P317" s="7"/>
      <c r="Q317" s="7"/>
      <c r="R317" s="7"/>
      <c r="S317" s="7"/>
      <c r="T317" s="7"/>
      <c r="U317" s="7"/>
      <c r="V317" s="7"/>
      <c r="W317" s="7"/>
      <c r="X317" s="7"/>
      <c r="Y317" s="7"/>
    </row>
    <row r="318" spans="1:25" ht="19.5" customHeight="1">
      <c r="A318" s="23"/>
      <c r="B318" s="23"/>
      <c r="C318" s="7"/>
      <c r="D318" s="7"/>
      <c r="E318" s="7"/>
      <c r="F318" s="7"/>
      <c r="G318" s="7"/>
      <c r="H318" s="7"/>
      <c r="I318" s="7"/>
      <c r="J318" s="7"/>
      <c r="K318" s="7"/>
      <c r="L318" s="7"/>
      <c r="M318" s="7"/>
      <c r="N318" s="7"/>
      <c r="O318" s="7"/>
      <c r="P318" s="7"/>
      <c r="Q318" s="7"/>
      <c r="R318" s="7"/>
      <c r="S318" s="7"/>
      <c r="T318" s="7"/>
      <c r="U318" s="7"/>
      <c r="V318" s="7"/>
      <c r="W318" s="7"/>
      <c r="X318" s="7"/>
      <c r="Y318" s="7"/>
    </row>
    <row r="319" spans="1:25" ht="19.5" customHeight="1">
      <c r="A319" s="23"/>
      <c r="B319" s="23"/>
      <c r="C319" s="7"/>
      <c r="D319" s="7"/>
      <c r="E319" s="7"/>
      <c r="F319" s="7"/>
      <c r="G319" s="7"/>
      <c r="H319" s="7"/>
      <c r="I319" s="7"/>
      <c r="J319" s="7"/>
      <c r="K319" s="7"/>
      <c r="L319" s="7"/>
      <c r="M319" s="7"/>
      <c r="N319" s="7"/>
      <c r="O319" s="7"/>
      <c r="P319" s="7"/>
      <c r="Q319" s="7"/>
      <c r="R319" s="7"/>
      <c r="S319" s="7"/>
      <c r="T319" s="7"/>
      <c r="U319" s="7"/>
      <c r="V319" s="7"/>
      <c r="W319" s="7"/>
      <c r="X319" s="7"/>
      <c r="Y319" s="7"/>
    </row>
    <row r="320" spans="1:25" ht="19.5" customHeight="1">
      <c r="A320" s="23"/>
      <c r="B320" s="23"/>
      <c r="C320" s="7"/>
      <c r="D320" s="7"/>
      <c r="E320" s="7"/>
      <c r="F320" s="7"/>
      <c r="G320" s="7"/>
      <c r="H320" s="7"/>
      <c r="I320" s="7"/>
      <c r="J320" s="7"/>
      <c r="K320" s="7"/>
      <c r="L320" s="7"/>
      <c r="M320" s="7"/>
      <c r="N320" s="7"/>
      <c r="O320" s="7"/>
      <c r="P320" s="7"/>
      <c r="Q320" s="7"/>
      <c r="R320" s="7"/>
      <c r="S320" s="7"/>
      <c r="T320" s="7"/>
      <c r="U320" s="7"/>
      <c r="V320" s="7"/>
      <c r="W320" s="7"/>
      <c r="X320" s="7"/>
      <c r="Y320" s="7"/>
    </row>
    <row r="321" spans="1:25" ht="19.5" customHeight="1">
      <c r="A321" s="23"/>
      <c r="B321" s="23"/>
      <c r="C321" s="7"/>
      <c r="D321" s="7"/>
      <c r="E321" s="7"/>
      <c r="F321" s="7"/>
      <c r="G321" s="7"/>
      <c r="H321" s="7"/>
      <c r="I321" s="7"/>
      <c r="J321" s="7"/>
      <c r="K321" s="7"/>
      <c r="L321" s="7"/>
      <c r="M321" s="7"/>
      <c r="N321" s="7"/>
      <c r="O321" s="7"/>
      <c r="P321" s="7"/>
      <c r="Q321" s="7"/>
      <c r="R321" s="7"/>
      <c r="S321" s="7"/>
      <c r="T321" s="7"/>
      <c r="U321" s="7"/>
      <c r="V321" s="7"/>
      <c r="W321" s="7"/>
      <c r="X321" s="7"/>
      <c r="Y321" s="7"/>
    </row>
    <row r="322" spans="1:25" ht="19.5" customHeight="1">
      <c r="A322" s="23"/>
      <c r="B322" s="23"/>
      <c r="C322" s="7"/>
      <c r="D322" s="7"/>
      <c r="E322" s="7"/>
      <c r="F322" s="7"/>
      <c r="G322" s="7"/>
      <c r="H322" s="7"/>
      <c r="I322" s="7"/>
      <c r="J322" s="7"/>
      <c r="K322" s="7"/>
      <c r="L322" s="7"/>
      <c r="M322" s="7"/>
      <c r="N322" s="7"/>
      <c r="O322" s="7"/>
      <c r="P322" s="7"/>
      <c r="Q322" s="7"/>
      <c r="R322" s="7"/>
      <c r="S322" s="7"/>
      <c r="T322" s="7"/>
      <c r="U322" s="7"/>
      <c r="V322" s="7"/>
      <c r="W322" s="7"/>
      <c r="X322" s="7"/>
      <c r="Y322" s="7"/>
    </row>
    <row r="323" spans="1:25" ht="19.5" customHeight="1">
      <c r="A323" s="23"/>
      <c r="B323" s="23"/>
      <c r="C323" s="7"/>
      <c r="D323" s="7"/>
      <c r="E323" s="7"/>
      <c r="F323" s="7"/>
      <c r="G323" s="7"/>
      <c r="H323" s="7"/>
      <c r="I323" s="7"/>
      <c r="J323" s="7"/>
      <c r="K323" s="7"/>
      <c r="L323" s="7"/>
      <c r="M323" s="7"/>
      <c r="N323" s="7"/>
      <c r="O323" s="7"/>
      <c r="P323" s="7"/>
      <c r="Q323" s="7"/>
      <c r="R323" s="7"/>
      <c r="S323" s="7"/>
      <c r="T323" s="7"/>
      <c r="U323" s="7"/>
      <c r="V323" s="7"/>
      <c r="W323" s="7"/>
      <c r="X323" s="7"/>
      <c r="Y323" s="7"/>
    </row>
    <row r="324" spans="1:25" ht="19.5" customHeight="1">
      <c r="A324" s="23"/>
      <c r="B324" s="23"/>
      <c r="C324" s="7"/>
      <c r="D324" s="7"/>
      <c r="E324" s="7"/>
      <c r="F324" s="7"/>
      <c r="G324" s="7"/>
      <c r="H324" s="7"/>
      <c r="I324" s="7"/>
      <c r="J324" s="7"/>
      <c r="K324" s="7"/>
      <c r="L324" s="7"/>
      <c r="M324" s="7"/>
      <c r="N324" s="7"/>
      <c r="O324" s="7"/>
      <c r="P324" s="7"/>
      <c r="Q324" s="7"/>
      <c r="R324" s="7"/>
      <c r="S324" s="7"/>
      <c r="T324" s="7"/>
      <c r="U324" s="7"/>
      <c r="V324" s="7"/>
      <c r="W324" s="7"/>
      <c r="X324" s="7"/>
      <c r="Y324" s="7"/>
    </row>
    <row r="325" spans="1:25" ht="19.5" customHeight="1">
      <c r="A325" s="23"/>
      <c r="B325" s="23"/>
      <c r="C325" s="7"/>
      <c r="D325" s="7"/>
      <c r="E325" s="7"/>
      <c r="F325" s="7"/>
      <c r="G325" s="7"/>
      <c r="H325" s="7"/>
      <c r="I325" s="7"/>
      <c r="J325" s="7"/>
      <c r="K325" s="7"/>
      <c r="L325" s="7"/>
      <c r="M325" s="7"/>
      <c r="N325" s="7"/>
      <c r="O325" s="7"/>
      <c r="P325" s="7"/>
      <c r="Q325" s="7"/>
      <c r="R325" s="7"/>
      <c r="S325" s="7"/>
      <c r="T325" s="7"/>
      <c r="U325" s="7"/>
      <c r="V325" s="7"/>
      <c r="W325" s="7"/>
      <c r="X325" s="7"/>
      <c r="Y325" s="7"/>
    </row>
    <row r="326" spans="1:25" ht="19.5" customHeight="1">
      <c r="A326" s="23"/>
      <c r="B326" s="23"/>
      <c r="C326" s="7"/>
      <c r="D326" s="7"/>
      <c r="E326" s="7"/>
      <c r="F326" s="7"/>
      <c r="G326" s="7"/>
      <c r="H326" s="7"/>
      <c r="I326" s="7"/>
      <c r="J326" s="7"/>
      <c r="K326" s="7"/>
      <c r="L326" s="7"/>
      <c r="M326" s="7"/>
      <c r="N326" s="7"/>
      <c r="O326" s="7"/>
      <c r="P326" s="7"/>
      <c r="Q326" s="7"/>
      <c r="R326" s="7"/>
      <c r="S326" s="7"/>
      <c r="T326" s="7"/>
      <c r="U326" s="7"/>
      <c r="V326" s="7"/>
      <c r="W326" s="7"/>
      <c r="X326" s="7"/>
      <c r="Y326" s="7"/>
    </row>
    <row r="327" spans="1:25" ht="19.5" customHeight="1">
      <c r="A327" s="23"/>
      <c r="B327" s="23"/>
      <c r="C327" s="7"/>
      <c r="D327" s="7"/>
      <c r="E327" s="7"/>
      <c r="F327" s="7"/>
      <c r="G327" s="7"/>
      <c r="H327" s="7"/>
      <c r="I327" s="7"/>
      <c r="J327" s="7"/>
      <c r="K327" s="7"/>
      <c r="L327" s="7"/>
      <c r="M327" s="7"/>
      <c r="N327" s="7"/>
      <c r="O327" s="7"/>
      <c r="P327" s="7"/>
      <c r="Q327" s="7"/>
      <c r="R327" s="7"/>
      <c r="S327" s="7"/>
      <c r="T327" s="7"/>
      <c r="U327" s="7"/>
      <c r="V327" s="7"/>
      <c r="W327" s="7"/>
      <c r="X327" s="7"/>
      <c r="Y327" s="7"/>
    </row>
    <row r="328" spans="1:25" ht="19.5" customHeight="1">
      <c r="A328" s="23"/>
      <c r="B328" s="23"/>
      <c r="C328" s="7"/>
      <c r="D328" s="7"/>
      <c r="E328" s="7"/>
      <c r="F328" s="7"/>
      <c r="G328" s="7"/>
      <c r="H328" s="7"/>
      <c r="I328" s="7"/>
      <c r="J328" s="7"/>
      <c r="K328" s="7"/>
      <c r="L328" s="7"/>
      <c r="M328" s="7"/>
      <c r="N328" s="7"/>
      <c r="O328" s="7"/>
      <c r="P328" s="7"/>
      <c r="Q328" s="7"/>
      <c r="R328" s="7"/>
      <c r="S328" s="7"/>
      <c r="T328" s="7"/>
      <c r="U328" s="7"/>
      <c r="V328" s="7"/>
      <c r="W328" s="7"/>
      <c r="X328" s="7"/>
      <c r="Y328" s="7"/>
    </row>
    <row r="329" spans="1:25" ht="19.5" customHeight="1">
      <c r="A329" s="23"/>
      <c r="B329" s="23"/>
      <c r="C329" s="7"/>
      <c r="D329" s="7"/>
      <c r="E329" s="7"/>
      <c r="F329" s="7"/>
      <c r="G329" s="7"/>
      <c r="H329" s="7"/>
      <c r="I329" s="7"/>
      <c r="J329" s="7"/>
      <c r="K329" s="7"/>
      <c r="L329" s="7"/>
      <c r="M329" s="7"/>
      <c r="N329" s="7"/>
      <c r="O329" s="7"/>
      <c r="P329" s="7"/>
      <c r="Q329" s="7"/>
      <c r="R329" s="7"/>
      <c r="S329" s="7"/>
      <c r="T329" s="7"/>
      <c r="U329" s="7"/>
      <c r="V329" s="7"/>
      <c r="W329" s="7"/>
      <c r="X329" s="7"/>
      <c r="Y329" s="7"/>
    </row>
    <row r="330" spans="1:25" ht="19.5" customHeight="1">
      <c r="A330" s="23"/>
      <c r="B330" s="23"/>
      <c r="C330" s="7"/>
      <c r="D330" s="7"/>
      <c r="E330" s="7"/>
      <c r="F330" s="7"/>
      <c r="G330" s="7"/>
      <c r="H330" s="7"/>
      <c r="I330" s="7"/>
      <c r="J330" s="7"/>
      <c r="K330" s="7"/>
      <c r="L330" s="7"/>
      <c r="M330" s="7"/>
      <c r="N330" s="7"/>
      <c r="O330" s="7"/>
      <c r="P330" s="7"/>
      <c r="Q330" s="7"/>
      <c r="R330" s="7"/>
      <c r="S330" s="7"/>
      <c r="T330" s="7"/>
      <c r="U330" s="7"/>
      <c r="V330" s="7"/>
      <c r="W330" s="7"/>
      <c r="X330" s="7"/>
      <c r="Y330" s="7"/>
    </row>
    <row r="331" spans="1:25" ht="19.5" customHeight="1">
      <c r="A331" s="23"/>
      <c r="B331" s="23"/>
      <c r="C331" s="7"/>
      <c r="D331" s="7"/>
      <c r="E331" s="7"/>
      <c r="F331" s="7"/>
      <c r="G331" s="7"/>
      <c r="H331" s="7"/>
      <c r="I331" s="7"/>
      <c r="J331" s="7"/>
      <c r="K331" s="7"/>
      <c r="L331" s="7"/>
      <c r="M331" s="7"/>
      <c r="N331" s="7"/>
      <c r="O331" s="7"/>
      <c r="P331" s="7"/>
      <c r="Q331" s="7"/>
      <c r="R331" s="7"/>
      <c r="S331" s="7"/>
      <c r="T331" s="7"/>
      <c r="U331" s="7"/>
      <c r="V331" s="7"/>
      <c r="W331" s="7"/>
      <c r="X331" s="7"/>
      <c r="Y331" s="7"/>
    </row>
    <row r="332" spans="1:25" ht="19.5" customHeight="1">
      <c r="A332" s="23"/>
      <c r="B332" s="23"/>
      <c r="C332" s="7"/>
      <c r="D332" s="7"/>
      <c r="E332" s="7"/>
      <c r="F332" s="7"/>
      <c r="G332" s="7"/>
      <c r="H332" s="7"/>
      <c r="I332" s="7"/>
      <c r="J332" s="7"/>
      <c r="K332" s="7"/>
      <c r="L332" s="7"/>
      <c r="M332" s="7"/>
      <c r="N332" s="7"/>
      <c r="O332" s="7"/>
      <c r="P332" s="7"/>
      <c r="Q332" s="7"/>
      <c r="R332" s="7"/>
      <c r="S332" s="7"/>
      <c r="T332" s="7"/>
      <c r="U332" s="7"/>
      <c r="V332" s="7"/>
      <c r="W332" s="7"/>
      <c r="X332" s="7"/>
      <c r="Y332" s="7"/>
    </row>
    <row r="333" spans="1:25" ht="19.5" customHeight="1">
      <c r="A333" s="23"/>
      <c r="B333" s="23"/>
      <c r="C333" s="7"/>
      <c r="D333" s="7"/>
      <c r="E333" s="7"/>
      <c r="F333" s="7"/>
      <c r="G333" s="7"/>
      <c r="H333" s="7"/>
      <c r="I333" s="7"/>
      <c r="J333" s="7"/>
      <c r="K333" s="7"/>
      <c r="L333" s="7"/>
      <c r="M333" s="7"/>
      <c r="N333" s="7"/>
      <c r="O333" s="7"/>
      <c r="P333" s="7"/>
      <c r="Q333" s="7"/>
      <c r="R333" s="7"/>
      <c r="S333" s="7"/>
      <c r="T333" s="7"/>
      <c r="U333" s="7"/>
      <c r="V333" s="7"/>
      <c r="W333" s="7"/>
      <c r="X333" s="7"/>
      <c r="Y333" s="7"/>
    </row>
    <row r="334" spans="1:25" ht="19.5" customHeight="1">
      <c r="A334" s="23"/>
      <c r="B334" s="23"/>
      <c r="C334" s="7"/>
      <c r="D334" s="7"/>
      <c r="E334" s="7"/>
      <c r="F334" s="7"/>
      <c r="G334" s="7"/>
      <c r="H334" s="7"/>
      <c r="I334" s="7"/>
      <c r="J334" s="7"/>
      <c r="K334" s="7"/>
      <c r="L334" s="7"/>
      <c r="M334" s="7"/>
      <c r="N334" s="7"/>
      <c r="O334" s="7"/>
      <c r="P334" s="7"/>
      <c r="Q334" s="7"/>
      <c r="R334" s="7"/>
      <c r="S334" s="7"/>
      <c r="T334" s="7"/>
      <c r="U334" s="7"/>
      <c r="V334" s="7"/>
      <c r="W334" s="7"/>
      <c r="X334" s="7"/>
      <c r="Y334" s="7"/>
    </row>
    <row r="335" spans="1:25" ht="19.5" customHeight="1">
      <c r="A335" s="23"/>
      <c r="B335" s="23"/>
      <c r="C335" s="7"/>
      <c r="D335" s="7"/>
      <c r="E335" s="7"/>
      <c r="F335" s="7"/>
      <c r="G335" s="7"/>
      <c r="H335" s="7"/>
      <c r="I335" s="7"/>
      <c r="J335" s="7"/>
      <c r="K335" s="7"/>
      <c r="L335" s="7"/>
      <c r="M335" s="7"/>
      <c r="N335" s="7"/>
      <c r="O335" s="7"/>
      <c r="P335" s="7"/>
      <c r="Q335" s="7"/>
      <c r="R335" s="7"/>
      <c r="S335" s="7"/>
      <c r="T335" s="7"/>
      <c r="U335" s="7"/>
      <c r="V335" s="7"/>
      <c r="W335" s="7"/>
      <c r="X335" s="7"/>
      <c r="Y335" s="7"/>
    </row>
    <row r="336" spans="1:25" ht="19.5" customHeight="1">
      <c r="A336" s="23"/>
      <c r="B336" s="23"/>
      <c r="C336" s="7"/>
      <c r="D336" s="7"/>
      <c r="E336" s="7"/>
      <c r="F336" s="7"/>
      <c r="G336" s="7"/>
      <c r="H336" s="7"/>
      <c r="I336" s="7"/>
      <c r="J336" s="7"/>
      <c r="K336" s="7"/>
      <c r="L336" s="7"/>
      <c r="M336" s="7"/>
      <c r="N336" s="7"/>
      <c r="O336" s="7"/>
      <c r="P336" s="7"/>
      <c r="Q336" s="7"/>
      <c r="R336" s="7"/>
      <c r="S336" s="7"/>
      <c r="T336" s="7"/>
      <c r="U336" s="7"/>
      <c r="V336" s="7"/>
      <c r="W336" s="7"/>
      <c r="X336" s="7"/>
      <c r="Y336" s="7"/>
    </row>
    <row r="337" spans="1:25" ht="19.5" customHeight="1">
      <c r="A337" s="23"/>
      <c r="B337" s="23"/>
      <c r="C337" s="7"/>
      <c r="D337" s="7"/>
      <c r="E337" s="7"/>
      <c r="F337" s="7"/>
      <c r="G337" s="7"/>
      <c r="H337" s="7"/>
      <c r="I337" s="7"/>
      <c r="J337" s="7"/>
      <c r="K337" s="7"/>
      <c r="L337" s="7"/>
      <c r="M337" s="7"/>
      <c r="N337" s="7"/>
      <c r="O337" s="7"/>
      <c r="P337" s="7"/>
      <c r="Q337" s="7"/>
      <c r="R337" s="7"/>
      <c r="S337" s="7"/>
      <c r="T337" s="7"/>
      <c r="U337" s="7"/>
      <c r="V337" s="7"/>
      <c r="W337" s="7"/>
      <c r="X337" s="7"/>
      <c r="Y337" s="7"/>
    </row>
    <row r="338" spans="1:25" ht="19.5" customHeight="1">
      <c r="A338" s="23"/>
      <c r="B338" s="23"/>
      <c r="C338" s="7"/>
      <c r="D338" s="7"/>
      <c r="E338" s="7"/>
      <c r="F338" s="7"/>
      <c r="G338" s="7"/>
      <c r="H338" s="7"/>
      <c r="I338" s="7"/>
      <c r="J338" s="7"/>
      <c r="K338" s="7"/>
      <c r="L338" s="7"/>
      <c r="M338" s="7"/>
      <c r="N338" s="7"/>
      <c r="O338" s="7"/>
      <c r="P338" s="7"/>
      <c r="Q338" s="7"/>
      <c r="R338" s="7"/>
      <c r="S338" s="7"/>
      <c r="T338" s="7"/>
      <c r="U338" s="7"/>
      <c r="V338" s="7"/>
      <c r="W338" s="7"/>
      <c r="X338" s="7"/>
      <c r="Y338" s="7"/>
    </row>
    <row r="339" spans="1:25" ht="19.5" customHeight="1">
      <c r="A339" s="23"/>
      <c r="B339" s="23"/>
      <c r="C339" s="7"/>
      <c r="D339" s="7"/>
      <c r="E339" s="7"/>
      <c r="F339" s="7"/>
      <c r="G339" s="7"/>
      <c r="H339" s="7"/>
      <c r="I339" s="7"/>
      <c r="J339" s="7"/>
      <c r="K339" s="7"/>
      <c r="L339" s="7"/>
      <c r="M339" s="7"/>
      <c r="N339" s="7"/>
      <c r="O339" s="7"/>
      <c r="P339" s="7"/>
      <c r="Q339" s="7"/>
      <c r="R339" s="7"/>
      <c r="S339" s="7"/>
      <c r="T339" s="7"/>
      <c r="U339" s="7"/>
      <c r="V339" s="7"/>
      <c r="W339" s="7"/>
      <c r="X339" s="7"/>
      <c r="Y339" s="7"/>
    </row>
    <row r="340" spans="1:25" ht="19.5" customHeight="1">
      <c r="A340" s="23"/>
      <c r="B340" s="23"/>
      <c r="C340" s="7"/>
      <c r="D340" s="7"/>
      <c r="E340" s="7"/>
      <c r="F340" s="7"/>
      <c r="G340" s="7"/>
      <c r="H340" s="7"/>
      <c r="I340" s="7"/>
      <c r="J340" s="7"/>
      <c r="K340" s="7"/>
      <c r="L340" s="7"/>
      <c r="M340" s="7"/>
      <c r="N340" s="7"/>
      <c r="O340" s="7"/>
      <c r="P340" s="7"/>
      <c r="Q340" s="7"/>
      <c r="R340" s="7"/>
      <c r="S340" s="7"/>
      <c r="T340" s="7"/>
      <c r="U340" s="7"/>
      <c r="V340" s="7"/>
      <c r="W340" s="7"/>
      <c r="X340" s="7"/>
      <c r="Y340" s="7"/>
    </row>
    <row r="341" spans="1:25" ht="19.5" customHeight="1">
      <c r="A341" s="23"/>
      <c r="B341" s="23"/>
      <c r="C341" s="7"/>
      <c r="D341" s="7"/>
      <c r="E341" s="7"/>
      <c r="F341" s="7"/>
      <c r="G341" s="7"/>
      <c r="H341" s="7"/>
      <c r="I341" s="7"/>
      <c r="J341" s="7"/>
      <c r="K341" s="7"/>
      <c r="L341" s="7"/>
      <c r="M341" s="7"/>
      <c r="N341" s="7"/>
      <c r="O341" s="7"/>
      <c r="P341" s="7"/>
      <c r="Q341" s="7"/>
      <c r="R341" s="7"/>
      <c r="S341" s="7"/>
      <c r="T341" s="7"/>
      <c r="U341" s="7"/>
      <c r="V341" s="7"/>
      <c r="W341" s="7"/>
      <c r="X341" s="7"/>
      <c r="Y341" s="7"/>
    </row>
    <row r="342" spans="1:25" ht="19.5" customHeight="1">
      <c r="A342" s="23"/>
      <c r="B342" s="23"/>
      <c r="C342" s="7"/>
      <c r="D342" s="7"/>
      <c r="E342" s="7"/>
      <c r="F342" s="7"/>
      <c r="G342" s="7"/>
      <c r="H342" s="7"/>
      <c r="I342" s="7"/>
      <c r="J342" s="7"/>
      <c r="K342" s="7"/>
      <c r="L342" s="7"/>
      <c r="M342" s="7"/>
      <c r="N342" s="7"/>
      <c r="O342" s="7"/>
      <c r="P342" s="7"/>
      <c r="Q342" s="7"/>
      <c r="R342" s="7"/>
      <c r="S342" s="7"/>
      <c r="T342" s="7"/>
      <c r="U342" s="7"/>
      <c r="V342" s="7"/>
      <c r="W342" s="7"/>
      <c r="X342" s="7"/>
      <c r="Y342" s="7"/>
    </row>
    <row r="343" spans="1:25" ht="19.5" customHeight="1">
      <c r="A343" s="23"/>
      <c r="B343" s="23"/>
      <c r="C343" s="7"/>
      <c r="D343" s="7"/>
      <c r="E343" s="7"/>
      <c r="F343" s="7"/>
      <c r="G343" s="7"/>
      <c r="H343" s="7"/>
      <c r="I343" s="7"/>
      <c r="J343" s="7"/>
      <c r="K343" s="7"/>
      <c r="L343" s="7"/>
      <c r="M343" s="7"/>
      <c r="N343" s="7"/>
      <c r="O343" s="7"/>
      <c r="P343" s="7"/>
      <c r="Q343" s="7"/>
      <c r="R343" s="7"/>
      <c r="S343" s="7"/>
      <c r="T343" s="7"/>
      <c r="U343" s="7"/>
      <c r="V343" s="7"/>
      <c r="W343" s="7"/>
      <c r="X343" s="7"/>
      <c r="Y343" s="7"/>
    </row>
    <row r="344" spans="1:25" ht="19.5" customHeight="1">
      <c r="A344" s="23"/>
      <c r="B344" s="23"/>
      <c r="C344" s="7"/>
      <c r="D344" s="7"/>
      <c r="E344" s="7"/>
      <c r="F344" s="7"/>
      <c r="G344" s="7"/>
      <c r="H344" s="7"/>
      <c r="I344" s="7"/>
      <c r="J344" s="7"/>
      <c r="K344" s="7"/>
      <c r="L344" s="7"/>
      <c r="M344" s="7"/>
      <c r="N344" s="7"/>
      <c r="O344" s="7"/>
      <c r="P344" s="7"/>
      <c r="Q344" s="7"/>
      <c r="R344" s="7"/>
      <c r="S344" s="7"/>
      <c r="T344" s="7"/>
      <c r="U344" s="7"/>
      <c r="V344" s="7"/>
      <c r="W344" s="7"/>
      <c r="X344" s="7"/>
      <c r="Y344" s="7"/>
    </row>
    <row r="345" spans="1:25" ht="19.5" customHeight="1">
      <c r="A345" s="23"/>
      <c r="B345" s="23"/>
      <c r="C345" s="7"/>
      <c r="D345" s="7"/>
      <c r="E345" s="7"/>
      <c r="F345" s="7"/>
      <c r="G345" s="7"/>
      <c r="H345" s="7"/>
      <c r="I345" s="7"/>
      <c r="J345" s="7"/>
      <c r="K345" s="7"/>
      <c r="L345" s="7"/>
      <c r="M345" s="7"/>
      <c r="N345" s="7"/>
      <c r="O345" s="7"/>
      <c r="P345" s="7"/>
      <c r="Q345" s="7"/>
      <c r="R345" s="7"/>
      <c r="S345" s="7"/>
      <c r="T345" s="7"/>
      <c r="U345" s="7"/>
      <c r="V345" s="7"/>
      <c r="W345" s="7"/>
      <c r="X345" s="7"/>
      <c r="Y345" s="7"/>
    </row>
    <row r="346" spans="1:25" ht="19.5" customHeight="1">
      <c r="A346" s="23"/>
      <c r="B346" s="23"/>
      <c r="C346" s="7"/>
      <c r="D346" s="7"/>
      <c r="E346" s="7"/>
      <c r="F346" s="7"/>
      <c r="G346" s="7"/>
      <c r="H346" s="7"/>
      <c r="I346" s="7"/>
      <c r="J346" s="7"/>
      <c r="K346" s="7"/>
      <c r="L346" s="7"/>
      <c r="M346" s="7"/>
      <c r="N346" s="7"/>
      <c r="O346" s="7"/>
      <c r="P346" s="7"/>
      <c r="Q346" s="7"/>
      <c r="R346" s="7"/>
      <c r="S346" s="7"/>
      <c r="T346" s="7"/>
      <c r="U346" s="7"/>
      <c r="V346" s="7"/>
      <c r="W346" s="7"/>
      <c r="X346" s="7"/>
      <c r="Y346" s="7"/>
    </row>
    <row r="347" spans="1:25" ht="19.5" customHeight="1">
      <c r="A347" s="23"/>
      <c r="B347" s="23"/>
      <c r="C347" s="7"/>
      <c r="D347" s="7"/>
      <c r="E347" s="7"/>
      <c r="F347" s="7"/>
      <c r="G347" s="7"/>
      <c r="H347" s="7"/>
      <c r="I347" s="7"/>
      <c r="J347" s="7"/>
      <c r="K347" s="7"/>
      <c r="L347" s="7"/>
      <c r="M347" s="7"/>
      <c r="N347" s="7"/>
      <c r="O347" s="7"/>
      <c r="P347" s="7"/>
      <c r="Q347" s="7"/>
      <c r="R347" s="7"/>
      <c r="S347" s="7"/>
      <c r="T347" s="7"/>
      <c r="U347" s="7"/>
      <c r="V347" s="7"/>
      <c r="W347" s="7"/>
      <c r="X347" s="7"/>
      <c r="Y347" s="7"/>
    </row>
    <row r="348" spans="1:25" ht="19.5" customHeight="1">
      <c r="A348" s="23"/>
      <c r="B348" s="23"/>
      <c r="C348" s="7"/>
      <c r="D348" s="7"/>
      <c r="E348" s="7"/>
      <c r="F348" s="7"/>
      <c r="G348" s="7"/>
      <c r="H348" s="7"/>
      <c r="I348" s="7"/>
      <c r="J348" s="7"/>
      <c r="K348" s="7"/>
      <c r="L348" s="7"/>
      <c r="M348" s="7"/>
      <c r="N348" s="7"/>
      <c r="O348" s="7"/>
      <c r="P348" s="7"/>
      <c r="Q348" s="7"/>
      <c r="R348" s="7"/>
      <c r="S348" s="7"/>
      <c r="T348" s="7"/>
      <c r="U348" s="7"/>
      <c r="V348" s="7"/>
      <c r="W348" s="7"/>
      <c r="X348" s="7"/>
      <c r="Y348" s="7"/>
    </row>
    <row r="349" spans="1:25" ht="19.5" customHeight="1">
      <c r="A349" s="23"/>
      <c r="B349" s="23"/>
      <c r="C349" s="7"/>
      <c r="D349" s="7"/>
      <c r="E349" s="7"/>
      <c r="F349" s="7"/>
      <c r="G349" s="7"/>
      <c r="H349" s="7"/>
      <c r="I349" s="7"/>
      <c r="J349" s="7"/>
      <c r="K349" s="7"/>
      <c r="L349" s="7"/>
      <c r="M349" s="7"/>
      <c r="N349" s="7"/>
      <c r="O349" s="7"/>
      <c r="P349" s="7"/>
      <c r="Q349" s="7"/>
      <c r="R349" s="7"/>
      <c r="S349" s="7"/>
      <c r="T349" s="7"/>
      <c r="U349" s="7"/>
      <c r="V349" s="7"/>
      <c r="W349" s="7"/>
      <c r="X349" s="7"/>
      <c r="Y349" s="7"/>
    </row>
    <row r="350" spans="1:25" ht="19.5" customHeight="1">
      <c r="A350" s="23"/>
      <c r="B350" s="23"/>
      <c r="C350" s="7"/>
      <c r="D350" s="7"/>
      <c r="E350" s="7"/>
      <c r="F350" s="7"/>
      <c r="G350" s="7"/>
      <c r="H350" s="7"/>
      <c r="I350" s="7"/>
      <c r="J350" s="7"/>
      <c r="K350" s="7"/>
      <c r="L350" s="7"/>
      <c r="M350" s="7"/>
      <c r="N350" s="7"/>
      <c r="O350" s="7"/>
      <c r="P350" s="7"/>
      <c r="Q350" s="7"/>
      <c r="R350" s="7"/>
      <c r="S350" s="7"/>
      <c r="T350" s="7"/>
      <c r="U350" s="7"/>
      <c r="V350" s="7"/>
      <c r="W350" s="7"/>
      <c r="X350" s="7"/>
      <c r="Y350" s="7"/>
    </row>
    <row r="351" spans="1:25" ht="19.5" customHeight="1">
      <c r="A351" s="23"/>
      <c r="B351" s="23"/>
      <c r="C351" s="7"/>
      <c r="D351" s="7"/>
      <c r="E351" s="7"/>
      <c r="F351" s="7"/>
      <c r="G351" s="7"/>
      <c r="H351" s="7"/>
      <c r="I351" s="7"/>
      <c r="J351" s="7"/>
      <c r="K351" s="7"/>
      <c r="L351" s="7"/>
      <c r="M351" s="7"/>
      <c r="N351" s="7"/>
      <c r="O351" s="7"/>
      <c r="P351" s="7"/>
      <c r="Q351" s="7"/>
      <c r="R351" s="7"/>
      <c r="S351" s="7"/>
      <c r="T351" s="7"/>
      <c r="U351" s="7"/>
      <c r="V351" s="7"/>
      <c r="W351" s="7"/>
      <c r="X351" s="7"/>
      <c r="Y351" s="7"/>
    </row>
    <row r="352" spans="1:25" ht="19.5" customHeight="1">
      <c r="A352" s="23"/>
      <c r="B352" s="23"/>
      <c r="C352" s="7"/>
      <c r="D352" s="7"/>
      <c r="E352" s="7"/>
      <c r="F352" s="7"/>
      <c r="G352" s="7"/>
      <c r="H352" s="7"/>
      <c r="I352" s="7"/>
      <c r="J352" s="7"/>
      <c r="K352" s="7"/>
      <c r="L352" s="7"/>
      <c r="M352" s="7"/>
      <c r="N352" s="7"/>
      <c r="O352" s="7"/>
      <c r="P352" s="7"/>
      <c r="Q352" s="7"/>
      <c r="R352" s="7"/>
      <c r="S352" s="7"/>
      <c r="T352" s="7"/>
      <c r="U352" s="7"/>
      <c r="V352" s="7"/>
      <c r="W352" s="7"/>
      <c r="X352" s="7"/>
      <c r="Y352" s="7"/>
    </row>
    <row r="353" spans="1:25" ht="19.5" customHeight="1">
      <c r="A353" s="23"/>
      <c r="B353" s="23"/>
      <c r="C353" s="7"/>
      <c r="D353" s="7"/>
      <c r="E353" s="7"/>
      <c r="F353" s="7"/>
      <c r="G353" s="7"/>
      <c r="H353" s="7"/>
      <c r="I353" s="7"/>
      <c r="J353" s="7"/>
      <c r="K353" s="7"/>
      <c r="L353" s="7"/>
      <c r="M353" s="7"/>
      <c r="N353" s="7"/>
      <c r="O353" s="7"/>
      <c r="P353" s="7"/>
      <c r="Q353" s="7"/>
      <c r="R353" s="7"/>
      <c r="S353" s="7"/>
      <c r="T353" s="7"/>
      <c r="U353" s="7"/>
      <c r="V353" s="7"/>
      <c r="W353" s="7"/>
      <c r="X353" s="7"/>
      <c r="Y353" s="7"/>
    </row>
    <row r="354" spans="1:25" ht="19.5" customHeight="1">
      <c r="A354" s="23"/>
      <c r="B354" s="23"/>
      <c r="C354" s="7"/>
      <c r="D354" s="7"/>
      <c r="E354" s="7"/>
      <c r="F354" s="7"/>
      <c r="G354" s="7"/>
      <c r="H354" s="7"/>
      <c r="I354" s="7"/>
      <c r="J354" s="7"/>
      <c r="K354" s="7"/>
      <c r="L354" s="7"/>
      <c r="M354" s="7"/>
      <c r="N354" s="7"/>
      <c r="O354" s="7"/>
      <c r="P354" s="7"/>
      <c r="Q354" s="7"/>
      <c r="R354" s="7"/>
      <c r="S354" s="7"/>
      <c r="T354" s="7"/>
      <c r="U354" s="7"/>
      <c r="V354" s="7"/>
      <c r="W354" s="7"/>
      <c r="X354" s="7"/>
      <c r="Y354" s="7"/>
    </row>
    <row r="355" spans="1:25" ht="19.5" customHeight="1">
      <c r="A355" s="23"/>
      <c r="B355" s="23"/>
      <c r="C355" s="7"/>
      <c r="D355" s="7"/>
      <c r="E355" s="7"/>
      <c r="F355" s="7"/>
      <c r="G355" s="7"/>
      <c r="H355" s="7"/>
      <c r="I355" s="7"/>
      <c r="J355" s="7"/>
      <c r="K355" s="7"/>
      <c r="L355" s="7"/>
      <c r="M355" s="7"/>
      <c r="N355" s="7"/>
      <c r="O355" s="7"/>
      <c r="P355" s="7"/>
      <c r="Q355" s="7"/>
      <c r="R355" s="7"/>
      <c r="S355" s="7"/>
      <c r="T355" s="7"/>
      <c r="U355" s="7"/>
      <c r="V355" s="7"/>
      <c r="W355" s="7"/>
      <c r="X355" s="7"/>
      <c r="Y355" s="7"/>
    </row>
    <row r="356" spans="1:25" ht="19.5" customHeight="1">
      <c r="A356" s="23"/>
      <c r="B356" s="23"/>
      <c r="C356" s="7"/>
      <c r="D356" s="7"/>
      <c r="E356" s="7"/>
      <c r="F356" s="7"/>
      <c r="G356" s="7"/>
      <c r="H356" s="7"/>
      <c r="I356" s="7"/>
      <c r="J356" s="7"/>
      <c r="K356" s="7"/>
      <c r="L356" s="7"/>
      <c r="M356" s="7"/>
      <c r="N356" s="7"/>
      <c r="O356" s="7"/>
      <c r="P356" s="7"/>
      <c r="Q356" s="7"/>
      <c r="R356" s="7"/>
      <c r="S356" s="7"/>
      <c r="T356" s="7"/>
      <c r="U356" s="7"/>
      <c r="V356" s="7"/>
      <c r="W356" s="7"/>
      <c r="X356" s="7"/>
      <c r="Y356" s="7"/>
    </row>
    <row r="357" spans="1:25" ht="19.5" customHeight="1">
      <c r="A357" s="23"/>
      <c r="B357" s="23"/>
      <c r="C357" s="7"/>
      <c r="D357" s="7"/>
      <c r="E357" s="7"/>
      <c r="F357" s="7"/>
      <c r="G357" s="7"/>
      <c r="H357" s="7"/>
      <c r="I357" s="7"/>
      <c r="J357" s="7"/>
      <c r="K357" s="7"/>
      <c r="L357" s="7"/>
      <c r="M357" s="7"/>
      <c r="N357" s="7"/>
      <c r="O357" s="7"/>
      <c r="P357" s="7"/>
      <c r="Q357" s="7"/>
      <c r="R357" s="7"/>
      <c r="S357" s="7"/>
      <c r="T357" s="7"/>
      <c r="U357" s="7"/>
      <c r="V357" s="7"/>
      <c r="W357" s="7"/>
      <c r="X357" s="7"/>
      <c r="Y357" s="7"/>
    </row>
    <row r="358" spans="1:25" ht="19.5" customHeight="1">
      <c r="A358" s="23"/>
      <c r="B358" s="23"/>
      <c r="C358" s="7"/>
      <c r="D358" s="7"/>
      <c r="E358" s="7"/>
      <c r="F358" s="7"/>
      <c r="G358" s="7"/>
      <c r="H358" s="7"/>
      <c r="I358" s="7"/>
      <c r="J358" s="7"/>
      <c r="K358" s="7"/>
      <c r="L358" s="7"/>
      <c r="M358" s="7"/>
      <c r="N358" s="7"/>
      <c r="O358" s="7"/>
      <c r="P358" s="7"/>
      <c r="Q358" s="7"/>
      <c r="R358" s="7"/>
      <c r="S358" s="7"/>
      <c r="T358" s="7"/>
      <c r="U358" s="7"/>
      <c r="V358" s="7"/>
      <c r="W358" s="7"/>
      <c r="X358" s="7"/>
      <c r="Y358" s="7"/>
    </row>
    <row r="359" spans="1:25" ht="19.5" customHeight="1">
      <c r="A359" s="23"/>
      <c r="B359" s="23"/>
      <c r="C359" s="7"/>
      <c r="D359" s="7"/>
      <c r="E359" s="7"/>
      <c r="F359" s="7"/>
      <c r="G359" s="7"/>
      <c r="H359" s="7"/>
      <c r="I359" s="7"/>
      <c r="J359" s="7"/>
      <c r="K359" s="7"/>
      <c r="L359" s="7"/>
      <c r="M359" s="7"/>
      <c r="N359" s="7"/>
      <c r="O359" s="7"/>
      <c r="P359" s="7"/>
      <c r="Q359" s="7"/>
      <c r="R359" s="7"/>
      <c r="S359" s="7"/>
      <c r="T359" s="7"/>
      <c r="U359" s="7"/>
      <c r="V359" s="7"/>
      <c r="W359" s="7"/>
      <c r="X359" s="7"/>
      <c r="Y359" s="7"/>
    </row>
    <row r="360" spans="1:25" ht="19.5" customHeight="1">
      <c r="A360" s="23"/>
      <c r="B360" s="23"/>
      <c r="C360" s="7"/>
      <c r="D360" s="7"/>
      <c r="E360" s="7"/>
      <c r="F360" s="7"/>
      <c r="G360" s="7"/>
      <c r="H360" s="7"/>
      <c r="I360" s="7"/>
      <c r="J360" s="7"/>
      <c r="K360" s="7"/>
      <c r="L360" s="7"/>
      <c r="M360" s="7"/>
      <c r="N360" s="7"/>
      <c r="O360" s="7"/>
      <c r="P360" s="7"/>
      <c r="Q360" s="7"/>
      <c r="R360" s="7"/>
      <c r="S360" s="7"/>
      <c r="T360" s="7"/>
      <c r="U360" s="7"/>
      <c r="V360" s="7"/>
      <c r="W360" s="7"/>
      <c r="X360" s="7"/>
      <c r="Y360" s="7"/>
    </row>
    <row r="361" spans="1:25" ht="19.5" customHeight="1">
      <c r="A361" s="23"/>
      <c r="B361" s="23"/>
      <c r="C361" s="7"/>
      <c r="D361" s="7"/>
      <c r="E361" s="7"/>
      <c r="F361" s="7"/>
      <c r="G361" s="7"/>
      <c r="H361" s="7"/>
      <c r="I361" s="7"/>
      <c r="J361" s="7"/>
      <c r="K361" s="7"/>
      <c r="L361" s="7"/>
      <c r="M361" s="7"/>
      <c r="N361" s="7"/>
      <c r="O361" s="7"/>
      <c r="P361" s="7"/>
      <c r="Q361" s="7"/>
      <c r="R361" s="7"/>
      <c r="S361" s="7"/>
      <c r="T361" s="7"/>
      <c r="U361" s="7"/>
      <c r="V361" s="7"/>
      <c r="W361" s="7"/>
      <c r="X361" s="7"/>
      <c r="Y361" s="7"/>
    </row>
    <row r="362" spans="1:25" ht="19.5" customHeight="1">
      <c r="A362" s="23"/>
      <c r="B362" s="23"/>
      <c r="C362" s="7"/>
      <c r="D362" s="7"/>
      <c r="E362" s="7"/>
      <c r="F362" s="7"/>
      <c r="G362" s="7"/>
      <c r="H362" s="7"/>
      <c r="I362" s="7"/>
      <c r="J362" s="7"/>
      <c r="K362" s="7"/>
      <c r="L362" s="7"/>
      <c r="M362" s="7"/>
      <c r="N362" s="7"/>
      <c r="O362" s="7"/>
      <c r="P362" s="7"/>
      <c r="Q362" s="7"/>
      <c r="R362" s="7"/>
      <c r="S362" s="7"/>
      <c r="T362" s="7"/>
      <c r="U362" s="7"/>
      <c r="V362" s="7"/>
      <c r="W362" s="7"/>
      <c r="X362" s="7"/>
      <c r="Y362" s="7"/>
    </row>
    <row r="363" spans="1:25" ht="19.5" customHeight="1">
      <c r="A363" s="23"/>
      <c r="B363" s="23"/>
      <c r="C363" s="7"/>
      <c r="D363" s="7"/>
      <c r="E363" s="7"/>
      <c r="F363" s="7"/>
      <c r="G363" s="7"/>
      <c r="H363" s="7"/>
      <c r="I363" s="7"/>
      <c r="J363" s="7"/>
      <c r="K363" s="7"/>
      <c r="L363" s="7"/>
      <c r="M363" s="7"/>
      <c r="N363" s="7"/>
      <c r="O363" s="7"/>
      <c r="P363" s="7"/>
      <c r="Q363" s="7"/>
      <c r="R363" s="7"/>
      <c r="S363" s="7"/>
      <c r="T363" s="7"/>
      <c r="U363" s="7"/>
      <c r="V363" s="7"/>
      <c r="W363" s="7"/>
      <c r="X363" s="7"/>
      <c r="Y363" s="7"/>
    </row>
    <row r="364" spans="1:25" ht="19.5" customHeight="1">
      <c r="A364" s="23"/>
      <c r="B364" s="23"/>
      <c r="C364" s="7"/>
      <c r="D364" s="7"/>
      <c r="E364" s="7"/>
      <c r="F364" s="7"/>
      <c r="G364" s="7"/>
      <c r="H364" s="7"/>
      <c r="I364" s="7"/>
      <c r="J364" s="7"/>
      <c r="K364" s="7"/>
      <c r="L364" s="7"/>
      <c r="M364" s="7"/>
      <c r="N364" s="7"/>
      <c r="O364" s="7"/>
      <c r="P364" s="7"/>
      <c r="Q364" s="7"/>
      <c r="R364" s="7"/>
      <c r="S364" s="7"/>
      <c r="T364" s="7"/>
      <c r="U364" s="7"/>
      <c r="V364" s="7"/>
      <c r="W364" s="7"/>
      <c r="X364" s="7"/>
      <c r="Y364" s="7"/>
    </row>
    <row r="365" spans="1:25" ht="19.5" customHeight="1">
      <c r="A365" s="23"/>
      <c r="B365" s="23"/>
      <c r="C365" s="7"/>
      <c r="D365" s="7"/>
      <c r="E365" s="7"/>
      <c r="F365" s="7"/>
      <c r="G365" s="7"/>
      <c r="H365" s="7"/>
      <c r="I365" s="7"/>
      <c r="J365" s="7"/>
      <c r="K365" s="7"/>
      <c r="L365" s="7"/>
      <c r="M365" s="7"/>
      <c r="N365" s="7"/>
      <c r="O365" s="7"/>
      <c r="P365" s="7"/>
      <c r="Q365" s="7"/>
      <c r="R365" s="7"/>
      <c r="S365" s="7"/>
      <c r="T365" s="7"/>
      <c r="U365" s="7"/>
      <c r="V365" s="7"/>
      <c r="W365" s="7"/>
      <c r="X365" s="7"/>
      <c r="Y365" s="7"/>
    </row>
    <row r="366" spans="1:25" ht="19.5" customHeight="1">
      <c r="A366" s="23"/>
      <c r="B366" s="23"/>
      <c r="C366" s="7"/>
      <c r="D366" s="7"/>
      <c r="E366" s="7"/>
      <c r="F366" s="7"/>
      <c r="G366" s="7"/>
      <c r="H366" s="7"/>
      <c r="I366" s="7"/>
      <c r="J366" s="7"/>
      <c r="K366" s="7"/>
      <c r="L366" s="7"/>
      <c r="M366" s="7"/>
      <c r="N366" s="7"/>
      <c r="O366" s="7"/>
      <c r="P366" s="7"/>
      <c r="Q366" s="7"/>
      <c r="R366" s="7"/>
      <c r="S366" s="7"/>
      <c r="T366" s="7"/>
      <c r="U366" s="7"/>
      <c r="V366" s="7"/>
      <c r="W366" s="7"/>
      <c r="X366" s="7"/>
      <c r="Y366" s="7"/>
    </row>
    <row r="367" spans="1:25" ht="19.5" customHeight="1">
      <c r="A367" s="23"/>
      <c r="B367" s="23"/>
      <c r="C367" s="7"/>
      <c r="D367" s="7"/>
      <c r="E367" s="7"/>
      <c r="F367" s="7"/>
      <c r="G367" s="7"/>
      <c r="H367" s="7"/>
      <c r="I367" s="7"/>
      <c r="J367" s="7"/>
      <c r="K367" s="7"/>
      <c r="L367" s="7"/>
      <c r="M367" s="7"/>
      <c r="N367" s="7"/>
      <c r="O367" s="7"/>
      <c r="P367" s="7"/>
      <c r="Q367" s="7"/>
      <c r="R367" s="7"/>
      <c r="S367" s="7"/>
      <c r="T367" s="7"/>
      <c r="U367" s="7"/>
      <c r="V367" s="7"/>
      <c r="W367" s="7"/>
      <c r="X367" s="7"/>
      <c r="Y367" s="7"/>
    </row>
    <row r="368" spans="1:25" ht="19.5" customHeight="1">
      <c r="A368" s="23"/>
      <c r="B368" s="23"/>
      <c r="C368" s="7"/>
      <c r="D368" s="7"/>
      <c r="E368" s="7"/>
      <c r="F368" s="7"/>
      <c r="G368" s="7"/>
      <c r="H368" s="7"/>
      <c r="I368" s="7"/>
      <c r="J368" s="7"/>
      <c r="K368" s="7"/>
      <c r="L368" s="7"/>
      <c r="M368" s="7"/>
      <c r="N368" s="7"/>
      <c r="O368" s="7"/>
      <c r="P368" s="7"/>
      <c r="Q368" s="7"/>
      <c r="R368" s="7"/>
      <c r="S368" s="7"/>
      <c r="T368" s="7"/>
      <c r="U368" s="7"/>
      <c r="V368" s="7"/>
      <c r="W368" s="7"/>
      <c r="X368" s="7"/>
      <c r="Y368" s="7"/>
    </row>
    <row r="369" spans="1:25" ht="19.5" customHeight="1">
      <c r="A369" s="23"/>
      <c r="B369" s="23"/>
      <c r="C369" s="7"/>
      <c r="D369" s="7"/>
      <c r="E369" s="7"/>
      <c r="F369" s="7"/>
      <c r="G369" s="7"/>
      <c r="H369" s="7"/>
      <c r="I369" s="7"/>
      <c r="J369" s="7"/>
      <c r="K369" s="7"/>
      <c r="L369" s="7"/>
      <c r="M369" s="7"/>
      <c r="N369" s="7"/>
      <c r="O369" s="7"/>
      <c r="P369" s="7"/>
      <c r="Q369" s="7"/>
      <c r="R369" s="7"/>
      <c r="S369" s="7"/>
      <c r="T369" s="7"/>
      <c r="U369" s="7"/>
      <c r="V369" s="7"/>
      <c r="W369" s="7"/>
      <c r="X369" s="7"/>
      <c r="Y369" s="7"/>
    </row>
    <row r="370" spans="1:25" ht="19.5" customHeight="1">
      <c r="A370" s="23"/>
      <c r="B370" s="23"/>
      <c r="C370" s="7"/>
      <c r="D370" s="7"/>
      <c r="E370" s="7"/>
      <c r="F370" s="7"/>
      <c r="G370" s="7"/>
      <c r="H370" s="7"/>
      <c r="I370" s="7"/>
      <c r="J370" s="7"/>
      <c r="K370" s="7"/>
      <c r="L370" s="7"/>
      <c r="M370" s="7"/>
      <c r="N370" s="7"/>
      <c r="O370" s="7"/>
      <c r="P370" s="7"/>
      <c r="Q370" s="7"/>
      <c r="R370" s="7"/>
      <c r="S370" s="7"/>
      <c r="T370" s="7"/>
      <c r="U370" s="7"/>
      <c r="V370" s="7"/>
      <c r="W370" s="7"/>
      <c r="X370" s="7"/>
      <c r="Y370" s="7"/>
    </row>
    <row r="371" spans="1:25" ht="19.5" customHeight="1">
      <c r="A371" s="23"/>
      <c r="B371" s="23"/>
      <c r="C371" s="7"/>
      <c r="D371" s="7"/>
      <c r="E371" s="7"/>
      <c r="F371" s="7"/>
      <c r="G371" s="7"/>
      <c r="H371" s="7"/>
      <c r="I371" s="7"/>
      <c r="J371" s="7"/>
      <c r="K371" s="7"/>
      <c r="L371" s="7"/>
      <c r="M371" s="7"/>
      <c r="N371" s="7"/>
      <c r="O371" s="7"/>
      <c r="P371" s="7"/>
      <c r="Q371" s="7"/>
      <c r="R371" s="7"/>
      <c r="S371" s="7"/>
      <c r="T371" s="7"/>
      <c r="U371" s="7"/>
      <c r="V371" s="7"/>
      <c r="W371" s="7"/>
      <c r="X371" s="7"/>
      <c r="Y371" s="7"/>
    </row>
    <row r="372" spans="1:25" ht="19.5" customHeight="1">
      <c r="A372" s="23"/>
      <c r="B372" s="23"/>
      <c r="C372" s="7"/>
      <c r="D372" s="7"/>
      <c r="E372" s="7"/>
      <c r="F372" s="7"/>
      <c r="G372" s="7"/>
      <c r="H372" s="7"/>
      <c r="I372" s="7"/>
      <c r="J372" s="7"/>
      <c r="K372" s="7"/>
      <c r="L372" s="7"/>
      <c r="M372" s="7"/>
      <c r="N372" s="7"/>
      <c r="O372" s="7"/>
      <c r="P372" s="7"/>
      <c r="Q372" s="7"/>
      <c r="R372" s="7"/>
      <c r="S372" s="7"/>
      <c r="T372" s="7"/>
      <c r="U372" s="7"/>
      <c r="V372" s="7"/>
      <c r="W372" s="7"/>
      <c r="X372" s="7"/>
      <c r="Y372" s="7"/>
    </row>
    <row r="373" spans="1:25" ht="19.5" customHeight="1">
      <c r="A373" s="23"/>
      <c r="B373" s="23"/>
      <c r="C373" s="7"/>
      <c r="D373" s="7"/>
      <c r="E373" s="7"/>
      <c r="F373" s="7"/>
      <c r="G373" s="7"/>
      <c r="H373" s="7"/>
      <c r="I373" s="7"/>
      <c r="J373" s="7"/>
      <c r="K373" s="7"/>
      <c r="L373" s="7"/>
      <c r="M373" s="7"/>
      <c r="N373" s="7"/>
      <c r="O373" s="7"/>
      <c r="P373" s="7"/>
      <c r="Q373" s="7"/>
      <c r="R373" s="7"/>
      <c r="S373" s="7"/>
      <c r="T373" s="7"/>
      <c r="U373" s="7"/>
      <c r="V373" s="7"/>
      <c r="W373" s="7"/>
      <c r="X373" s="7"/>
      <c r="Y373" s="7"/>
    </row>
    <row r="374" spans="1:25" ht="19.5" customHeight="1">
      <c r="A374" s="23"/>
      <c r="B374" s="23"/>
      <c r="C374" s="7"/>
      <c r="D374" s="7"/>
      <c r="E374" s="7"/>
      <c r="F374" s="7"/>
      <c r="G374" s="7"/>
      <c r="H374" s="7"/>
      <c r="I374" s="7"/>
      <c r="J374" s="7"/>
      <c r="K374" s="7"/>
      <c r="L374" s="7"/>
      <c r="M374" s="7"/>
      <c r="N374" s="7"/>
      <c r="O374" s="7"/>
      <c r="P374" s="7"/>
      <c r="Q374" s="7"/>
      <c r="R374" s="7"/>
      <c r="S374" s="7"/>
      <c r="T374" s="7"/>
      <c r="U374" s="7"/>
      <c r="V374" s="7"/>
      <c r="W374" s="7"/>
      <c r="X374" s="7"/>
      <c r="Y374" s="7"/>
    </row>
    <row r="375" spans="1:25" ht="19.5" customHeight="1">
      <c r="A375" s="23"/>
      <c r="B375" s="23"/>
      <c r="C375" s="7"/>
      <c r="D375" s="7"/>
      <c r="E375" s="7"/>
      <c r="F375" s="7"/>
      <c r="G375" s="7"/>
      <c r="H375" s="7"/>
      <c r="I375" s="7"/>
      <c r="J375" s="7"/>
      <c r="K375" s="7"/>
      <c r="L375" s="7"/>
      <c r="M375" s="7"/>
      <c r="N375" s="7"/>
      <c r="O375" s="7"/>
      <c r="P375" s="7"/>
      <c r="Q375" s="7"/>
      <c r="R375" s="7"/>
      <c r="S375" s="7"/>
      <c r="T375" s="7"/>
      <c r="U375" s="7"/>
      <c r="V375" s="7"/>
      <c r="W375" s="7"/>
      <c r="X375" s="7"/>
      <c r="Y375" s="7"/>
    </row>
    <row r="376" spans="1:25" ht="19.5" customHeight="1">
      <c r="A376" s="23"/>
      <c r="B376" s="23"/>
      <c r="C376" s="7"/>
      <c r="D376" s="7"/>
      <c r="E376" s="7"/>
      <c r="F376" s="7"/>
      <c r="G376" s="7"/>
      <c r="H376" s="7"/>
      <c r="I376" s="7"/>
      <c r="J376" s="7"/>
      <c r="K376" s="7"/>
      <c r="L376" s="7"/>
      <c r="M376" s="7"/>
      <c r="N376" s="7"/>
      <c r="O376" s="7"/>
      <c r="P376" s="7"/>
      <c r="Q376" s="7"/>
      <c r="R376" s="7"/>
      <c r="S376" s="7"/>
      <c r="T376" s="7"/>
      <c r="U376" s="7"/>
      <c r="V376" s="7"/>
      <c r="W376" s="7"/>
      <c r="X376" s="7"/>
      <c r="Y376" s="7"/>
    </row>
    <row r="377" spans="1:25" ht="19.5" customHeight="1">
      <c r="A377" s="23"/>
      <c r="B377" s="23"/>
      <c r="C377" s="7"/>
      <c r="D377" s="7"/>
      <c r="E377" s="7"/>
      <c r="F377" s="7"/>
      <c r="G377" s="7"/>
      <c r="H377" s="7"/>
      <c r="I377" s="7"/>
      <c r="J377" s="7"/>
      <c r="K377" s="7"/>
      <c r="L377" s="7"/>
      <c r="M377" s="7"/>
      <c r="N377" s="7"/>
      <c r="O377" s="7"/>
      <c r="P377" s="7"/>
      <c r="Q377" s="7"/>
      <c r="R377" s="7"/>
      <c r="S377" s="7"/>
      <c r="T377" s="7"/>
      <c r="U377" s="7"/>
      <c r="V377" s="7"/>
      <c r="W377" s="7"/>
      <c r="X377" s="7"/>
      <c r="Y377" s="7"/>
    </row>
    <row r="378" spans="1:25" ht="19.5" customHeight="1">
      <c r="A378" s="23"/>
      <c r="B378" s="23"/>
      <c r="C378" s="7"/>
      <c r="D378" s="7"/>
      <c r="E378" s="7"/>
      <c r="F378" s="7"/>
      <c r="G378" s="7"/>
      <c r="H378" s="7"/>
      <c r="I378" s="7"/>
      <c r="J378" s="7"/>
      <c r="K378" s="7"/>
      <c r="L378" s="7"/>
      <c r="M378" s="7"/>
      <c r="N378" s="7"/>
      <c r="O378" s="7"/>
      <c r="P378" s="7"/>
      <c r="Q378" s="7"/>
      <c r="R378" s="7"/>
      <c r="S378" s="7"/>
      <c r="T378" s="7"/>
      <c r="U378" s="7"/>
      <c r="V378" s="7"/>
      <c r="W378" s="7"/>
      <c r="X378" s="7"/>
      <c r="Y378" s="7"/>
    </row>
    <row r="379" spans="1:25" ht="19.5" customHeight="1">
      <c r="A379" s="23"/>
      <c r="B379" s="23"/>
      <c r="C379" s="7"/>
      <c r="D379" s="7"/>
      <c r="E379" s="7"/>
      <c r="F379" s="7"/>
      <c r="G379" s="7"/>
      <c r="H379" s="7"/>
      <c r="I379" s="7"/>
      <c r="J379" s="7"/>
      <c r="K379" s="7"/>
      <c r="L379" s="7"/>
      <c r="M379" s="7"/>
      <c r="N379" s="7"/>
      <c r="O379" s="7"/>
      <c r="P379" s="7"/>
      <c r="Q379" s="7"/>
      <c r="R379" s="7"/>
      <c r="S379" s="7"/>
      <c r="T379" s="7"/>
      <c r="U379" s="7"/>
      <c r="V379" s="7"/>
      <c r="W379" s="7"/>
      <c r="X379" s="7"/>
      <c r="Y379" s="7"/>
    </row>
    <row r="380" spans="1:25" ht="19.5" customHeight="1">
      <c r="A380" s="23"/>
      <c r="B380" s="23"/>
      <c r="C380" s="7"/>
      <c r="D380" s="7"/>
      <c r="E380" s="7"/>
      <c r="F380" s="7"/>
      <c r="G380" s="7"/>
      <c r="H380" s="7"/>
      <c r="I380" s="7"/>
      <c r="J380" s="7"/>
      <c r="K380" s="7"/>
      <c r="L380" s="7"/>
      <c r="M380" s="7"/>
      <c r="N380" s="7"/>
      <c r="O380" s="7"/>
      <c r="P380" s="7"/>
      <c r="Q380" s="7"/>
      <c r="R380" s="7"/>
      <c r="S380" s="7"/>
      <c r="T380" s="7"/>
      <c r="U380" s="7"/>
      <c r="V380" s="7"/>
      <c r="W380" s="7"/>
      <c r="X380" s="7"/>
      <c r="Y380" s="7"/>
    </row>
    <row r="381" spans="1:25" ht="19.5" customHeight="1">
      <c r="A381" s="23"/>
      <c r="B381" s="23"/>
      <c r="C381" s="7"/>
      <c r="D381" s="7"/>
      <c r="E381" s="7"/>
      <c r="F381" s="7"/>
      <c r="G381" s="7"/>
      <c r="H381" s="7"/>
      <c r="I381" s="7"/>
      <c r="J381" s="7"/>
      <c r="K381" s="7"/>
      <c r="L381" s="7"/>
      <c r="M381" s="7"/>
      <c r="N381" s="7"/>
      <c r="O381" s="7"/>
      <c r="P381" s="7"/>
      <c r="Q381" s="7"/>
      <c r="R381" s="7"/>
      <c r="S381" s="7"/>
      <c r="T381" s="7"/>
      <c r="U381" s="7"/>
      <c r="V381" s="7"/>
      <c r="W381" s="7"/>
      <c r="X381" s="7"/>
      <c r="Y381" s="7"/>
    </row>
    <row r="382" spans="1:25" ht="19.5" customHeight="1">
      <c r="A382" s="23"/>
      <c r="B382" s="23"/>
      <c r="C382" s="7"/>
      <c r="D382" s="7"/>
      <c r="E382" s="7"/>
      <c r="F382" s="7"/>
      <c r="G382" s="7"/>
      <c r="H382" s="7"/>
      <c r="I382" s="7"/>
      <c r="J382" s="7"/>
      <c r="K382" s="7"/>
      <c r="L382" s="7"/>
      <c r="M382" s="7"/>
      <c r="N382" s="7"/>
      <c r="O382" s="7"/>
      <c r="P382" s="7"/>
      <c r="Q382" s="7"/>
      <c r="R382" s="7"/>
      <c r="S382" s="7"/>
      <c r="T382" s="7"/>
      <c r="U382" s="7"/>
      <c r="V382" s="7"/>
      <c r="W382" s="7"/>
      <c r="X382" s="7"/>
      <c r="Y382" s="7"/>
    </row>
    <row r="383" spans="1:25" ht="19.5" customHeight="1">
      <c r="A383" s="23"/>
      <c r="B383" s="23"/>
      <c r="C383" s="7"/>
      <c r="D383" s="7"/>
      <c r="E383" s="7"/>
      <c r="F383" s="7"/>
      <c r="G383" s="7"/>
      <c r="H383" s="7"/>
      <c r="I383" s="7"/>
      <c r="J383" s="7"/>
      <c r="K383" s="7"/>
      <c r="L383" s="7"/>
      <c r="M383" s="7"/>
      <c r="N383" s="7"/>
      <c r="O383" s="7"/>
      <c r="P383" s="7"/>
      <c r="Q383" s="7"/>
      <c r="R383" s="7"/>
      <c r="S383" s="7"/>
      <c r="T383" s="7"/>
      <c r="U383" s="7"/>
      <c r="V383" s="7"/>
      <c r="W383" s="7"/>
      <c r="X383" s="7"/>
      <c r="Y383" s="7"/>
    </row>
    <row r="384" spans="1:25" ht="19.5" customHeight="1">
      <c r="A384" s="23"/>
      <c r="B384" s="23"/>
      <c r="C384" s="7"/>
      <c r="D384" s="7"/>
      <c r="E384" s="7"/>
      <c r="F384" s="7"/>
      <c r="G384" s="7"/>
      <c r="H384" s="7"/>
      <c r="I384" s="7"/>
      <c r="J384" s="7"/>
      <c r="K384" s="7"/>
      <c r="L384" s="7"/>
      <c r="M384" s="7"/>
      <c r="N384" s="7"/>
      <c r="O384" s="7"/>
      <c r="P384" s="7"/>
      <c r="Q384" s="7"/>
      <c r="R384" s="7"/>
      <c r="S384" s="7"/>
      <c r="T384" s="7"/>
      <c r="U384" s="7"/>
      <c r="V384" s="7"/>
      <c r="W384" s="7"/>
      <c r="X384" s="7"/>
      <c r="Y384" s="7"/>
    </row>
    <row r="385" spans="1:25" ht="19.5" customHeight="1">
      <c r="A385" s="23"/>
      <c r="B385" s="23"/>
      <c r="C385" s="7"/>
      <c r="D385" s="7"/>
      <c r="E385" s="7"/>
      <c r="F385" s="7"/>
      <c r="G385" s="7"/>
      <c r="H385" s="7"/>
      <c r="I385" s="7"/>
      <c r="J385" s="7"/>
      <c r="K385" s="7"/>
      <c r="L385" s="7"/>
      <c r="M385" s="7"/>
      <c r="N385" s="7"/>
      <c r="O385" s="7"/>
      <c r="P385" s="7"/>
      <c r="Q385" s="7"/>
      <c r="R385" s="7"/>
      <c r="S385" s="7"/>
      <c r="T385" s="7"/>
      <c r="U385" s="7"/>
      <c r="V385" s="7"/>
      <c r="W385" s="7"/>
      <c r="X385" s="7"/>
      <c r="Y385" s="7"/>
    </row>
    <row r="386" spans="1:25" ht="19.5" customHeight="1">
      <c r="A386" s="23"/>
      <c r="B386" s="23"/>
      <c r="C386" s="7"/>
      <c r="D386" s="7"/>
      <c r="E386" s="7"/>
      <c r="F386" s="7"/>
      <c r="G386" s="7"/>
      <c r="H386" s="7"/>
      <c r="I386" s="7"/>
      <c r="J386" s="7"/>
      <c r="K386" s="7"/>
      <c r="L386" s="7"/>
      <c r="M386" s="7"/>
      <c r="N386" s="7"/>
      <c r="O386" s="7"/>
      <c r="P386" s="7"/>
      <c r="Q386" s="7"/>
      <c r="R386" s="7"/>
      <c r="S386" s="7"/>
      <c r="T386" s="7"/>
      <c r="U386" s="7"/>
      <c r="V386" s="7"/>
      <c r="W386" s="7"/>
      <c r="X386" s="7"/>
      <c r="Y386" s="7"/>
    </row>
    <row r="387" spans="1:25" ht="19.5" customHeight="1">
      <c r="A387" s="23"/>
      <c r="B387" s="23"/>
      <c r="C387" s="7"/>
      <c r="D387" s="7"/>
      <c r="E387" s="7"/>
      <c r="F387" s="7"/>
      <c r="G387" s="7"/>
      <c r="H387" s="7"/>
      <c r="I387" s="7"/>
      <c r="J387" s="7"/>
      <c r="K387" s="7"/>
      <c r="L387" s="7"/>
      <c r="M387" s="7"/>
      <c r="N387" s="7"/>
      <c r="O387" s="7"/>
      <c r="P387" s="7"/>
      <c r="Q387" s="7"/>
      <c r="R387" s="7"/>
      <c r="S387" s="7"/>
      <c r="T387" s="7"/>
      <c r="U387" s="7"/>
      <c r="V387" s="7"/>
      <c r="W387" s="7"/>
      <c r="X387" s="7"/>
      <c r="Y387" s="7"/>
    </row>
    <row r="388" spans="1:25" ht="19.5" customHeight="1">
      <c r="A388" s="23"/>
      <c r="B388" s="23"/>
      <c r="C388" s="7"/>
      <c r="D388" s="7"/>
      <c r="E388" s="7"/>
      <c r="F388" s="7"/>
      <c r="G388" s="7"/>
      <c r="H388" s="7"/>
      <c r="I388" s="7"/>
      <c r="J388" s="7"/>
      <c r="K388" s="7"/>
      <c r="L388" s="7"/>
      <c r="M388" s="7"/>
      <c r="N388" s="7"/>
      <c r="O388" s="7"/>
      <c r="P388" s="7"/>
      <c r="Q388" s="7"/>
      <c r="R388" s="7"/>
      <c r="S388" s="7"/>
      <c r="T388" s="7"/>
      <c r="U388" s="7"/>
      <c r="V388" s="7"/>
      <c r="W388" s="7"/>
      <c r="X388" s="7"/>
      <c r="Y388" s="7"/>
    </row>
    <row r="389" spans="1:25" ht="19.5" customHeight="1">
      <c r="A389" s="23"/>
      <c r="B389" s="23"/>
      <c r="C389" s="7"/>
      <c r="D389" s="7"/>
      <c r="E389" s="7"/>
      <c r="F389" s="7"/>
      <c r="G389" s="7"/>
      <c r="H389" s="7"/>
      <c r="I389" s="7"/>
      <c r="J389" s="7"/>
      <c r="K389" s="7"/>
      <c r="L389" s="7"/>
      <c r="M389" s="7"/>
      <c r="N389" s="7"/>
      <c r="O389" s="7"/>
      <c r="P389" s="7"/>
      <c r="Q389" s="7"/>
      <c r="R389" s="7"/>
      <c r="S389" s="7"/>
      <c r="T389" s="7"/>
      <c r="U389" s="7"/>
      <c r="V389" s="7"/>
      <c r="W389" s="7"/>
      <c r="X389" s="7"/>
      <c r="Y389" s="7"/>
    </row>
    <row r="390" spans="1:25" ht="19.5" customHeight="1">
      <c r="A390" s="23"/>
      <c r="B390" s="23"/>
      <c r="C390" s="7"/>
      <c r="D390" s="7"/>
      <c r="E390" s="7"/>
      <c r="F390" s="7"/>
      <c r="G390" s="7"/>
      <c r="H390" s="7"/>
      <c r="I390" s="7"/>
      <c r="J390" s="7"/>
      <c r="K390" s="7"/>
      <c r="L390" s="7"/>
      <c r="M390" s="7"/>
      <c r="N390" s="7"/>
      <c r="O390" s="7"/>
      <c r="P390" s="7"/>
      <c r="Q390" s="7"/>
      <c r="R390" s="7"/>
      <c r="S390" s="7"/>
      <c r="T390" s="7"/>
      <c r="U390" s="7"/>
      <c r="V390" s="7"/>
      <c r="W390" s="7"/>
      <c r="X390" s="7"/>
      <c r="Y390" s="7"/>
    </row>
    <row r="391" spans="1:25" ht="19.5" customHeight="1">
      <c r="A391" s="23"/>
      <c r="B391" s="23"/>
      <c r="C391" s="7"/>
      <c r="D391" s="7"/>
      <c r="E391" s="7"/>
      <c r="F391" s="7"/>
      <c r="G391" s="7"/>
      <c r="H391" s="7"/>
      <c r="I391" s="7"/>
      <c r="J391" s="7"/>
      <c r="K391" s="7"/>
      <c r="L391" s="7"/>
      <c r="M391" s="7"/>
      <c r="N391" s="7"/>
      <c r="O391" s="7"/>
      <c r="P391" s="7"/>
      <c r="Q391" s="7"/>
      <c r="R391" s="7"/>
      <c r="S391" s="7"/>
      <c r="T391" s="7"/>
      <c r="U391" s="7"/>
      <c r="V391" s="7"/>
      <c r="W391" s="7"/>
      <c r="X391" s="7"/>
      <c r="Y391" s="7"/>
    </row>
    <row r="392" spans="1:25" ht="19.5" customHeight="1">
      <c r="A392" s="23"/>
      <c r="B392" s="23"/>
      <c r="C392" s="7"/>
      <c r="D392" s="7"/>
      <c r="E392" s="7"/>
      <c r="F392" s="7"/>
      <c r="G392" s="7"/>
      <c r="H392" s="7"/>
      <c r="I392" s="7"/>
      <c r="J392" s="7"/>
      <c r="K392" s="7"/>
      <c r="L392" s="7"/>
      <c r="M392" s="7"/>
      <c r="N392" s="7"/>
      <c r="O392" s="7"/>
      <c r="P392" s="7"/>
      <c r="Q392" s="7"/>
      <c r="R392" s="7"/>
      <c r="S392" s="7"/>
      <c r="T392" s="7"/>
      <c r="U392" s="7"/>
      <c r="V392" s="7"/>
      <c r="W392" s="7"/>
      <c r="X392" s="7"/>
      <c r="Y392" s="7"/>
    </row>
    <row r="393" spans="1:25" ht="19.5" customHeight="1">
      <c r="A393" s="23"/>
      <c r="B393" s="23"/>
      <c r="C393" s="7"/>
      <c r="D393" s="7"/>
      <c r="E393" s="7"/>
      <c r="F393" s="7"/>
      <c r="G393" s="7"/>
      <c r="H393" s="7"/>
      <c r="I393" s="7"/>
      <c r="J393" s="7"/>
      <c r="K393" s="7"/>
      <c r="L393" s="7"/>
      <c r="M393" s="7"/>
      <c r="N393" s="7"/>
      <c r="O393" s="7"/>
      <c r="P393" s="7"/>
      <c r="Q393" s="7"/>
      <c r="R393" s="7"/>
      <c r="S393" s="7"/>
      <c r="T393" s="7"/>
      <c r="U393" s="7"/>
      <c r="V393" s="7"/>
      <c r="W393" s="7"/>
      <c r="X393" s="7"/>
      <c r="Y393" s="7"/>
    </row>
    <row r="394" spans="1:25" ht="19.5" customHeight="1">
      <c r="A394" s="23"/>
      <c r="B394" s="23"/>
      <c r="C394" s="7"/>
      <c r="D394" s="7"/>
      <c r="E394" s="7"/>
      <c r="F394" s="7"/>
      <c r="G394" s="7"/>
      <c r="H394" s="7"/>
      <c r="I394" s="7"/>
      <c r="J394" s="7"/>
      <c r="K394" s="7"/>
      <c r="L394" s="7"/>
      <c r="M394" s="7"/>
      <c r="N394" s="7"/>
      <c r="O394" s="7"/>
      <c r="P394" s="7"/>
      <c r="Q394" s="7"/>
      <c r="R394" s="7"/>
      <c r="S394" s="7"/>
      <c r="T394" s="7"/>
      <c r="U394" s="7"/>
      <c r="V394" s="7"/>
      <c r="W394" s="7"/>
      <c r="X394" s="7"/>
      <c r="Y394" s="7"/>
    </row>
    <row r="395" spans="1:25" ht="19.5" customHeight="1">
      <c r="A395" s="23"/>
      <c r="B395" s="23"/>
      <c r="C395" s="7"/>
      <c r="D395" s="7"/>
      <c r="E395" s="7"/>
      <c r="F395" s="7"/>
      <c r="G395" s="7"/>
      <c r="H395" s="7"/>
      <c r="I395" s="7"/>
      <c r="J395" s="7"/>
      <c r="K395" s="7"/>
      <c r="L395" s="7"/>
      <c r="M395" s="7"/>
      <c r="N395" s="7"/>
      <c r="O395" s="7"/>
      <c r="P395" s="7"/>
      <c r="Q395" s="7"/>
      <c r="R395" s="7"/>
      <c r="S395" s="7"/>
      <c r="T395" s="7"/>
      <c r="U395" s="7"/>
      <c r="V395" s="7"/>
      <c r="W395" s="7"/>
      <c r="X395" s="7"/>
      <c r="Y395" s="7"/>
    </row>
    <row r="396" spans="1:25" ht="19.5" customHeight="1">
      <c r="A396" s="23"/>
      <c r="B396" s="23"/>
      <c r="C396" s="7"/>
      <c r="D396" s="7"/>
      <c r="E396" s="7"/>
      <c r="F396" s="7"/>
      <c r="G396" s="7"/>
      <c r="H396" s="7"/>
      <c r="I396" s="7"/>
      <c r="J396" s="7"/>
      <c r="K396" s="7"/>
      <c r="L396" s="7"/>
      <c r="M396" s="7"/>
      <c r="N396" s="7"/>
      <c r="O396" s="7"/>
      <c r="P396" s="7"/>
      <c r="Q396" s="7"/>
      <c r="R396" s="7"/>
      <c r="S396" s="7"/>
      <c r="T396" s="7"/>
      <c r="U396" s="7"/>
      <c r="V396" s="7"/>
      <c r="W396" s="7"/>
      <c r="X396" s="7"/>
      <c r="Y396" s="7"/>
    </row>
    <row r="397" spans="1:25" ht="19.5" customHeight="1">
      <c r="A397" s="23"/>
      <c r="B397" s="23"/>
      <c r="C397" s="7"/>
      <c r="D397" s="7"/>
      <c r="E397" s="7"/>
      <c r="F397" s="7"/>
      <c r="G397" s="7"/>
      <c r="H397" s="7"/>
      <c r="I397" s="7"/>
      <c r="J397" s="7"/>
      <c r="K397" s="7"/>
      <c r="L397" s="7"/>
      <c r="M397" s="7"/>
      <c r="N397" s="7"/>
      <c r="O397" s="7"/>
      <c r="P397" s="7"/>
      <c r="Q397" s="7"/>
      <c r="R397" s="7"/>
      <c r="S397" s="7"/>
      <c r="T397" s="7"/>
      <c r="U397" s="7"/>
      <c r="V397" s="7"/>
      <c r="W397" s="7"/>
      <c r="X397" s="7"/>
      <c r="Y397" s="7"/>
    </row>
    <row r="398" spans="1:25" ht="19.5" customHeight="1">
      <c r="A398" s="23"/>
      <c r="B398" s="23"/>
      <c r="C398" s="7"/>
      <c r="D398" s="7"/>
      <c r="E398" s="7"/>
      <c r="F398" s="7"/>
      <c r="G398" s="7"/>
      <c r="H398" s="7"/>
      <c r="I398" s="7"/>
      <c r="J398" s="7"/>
      <c r="K398" s="7"/>
      <c r="L398" s="7"/>
      <c r="M398" s="7"/>
      <c r="N398" s="7"/>
      <c r="O398" s="7"/>
      <c r="P398" s="7"/>
      <c r="Q398" s="7"/>
      <c r="R398" s="7"/>
      <c r="S398" s="7"/>
      <c r="T398" s="7"/>
      <c r="U398" s="7"/>
      <c r="V398" s="7"/>
      <c r="W398" s="7"/>
      <c r="X398" s="7"/>
      <c r="Y398" s="7"/>
    </row>
    <row r="399" spans="1:25" ht="19.5" customHeight="1">
      <c r="A399" s="23"/>
      <c r="B399" s="23"/>
      <c r="C399" s="7"/>
      <c r="D399" s="7"/>
      <c r="E399" s="7"/>
      <c r="F399" s="7"/>
      <c r="G399" s="7"/>
      <c r="H399" s="7"/>
      <c r="I399" s="7"/>
      <c r="J399" s="7"/>
      <c r="K399" s="7"/>
      <c r="L399" s="7"/>
      <c r="M399" s="7"/>
      <c r="N399" s="7"/>
      <c r="O399" s="7"/>
      <c r="P399" s="7"/>
      <c r="Q399" s="7"/>
      <c r="R399" s="7"/>
      <c r="S399" s="7"/>
      <c r="T399" s="7"/>
      <c r="U399" s="7"/>
      <c r="V399" s="7"/>
      <c r="W399" s="7"/>
      <c r="X399" s="7"/>
      <c r="Y399" s="7"/>
    </row>
    <row r="400" spans="1:25" ht="19.5" customHeight="1">
      <c r="A400" s="23"/>
      <c r="B400" s="23"/>
      <c r="C400" s="7"/>
      <c r="D400" s="7"/>
      <c r="E400" s="7"/>
      <c r="F400" s="7"/>
      <c r="G400" s="7"/>
      <c r="H400" s="7"/>
      <c r="I400" s="7"/>
      <c r="J400" s="7"/>
      <c r="K400" s="7"/>
      <c r="L400" s="7"/>
      <c r="M400" s="7"/>
      <c r="N400" s="7"/>
      <c r="O400" s="7"/>
      <c r="P400" s="7"/>
      <c r="Q400" s="7"/>
      <c r="R400" s="7"/>
      <c r="S400" s="7"/>
      <c r="T400" s="7"/>
      <c r="U400" s="7"/>
      <c r="V400" s="7"/>
      <c r="W400" s="7"/>
      <c r="X400" s="7"/>
      <c r="Y400" s="7"/>
    </row>
    <row r="401" spans="1:25" ht="19.5" customHeight="1">
      <c r="A401" s="23"/>
      <c r="B401" s="23"/>
      <c r="C401" s="7"/>
      <c r="D401" s="7"/>
      <c r="E401" s="7"/>
      <c r="F401" s="7"/>
      <c r="G401" s="7"/>
      <c r="H401" s="7"/>
      <c r="I401" s="7"/>
      <c r="J401" s="7"/>
      <c r="K401" s="7"/>
      <c r="L401" s="7"/>
      <c r="M401" s="7"/>
      <c r="N401" s="7"/>
      <c r="O401" s="7"/>
      <c r="P401" s="7"/>
      <c r="Q401" s="7"/>
      <c r="R401" s="7"/>
      <c r="S401" s="7"/>
      <c r="T401" s="7"/>
      <c r="U401" s="7"/>
      <c r="V401" s="7"/>
      <c r="W401" s="7"/>
      <c r="X401" s="7"/>
      <c r="Y401" s="7"/>
    </row>
    <row r="402" spans="1:25" ht="19.5" customHeight="1">
      <c r="A402" s="23"/>
      <c r="B402" s="23"/>
      <c r="C402" s="7"/>
      <c r="D402" s="7"/>
      <c r="E402" s="7"/>
      <c r="F402" s="7"/>
      <c r="G402" s="7"/>
      <c r="H402" s="7"/>
      <c r="I402" s="7"/>
      <c r="J402" s="7"/>
      <c r="K402" s="7"/>
      <c r="L402" s="7"/>
      <c r="M402" s="7"/>
      <c r="N402" s="7"/>
      <c r="O402" s="7"/>
      <c r="P402" s="7"/>
      <c r="Q402" s="7"/>
      <c r="R402" s="7"/>
      <c r="S402" s="7"/>
      <c r="T402" s="7"/>
      <c r="U402" s="7"/>
      <c r="V402" s="7"/>
      <c r="W402" s="7"/>
      <c r="X402" s="7"/>
      <c r="Y402" s="7"/>
    </row>
    <row r="403" spans="1:25" ht="19.5" customHeight="1">
      <c r="A403" s="23"/>
      <c r="B403" s="23"/>
      <c r="C403" s="7"/>
      <c r="D403" s="7"/>
      <c r="E403" s="7"/>
      <c r="F403" s="7"/>
      <c r="G403" s="7"/>
      <c r="H403" s="7"/>
      <c r="I403" s="7"/>
      <c r="J403" s="7"/>
      <c r="K403" s="7"/>
      <c r="L403" s="7"/>
      <c r="M403" s="7"/>
      <c r="N403" s="7"/>
      <c r="O403" s="7"/>
      <c r="P403" s="7"/>
      <c r="Q403" s="7"/>
      <c r="R403" s="7"/>
      <c r="S403" s="7"/>
      <c r="T403" s="7"/>
      <c r="U403" s="7"/>
      <c r="V403" s="7"/>
      <c r="W403" s="7"/>
      <c r="X403" s="7"/>
      <c r="Y403" s="7"/>
    </row>
    <row r="404" spans="1:25" ht="19.5" customHeight="1">
      <c r="A404" s="23"/>
      <c r="B404" s="23"/>
      <c r="C404" s="7"/>
      <c r="D404" s="7"/>
      <c r="E404" s="7"/>
      <c r="F404" s="7"/>
      <c r="G404" s="7"/>
      <c r="H404" s="7"/>
      <c r="I404" s="7"/>
      <c r="J404" s="7"/>
      <c r="K404" s="7"/>
      <c r="L404" s="7"/>
      <c r="M404" s="7"/>
      <c r="N404" s="7"/>
      <c r="O404" s="7"/>
      <c r="P404" s="7"/>
      <c r="Q404" s="7"/>
      <c r="R404" s="7"/>
      <c r="S404" s="7"/>
      <c r="T404" s="7"/>
      <c r="U404" s="7"/>
      <c r="V404" s="7"/>
      <c r="W404" s="7"/>
      <c r="X404" s="7"/>
      <c r="Y404" s="7"/>
    </row>
    <row r="405" spans="1:25" ht="19.5" customHeight="1">
      <c r="A405" s="23"/>
      <c r="B405" s="23"/>
      <c r="C405" s="7"/>
      <c r="D405" s="7"/>
      <c r="E405" s="7"/>
      <c r="F405" s="7"/>
      <c r="G405" s="7"/>
      <c r="H405" s="7"/>
      <c r="I405" s="7"/>
      <c r="J405" s="7"/>
      <c r="K405" s="7"/>
      <c r="L405" s="7"/>
      <c r="M405" s="7"/>
      <c r="N405" s="7"/>
      <c r="O405" s="7"/>
      <c r="P405" s="7"/>
      <c r="Q405" s="7"/>
      <c r="R405" s="7"/>
      <c r="S405" s="7"/>
      <c r="T405" s="7"/>
      <c r="U405" s="7"/>
      <c r="V405" s="7"/>
      <c r="W405" s="7"/>
      <c r="X405" s="7"/>
      <c r="Y405" s="7"/>
    </row>
    <row r="406" spans="1:25" ht="19.5" customHeight="1">
      <c r="A406" s="23"/>
      <c r="B406" s="23"/>
      <c r="C406" s="7"/>
      <c r="D406" s="7"/>
      <c r="E406" s="7"/>
      <c r="F406" s="7"/>
      <c r="G406" s="7"/>
      <c r="H406" s="7"/>
      <c r="I406" s="7"/>
      <c r="J406" s="7"/>
      <c r="K406" s="7"/>
      <c r="L406" s="7"/>
      <c r="M406" s="7"/>
      <c r="N406" s="7"/>
      <c r="O406" s="7"/>
      <c r="P406" s="7"/>
      <c r="Q406" s="7"/>
      <c r="R406" s="7"/>
      <c r="S406" s="7"/>
      <c r="T406" s="7"/>
      <c r="U406" s="7"/>
      <c r="V406" s="7"/>
      <c r="W406" s="7"/>
      <c r="X406" s="7"/>
      <c r="Y406" s="7"/>
    </row>
    <row r="407" spans="1:25" ht="19.5" customHeight="1">
      <c r="A407" s="23"/>
      <c r="B407" s="23"/>
      <c r="C407" s="7"/>
      <c r="D407" s="7"/>
      <c r="E407" s="7"/>
      <c r="F407" s="7"/>
      <c r="G407" s="7"/>
      <c r="H407" s="7"/>
      <c r="I407" s="7"/>
      <c r="J407" s="7"/>
      <c r="K407" s="7"/>
      <c r="L407" s="7"/>
      <c r="M407" s="7"/>
      <c r="N407" s="7"/>
      <c r="O407" s="7"/>
      <c r="P407" s="7"/>
      <c r="Q407" s="7"/>
      <c r="R407" s="7"/>
      <c r="S407" s="7"/>
      <c r="T407" s="7"/>
      <c r="U407" s="7"/>
      <c r="V407" s="7"/>
      <c r="W407" s="7"/>
      <c r="X407" s="7"/>
      <c r="Y407" s="7"/>
    </row>
    <row r="408" spans="1:25" ht="19.5" customHeight="1">
      <c r="A408" s="23"/>
      <c r="B408" s="23"/>
      <c r="C408" s="7"/>
      <c r="D408" s="7"/>
      <c r="E408" s="7"/>
      <c r="F408" s="7"/>
      <c r="G408" s="7"/>
      <c r="H408" s="7"/>
      <c r="I408" s="7"/>
      <c r="J408" s="7"/>
      <c r="K408" s="7"/>
      <c r="L408" s="7"/>
      <c r="M408" s="7"/>
      <c r="N408" s="7"/>
      <c r="O408" s="7"/>
      <c r="P408" s="7"/>
      <c r="Q408" s="7"/>
      <c r="R408" s="7"/>
      <c r="S408" s="7"/>
      <c r="T408" s="7"/>
      <c r="U408" s="7"/>
      <c r="V408" s="7"/>
      <c r="W408" s="7"/>
      <c r="X408" s="7"/>
      <c r="Y408" s="7"/>
    </row>
    <row r="409" spans="1:25" ht="19.5" customHeight="1">
      <c r="A409" s="23"/>
      <c r="B409" s="23"/>
      <c r="C409" s="7"/>
      <c r="D409" s="7"/>
      <c r="E409" s="7"/>
      <c r="F409" s="7"/>
      <c r="G409" s="7"/>
      <c r="H409" s="7"/>
      <c r="I409" s="7"/>
      <c r="J409" s="7"/>
      <c r="K409" s="7"/>
      <c r="L409" s="7"/>
      <c r="M409" s="7"/>
      <c r="N409" s="7"/>
      <c r="O409" s="7"/>
      <c r="P409" s="7"/>
      <c r="Q409" s="7"/>
      <c r="R409" s="7"/>
      <c r="S409" s="7"/>
      <c r="T409" s="7"/>
      <c r="U409" s="7"/>
      <c r="V409" s="7"/>
      <c r="W409" s="7"/>
      <c r="X409" s="7"/>
      <c r="Y409" s="7"/>
    </row>
    <row r="410" spans="1:25" ht="19.5" customHeight="1">
      <c r="A410" s="23"/>
      <c r="B410" s="23"/>
      <c r="C410" s="7"/>
      <c r="D410" s="7"/>
      <c r="E410" s="7"/>
      <c r="F410" s="7"/>
      <c r="G410" s="7"/>
      <c r="H410" s="7"/>
      <c r="I410" s="7"/>
      <c r="J410" s="7"/>
      <c r="K410" s="7"/>
      <c r="L410" s="7"/>
      <c r="M410" s="7"/>
      <c r="N410" s="7"/>
      <c r="O410" s="7"/>
      <c r="P410" s="7"/>
      <c r="Q410" s="7"/>
      <c r="R410" s="7"/>
      <c r="S410" s="7"/>
      <c r="T410" s="7"/>
      <c r="U410" s="7"/>
      <c r="V410" s="7"/>
      <c r="W410" s="7"/>
      <c r="X410" s="7"/>
      <c r="Y410" s="7"/>
    </row>
    <row r="411" spans="1:25" ht="19.5" customHeight="1">
      <c r="A411" s="23"/>
      <c r="B411" s="23"/>
      <c r="C411" s="7"/>
      <c r="D411" s="7"/>
      <c r="E411" s="7"/>
      <c r="F411" s="7"/>
      <c r="G411" s="7"/>
      <c r="H411" s="7"/>
      <c r="I411" s="7"/>
      <c r="J411" s="7"/>
      <c r="K411" s="7"/>
      <c r="L411" s="7"/>
      <c r="M411" s="7"/>
      <c r="N411" s="7"/>
      <c r="O411" s="7"/>
      <c r="P411" s="7"/>
      <c r="Q411" s="7"/>
      <c r="R411" s="7"/>
      <c r="S411" s="7"/>
      <c r="T411" s="7"/>
      <c r="U411" s="7"/>
      <c r="V411" s="7"/>
      <c r="W411" s="7"/>
      <c r="X411" s="7"/>
      <c r="Y411" s="7"/>
    </row>
    <row r="412" spans="1:25" ht="19.5" customHeight="1">
      <c r="A412" s="23"/>
      <c r="B412" s="23"/>
      <c r="C412" s="7"/>
      <c r="D412" s="7"/>
      <c r="E412" s="7"/>
      <c r="F412" s="7"/>
      <c r="G412" s="7"/>
      <c r="H412" s="7"/>
      <c r="I412" s="7"/>
      <c r="J412" s="7"/>
      <c r="K412" s="7"/>
      <c r="L412" s="7"/>
      <c r="M412" s="7"/>
      <c r="N412" s="7"/>
      <c r="O412" s="7"/>
      <c r="P412" s="7"/>
      <c r="Q412" s="7"/>
      <c r="R412" s="7"/>
      <c r="S412" s="7"/>
      <c r="T412" s="7"/>
      <c r="U412" s="7"/>
      <c r="V412" s="7"/>
      <c r="W412" s="7"/>
      <c r="X412" s="7"/>
      <c r="Y412" s="7"/>
    </row>
    <row r="413" spans="1:25" ht="19.5" customHeight="1">
      <c r="A413" s="23"/>
      <c r="B413" s="23"/>
      <c r="C413" s="7"/>
      <c r="D413" s="7"/>
      <c r="E413" s="7"/>
      <c r="F413" s="7"/>
      <c r="G413" s="7"/>
      <c r="H413" s="7"/>
      <c r="I413" s="7"/>
      <c r="J413" s="7"/>
      <c r="K413" s="7"/>
      <c r="L413" s="7"/>
      <c r="M413" s="7"/>
      <c r="N413" s="7"/>
      <c r="O413" s="7"/>
      <c r="P413" s="7"/>
      <c r="Q413" s="7"/>
      <c r="R413" s="7"/>
      <c r="S413" s="7"/>
      <c r="T413" s="7"/>
      <c r="U413" s="7"/>
      <c r="V413" s="7"/>
      <c r="W413" s="7"/>
      <c r="X413" s="7"/>
      <c r="Y413" s="7"/>
    </row>
    <row r="414" spans="1:25" ht="19.5" customHeight="1">
      <c r="A414" s="23"/>
      <c r="B414" s="23"/>
      <c r="C414" s="7"/>
      <c r="D414" s="7"/>
      <c r="E414" s="7"/>
      <c r="F414" s="7"/>
      <c r="G414" s="7"/>
      <c r="H414" s="7"/>
      <c r="I414" s="7"/>
      <c r="J414" s="7"/>
      <c r="K414" s="7"/>
      <c r="L414" s="7"/>
      <c r="M414" s="7"/>
      <c r="N414" s="7"/>
      <c r="O414" s="7"/>
      <c r="P414" s="7"/>
      <c r="Q414" s="7"/>
      <c r="R414" s="7"/>
      <c r="S414" s="7"/>
      <c r="T414" s="7"/>
      <c r="U414" s="7"/>
      <c r="V414" s="7"/>
      <c r="W414" s="7"/>
      <c r="X414" s="7"/>
      <c r="Y414" s="7"/>
    </row>
    <row r="415" spans="1:25" ht="19.5" customHeight="1">
      <c r="A415" s="23"/>
      <c r="B415" s="23"/>
      <c r="C415" s="7"/>
      <c r="D415" s="7"/>
      <c r="E415" s="7"/>
      <c r="F415" s="7"/>
      <c r="G415" s="7"/>
      <c r="H415" s="7"/>
      <c r="I415" s="7"/>
      <c r="J415" s="7"/>
      <c r="K415" s="7"/>
      <c r="L415" s="7"/>
      <c r="M415" s="7"/>
      <c r="N415" s="7"/>
      <c r="O415" s="7"/>
      <c r="P415" s="7"/>
      <c r="Q415" s="7"/>
      <c r="R415" s="7"/>
      <c r="S415" s="7"/>
      <c r="T415" s="7"/>
      <c r="U415" s="7"/>
      <c r="V415" s="7"/>
      <c r="W415" s="7"/>
      <c r="X415" s="7"/>
      <c r="Y415" s="7"/>
    </row>
    <row r="416" spans="1:25" ht="19.5" customHeight="1">
      <c r="A416" s="23"/>
      <c r="B416" s="23"/>
      <c r="C416" s="7"/>
      <c r="D416" s="7"/>
      <c r="E416" s="7"/>
      <c r="F416" s="7"/>
      <c r="G416" s="7"/>
      <c r="H416" s="7"/>
      <c r="I416" s="7"/>
      <c r="J416" s="7"/>
      <c r="K416" s="7"/>
      <c r="L416" s="7"/>
      <c r="M416" s="7"/>
      <c r="N416" s="7"/>
      <c r="O416" s="7"/>
      <c r="P416" s="7"/>
      <c r="Q416" s="7"/>
      <c r="R416" s="7"/>
      <c r="S416" s="7"/>
      <c r="T416" s="7"/>
      <c r="U416" s="7"/>
      <c r="V416" s="7"/>
      <c r="W416" s="7"/>
      <c r="X416" s="7"/>
      <c r="Y416" s="7"/>
    </row>
    <row r="417" spans="1:25" ht="19.5" customHeight="1">
      <c r="A417" s="23"/>
      <c r="B417" s="23"/>
      <c r="C417" s="7"/>
      <c r="D417" s="7"/>
      <c r="E417" s="7"/>
      <c r="F417" s="7"/>
      <c r="G417" s="7"/>
      <c r="H417" s="7"/>
      <c r="I417" s="7"/>
      <c r="J417" s="7"/>
      <c r="K417" s="7"/>
      <c r="L417" s="7"/>
      <c r="M417" s="7"/>
      <c r="N417" s="7"/>
      <c r="O417" s="7"/>
      <c r="P417" s="7"/>
      <c r="Q417" s="7"/>
      <c r="R417" s="7"/>
      <c r="S417" s="7"/>
      <c r="T417" s="7"/>
      <c r="U417" s="7"/>
      <c r="V417" s="7"/>
      <c r="W417" s="7"/>
      <c r="X417" s="7"/>
      <c r="Y417" s="7"/>
    </row>
    <row r="418" spans="1:25" ht="19.5" customHeight="1">
      <c r="A418" s="23"/>
      <c r="B418" s="23"/>
      <c r="C418" s="7"/>
      <c r="D418" s="7"/>
      <c r="E418" s="7"/>
      <c r="F418" s="7"/>
      <c r="G418" s="7"/>
      <c r="H418" s="7"/>
      <c r="I418" s="7"/>
      <c r="J418" s="7"/>
      <c r="K418" s="7"/>
      <c r="L418" s="7"/>
      <c r="M418" s="7"/>
      <c r="N418" s="7"/>
      <c r="O418" s="7"/>
      <c r="P418" s="7"/>
      <c r="Q418" s="7"/>
      <c r="R418" s="7"/>
      <c r="S418" s="7"/>
      <c r="T418" s="7"/>
      <c r="U418" s="7"/>
      <c r="V418" s="7"/>
      <c r="W418" s="7"/>
      <c r="X418" s="7"/>
      <c r="Y418" s="7"/>
    </row>
    <row r="419" spans="1:25" ht="19.5" customHeight="1">
      <c r="A419" s="23"/>
      <c r="B419" s="23"/>
      <c r="C419" s="7"/>
      <c r="D419" s="7"/>
      <c r="E419" s="7"/>
      <c r="F419" s="7"/>
      <c r="G419" s="7"/>
      <c r="H419" s="7"/>
      <c r="I419" s="7"/>
      <c r="J419" s="7"/>
      <c r="K419" s="7"/>
      <c r="L419" s="7"/>
      <c r="M419" s="7"/>
      <c r="N419" s="7"/>
      <c r="O419" s="7"/>
      <c r="P419" s="7"/>
      <c r="Q419" s="7"/>
      <c r="R419" s="7"/>
      <c r="S419" s="7"/>
      <c r="T419" s="7"/>
      <c r="U419" s="7"/>
      <c r="V419" s="7"/>
      <c r="W419" s="7"/>
      <c r="X419" s="7"/>
      <c r="Y419" s="7"/>
    </row>
    <row r="420" spans="1:25" ht="19.5" customHeight="1">
      <c r="A420" s="23"/>
      <c r="B420" s="23"/>
      <c r="C420" s="7"/>
      <c r="D420" s="7"/>
      <c r="E420" s="7"/>
      <c r="F420" s="7"/>
      <c r="G420" s="7"/>
      <c r="H420" s="7"/>
      <c r="I420" s="7"/>
      <c r="J420" s="7"/>
      <c r="K420" s="7"/>
      <c r="L420" s="7"/>
      <c r="M420" s="7"/>
      <c r="N420" s="7"/>
      <c r="O420" s="7"/>
      <c r="P420" s="7"/>
      <c r="Q420" s="7"/>
      <c r="R420" s="7"/>
      <c r="S420" s="7"/>
      <c r="T420" s="7"/>
      <c r="U420" s="7"/>
      <c r="V420" s="7"/>
      <c r="W420" s="7"/>
      <c r="X420" s="7"/>
      <c r="Y420" s="7"/>
    </row>
    <row r="421" spans="1:25" ht="19.5" customHeight="1">
      <c r="A421" s="23"/>
      <c r="B421" s="23"/>
      <c r="C421" s="7"/>
      <c r="D421" s="7"/>
      <c r="E421" s="7"/>
      <c r="F421" s="7"/>
      <c r="G421" s="7"/>
      <c r="H421" s="7"/>
      <c r="I421" s="7"/>
      <c r="J421" s="7"/>
      <c r="K421" s="7"/>
      <c r="L421" s="7"/>
      <c r="M421" s="7"/>
      <c r="N421" s="7"/>
      <c r="O421" s="7"/>
      <c r="P421" s="7"/>
      <c r="Q421" s="7"/>
      <c r="R421" s="7"/>
      <c r="S421" s="7"/>
      <c r="T421" s="7"/>
      <c r="U421" s="7"/>
      <c r="V421" s="7"/>
      <c r="W421" s="7"/>
      <c r="X421" s="7"/>
      <c r="Y421" s="7"/>
    </row>
    <row r="422" spans="1:25" ht="19.5" customHeight="1">
      <c r="A422" s="23"/>
      <c r="B422" s="23"/>
      <c r="C422" s="7"/>
      <c r="D422" s="7"/>
      <c r="E422" s="7"/>
      <c r="F422" s="7"/>
      <c r="G422" s="7"/>
      <c r="H422" s="7"/>
      <c r="I422" s="7"/>
      <c r="J422" s="7"/>
      <c r="K422" s="7"/>
      <c r="L422" s="7"/>
      <c r="M422" s="7"/>
      <c r="N422" s="7"/>
      <c r="O422" s="7"/>
      <c r="P422" s="7"/>
      <c r="Q422" s="7"/>
      <c r="R422" s="7"/>
      <c r="S422" s="7"/>
      <c r="T422" s="7"/>
      <c r="U422" s="7"/>
      <c r="V422" s="7"/>
      <c r="W422" s="7"/>
      <c r="X422" s="7"/>
      <c r="Y422" s="7"/>
    </row>
    <row r="423" spans="1:25" ht="19.5" customHeight="1">
      <c r="A423" s="23"/>
      <c r="B423" s="23"/>
      <c r="C423" s="7"/>
      <c r="D423" s="7"/>
      <c r="E423" s="7"/>
      <c r="F423" s="7"/>
      <c r="G423" s="7"/>
      <c r="H423" s="7"/>
      <c r="I423" s="7"/>
      <c r="J423" s="7"/>
      <c r="K423" s="7"/>
      <c r="L423" s="7"/>
      <c r="M423" s="7"/>
      <c r="N423" s="7"/>
      <c r="O423" s="7"/>
      <c r="P423" s="7"/>
      <c r="Q423" s="7"/>
      <c r="R423" s="7"/>
      <c r="S423" s="7"/>
      <c r="T423" s="7"/>
      <c r="U423" s="7"/>
      <c r="V423" s="7"/>
      <c r="W423" s="7"/>
      <c r="X423" s="7"/>
      <c r="Y423" s="7"/>
    </row>
    <row r="424" spans="1:25" ht="19.5" customHeight="1">
      <c r="A424" s="23"/>
      <c r="B424" s="23"/>
      <c r="C424" s="7"/>
      <c r="D424" s="7"/>
      <c r="E424" s="7"/>
      <c r="F424" s="7"/>
      <c r="G424" s="7"/>
      <c r="H424" s="7"/>
      <c r="I424" s="7"/>
      <c r="J424" s="7"/>
      <c r="K424" s="7"/>
      <c r="L424" s="7"/>
      <c r="M424" s="7"/>
      <c r="N424" s="7"/>
      <c r="O424" s="7"/>
      <c r="P424" s="7"/>
      <c r="Q424" s="7"/>
      <c r="R424" s="7"/>
      <c r="S424" s="7"/>
      <c r="T424" s="7"/>
      <c r="U424" s="7"/>
      <c r="V424" s="7"/>
      <c r="W424" s="7"/>
      <c r="X424" s="7"/>
      <c r="Y424" s="7"/>
    </row>
    <row r="425" spans="1:25" ht="19.5" customHeight="1">
      <c r="A425" s="23"/>
      <c r="B425" s="23"/>
      <c r="C425" s="7"/>
      <c r="D425" s="7"/>
      <c r="E425" s="7"/>
      <c r="F425" s="7"/>
      <c r="G425" s="7"/>
      <c r="H425" s="7"/>
      <c r="I425" s="7"/>
      <c r="J425" s="7"/>
      <c r="K425" s="7"/>
      <c r="L425" s="7"/>
      <c r="M425" s="7"/>
      <c r="N425" s="7"/>
      <c r="O425" s="7"/>
      <c r="P425" s="7"/>
      <c r="Q425" s="7"/>
      <c r="R425" s="7"/>
      <c r="S425" s="7"/>
      <c r="T425" s="7"/>
      <c r="U425" s="7"/>
      <c r="V425" s="7"/>
      <c r="W425" s="7"/>
      <c r="X425" s="7"/>
      <c r="Y425" s="7"/>
    </row>
    <row r="426" spans="1:25" ht="19.5" customHeight="1">
      <c r="A426" s="23"/>
      <c r="B426" s="23"/>
      <c r="C426" s="7"/>
      <c r="D426" s="7"/>
      <c r="E426" s="7"/>
      <c r="F426" s="7"/>
      <c r="G426" s="7"/>
      <c r="H426" s="7"/>
      <c r="I426" s="7"/>
      <c r="J426" s="7"/>
      <c r="K426" s="7"/>
      <c r="L426" s="7"/>
      <c r="M426" s="7"/>
      <c r="N426" s="7"/>
      <c r="O426" s="7"/>
      <c r="P426" s="7"/>
      <c r="Q426" s="7"/>
      <c r="R426" s="7"/>
      <c r="S426" s="7"/>
      <c r="T426" s="7"/>
      <c r="U426" s="7"/>
      <c r="V426" s="7"/>
      <c r="W426" s="7"/>
      <c r="X426" s="7"/>
      <c r="Y426" s="7"/>
    </row>
    <row r="427" spans="1:25" ht="19.5" customHeight="1">
      <c r="A427" s="23"/>
      <c r="B427" s="23"/>
      <c r="C427" s="7"/>
      <c r="D427" s="7"/>
      <c r="E427" s="7"/>
      <c r="F427" s="7"/>
      <c r="G427" s="7"/>
      <c r="H427" s="7"/>
      <c r="I427" s="7"/>
      <c r="J427" s="7"/>
      <c r="K427" s="7"/>
      <c r="L427" s="7"/>
      <c r="M427" s="7"/>
      <c r="N427" s="7"/>
      <c r="O427" s="7"/>
      <c r="P427" s="7"/>
      <c r="Q427" s="7"/>
      <c r="R427" s="7"/>
      <c r="S427" s="7"/>
      <c r="T427" s="7"/>
      <c r="U427" s="7"/>
      <c r="V427" s="7"/>
      <c r="W427" s="7"/>
      <c r="X427" s="7"/>
      <c r="Y427" s="7"/>
    </row>
    <row r="428" spans="1:25" ht="19.5" customHeight="1">
      <c r="A428" s="23"/>
      <c r="B428" s="23"/>
      <c r="C428" s="7"/>
      <c r="D428" s="7"/>
      <c r="E428" s="7"/>
      <c r="F428" s="7"/>
      <c r="G428" s="7"/>
      <c r="H428" s="7"/>
      <c r="I428" s="7"/>
      <c r="J428" s="7"/>
      <c r="K428" s="7"/>
      <c r="L428" s="7"/>
      <c r="M428" s="7"/>
      <c r="N428" s="7"/>
      <c r="O428" s="7"/>
      <c r="P428" s="7"/>
      <c r="Q428" s="7"/>
      <c r="R428" s="7"/>
      <c r="S428" s="7"/>
      <c r="T428" s="7"/>
      <c r="U428" s="7"/>
      <c r="V428" s="7"/>
      <c r="W428" s="7"/>
      <c r="X428" s="7"/>
      <c r="Y428" s="7"/>
    </row>
    <row r="429" spans="1:25" ht="19.5" customHeight="1">
      <c r="A429" s="23"/>
      <c r="B429" s="23"/>
      <c r="C429" s="7"/>
      <c r="D429" s="7"/>
      <c r="E429" s="7"/>
      <c r="F429" s="7"/>
      <c r="G429" s="7"/>
      <c r="H429" s="7"/>
      <c r="I429" s="7"/>
      <c r="J429" s="7"/>
      <c r="K429" s="7"/>
      <c r="L429" s="7"/>
      <c r="M429" s="7"/>
      <c r="N429" s="7"/>
      <c r="O429" s="7"/>
      <c r="P429" s="7"/>
      <c r="Q429" s="7"/>
      <c r="R429" s="7"/>
      <c r="S429" s="7"/>
      <c r="T429" s="7"/>
      <c r="U429" s="7"/>
      <c r="V429" s="7"/>
      <c r="W429" s="7"/>
      <c r="X429" s="7"/>
      <c r="Y429" s="7"/>
    </row>
    <row r="430" spans="1:25" ht="19.5" customHeight="1">
      <c r="A430" s="23"/>
      <c r="B430" s="23"/>
      <c r="C430" s="7"/>
      <c r="D430" s="7"/>
      <c r="E430" s="7"/>
      <c r="F430" s="7"/>
      <c r="G430" s="7"/>
      <c r="H430" s="7"/>
      <c r="I430" s="7"/>
      <c r="J430" s="7"/>
      <c r="K430" s="7"/>
      <c r="L430" s="7"/>
      <c r="M430" s="7"/>
      <c r="N430" s="7"/>
      <c r="O430" s="7"/>
      <c r="P430" s="7"/>
      <c r="Q430" s="7"/>
      <c r="R430" s="7"/>
      <c r="S430" s="7"/>
      <c r="T430" s="7"/>
      <c r="U430" s="7"/>
      <c r="V430" s="7"/>
      <c r="W430" s="7"/>
      <c r="X430" s="7"/>
      <c r="Y430" s="7"/>
    </row>
    <row r="431" spans="1:25" ht="19.5" customHeight="1">
      <c r="A431" s="23"/>
      <c r="B431" s="23"/>
      <c r="C431" s="7"/>
      <c r="D431" s="7"/>
      <c r="E431" s="7"/>
      <c r="F431" s="7"/>
      <c r="G431" s="7"/>
      <c r="H431" s="7"/>
      <c r="I431" s="7"/>
      <c r="J431" s="7"/>
      <c r="K431" s="7"/>
      <c r="L431" s="7"/>
      <c r="M431" s="7"/>
      <c r="N431" s="7"/>
      <c r="O431" s="7"/>
      <c r="P431" s="7"/>
      <c r="Q431" s="7"/>
      <c r="R431" s="7"/>
      <c r="S431" s="7"/>
      <c r="T431" s="7"/>
      <c r="U431" s="7"/>
      <c r="V431" s="7"/>
      <c r="W431" s="7"/>
      <c r="X431" s="7"/>
      <c r="Y431" s="7"/>
    </row>
    <row r="432" spans="1:25" ht="19.5" customHeight="1">
      <c r="A432" s="23"/>
      <c r="B432" s="23"/>
      <c r="C432" s="7"/>
      <c r="D432" s="7"/>
      <c r="E432" s="7"/>
      <c r="F432" s="7"/>
      <c r="G432" s="7"/>
      <c r="H432" s="7"/>
      <c r="I432" s="7"/>
      <c r="J432" s="7"/>
      <c r="K432" s="7"/>
      <c r="L432" s="7"/>
      <c r="M432" s="7"/>
      <c r="N432" s="7"/>
      <c r="O432" s="7"/>
      <c r="P432" s="7"/>
      <c r="Q432" s="7"/>
      <c r="R432" s="7"/>
      <c r="S432" s="7"/>
      <c r="T432" s="7"/>
      <c r="U432" s="7"/>
      <c r="V432" s="7"/>
      <c r="W432" s="7"/>
      <c r="X432" s="7"/>
      <c r="Y432" s="7"/>
    </row>
    <row r="433" spans="1:25" ht="19.5" customHeight="1">
      <c r="A433" s="23"/>
      <c r="B433" s="23"/>
      <c r="C433" s="7"/>
      <c r="D433" s="7"/>
      <c r="E433" s="7"/>
      <c r="F433" s="7"/>
      <c r="G433" s="7"/>
      <c r="H433" s="7"/>
      <c r="I433" s="7"/>
      <c r="J433" s="7"/>
      <c r="K433" s="7"/>
      <c r="L433" s="7"/>
      <c r="M433" s="7"/>
      <c r="N433" s="7"/>
      <c r="O433" s="7"/>
      <c r="P433" s="7"/>
      <c r="Q433" s="7"/>
      <c r="R433" s="7"/>
      <c r="S433" s="7"/>
      <c r="T433" s="7"/>
      <c r="U433" s="7"/>
      <c r="V433" s="7"/>
      <c r="W433" s="7"/>
      <c r="X433" s="7"/>
      <c r="Y433" s="7"/>
    </row>
    <row r="434" spans="1:25" ht="19.5" customHeight="1">
      <c r="A434" s="23"/>
      <c r="B434" s="23"/>
      <c r="C434" s="7"/>
      <c r="D434" s="7"/>
      <c r="E434" s="7"/>
      <c r="F434" s="7"/>
      <c r="G434" s="7"/>
      <c r="H434" s="7"/>
      <c r="I434" s="7"/>
      <c r="J434" s="7"/>
      <c r="K434" s="7"/>
      <c r="L434" s="7"/>
      <c r="M434" s="7"/>
      <c r="N434" s="7"/>
      <c r="O434" s="7"/>
      <c r="P434" s="7"/>
      <c r="Q434" s="7"/>
      <c r="R434" s="7"/>
      <c r="S434" s="7"/>
      <c r="T434" s="7"/>
      <c r="U434" s="7"/>
      <c r="V434" s="7"/>
      <c r="W434" s="7"/>
      <c r="X434" s="7"/>
      <c r="Y434" s="7"/>
    </row>
    <row r="435" spans="1:25" ht="19.5" customHeight="1">
      <c r="A435" s="23"/>
      <c r="B435" s="23"/>
      <c r="C435" s="7"/>
      <c r="D435" s="7"/>
      <c r="E435" s="7"/>
      <c r="F435" s="7"/>
      <c r="G435" s="7"/>
      <c r="H435" s="7"/>
      <c r="I435" s="7"/>
      <c r="J435" s="7"/>
      <c r="K435" s="7"/>
      <c r="L435" s="7"/>
      <c r="M435" s="7"/>
      <c r="N435" s="7"/>
      <c r="O435" s="7"/>
      <c r="P435" s="7"/>
      <c r="Q435" s="7"/>
      <c r="R435" s="7"/>
      <c r="S435" s="7"/>
      <c r="T435" s="7"/>
      <c r="U435" s="7"/>
      <c r="V435" s="7"/>
      <c r="W435" s="7"/>
      <c r="X435" s="7"/>
      <c r="Y435" s="7"/>
    </row>
    <row r="436" spans="1:25" ht="19.5" customHeight="1">
      <c r="A436" s="23"/>
      <c r="B436" s="23"/>
      <c r="C436" s="7"/>
      <c r="D436" s="7"/>
      <c r="E436" s="7"/>
      <c r="F436" s="7"/>
      <c r="G436" s="7"/>
      <c r="H436" s="7"/>
      <c r="I436" s="7"/>
      <c r="J436" s="7"/>
      <c r="K436" s="7"/>
      <c r="L436" s="7"/>
      <c r="M436" s="7"/>
      <c r="N436" s="7"/>
      <c r="O436" s="7"/>
      <c r="P436" s="7"/>
      <c r="Q436" s="7"/>
      <c r="R436" s="7"/>
      <c r="S436" s="7"/>
      <c r="T436" s="7"/>
      <c r="U436" s="7"/>
      <c r="V436" s="7"/>
      <c r="W436" s="7"/>
      <c r="X436" s="7"/>
      <c r="Y436" s="7"/>
    </row>
    <row r="437" spans="1:25" ht="19.5" customHeight="1">
      <c r="A437" s="23"/>
      <c r="B437" s="23"/>
      <c r="C437" s="7"/>
      <c r="D437" s="7"/>
      <c r="E437" s="7"/>
      <c r="F437" s="7"/>
      <c r="G437" s="7"/>
      <c r="H437" s="7"/>
      <c r="I437" s="7"/>
      <c r="J437" s="7"/>
      <c r="K437" s="7"/>
      <c r="L437" s="7"/>
      <c r="M437" s="7"/>
      <c r="N437" s="7"/>
      <c r="O437" s="7"/>
      <c r="P437" s="7"/>
      <c r="Q437" s="7"/>
      <c r="R437" s="7"/>
      <c r="S437" s="7"/>
      <c r="T437" s="7"/>
      <c r="U437" s="7"/>
      <c r="V437" s="7"/>
      <c r="W437" s="7"/>
      <c r="X437" s="7"/>
      <c r="Y437" s="7"/>
    </row>
    <row r="438" spans="1:25" ht="19.5" customHeight="1">
      <c r="A438" s="23"/>
      <c r="B438" s="23"/>
      <c r="C438" s="7"/>
      <c r="D438" s="7"/>
      <c r="E438" s="7"/>
      <c r="F438" s="7"/>
      <c r="G438" s="7"/>
      <c r="H438" s="7"/>
      <c r="I438" s="7"/>
      <c r="J438" s="7"/>
      <c r="K438" s="7"/>
      <c r="L438" s="7"/>
      <c r="M438" s="7"/>
      <c r="N438" s="7"/>
      <c r="O438" s="7"/>
      <c r="P438" s="7"/>
      <c r="Q438" s="7"/>
      <c r="R438" s="7"/>
      <c r="S438" s="7"/>
      <c r="T438" s="7"/>
      <c r="U438" s="7"/>
      <c r="V438" s="7"/>
      <c r="W438" s="7"/>
      <c r="X438" s="7"/>
      <c r="Y438" s="7"/>
    </row>
    <row r="439" spans="1:25" ht="19.5" customHeight="1">
      <c r="A439" s="23"/>
      <c r="B439" s="23"/>
      <c r="C439" s="7"/>
      <c r="D439" s="7"/>
      <c r="E439" s="7"/>
      <c r="F439" s="7"/>
      <c r="G439" s="7"/>
      <c r="H439" s="7"/>
      <c r="I439" s="7"/>
      <c r="J439" s="7"/>
      <c r="K439" s="7"/>
      <c r="L439" s="7"/>
      <c r="M439" s="7"/>
      <c r="N439" s="7"/>
      <c r="O439" s="7"/>
      <c r="P439" s="7"/>
      <c r="Q439" s="7"/>
      <c r="R439" s="7"/>
      <c r="S439" s="7"/>
      <c r="T439" s="7"/>
      <c r="U439" s="7"/>
      <c r="V439" s="7"/>
      <c r="W439" s="7"/>
      <c r="X439" s="7"/>
      <c r="Y439" s="7"/>
    </row>
    <row r="440" spans="1:25" ht="19.5" customHeight="1">
      <c r="A440" s="23"/>
      <c r="B440" s="23"/>
      <c r="C440" s="7"/>
      <c r="D440" s="7"/>
      <c r="E440" s="7"/>
      <c r="F440" s="7"/>
      <c r="G440" s="7"/>
      <c r="H440" s="7"/>
      <c r="I440" s="7"/>
      <c r="J440" s="7"/>
      <c r="K440" s="7"/>
      <c r="L440" s="7"/>
      <c r="M440" s="7"/>
      <c r="N440" s="7"/>
      <c r="O440" s="7"/>
      <c r="P440" s="7"/>
      <c r="Q440" s="7"/>
      <c r="R440" s="7"/>
      <c r="S440" s="7"/>
      <c r="T440" s="7"/>
      <c r="U440" s="7"/>
      <c r="V440" s="7"/>
      <c r="W440" s="7"/>
      <c r="X440" s="7"/>
      <c r="Y440" s="7"/>
    </row>
    <row r="441" spans="1:25" ht="19.5" customHeight="1">
      <c r="A441" s="23"/>
      <c r="B441" s="23"/>
      <c r="C441" s="7"/>
      <c r="D441" s="7"/>
      <c r="E441" s="7"/>
      <c r="F441" s="7"/>
      <c r="G441" s="7"/>
      <c r="H441" s="7"/>
      <c r="I441" s="7"/>
      <c r="J441" s="7"/>
      <c r="K441" s="7"/>
      <c r="L441" s="7"/>
      <c r="M441" s="7"/>
      <c r="N441" s="7"/>
      <c r="O441" s="7"/>
      <c r="P441" s="7"/>
      <c r="Q441" s="7"/>
      <c r="R441" s="7"/>
      <c r="S441" s="7"/>
      <c r="T441" s="7"/>
      <c r="U441" s="7"/>
      <c r="V441" s="7"/>
      <c r="W441" s="7"/>
      <c r="X441" s="7"/>
      <c r="Y441" s="7"/>
    </row>
    <row r="442" spans="1:25" ht="19.5" customHeight="1">
      <c r="A442" s="23"/>
      <c r="B442" s="23"/>
      <c r="C442" s="7"/>
      <c r="D442" s="7"/>
      <c r="E442" s="7"/>
      <c r="F442" s="7"/>
      <c r="G442" s="7"/>
      <c r="H442" s="7"/>
      <c r="I442" s="7"/>
      <c r="J442" s="7"/>
      <c r="K442" s="7"/>
      <c r="L442" s="7"/>
      <c r="M442" s="7"/>
      <c r="N442" s="7"/>
      <c r="O442" s="7"/>
      <c r="P442" s="7"/>
      <c r="Q442" s="7"/>
      <c r="R442" s="7"/>
      <c r="S442" s="7"/>
      <c r="T442" s="7"/>
      <c r="U442" s="7"/>
      <c r="V442" s="7"/>
      <c r="W442" s="7"/>
      <c r="X442" s="7"/>
      <c r="Y442" s="7"/>
    </row>
    <row r="443" spans="1:25" ht="19.5" customHeight="1">
      <c r="A443" s="23"/>
      <c r="B443" s="23"/>
      <c r="C443" s="7"/>
      <c r="D443" s="7"/>
      <c r="E443" s="7"/>
      <c r="F443" s="7"/>
      <c r="G443" s="7"/>
      <c r="H443" s="7"/>
      <c r="I443" s="7"/>
      <c r="J443" s="7"/>
      <c r="K443" s="7"/>
      <c r="L443" s="7"/>
      <c r="M443" s="7"/>
      <c r="N443" s="7"/>
      <c r="O443" s="7"/>
      <c r="P443" s="7"/>
      <c r="Q443" s="7"/>
      <c r="R443" s="7"/>
      <c r="S443" s="7"/>
      <c r="T443" s="7"/>
      <c r="U443" s="7"/>
      <c r="V443" s="7"/>
      <c r="W443" s="7"/>
      <c r="X443" s="7"/>
      <c r="Y443" s="7"/>
    </row>
    <row r="444" spans="1:25" ht="19.5" customHeight="1">
      <c r="A444" s="23"/>
      <c r="B444" s="23"/>
      <c r="C444" s="7"/>
      <c r="D444" s="7"/>
      <c r="E444" s="7"/>
      <c r="F444" s="7"/>
      <c r="G444" s="7"/>
      <c r="H444" s="7"/>
      <c r="I444" s="7"/>
      <c r="J444" s="7"/>
      <c r="K444" s="7"/>
      <c r="L444" s="7"/>
      <c r="M444" s="7"/>
      <c r="N444" s="7"/>
      <c r="O444" s="7"/>
      <c r="P444" s="7"/>
      <c r="Q444" s="7"/>
      <c r="R444" s="7"/>
      <c r="S444" s="7"/>
      <c r="T444" s="7"/>
      <c r="U444" s="7"/>
      <c r="V444" s="7"/>
      <c r="W444" s="7"/>
      <c r="X444" s="7"/>
      <c r="Y444" s="7"/>
    </row>
    <row r="445" spans="1:25" ht="19.5" customHeight="1">
      <c r="A445" s="23"/>
      <c r="B445" s="23"/>
      <c r="C445" s="7"/>
      <c r="D445" s="7"/>
      <c r="E445" s="7"/>
      <c r="F445" s="7"/>
      <c r="G445" s="7"/>
      <c r="H445" s="7"/>
      <c r="I445" s="7"/>
      <c r="J445" s="7"/>
      <c r="K445" s="7"/>
      <c r="L445" s="7"/>
      <c r="M445" s="7"/>
      <c r="N445" s="7"/>
      <c r="O445" s="7"/>
      <c r="P445" s="7"/>
      <c r="Q445" s="7"/>
      <c r="R445" s="7"/>
      <c r="S445" s="7"/>
      <c r="T445" s="7"/>
      <c r="U445" s="7"/>
      <c r="V445" s="7"/>
      <c r="W445" s="7"/>
      <c r="X445" s="7"/>
      <c r="Y445" s="7"/>
    </row>
    <row r="446" spans="1:25" ht="19.5" customHeight="1">
      <c r="A446" s="23"/>
      <c r="B446" s="23"/>
      <c r="C446" s="7"/>
      <c r="D446" s="7"/>
      <c r="E446" s="7"/>
      <c r="F446" s="7"/>
      <c r="G446" s="7"/>
      <c r="H446" s="7"/>
      <c r="I446" s="7"/>
      <c r="J446" s="7"/>
      <c r="K446" s="7"/>
      <c r="L446" s="7"/>
      <c r="M446" s="7"/>
      <c r="N446" s="7"/>
      <c r="O446" s="7"/>
      <c r="P446" s="7"/>
      <c r="Q446" s="7"/>
      <c r="R446" s="7"/>
      <c r="S446" s="7"/>
      <c r="T446" s="7"/>
      <c r="U446" s="7"/>
      <c r="V446" s="7"/>
      <c r="W446" s="7"/>
      <c r="X446" s="7"/>
      <c r="Y446" s="7"/>
    </row>
    <row r="447" spans="1:25" ht="19.5" customHeight="1">
      <c r="A447" s="23"/>
      <c r="B447" s="23"/>
      <c r="C447" s="7"/>
      <c r="D447" s="7"/>
      <c r="E447" s="7"/>
      <c r="F447" s="7"/>
      <c r="G447" s="7"/>
      <c r="H447" s="7"/>
      <c r="I447" s="7"/>
      <c r="J447" s="7"/>
      <c r="K447" s="7"/>
      <c r="L447" s="7"/>
      <c r="M447" s="7"/>
      <c r="N447" s="7"/>
      <c r="O447" s="7"/>
      <c r="P447" s="7"/>
      <c r="Q447" s="7"/>
      <c r="R447" s="7"/>
      <c r="S447" s="7"/>
      <c r="T447" s="7"/>
      <c r="U447" s="7"/>
      <c r="V447" s="7"/>
      <c r="W447" s="7"/>
      <c r="X447" s="7"/>
      <c r="Y447" s="7"/>
    </row>
    <row r="448" spans="1:25" ht="19.5" customHeight="1">
      <c r="A448" s="23"/>
      <c r="B448" s="23"/>
      <c r="C448" s="7"/>
      <c r="D448" s="7"/>
      <c r="E448" s="7"/>
      <c r="F448" s="7"/>
      <c r="G448" s="7"/>
      <c r="H448" s="7"/>
      <c r="I448" s="7"/>
      <c r="J448" s="7"/>
      <c r="K448" s="7"/>
      <c r="L448" s="7"/>
      <c r="M448" s="7"/>
      <c r="N448" s="7"/>
      <c r="O448" s="7"/>
      <c r="P448" s="7"/>
      <c r="Q448" s="7"/>
      <c r="R448" s="7"/>
      <c r="S448" s="7"/>
      <c r="T448" s="7"/>
      <c r="U448" s="7"/>
      <c r="V448" s="7"/>
      <c r="W448" s="7"/>
      <c r="X448" s="7"/>
      <c r="Y448" s="7"/>
    </row>
    <row r="449" spans="1:25" ht="19.5" customHeight="1">
      <c r="A449" s="23"/>
      <c r="B449" s="23"/>
      <c r="C449" s="7"/>
      <c r="D449" s="7"/>
      <c r="E449" s="7"/>
      <c r="F449" s="7"/>
      <c r="G449" s="7"/>
      <c r="H449" s="7"/>
      <c r="I449" s="7"/>
      <c r="J449" s="7"/>
      <c r="K449" s="7"/>
      <c r="L449" s="7"/>
      <c r="M449" s="7"/>
      <c r="N449" s="7"/>
      <c r="O449" s="7"/>
      <c r="P449" s="7"/>
      <c r="Q449" s="7"/>
      <c r="R449" s="7"/>
      <c r="S449" s="7"/>
      <c r="T449" s="7"/>
      <c r="U449" s="7"/>
      <c r="V449" s="7"/>
      <c r="W449" s="7"/>
      <c r="X449" s="7"/>
      <c r="Y449" s="7"/>
    </row>
    <row r="450" spans="1:25" ht="19.5" customHeight="1">
      <c r="A450" s="23"/>
      <c r="B450" s="23"/>
      <c r="C450" s="7"/>
      <c r="D450" s="7"/>
      <c r="E450" s="7"/>
      <c r="F450" s="7"/>
      <c r="G450" s="7"/>
      <c r="H450" s="7"/>
      <c r="I450" s="7"/>
      <c r="J450" s="7"/>
      <c r="K450" s="7"/>
      <c r="L450" s="7"/>
      <c r="M450" s="7"/>
      <c r="N450" s="7"/>
      <c r="O450" s="7"/>
      <c r="P450" s="7"/>
      <c r="Q450" s="7"/>
      <c r="R450" s="7"/>
      <c r="S450" s="7"/>
      <c r="T450" s="7"/>
      <c r="U450" s="7"/>
      <c r="V450" s="7"/>
      <c r="W450" s="7"/>
      <c r="X450" s="7"/>
      <c r="Y450" s="7"/>
    </row>
    <row r="451" spans="1:25" ht="19.5" customHeight="1">
      <c r="A451" s="23"/>
      <c r="B451" s="23"/>
      <c r="C451" s="7"/>
      <c r="D451" s="7"/>
      <c r="E451" s="7"/>
      <c r="F451" s="7"/>
      <c r="G451" s="7"/>
      <c r="H451" s="7"/>
      <c r="I451" s="7"/>
      <c r="J451" s="7"/>
      <c r="K451" s="7"/>
      <c r="L451" s="7"/>
      <c r="M451" s="7"/>
      <c r="N451" s="7"/>
      <c r="O451" s="7"/>
      <c r="P451" s="7"/>
      <c r="Q451" s="7"/>
      <c r="R451" s="7"/>
      <c r="S451" s="7"/>
      <c r="T451" s="7"/>
      <c r="U451" s="7"/>
      <c r="V451" s="7"/>
      <c r="W451" s="7"/>
      <c r="X451" s="7"/>
      <c r="Y451" s="7"/>
    </row>
    <row r="452" spans="1:25" ht="19.5" customHeight="1">
      <c r="A452" s="23"/>
      <c r="B452" s="23"/>
      <c r="C452" s="7"/>
      <c r="D452" s="7"/>
      <c r="E452" s="7"/>
      <c r="F452" s="7"/>
      <c r="G452" s="7"/>
      <c r="H452" s="7"/>
      <c r="I452" s="7"/>
      <c r="J452" s="7"/>
      <c r="K452" s="7"/>
      <c r="L452" s="7"/>
      <c r="M452" s="7"/>
      <c r="N452" s="7"/>
      <c r="O452" s="7"/>
      <c r="P452" s="7"/>
      <c r="Q452" s="7"/>
      <c r="R452" s="7"/>
      <c r="S452" s="7"/>
      <c r="T452" s="7"/>
      <c r="U452" s="7"/>
      <c r="V452" s="7"/>
      <c r="W452" s="7"/>
      <c r="X452" s="7"/>
      <c r="Y452" s="7"/>
    </row>
    <row r="453" spans="1:25" ht="19.5" customHeight="1">
      <c r="A453" s="23"/>
      <c r="B453" s="23"/>
      <c r="C453" s="7"/>
      <c r="D453" s="7"/>
      <c r="E453" s="7"/>
      <c r="F453" s="7"/>
      <c r="G453" s="7"/>
      <c r="H453" s="7"/>
      <c r="I453" s="7"/>
      <c r="J453" s="7"/>
      <c r="K453" s="7"/>
      <c r="L453" s="7"/>
      <c r="M453" s="7"/>
      <c r="N453" s="7"/>
      <c r="O453" s="7"/>
      <c r="P453" s="7"/>
      <c r="Q453" s="7"/>
      <c r="R453" s="7"/>
      <c r="S453" s="7"/>
      <c r="T453" s="7"/>
      <c r="U453" s="7"/>
      <c r="V453" s="7"/>
      <c r="W453" s="7"/>
      <c r="X453" s="7"/>
      <c r="Y453" s="7"/>
    </row>
    <row r="454" spans="1:25" ht="19.5" customHeight="1">
      <c r="A454" s="23"/>
      <c r="B454" s="23"/>
      <c r="C454" s="7"/>
      <c r="D454" s="7"/>
      <c r="E454" s="7"/>
      <c r="F454" s="7"/>
      <c r="G454" s="7"/>
      <c r="H454" s="7"/>
      <c r="I454" s="7"/>
      <c r="J454" s="7"/>
      <c r="K454" s="7"/>
      <c r="L454" s="7"/>
      <c r="M454" s="7"/>
      <c r="N454" s="7"/>
      <c r="O454" s="7"/>
      <c r="P454" s="7"/>
      <c r="Q454" s="7"/>
      <c r="R454" s="7"/>
      <c r="S454" s="7"/>
      <c r="T454" s="7"/>
      <c r="U454" s="7"/>
      <c r="V454" s="7"/>
      <c r="W454" s="7"/>
      <c r="X454" s="7"/>
      <c r="Y454" s="7"/>
    </row>
    <row r="455" spans="1:25" ht="19.5" customHeight="1">
      <c r="A455" s="23"/>
      <c r="B455" s="23"/>
      <c r="C455" s="7"/>
      <c r="D455" s="7"/>
      <c r="E455" s="7"/>
      <c r="F455" s="7"/>
      <c r="G455" s="7"/>
      <c r="H455" s="7"/>
      <c r="I455" s="7"/>
      <c r="J455" s="7"/>
      <c r="K455" s="7"/>
      <c r="L455" s="7"/>
      <c r="M455" s="7"/>
      <c r="N455" s="7"/>
      <c r="O455" s="7"/>
      <c r="P455" s="7"/>
      <c r="Q455" s="7"/>
      <c r="R455" s="7"/>
      <c r="S455" s="7"/>
      <c r="T455" s="7"/>
      <c r="U455" s="7"/>
      <c r="V455" s="7"/>
      <c r="W455" s="7"/>
      <c r="X455" s="7"/>
      <c r="Y455" s="7"/>
    </row>
    <row r="456" spans="1:25" ht="19.5" customHeight="1">
      <c r="A456" s="23"/>
      <c r="B456" s="23"/>
      <c r="C456" s="7"/>
      <c r="D456" s="7"/>
      <c r="E456" s="7"/>
      <c r="F456" s="7"/>
      <c r="G456" s="7"/>
      <c r="H456" s="7"/>
      <c r="I456" s="7"/>
      <c r="J456" s="7"/>
      <c r="K456" s="7"/>
      <c r="L456" s="7"/>
      <c r="M456" s="7"/>
      <c r="N456" s="7"/>
      <c r="O456" s="7"/>
      <c r="P456" s="7"/>
      <c r="Q456" s="7"/>
      <c r="R456" s="7"/>
      <c r="S456" s="7"/>
      <c r="T456" s="7"/>
      <c r="U456" s="7"/>
      <c r="V456" s="7"/>
      <c r="W456" s="7"/>
      <c r="X456" s="7"/>
      <c r="Y456" s="7"/>
    </row>
    <row r="457" spans="1:25" ht="19.5" customHeight="1">
      <c r="A457" s="23"/>
      <c r="B457" s="23"/>
      <c r="C457" s="7"/>
      <c r="D457" s="7"/>
      <c r="E457" s="7"/>
      <c r="F457" s="7"/>
      <c r="G457" s="7"/>
      <c r="H457" s="7"/>
      <c r="I457" s="7"/>
      <c r="J457" s="7"/>
      <c r="K457" s="7"/>
      <c r="L457" s="7"/>
      <c r="M457" s="7"/>
      <c r="N457" s="7"/>
      <c r="O457" s="7"/>
      <c r="P457" s="7"/>
      <c r="Q457" s="7"/>
      <c r="R457" s="7"/>
      <c r="S457" s="7"/>
      <c r="T457" s="7"/>
      <c r="U457" s="7"/>
      <c r="V457" s="7"/>
      <c r="W457" s="7"/>
      <c r="X457" s="7"/>
      <c r="Y457" s="7"/>
    </row>
    <row r="458" spans="1:25" ht="19.5" customHeight="1">
      <c r="A458" s="23"/>
      <c r="B458" s="23"/>
      <c r="C458" s="7"/>
      <c r="D458" s="7"/>
      <c r="E458" s="7"/>
      <c r="F458" s="7"/>
      <c r="G458" s="7"/>
      <c r="H458" s="7"/>
      <c r="I458" s="7"/>
      <c r="J458" s="7"/>
      <c r="K458" s="7"/>
      <c r="L458" s="7"/>
      <c r="M458" s="7"/>
      <c r="N458" s="7"/>
      <c r="O458" s="7"/>
      <c r="P458" s="7"/>
      <c r="Q458" s="7"/>
      <c r="R458" s="7"/>
      <c r="S458" s="7"/>
      <c r="T458" s="7"/>
      <c r="U458" s="7"/>
      <c r="V458" s="7"/>
      <c r="W458" s="7"/>
      <c r="X458" s="7"/>
      <c r="Y458" s="7"/>
    </row>
    <row r="459" spans="1:25" ht="19.5" customHeight="1">
      <c r="A459" s="23"/>
      <c r="B459" s="23"/>
      <c r="C459" s="7"/>
      <c r="D459" s="7"/>
      <c r="E459" s="7"/>
      <c r="F459" s="7"/>
      <c r="G459" s="7"/>
      <c r="H459" s="7"/>
      <c r="I459" s="7"/>
      <c r="J459" s="7"/>
      <c r="K459" s="7"/>
      <c r="L459" s="7"/>
      <c r="M459" s="7"/>
      <c r="N459" s="7"/>
      <c r="O459" s="7"/>
      <c r="P459" s="7"/>
      <c r="Q459" s="7"/>
      <c r="R459" s="7"/>
      <c r="S459" s="7"/>
      <c r="T459" s="7"/>
      <c r="U459" s="7"/>
      <c r="V459" s="7"/>
      <c r="W459" s="7"/>
      <c r="X459" s="7"/>
      <c r="Y459" s="7"/>
    </row>
    <row r="460" spans="1:25" ht="19.5" customHeight="1">
      <c r="A460" s="23"/>
      <c r="B460" s="23"/>
      <c r="C460" s="7"/>
      <c r="D460" s="7"/>
      <c r="E460" s="7"/>
      <c r="F460" s="7"/>
      <c r="G460" s="7"/>
      <c r="H460" s="7"/>
      <c r="I460" s="7"/>
      <c r="J460" s="7"/>
      <c r="K460" s="7"/>
      <c r="L460" s="7"/>
      <c r="M460" s="7"/>
      <c r="N460" s="7"/>
      <c r="O460" s="7"/>
      <c r="P460" s="7"/>
      <c r="Q460" s="7"/>
      <c r="R460" s="7"/>
      <c r="S460" s="7"/>
      <c r="T460" s="7"/>
      <c r="U460" s="7"/>
      <c r="V460" s="7"/>
      <c r="W460" s="7"/>
      <c r="X460" s="7"/>
      <c r="Y460" s="7"/>
    </row>
    <row r="461" spans="1:25" ht="19.5" customHeight="1">
      <c r="A461" s="23"/>
      <c r="B461" s="23"/>
      <c r="C461" s="7"/>
      <c r="D461" s="7"/>
      <c r="E461" s="7"/>
      <c r="F461" s="7"/>
      <c r="G461" s="7"/>
      <c r="H461" s="7"/>
      <c r="I461" s="7"/>
      <c r="J461" s="7"/>
      <c r="K461" s="7"/>
      <c r="L461" s="7"/>
      <c r="M461" s="7"/>
      <c r="N461" s="7"/>
      <c r="O461" s="7"/>
      <c r="P461" s="7"/>
      <c r="Q461" s="7"/>
      <c r="R461" s="7"/>
      <c r="S461" s="7"/>
      <c r="T461" s="7"/>
      <c r="U461" s="7"/>
      <c r="V461" s="7"/>
      <c r="W461" s="7"/>
      <c r="X461" s="7"/>
      <c r="Y461" s="7"/>
    </row>
    <row r="462" spans="1:25" ht="19.5" customHeight="1">
      <c r="A462" s="23"/>
      <c r="B462" s="23"/>
      <c r="C462" s="7"/>
      <c r="D462" s="7"/>
      <c r="E462" s="7"/>
      <c r="F462" s="7"/>
      <c r="G462" s="7"/>
      <c r="H462" s="7"/>
      <c r="I462" s="7"/>
      <c r="J462" s="7"/>
      <c r="K462" s="7"/>
      <c r="L462" s="7"/>
      <c r="M462" s="7"/>
      <c r="N462" s="7"/>
      <c r="O462" s="7"/>
      <c r="P462" s="7"/>
      <c r="Q462" s="7"/>
      <c r="R462" s="7"/>
      <c r="S462" s="7"/>
      <c r="T462" s="7"/>
      <c r="U462" s="7"/>
      <c r="V462" s="7"/>
      <c r="W462" s="7"/>
      <c r="X462" s="7"/>
      <c r="Y462" s="7"/>
    </row>
    <row r="463" spans="1:25" ht="19.5" customHeight="1">
      <c r="A463" s="23"/>
      <c r="B463" s="23"/>
      <c r="C463" s="7"/>
      <c r="D463" s="7"/>
      <c r="E463" s="7"/>
      <c r="F463" s="7"/>
      <c r="G463" s="7"/>
      <c r="H463" s="7"/>
      <c r="I463" s="7"/>
      <c r="J463" s="7"/>
      <c r="K463" s="7"/>
      <c r="L463" s="7"/>
      <c r="M463" s="7"/>
      <c r="N463" s="7"/>
      <c r="O463" s="7"/>
      <c r="P463" s="7"/>
      <c r="Q463" s="7"/>
      <c r="R463" s="7"/>
      <c r="S463" s="7"/>
      <c r="T463" s="7"/>
      <c r="U463" s="7"/>
      <c r="V463" s="7"/>
      <c r="W463" s="7"/>
      <c r="X463" s="7"/>
      <c r="Y463" s="7"/>
    </row>
    <row r="464" spans="1:25" ht="19.5" customHeight="1">
      <c r="A464" s="23"/>
      <c r="B464" s="23"/>
      <c r="C464" s="7"/>
      <c r="D464" s="7"/>
      <c r="E464" s="7"/>
      <c r="F464" s="7"/>
      <c r="G464" s="7"/>
      <c r="H464" s="7"/>
      <c r="I464" s="7"/>
      <c r="J464" s="7"/>
      <c r="K464" s="7"/>
      <c r="L464" s="7"/>
      <c r="M464" s="7"/>
      <c r="N464" s="7"/>
      <c r="O464" s="7"/>
      <c r="P464" s="7"/>
      <c r="Q464" s="7"/>
      <c r="R464" s="7"/>
      <c r="S464" s="7"/>
      <c r="T464" s="7"/>
      <c r="U464" s="7"/>
      <c r="V464" s="7"/>
      <c r="W464" s="7"/>
      <c r="X464" s="7"/>
      <c r="Y464" s="7"/>
    </row>
    <row r="465" spans="1:25" ht="19.5" customHeight="1">
      <c r="A465" s="23"/>
      <c r="B465" s="23"/>
      <c r="C465" s="7"/>
      <c r="D465" s="7"/>
      <c r="E465" s="7"/>
      <c r="F465" s="7"/>
      <c r="G465" s="7"/>
      <c r="H465" s="7"/>
      <c r="I465" s="7"/>
      <c r="J465" s="7"/>
      <c r="K465" s="7"/>
      <c r="L465" s="7"/>
      <c r="M465" s="7"/>
      <c r="N465" s="7"/>
      <c r="O465" s="7"/>
      <c r="P465" s="7"/>
      <c r="Q465" s="7"/>
      <c r="R465" s="7"/>
      <c r="S465" s="7"/>
      <c r="T465" s="7"/>
      <c r="U465" s="7"/>
      <c r="V465" s="7"/>
      <c r="W465" s="7"/>
      <c r="X465" s="7"/>
      <c r="Y465" s="7"/>
    </row>
    <row r="466" spans="1:25" ht="19.5" customHeight="1">
      <c r="A466" s="23"/>
      <c r="B466" s="23"/>
      <c r="C466" s="7"/>
      <c r="D466" s="7"/>
      <c r="E466" s="7"/>
      <c r="F466" s="7"/>
      <c r="G466" s="7"/>
      <c r="H466" s="7"/>
      <c r="I466" s="7"/>
      <c r="J466" s="7"/>
      <c r="K466" s="7"/>
      <c r="L466" s="7"/>
      <c r="M466" s="7"/>
      <c r="N466" s="7"/>
      <c r="O466" s="7"/>
      <c r="P466" s="7"/>
      <c r="Q466" s="7"/>
      <c r="R466" s="7"/>
      <c r="S466" s="7"/>
      <c r="T466" s="7"/>
      <c r="U466" s="7"/>
      <c r="V466" s="7"/>
      <c r="W466" s="7"/>
      <c r="X466" s="7"/>
      <c r="Y466" s="7"/>
    </row>
    <row r="467" spans="1:25" ht="19.5" customHeight="1">
      <c r="A467" s="23"/>
      <c r="B467" s="23"/>
      <c r="C467" s="7"/>
      <c r="D467" s="7"/>
      <c r="E467" s="7"/>
      <c r="F467" s="7"/>
      <c r="G467" s="7"/>
      <c r="H467" s="7"/>
      <c r="I467" s="7"/>
      <c r="J467" s="7"/>
      <c r="K467" s="7"/>
      <c r="L467" s="7"/>
      <c r="M467" s="7"/>
      <c r="N467" s="7"/>
      <c r="O467" s="7"/>
      <c r="P467" s="7"/>
      <c r="Q467" s="7"/>
      <c r="R467" s="7"/>
      <c r="S467" s="7"/>
      <c r="T467" s="7"/>
      <c r="U467" s="7"/>
      <c r="V467" s="7"/>
      <c r="W467" s="7"/>
      <c r="X467" s="7"/>
      <c r="Y467" s="7"/>
    </row>
    <row r="468" spans="1:25" ht="19.5" customHeight="1">
      <c r="A468" s="23"/>
      <c r="B468" s="23"/>
      <c r="C468" s="7"/>
      <c r="D468" s="7"/>
      <c r="E468" s="7"/>
      <c r="F468" s="7"/>
      <c r="G468" s="7"/>
      <c r="H468" s="7"/>
      <c r="I468" s="7"/>
      <c r="J468" s="7"/>
      <c r="K468" s="7"/>
      <c r="L468" s="7"/>
      <c r="M468" s="7"/>
      <c r="N468" s="7"/>
      <c r="O468" s="7"/>
      <c r="P468" s="7"/>
      <c r="Q468" s="7"/>
      <c r="R468" s="7"/>
      <c r="S468" s="7"/>
      <c r="T468" s="7"/>
      <c r="U468" s="7"/>
      <c r="V468" s="7"/>
      <c r="W468" s="7"/>
      <c r="X468" s="7"/>
      <c r="Y468" s="7"/>
    </row>
    <row r="469" spans="1:25" ht="19.5" customHeight="1">
      <c r="A469" s="23"/>
      <c r="B469" s="23"/>
      <c r="C469" s="7"/>
      <c r="D469" s="7"/>
      <c r="E469" s="7"/>
      <c r="F469" s="7"/>
      <c r="G469" s="7"/>
      <c r="H469" s="7"/>
      <c r="I469" s="7"/>
      <c r="J469" s="7"/>
      <c r="K469" s="7"/>
      <c r="L469" s="7"/>
      <c r="M469" s="7"/>
      <c r="N469" s="7"/>
      <c r="O469" s="7"/>
      <c r="P469" s="7"/>
      <c r="Q469" s="7"/>
      <c r="R469" s="7"/>
      <c r="S469" s="7"/>
      <c r="T469" s="7"/>
      <c r="U469" s="7"/>
      <c r="V469" s="7"/>
      <c r="W469" s="7"/>
      <c r="X469" s="7"/>
      <c r="Y469" s="7"/>
    </row>
    <row r="470" spans="1:25" ht="19.5" customHeight="1">
      <c r="A470" s="23"/>
      <c r="B470" s="23"/>
      <c r="C470" s="7"/>
      <c r="D470" s="7"/>
      <c r="E470" s="7"/>
      <c r="F470" s="7"/>
      <c r="G470" s="7"/>
      <c r="H470" s="7"/>
      <c r="I470" s="7"/>
      <c r="J470" s="7"/>
      <c r="K470" s="7"/>
      <c r="L470" s="7"/>
      <c r="M470" s="7"/>
      <c r="N470" s="7"/>
      <c r="O470" s="7"/>
      <c r="P470" s="7"/>
      <c r="Q470" s="7"/>
      <c r="R470" s="7"/>
      <c r="S470" s="7"/>
      <c r="T470" s="7"/>
      <c r="U470" s="7"/>
      <c r="V470" s="7"/>
      <c r="W470" s="7"/>
      <c r="X470" s="7"/>
      <c r="Y470" s="7"/>
    </row>
    <row r="471" spans="1:25" ht="19.5" customHeight="1">
      <c r="A471" s="23"/>
      <c r="B471" s="23"/>
      <c r="C471" s="7"/>
      <c r="D471" s="7"/>
      <c r="E471" s="7"/>
      <c r="F471" s="7"/>
      <c r="G471" s="7"/>
      <c r="H471" s="7"/>
      <c r="I471" s="7"/>
      <c r="J471" s="7"/>
      <c r="K471" s="7"/>
      <c r="L471" s="7"/>
      <c r="M471" s="7"/>
      <c r="N471" s="7"/>
      <c r="O471" s="7"/>
      <c r="P471" s="7"/>
      <c r="Q471" s="7"/>
      <c r="R471" s="7"/>
      <c r="S471" s="7"/>
      <c r="T471" s="7"/>
      <c r="U471" s="7"/>
      <c r="V471" s="7"/>
      <c r="W471" s="7"/>
      <c r="X471" s="7"/>
      <c r="Y471" s="7"/>
    </row>
    <row r="472" spans="1:25" ht="19.5" customHeight="1">
      <c r="A472" s="23"/>
      <c r="B472" s="23"/>
      <c r="C472" s="7"/>
      <c r="D472" s="7"/>
      <c r="E472" s="7"/>
      <c r="F472" s="7"/>
      <c r="G472" s="7"/>
      <c r="H472" s="7"/>
      <c r="I472" s="7"/>
      <c r="J472" s="7"/>
      <c r="K472" s="7"/>
      <c r="L472" s="7"/>
      <c r="M472" s="7"/>
      <c r="N472" s="7"/>
      <c r="O472" s="7"/>
      <c r="P472" s="7"/>
      <c r="Q472" s="7"/>
      <c r="R472" s="7"/>
      <c r="S472" s="7"/>
      <c r="T472" s="7"/>
      <c r="U472" s="7"/>
      <c r="V472" s="7"/>
      <c r="W472" s="7"/>
      <c r="X472" s="7"/>
      <c r="Y472" s="7"/>
    </row>
    <row r="473" spans="1:25" ht="19.5" customHeight="1">
      <c r="A473" s="23"/>
      <c r="B473" s="23"/>
      <c r="C473" s="7"/>
      <c r="D473" s="7"/>
      <c r="E473" s="7"/>
      <c r="F473" s="7"/>
      <c r="G473" s="7"/>
      <c r="H473" s="7"/>
      <c r="I473" s="7"/>
      <c r="J473" s="7"/>
      <c r="K473" s="7"/>
      <c r="L473" s="7"/>
      <c r="M473" s="7"/>
      <c r="N473" s="7"/>
      <c r="O473" s="7"/>
      <c r="P473" s="7"/>
      <c r="Q473" s="7"/>
      <c r="R473" s="7"/>
      <c r="S473" s="7"/>
      <c r="T473" s="7"/>
      <c r="U473" s="7"/>
      <c r="V473" s="7"/>
      <c r="W473" s="7"/>
      <c r="X473" s="7"/>
      <c r="Y473" s="7"/>
    </row>
    <row r="474" spans="1:25" ht="19.5" customHeight="1">
      <c r="A474" s="23"/>
      <c r="B474" s="23"/>
      <c r="C474" s="7"/>
      <c r="D474" s="7"/>
      <c r="E474" s="7"/>
      <c r="F474" s="7"/>
      <c r="G474" s="7"/>
      <c r="H474" s="7"/>
      <c r="I474" s="7"/>
      <c r="J474" s="7"/>
      <c r="K474" s="7"/>
      <c r="L474" s="7"/>
      <c r="M474" s="7"/>
      <c r="N474" s="7"/>
      <c r="O474" s="7"/>
      <c r="P474" s="7"/>
      <c r="Q474" s="7"/>
      <c r="R474" s="7"/>
      <c r="S474" s="7"/>
      <c r="T474" s="7"/>
      <c r="U474" s="7"/>
      <c r="V474" s="7"/>
      <c r="W474" s="7"/>
      <c r="X474" s="7"/>
      <c r="Y474" s="7"/>
    </row>
    <row r="475" spans="1:25" ht="19.5" customHeight="1">
      <c r="A475" s="23"/>
      <c r="B475" s="23"/>
      <c r="C475" s="7"/>
      <c r="D475" s="7"/>
      <c r="E475" s="7"/>
      <c r="F475" s="7"/>
      <c r="G475" s="7"/>
      <c r="H475" s="7"/>
      <c r="I475" s="7"/>
      <c r="J475" s="7"/>
      <c r="K475" s="7"/>
      <c r="L475" s="7"/>
      <c r="M475" s="7"/>
      <c r="N475" s="7"/>
      <c r="O475" s="7"/>
      <c r="P475" s="7"/>
      <c r="Q475" s="7"/>
      <c r="R475" s="7"/>
      <c r="S475" s="7"/>
      <c r="T475" s="7"/>
      <c r="U475" s="7"/>
      <c r="V475" s="7"/>
      <c r="W475" s="7"/>
      <c r="X475" s="7"/>
      <c r="Y475" s="7"/>
    </row>
    <row r="476" spans="1:25" ht="19.5" customHeight="1">
      <c r="A476" s="23"/>
      <c r="B476" s="23"/>
      <c r="C476" s="7"/>
      <c r="D476" s="7"/>
      <c r="E476" s="7"/>
      <c r="F476" s="7"/>
      <c r="G476" s="7"/>
      <c r="H476" s="7"/>
      <c r="I476" s="7"/>
      <c r="J476" s="7"/>
      <c r="K476" s="7"/>
      <c r="L476" s="7"/>
      <c r="M476" s="7"/>
      <c r="N476" s="7"/>
      <c r="O476" s="7"/>
      <c r="P476" s="7"/>
      <c r="Q476" s="7"/>
      <c r="R476" s="7"/>
      <c r="S476" s="7"/>
      <c r="T476" s="7"/>
      <c r="U476" s="7"/>
      <c r="V476" s="7"/>
      <c r="W476" s="7"/>
      <c r="X476" s="7"/>
      <c r="Y476" s="7"/>
    </row>
    <row r="477" spans="1:25" ht="19.5" customHeight="1">
      <c r="A477" s="23"/>
      <c r="B477" s="23"/>
      <c r="C477" s="7"/>
      <c r="D477" s="7"/>
      <c r="E477" s="7"/>
      <c r="F477" s="7"/>
      <c r="G477" s="7"/>
      <c r="H477" s="7"/>
      <c r="I477" s="7"/>
      <c r="J477" s="7"/>
      <c r="K477" s="7"/>
      <c r="L477" s="7"/>
      <c r="M477" s="7"/>
      <c r="N477" s="7"/>
      <c r="O477" s="7"/>
      <c r="P477" s="7"/>
      <c r="Q477" s="7"/>
      <c r="R477" s="7"/>
      <c r="S477" s="7"/>
      <c r="T477" s="7"/>
      <c r="U477" s="7"/>
      <c r="V477" s="7"/>
      <c r="W477" s="7"/>
      <c r="X477" s="7"/>
      <c r="Y477" s="7"/>
    </row>
    <row r="478" spans="1:25" ht="19.5" customHeight="1">
      <c r="A478" s="23"/>
      <c r="B478" s="23"/>
      <c r="C478" s="7"/>
      <c r="D478" s="7"/>
      <c r="E478" s="7"/>
      <c r="F478" s="7"/>
      <c r="G478" s="7"/>
      <c r="H478" s="7"/>
      <c r="I478" s="7"/>
      <c r="J478" s="7"/>
      <c r="K478" s="7"/>
      <c r="L478" s="7"/>
      <c r="M478" s="7"/>
      <c r="N478" s="7"/>
      <c r="O478" s="7"/>
      <c r="P478" s="7"/>
      <c r="Q478" s="7"/>
      <c r="R478" s="7"/>
      <c r="S478" s="7"/>
      <c r="T478" s="7"/>
      <c r="U478" s="7"/>
      <c r="V478" s="7"/>
      <c r="W478" s="7"/>
      <c r="X478" s="7"/>
      <c r="Y478" s="7"/>
    </row>
    <row r="479" spans="1:25" ht="19.5" customHeight="1">
      <c r="A479" s="23"/>
      <c r="B479" s="23"/>
      <c r="C479" s="7"/>
      <c r="D479" s="7"/>
      <c r="E479" s="7"/>
      <c r="F479" s="7"/>
      <c r="G479" s="7"/>
      <c r="H479" s="7"/>
      <c r="I479" s="7"/>
      <c r="J479" s="7"/>
      <c r="K479" s="7"/>
      <c r="L479" s="7"/>
      <c r="M479" s="7"/>
      <c r="N479" s="7"/>
      <c r="O479" s="7"/>
      <c r="P479" s="7"/>
      <c r="Q479" s="7"/>
      <c r="R479" s="7"/>
      <c r="S479" s="7"/>
      <c r="T479" s="7"/>
      <c r="U479" s="7"/>
      <c r="V479" s="7"/>
      <c r="W479" s="7"/>
      <c r="X479" s="7"/>
      <c r="Y479" s="7"/>
    </row>
    <row r="480" spans="1:25" ht="19.5" customHeight="1">
      <c r="A480" s="23"/>
      <c r="B480" s="23"/>
      <c r="C480" s="7"/>
      <c r="D480" s="7"/>
      <c r="E480" s="7"/>
      <c r="F480" s="7"/>
      <c r="G480" s="7"/>
      <c r="H480" s="7"/>
      <c r="I480" s="7"/>
      <c r="J480" s="7"/>
      <c r="K480" s="7"/>
      <c r="L480" s="7"/>
      <c r="M480" s="7"/>
      <c r="N480" s="7"/>
      <c r="O480" s="7"/>
      <c r="P480" s="7"/>
      <c r="Q480" s="7"/>
      <c r="R480" s="7"/>
      <c r="S480" s="7"/>
      <c r="T480" s="7"/>
      <c r="U480" s="7"/>
      <c r="V480" s="7"/>
      <c r="W480" s="7"/>
      <c r="X480" s="7"/>
      <c r="Y480" s="7"/>
    </row>
    <row r="481" spans="1:25" ht="19.5" customHeight="1">
      <c r="A481" s="23"/>
      <c r="B481" s="23"/>
      <c r="C481" s="7"/>
      <c r="D481" s="7"/>
      <c r="E481" s="7"/>
      <c r="F481" s="7"/>
      <c r="G481" s="7"/>
      <c r="H481" s="7"/>
      <c r="I481" s="7"/>
      <c r="J481" s="7"/>
      <c r="K481" s="7"/>
      <c r="L481" s="7"/>
      <c r="M481" s="7"/>
      <c r="N481" s="7"/>
      <c r="O481" s="7"/>
      <c r="P481" s="7"/>
      <c r="Q481" s="7"/>
      <c r="R481" s="7"/>
      <c r="S481" s="7"/>
      <c r="T481" s="7"/>
      <c r="U481" s="7"/>
      <c r="V481" s="7"/>
      <c r="W481" s="7"/>
      <c r="X481" s="7"/>
      <c r="Y481" s="7"/>
    </row>
    <row r="482" spans="1:25" ht="19.5" customHeight="1">
      <c r="A482" s="23"/>
      <c r="B482" s="23"/>
      <c r="C482" s="7"/>
      <c r="D482" s="7"/>
      <c r="E482" s="7"/>
      <c r="F482" s="7"/>
      <c r="G482" s="7"/>
      <c r="H482" s="7"/>
      <c r="I482" s="7"/>
      <c r="J482" s="7"/>
      <c r="K482" s="7"/>
      <c r="L482" s="7"/>
      <c r="M482" s="7"/>
      <c r="N482" s="7"/>
      <c r="O482" s="7"/>
      <c r="P482" s="7"/>
      <c r="Q482" s="7"/>
      <c r="R482" s="7"/>
      <c r="S482" s="7"/>
      <c r="T482" s="7"/>
      <c r="U482" s="7"/>
      <c r="V482" s="7"/>
      <c r="W482" s="7"/>
      <c r="X482" s="7"/>
      <c r="Y482" s="7"/>
    </row>
    <row r="483" spans="1:25" ht="19.5" customHeight="1">
      <c r="A483" s="23"/>
      <c r="B483" s="23"/>
      <c r="C483" s="7"/>
      <c r="D483" s="7"/>
      <c r="E483" s="7"/>
      <c r="F483" s="7"/>
      <c r="G483" s="7"/>
      <c r="H483" s="7"/>
      <c r="I483" s="7"/>
      <c r="J483" s="7"/>
      <c r="K483" s="7"/>
      <c r="L483" s="7"/>
      <c r="M483" s="7"/>
      <c r="N483" s="7"/>
      <c r="O483" s="7"/>
      <c r="P483" s="7"/>
      <c r="Q483" s="7"/>
      <c r="R483" s="7"/>
      <c r="S483" s="7"/>
      <c r="T483" s="7"/>
      <c r="U483" s="7"/>
      <c r="V483" s="7"/>
      <c r="W483" s="7"/>
      <c r="X483" s="7"/>
      <c r="Y483" s="7"/>
    </row>
    <row r="484" spans="1:25" ht="19.5" customHeight="1">
      <c r="A484" s="23"/>
      <c r="B484" s="23"/>
      <c r="C484" s="7"/>
      <c r="D484" s="7"/>
      <c r="E484" s="7"/>
      <c r="F484" s="7"/>
      <c r="G484" s="7"/>
      <c r="H484" s="7"/>
      <c r="I484" s="7"/>
      <c r="J484" s="7"/>
      <c r="K484" s="7"/>
      <c r="L484" s="7"/>
      <c r="M484" s="7"/>
      <c r="N484" s="7"/>
      <c r="O484" s="7"/>
      <c r="P484" s="7"/>
      <c r="Q484" s="7"/>
      <c r="R484" s="7"/>
      <c r="S484" s="7"/>
      <c r="T484" s="7"/>
      <c r="U484" s="7"/>
      <c r="V484" s="7"/>
      <c r="W484" s="7"/>
      <c r="X484" s="7"/>
      <c r="Y484" s="7"/>
    </row>
    <row r="485" spans="1:25" ht="19.5" customHeight="1">
      <c r="A485" s="23"/>
      <c r="B485" s="23"/>
      <c r="C485" s="7"/>
      <c r="D485" s="7"/>
      <c r="E485" s="7"/>
      <c r="F485" s="7"/>
      <c r="G485" s="7"/>
      <c r="H485" s="7"/>
      <c r="I485" s="7"/>
      <c r="J485" s="7"/>
      <c r="K485" s="7"/>
      <c r="L485" s="7"/>
      <c r="M485" s="7"/>
      <c r="N485" s="7"/>
      <c r="O485" s="7"/>
      <c r="P485" s="7"/>
      <c r="Q485" s="7"/>
      <c r="R485" s="7"/>
      <c r="S485" s="7"/>
      <c r="T485" s="7"/>
      <c r="U485" s="7"/>
      <c r="V485" s="7"/>
      <c r="W485" s="7"/>
      <c r="X485" s="7"/>
      <c r="Y485" s="7"/>
    </row>
    <row r="486" spans="1:25" ht="19.5" customHeight="1">
      <c r="A486" s="23"/>
      <c r="B486" s="23"/>
      <c r="C486" s="7"/>
      <c r="D486" s="7"/>
      <c r="E486" s="7"/>
      <c r="F486" s="7"/>
      <c r="G486" s="7"/>
      <c r="H486" s="7"/>
      <c r="I486" s="7"/>
      <c r="J486" s="7"/>
      <c r="K486" s="7"/>
      <c r="L486" s="7"/>
      <c r="M486" s="7"/>
      <c r="N486" s="7"/>
      <c r="O486" s="7"/>
      <c r="P486" s="7"/>
      <c r="Q486" s="7"/>
      <c r="R486" s="7"/>
      <c r="S486" s="7"/>
      <c r="T486" s="7"/>
      <c r="U486" s="7"/>
      <c r="V486" s="7"/>
      <c r="W486" s="7"/>
      <c r="X486" s="7"/>
      <c r="Y486" s="7"/>
    </row>
    <row r="487" spans="1:25" ht="19.5" customHeight="1">
      <c r="A487" s="23"/>
      <c r="B487" s="23"/>
      <c r="C487" s="7"/>
      <c r="D487" s="7"/>
      <c r="E487" s="7"/>
      <c r="F487" s="7"/>
      <c r="G487" s="7"/>
      <c r="H487" s="7"/>
      <c r="I487" s="7"/>
      <c r="J487" s="7"/>
      <c r="K487" s="7"/>
      <c r="L487" s="7"/>
      <c r="M487" s="7"/>
      <c r="N487" s="7"/>
      <c r="O487" s="7"/>
      <c r="P487" s="7"/>
      <c r="Q487" s="7"/>
      <c r="R487" s="7"/>
      <c r="S487" s="7"/>
      <c r="T487" s="7"/>
      <c r="U487" s="7"/>
      <c r="V487" s="7"/>
      <c r="W487" s="7"/>
      <c r="X487" s="7"/>
      <c r="Y487" s="7"/>
    </row>
    <row r="488" spans="1:25" ht="19.5" customHeight="1">
      <c r="A488" s="23"/>
      <c r="B488" s="23"/>
      <c r="C488" s="7"/>
      <c r="D488" s="7"/>
      <c r="E488" s="7"/>
      <c r="F488" s="7"/>
      <c r="G488" s="7"/>
      <c r="H488" s="7"/>
      <c r="I488" s="7"/>
      <c r="J488" s="7"/>
      <c r="K488" s="7"/>
      <c r="L488" s="7"/>
      <c r="M488" s="7"/>
      <c r="N488" s="7"/>
      <c r="O488" s="7"/>
      <c r="P488" s="7"/>
      <c r="Q488" s="7"/>
      <c r="R488" s="7"/>
      <c r="S488" s="7"/>
      <c r="T488" s="7"/>
      <c r="U488" s="7"/>
      <c r="V488" s="7"/>
      <c r="W488" s="7"/>
      <c r="X488" s="7"/>
      <c r="Y488" s="7"/>
    </row>
    <row r="489" spans="1:25" ht="19.5" customHeight="1">
      <c r="A489" s="23"/>
      <c r="B489" s="23"/>
      <c r="C489" s="7"/>
      <c r="D489" s="7"/>
      <c r="E489" s="7"/>
      <c r="F489" s="7"/>
      <c r="G489" s="7"/>
      <c r="H489" s="7"/>
      <c r="I489" s="7"/>
      <c r="J489" s="7"/>
      <c r="K489" s="7"/>
      <c r="L489" s="7"/>
      <c r="M489" s="7"/>
      <c r="N489" s="7"/>
      <c r="O489" s="7"/>
      <c r="P489" s="7"/>
      <c r="Q489" s="7"/>
      <c r="R489" s="7"/>
      <c r="S489" s="7"/>
      <c r="T489" s="7"/>
      <c r="U489" s="7"/>
      <c r="V489" s="7"/>
      <c r="W489" s="7"/>
      <c r="X489" s="7"/>
      <c r="Y489" s="7"/>
    </row>
    <row r="490" spans="1:25" ht="19.5" customHeight="1">
      <c r="A490" s="23"/>
      <c r="B490" s="23"/>
      <c r="C490" s="7"/>
      <c r="D490" s="7"/>
      <c r="E490" s="7"/>
      <c r="F490" s="7"/>
      <c r="G490" s="7"/>
      <c r="H490" s="7"/>
      <c r="I490" s="7"/>
      <c r="J490" s="7"/>
      <c r="K490" s="7"/>
      <c r="L490" s="7"/>
      <c r="M490" s="7"/>
      <c r="N490" s="7"/>
      <c r="O490" s="7"/>
      <c r="P490" s="7"/>
      <c r="Q490" s="7"/>
      <c r="R490" s="7"/>
      <c r="S490" s="7"/>
      <c r="T490" s="7"/>
      <c r="U490" s="7"/>
      <c r="V490" s="7"/>
      <c r="W490" s="7"/>
      <c r="X490" s="7"/>
      <c r="Y490" s="7"/>
    </row>
    <row r="491" spans="1:25" ht="19.5" customHeight="1">
      <c r="A491" s="23"/>
      <c r="B491" s="23"/>
      <c r="C491" s="7"/>
      <c r="D491" s="7"/>
      <c r="E491" s="7"/>
      <c r="F491" s="7"/>
      <c r="G491" s="7"/>
      <c r="H491" s="7"/>
      <c r="I491" s="7"/>
      <c r="J491" s="7"/>
      <c r="K491" s="7"/>
      <c r="L491" s="7"/>
      <c r="M491" s="7"/>
      <c r="N491" s="7"/>
      <c r="O491" s="7"/>
      <c r="P491" s="7"/>
      <c r="Q491" s="7"/>
      <c r="R491" s="7"/>
      <c r="S491" s="7"/>
      <c r="T491" s="7"/>
      <c r="U491" s="7"/>
      <c r="V491" s="7"/>
      <c r="W491" s="7"/>
      <c r="X491" s="7"/>
      <c r="Y491" s="7"/>
    </row>
    <row r="492" spans="1:25" ht="19.5" customHeight="1">
      <c r="A492" s="23"/>
      <c r="B492" s="23"/>
      <c r="C492" s="7"/>
      <c r="D492" s="7"/>
      <c r="E492" s="7"/>
      <c r="F492" s="7"/>
      <c r="G492" s="7"/>
      <c r="H492" s="7"/>
      <c r="I492" s="7"/>
      <c r="J492" s="7"/>
      <c r="K492" s="7"/>
      <c r="L492" s="7"/>
      <c r="M492" s="7"/>
      <c r="N492" s="7"/>
      <c r="O492" s="7"/>
      <c r="P492" s="7"/>
      <c r="Q492" s="7"/>
      <c r="R492" s="7"/>
      <c r="S492" s="7"/>
      <c r="T492" s="7"/>
      <c r="U492" s="7"/>
      <c r="V492" s="7"/>
      <c r="W492" s="7"/>
      <c r="X492" s="7"/>
      <c r="Y492" s="7"/>
    </row>
    <row r="493" spans="1:25" ht="19.5" customHeight="1">
      <c r="A493" s="23"/>
      <c r="B493" s="23"/>
      <c r="C493" s="7"/>
      <c r="D493" s="7"/>
      <c r="E493" s="7"/>
      <c r="F493" s="7"/>
      <c r="G493" s="7"/>
      <c r="H493" s="7"/>
      <c r="I493" s="7"/>
      <c r="J493" s="7"/>
      <c r="K493" s="7"/>
      <c r="L493" s="7"/>
      <c r="M493" s="7"/>
      <c r="N493" s="7"/>
      <c r="O493" s="7"/>
      <c r="P493" s="7"/>
      <c r="Q493" s="7"/>
      <c r="R493" s="7"/>
      <c r="S493" s="7"/>
      <c r="T493" s="7"/>
      <c r="U493" s="7"/>
      <c r="V493" s="7"/>
      <c r="W493" s="7"/>
      <c r="X493" s="7"/>
      <c r="Y493" s="7"/>
    </row>
    <row r="494" spans="1:25" ht="19.5" customHeight="1">
      <c r="A494" s="23"/>
      <c r="B494" s="23"/>
      <c r="C494" s="7"/>
      <c r="D494" s="7"/>
      <c r="E494" s="7"/>
      <c r="F494" s="7"/>
      <c r="G494" s="7"/>
      <c r="H494" s="7"/>
      <c r="I494" s="7"/>
      <c r="J494" s="7"/>
      <c r="K494" s="7"/>
      <c r="L494" s="7"/>
      <c r="M494" s="7"/>
      <c r="N494" s="7"/>
      <c r="O494" s="7"/>
      <c r="P494" s="7"/>
      <c r="Q494" s="7"/>
      <c r="R494" s="7"/>
      <c r="S494" s="7"/>
      <c r="T494" s="7"/>
      <c r="U494" s="7"/>
      <c r="V494" s="7"/>
      <c r="W494" s="7"/>
      <c r="X494" s="7"/>
      <c r="Y494" s="7"/>
    </row>
    <row r="495" spans="1:25" ht="19.5" customHeight="1">
      <c r="A495" s="23"/>
      <c r="B495" s="23"/>
      <c r="C495" s="7"/>
      <c r="D495" s="7"/>
      <c r="E495" s="7"/>
      <c r="F495" s="7"/>
      <c r="G495" s="7"/>
      <c r="H495" s="7"/>
      <c r="I495" s="7"/>
      <c r="J495" s="7"/>
      <c r="K495" s="7"/>
      <c r="L495" s="7"/>
      <c r="M495" s="7"/>
      <c r="N495" s="7"/>
      <c r="O495" s="7"/>
      <c r="P495" s="7"/>
      <c r="Q495" s="7"/>
      <c r="R495" s="7"/>
      <c r="S495" s="7"/>
      <c r="T495" s="7"/>
      <c r="U495" s="7"/>
      <c r="V495" s="7"/>
      <c r="W495" s="7"/>
      <c r="X495" s="7"/>
      <c r="Y495" s="7"/>
    </row>
    <row r="496" spans="1:25" ht="19.5" customHeight="1">
      <c r="A496" s="23"/>
      <c r="B496" s="23"/>
      <c r="C496" s="7"/>
      <c r="D496" s="7"/>
      <c r="E496" s="7"/>
      <c r="F496" s="7"/>
      <c r="G496" s="7"/>
      <c r="H496" s="7"/>
      <c r="I496" s="7"/>
      <c r="J496" s="7"/>
      <c r="K496" s="7"/>
      <c r="L496" s="7"/>
      <c r="M496" s="7"/>
      <c r="N496" s="7"/>
      <c r="O496" s="7"/>
      <c r="P496" s="7"/>
      <c r="Q496" s="7"/>
      <c r="R496" s="7"/>
      <c r="S496" s="7"/>
      <c r="T496" s="7"/>
      <c r="U496" s="7"/>
      <c r="V496" s="7"/>
      <c r="W496" s="7"/>
      <c r="X496" s="7"/>
      <c r="Y496" s="7"/>
    </row>
    <row r="497" spans="1:25" ht="19.5" customHeight="1">
      <c r="A497" s="23"/>
      <c r="B497" s="23"/>
      <c r="C497" s="7"/>
      <c r="D497" s="7"/>
      <c r="E497" s="7"/>
      <c r="F497" s="7"/>
      <c r="G497" s="7"/>
      <c r="H497" s="7"/>
      <c r="I497" s="7"/>
      <c r="J497" s="7"/>
      <c r="K497" s="7"/>
      <c r="L497" s="7"/>
      <c r="M497" s="7"/>
      <c r="N497" s="7"/>
      <c r="O497" s="7"/>
      <c r="P497" s="7"/>
      <c r="Q497" s="7"/>
      <c r="R497" s="7"/>
      <c r="S497" s="7"/>
      <c r="T497" s="7"/>
      <c r="U497" s="7"/>
      <c r="V497" s="7"/>
      <c r="W497" s="7"/>
      <c r="X497" s="7"/>
      <c r="Y497" s="7"/>
    </row>
    <row r="498" spans="1:25" ht="19.5" customHeight="1">
      <c r="A498" s="23"/>
      <c r="B498" s="23"/>
      <c r="C498" s="7"/>
      <c r="D498" s="7"/>
      <c r="E498" s="7"/>
      <c r="F498" s="7"/>
      <c r="G498" s="7"/>
      <c r="H498" s="7"/>
      <c r="I498" s="7"/>
      <c r="J498" s="7"/>
      <c r="K498" s="7"/>
      <c r="L498" s="7"/>
      <c r="M498" s="7"/>
      <c r="N498" s="7"/>
      <c r="O498" s="7"/>
      <c r="P498" s="7"/>
      <c r="Q498" s="7"/>
      <c r="R498" s="7"/>
      <c r="S498" s="7"/>
      <c r="T498" s="7"/>
      <c r="U498" s="7"/>
      <c r="V498" s="7"/>
      <c r="W498" s="7"/>
      <c r="X498" s="7"/>
      <c r="Y498" s="7"/>
    </row>
    <row r="499" spans="1:25" ht="19.5" customHeight="1">
      <c r="A499" s="23"/>
      <c r="B499" s="23"/>
      <c r="C499" s="7"/>
      <c r="D499" s="7"/>
      <c r="E499" s="7"/>
      <c r="F499" s="7"/>
      <c r="G499" s="7"/>
      <c r="H499" s="7"/>
      <c r="I499" s="7"/>
      <c r="J499" s="7"/>
      <c r="K499" s="7"/>
      <c r="L499" s="7"/>
      <c r="M499" s="7"/>
      <c r="N499" s="7"/>
      <c r="O499" s="7"/>
      <c r="P499" s="7"/>
      <c r="Q499" s="7"/>
      <c r="R499" s="7"/>
      <c r="S499" s="7"/>
      <c r="T499" s="7"/>
      <c r="U499" s="7"/>
      <c r="V499" s="7"/>
      <c r="W499" s="7"/>
      <c r="X499" s="7"/>
      <c r="Y499" s="7"/>
    </row>
    <row r="500" spans="1:25" ht="19.5" customHeight="1">
      <c r="A500" s="23"/>
      <c r="B500" s="23"/>
      <c r="C500" s="7"/>
      <c r="D500" s="7"/>
      <c r="E500" s="7"/>
      <c r="F500" s="7"/>
      <c r="G500" s="7"/>
      <c r="H500" s="7"/>
      <c r="I500" s="7"/>
      <c r="J500" s="7"/>
      <c r="K500" s="7"/>
      <c r="L500" s="7"/>
      <c r="M500" s="7"/>
      <c r="N500" s="7"/>
      <c r="O500" s="7"/>
      <c r="P500" s="7"/>
      <c r="Q500" s="7"/>
      <c r="R500" s="7"/>
      <c r="S500" s="7"/>
      <c r="T500" s="7"/>
      <c r="U500" s="7"/>
      <c r="V500" s="7"/>
      <c r="W500" s="7"/>
      <c r="X500" s="7"/>
      <c r="Y500" s="7"/>
    </row>
    <row r="501" spans="1:25" ht="19.5" customHeight="1">
      <c r="A501" s="23"/>
      <c r="B501" s="23"/>
      <c r="C501" s="7"/>
      <c r="D501" s="7"/>
      <c r="E501" s="7"/>
      <c r="F501" s="7"/>
      <c r="G501" s="7"/>
      <c r="H501" s="7"/>
      <c r="I501" s="7"/>
      <c r="J501" s="7"/>
      <c r="K501" s="7"/>
      <c r="L501" s="7"/>
      <c r="M501" s="7"/>
      <c r="N501" s="7"/>
      <c r="O501" s="7"/>
      <c r="P501" s="7"/>
      <c r="Q501" s="7"/>
      <c r="R501" s="7"/>
      <c r="S501" s="7"/>
      <c r="T501" s="7"/>
      <c r="U501" s="7"/>
      <c r="V501" s="7"/>
      <c r="W501" s="7"/>
      <c r="X501" s="7"/>
      <c r="Y501" s="7"/>
    </row>
    <row r="502" spans="1:25" ht="19.5" customHeight="1">
      <c r="A502" s="23"/>
      <c r="B502" s="23"/>
      <c r="C502" s="7"/>
      <c r="D502" s="7"/>
      <c r="E502" s="7"/>
      <c r="F502" s="7"/>
      <c r="G502" s="7"/>
      <c r="H502" s="7"/>
      <c r="I502" s="7"/>
      <c r="J502" s="7"/>
      <c r="K502" s="7"/>
      <c r="L502" s="7"/>
      <c r="M502" s="7"/>
      <c r="N502" s="7"/>
      <c r="O502" s="7"/>
      <c r="P502" s="7"/>
      <c r="Q502" s="7"/>
      <c r="R502" s="7"/>
      <c r="S502" s="7"/>
      <c r="T502" s="7"/>
      <c r="U502" s="7"/>
      <c r="V502" s="7"/>
      <c r="W502" s="7"/>
      <c r="X502" s="7"/>
      <c r="Y502" s="7"/>
    </row>
    <row r="503" spans="1:25" ht="19.5" customHeight="1">
      <c r="A503" s="23"/>
      <c r="B503" s="23"/>
      <c r="C503" s="7"/>
      <c r="D503" s="7"/>
      <c r="E503" s="7"/>
      <c r="F503" s="7"/>
      <c r="G503" s="7"/>
      <c r="H503" s="7"/>
      <c r="I503" s="7"/>
      <c r="J503" s="7"/>
      <c r="K503" s="7"/>
      <c r="L503" s="7"/>
      <c r="M503" s="7"/>
      <c r="N503" s="7"/>
      <c r="O503" s="7"/>
      <c r="P503" s="7"/>
      <c r="Q503" s="7"/>
      <c r="R503" s="7"/>
      <c r="S503" s="7"/>
      <c r="T503" s="7"/>
      <c r="U503" s="7"/>
      <c r="V503" s="7"/>
      <c r="W503" s="7"/>
      <c r="X503" s="7"/>
      <c r="Y503" s="7"/>
    </row>
    <row r="504" spans="1:25" ht="19.5" customHeight="1">
      <c r="A504" s="23"/>
      <c r="B504" s="23"/>
      <c r="C504" s="7"/>
      <c r="D504" s="7"/>
      <c r="E504" s="7"/>
      <c r="F504" s="7"/>
      <c r="G504" s="7"/>
      <c r="H504" s="7"/>
      <c r="I504" s="7"/>
      <c r="J504" s="7"/>
      <c r="K504" s="7"/>
      <c r="L504" s="7"/>
      <c r="M504" s="7"/>
      <c r="N504" s="7"/>
      <c r="O504" s="7"/>
      <c r="P504" s="7"/>
      <c r="Q504" s="7"/>
      <c r="R504" s="7"/>
      <c r="S504" s="7"/>
      <c r="T504" s="7"/>
      <c r="U504" s="7"/>
      <c r="V504" s="7"/>
      <c r="W504" s="7"/>
      <c r="X504" s="7"/>
      <c r="Y504" s="7"/>
    </row>
    <row r="505" spans="1:25" ht="19.5" customHeight="1">
      <c r="A505" s="23"/>
      <c r="B505" s="23"/>
      <c r="C505" s="7"/>
      <c r="D505" s="7"/>
      <c r="E505" s="7"/>
      <c r="F505" s="7"/>
      <c r="G505" s="7"/>
      <c r="H505" s="7"/>
      <c r="I505" s="7"/>
      <c r="J505" s="7"/>
      <c r="K505" s="7"/>
      <c r="L505" s="7"/>
      <c r="M505" s="7"/>
      <c r="N505" s="7"/>
      <c r="O505" s="7"/>
      <c r="P505" s="7"/>
      <c r="Q505" s="7"/>
      <c r="R505" s="7"/>
      <c r="S505" s="7"/>
      <c r="T505" s="7"/>
      <c r="U505" s="7"/>
      <c r="V505" s="7"/>
      <c r="W505" s="7"/>
      <c r="X505" s="7"/>
      <c r="Y505" s="7"/>
    </row>
    <row r="506" spans="1:25" ht="19.5" customHeight="1">
      <c r="A506" s="23"/>
      <c r="B506" s="23"/>
      <c r="C506" s="7"/>
      <c r="D506" s="7"/>
      <c r="E506" s="7"/>
      <c r="F506" s="7"/>
      <c r="G506" s="7"/>
      <c r="H506" s="7"/>
      <c r="I506" s="7"/>
      <c r="J506" s="7"/>
      <c r="K506" s="7"/>
      <c r="L506" s="7"/>
      <c r="M506" s="7"/>
      <c r="N506" s="7"/>
      <c r="O506" s="7"/>
      <c r="P506" s="7"/>
      <c r="Q506" s="7"/>
      <c r="R506" s="7"/>
      <c r="S506" s="7"/>
      <c r="T506" s="7"/>
      <c r="U506" s="7"/>
      <c r="V506" s="7"/>
      <c r="W506" s="7"/>
      <c r="X506" s="7"/>
      <c r="Y506" s="7"/>
    </row>
    <row r="507" spans="1:25" ht="19.5" customHeight="1">
      <c r="A507" s="23"/>
      <c r="B507" s="23"/>
      <c r="C507" s="7"/>
      <c r="D507" s="7"/>
      <c r="E507" s="7"/>
      <c r="F507" s="7"/>
      <c r="G507" s="7"/>
      <c r="H507" s="7"/>
      <c r="I507" s="7"/>
      <c r="J507" s="7"/>
      <c r="K507" s="7"/>
      <c r="L507" s="7"/>
      <c r="M507" s="7"/>
      <c r="N507" s="7"/>
      <c r="O507" s="7"/>
      <c r="P507" s="7"/>
      <c r="Q507" s="7"/>
      <c r="R507" s="7"/>
      <c r="S507" s="7"/>
      <c r="T507" s="7"/>
      <c r="U507" s="7"/>
      <c r="V507" s="7"/>
      <c r="W507" s="7"/>
      <c r="X507" s="7"/>
      <c r="Y507" s="7"/>
    </row>
    <row r="508" spans="1:25" ht="19.5" customHeight="1">
      <c r="A508" s="23"/>
      <c r="B508" s="23"/>
      <c r="C508" s="7"/>
      <c r="D508" s="7"/>
      <c r="E508" s="7"/>
      <c r="F508" s="7"/>
      <c r="G508" s="7"/>
      <c r="H508" s="7"/>
      <c r="I508" s="7"/>
      <c r="J508" s="7"/>
      <c r="K508" s="7"/>
      <c r="L508" s="7"/>
      <c r="M508" s="7"/>
      <c r="N508" s="7"/>
      <c r="O508" s="7"/>
      <c r="P508" s="7"/>
      <c r="Q508" s="7"/>
      <c r="R508" s="7"/>
      <c r="S508" s="7"/>
      <c r="T508" s="7"/>
      <c r="U508" s="7"/>
      <c r="V508" s="7"/>
      <c r="W508" s="7"/>
      <c r="X508" s="7"/>
      <c r="Y508" s="7"/>
    </row>
    <row r="509" spans="1:25" ht="19.5" customHeight="1">
      <c r="A509" s="23"/>
      <c r="B509" s="23"/>
      <c r="C509" s="7"/>
      <c r="D509" s="7"/>
      <c r="E509" s="7"/>
      <c r="F509" s="7"/>
      <c r="G509" s="7"/>
      <c r="H509" s="7"/>
      <c r="I509" s="7"/>
      <c r="J509" s="7"/>
      <c r="K509" s="7"/>
      <c r="L509" s="7"/>
      <c r="M509" s="7"/>
      <c r="N509" s="7"/>
      <c r="O509" s="7"/>
      <c r="P509" s="7"/>
      <c r="Q509" s="7"/>
      <c r="R509" s="7"/>
      <c r="S509" s="7"/>
      <c r="T509" s="7"/>
      <c r="U509" s="7"/>
      <c r="V509" s="7"/>
      <c r="W509" s="7"/>
      <c r="X509" s="7"/>
      <c r="Y509" s="7"/>
    </row>
    <row r="510" spans="1:25" ht="19.5" customHeight="1">
      <c r="A510" s="23"/>
      <c r="B510" s="23"/>
      <c r="C510" s="7"/>
      <c r="D510" s="7"/>
      <c r="E510" s="7"/>
      <c r="F510" s="7"/>
      <c r="G510" s="7"/>
      <c r="H510" s="7"/>
      <c r="I510" s="7"/>
      <c r="J510" s="7"/>
      <c r="K510" s="7"/>
      <c r="L510" s="7"/>
      <c r="M510" s="7"/>
      <c r="N510" s="7"/>
      <c r="O510" s="7"/>
      <c r="P510" s="7"/>
      <c r="Q510" s="7"/>
      <c r="R510" s="7"/>
      <c r="S510" s="7"/>
      <c r="T510" s="7"/>
      <c r="U510" s="7"/>
      <c r="V510" s="7"/>
      <c r="W510" s="7"/>
      <c r="X510" s="7"/>
      <c r="Y510" s="7"/>
    </row>
    <row r="511" spans="1:25" ht="19.5" customHeight="1">
      <c r="A511" s="23"/>
      <c r="B511" s="23"/>
      <c r="C511" s="7"/>
      <c r="D511" s="7"/>
      <c r="E511" s="7"/>
      <c r="F511" s="7"/>
      <c r="G511" s="7"/>
      <c r="H511" s="7"/>
      <c r="I511" s="7"/>
      <c r="J511" s="7"/>
      <c r="K511" s="7"/>
      <c r="L511" s="7"/>
      <c r="M511" s="7"/>
      <c r="N511" s="7"/>
      <c r="O511" s="7"/>
      <c r="P511" s="7"/>
      <c r="Q511" s="7"/>
      <c r="R511" s="7"/>
      <c r="S511" s="7"/>
      <c r="T511" s="7"/>
      <c r="U511" s="7"/>
      <c r="V511" s="7"/>
      <c r="W511" s="7"/>
      <c r="X511" s="7"/>
      <c r="Y511" s="7"/>
    </row>
    <row r="512" spans="1:25" ht="19.5" customHeight="1">
      <c r="A512" s="23"/>
      <c r="B512" s="23"/>
      <c r="C512" s="7"/>
      <c r="D512" s="7"/>
      <c r="E512" s="7"/>
      <c r="F512" s="7"/>
      <c r="G512" s="7"/>
      <c r="H512" s="7"/>
      <c r="I512" s="7"/>
      <c r="J512" s="7"/>
      <c r="K512" s="7"/>
      <c r="L512" s="7"/>
      <c r="M512" s="7"/>
      <c r="N512" s="7"/>
      <c r="O512" s="7"/>
      <c r="P512" s="7"/>
      <c r="Q512" s="7"/>
      <c r="R512" s="7"/>
      <c r="S512" s="7"/>
      <c r="T512" s="7"/>
      <c r="U512" s="7"/>
      <c r="V512" s="7"/>
      <c r="W512" s="7"/>
      <c r="X512" s="7"/>
      <c r="Y512" s="7"/>
    </row>
    <row r="513" spans="1:25" ht="19.5" customHeight="1">
      <c r="A513" s="23"/>
      <c r="B513" s="23"/>
      <c r="C513" s="7"/>
      <c r="D513" s="7"/>
      <c r="E513" s="7"/>
      <c r="F513" s="7"/>
      <c r="G513" s="7"/>
      <c r="H513" s="7"/>
      <c r="I513" s="7"/>
      <c r="J513" s="7"/>
      <c r="K513" s="7"/>
      <c r="L513" s="7"/>
      <c r="M513" s="7"/>
      <c r="N513" s="7"/>
      <c r="O513" s="7"/>
      <c r="P513" s="7"/>
      <c r="Q513" s="7"/>
      <c r="R513" s="7"/>
      <c r="S513" s="7"/>
      <c r="T513" s="7"/>
      <c r="U513" s="7"/>
      <c r="V513" s="7"/>
      <c r="W513" s="7"/>
      <c r="X513" s="7"/>
      <c r="Y513" s="7"/>
    </row>
    <row r="514" spans="1:25" ht="19.5" customHeight="1">
      <c r="A514" s="23"/>
      <c r="B514" s="23"/>
      <c r="C514" s="7"/>
      <c r="D514" s="7"/>
      <c r="E514" s="7"/>
      <c r="F514" s="7"/>
      <c r="G514" s="7"/>
      <c r="H514" s="7"/>
      <c r="I514" s="7"/>
      <c r="J514" s="7"/>
      <c r="K514" s="7"/>
      <c r="L514" s="7"/>
      <c r="M514" s="7"/>
      <c r="N514" s="7"/>
      <c r="O514" s="7"/>
      <c r="P514" s="7"/>
      <c r="Q514" s="7"/>
      <c r="R514" s="7"/>
      <c r="S514" s="7"/>
      <c r="T514" s="7"/>
      <c r="U514" s="7"/>
      <c r="V514" s="7"/>
      <c r="W514" s="7"/>
      <c r="X514" s="7"/>
      <c r="Y514" s="7"/>
    </row>
    <row r="515" spans="1:25" ht="19.5" customHeight="1">
      <c r="A515" s="23"/>
      <c r="B515" s="23"/>
      <c r="C515" s="7"/>
      <c r="D515" s="7"/>
      <c r="E515" s="7"/>
      <c r="F515" s="7"/>
      <c r="G515" s="7"/>
      <c r="H515" s="7"/>
      <c r="I515" s="7"/>
      <c r="J515" s="7"/>
      <c r="K515" s="7"/>
      <c r="L515" s="7"/>
      <c r="M515" s="7"/>
      <c r="N515" s="7"/>
      <c r="O515" s="7"/>
      <c r="P515" s="7"/>
      <c r="Q515" s="7"/>
      <c r="R515" s="7"/>
      <c r="S515" s="7"/>
      <c r="T515" s="7"/>
      <c r="U515" s="7"/>
      <c r="V515" s="7"/>
      <c r="W515" s="7"/>
      <c r="X515" s="7"/>
      <c r="Y515" s="7"/>
    </row>
    <row r="516" spans="1:25" ht="19.5" customHeight="1">
      <c r="A516" s="23"/>
      <c r="B516" s="23"/>
      <c r="C516" s="7"/>
      <c r="D516" s="7"/>
      <c r="E516" s="7"/>
      <c r="F516" s="7"/>
      <c r="G516" s="7"/>
      <c r="H516" s="7"/>
      <c r="I516" s="7"/>
      <c r="J516" s="7"/>
      <c r="K516" s="7"/>
      <c r="L516" s="7"/>
      <c r="M516" s="7"/>
      <c r="N516" s="7"/>
      <c r="O516" s="7"/>
      <c r="P516" s="7"/>
      <c r="Q516" s="7"/>
      <c r="R516" s="7"/>
      <c r="S516" s="7"/>
      <c r="T516" s="7"/>
      <c r="U516" s="7"/>
      <c r="V516" s="7"/>
      <c r="W516" s="7"/>
      <c r="X516" s="7"/>
      <c r="Y516" s="7"/>
    </row>
    <row r="517" spans="1:25" ht="19.5" customHeight="1">
      <c r="A517" s="23"/>
      <c r="B517" s="23"/>
      <c r="C517" s="7"/>
      <c r="D517" s="7"/>
      <c r="E517" s="7"/>
      <c r="F517" s="7"/>
      <c r="G517" s="7"/>
      <c r="H517" s="7"/>
      <c r="I517" s="7"/>
      <c r="J517" s="7"/>
      <c r="K517" s="7"/>
      <c r="L517" s="7"/>
      <c r="M517" s="7"/>
      <c r="N517" s="7"/>
      <c r="O517" s="7"/>
      <c r="P517" s="7"/>
      <c r="Q517" s="7"/>
      <c r="R517" s="7"/>
      <c r="S517" s="7"/>
      <c r="T517" s="7"/>
      <c r="U517" s="7"/>
      <c r="V517" s="7"/>
      <c r="W517" s="7"/>
      <c r="X517" s="7"/>
      <c r="Y517" s="7"/>
    </row>
    <row r="518" spans="1:25" ht="19.5" customHeight="1">
      <c r="A518" s="23"/>
      <c r="B518" s="23"/>
      <c r="C518" s="7"/>
      <c r="D518" s="7"/>
      <c r="E518" s="7"/>
      <c r="F518" s="7"/>
      <c r="G518" s="7"/>
      <c r="H518" s="7"/>
      <c r="I518" s="7"/>
      <c r="J518" s="7"/>
      <c r="K518" s="7"/>
      <c r="L518" s="7"/>
      <c r="M518" s="7"/>
      <c r="N518" s="7"/>
      <c r="O518" s="7"/>
      <c r="P518" s="7"/>
      <c r="Q518" s="7"/>
      <c r="R518" s="7"/>
      <c r="S518" s="7"/>
      <c r="T518" s="7"/>
      <c r="U518" s="7"/>
      <c r="V518" s="7"/>
      <c r="W518" s="7"/>
      <c r="X518" s="7"/>
      <c r="Y518" s="7"/>
    </row>
    <row r="519" spans="1:25" ht="19.5" customHeight="1">
      <c r="A519" s="23"/>
      <c r="B519" s="23"/>
      <c r="C519" s="7"/>
      <c r="D519" s="7"/>
      <c r="E519" s="7"/>
      <c r="F519" s="7"/>
      <c r="G519" s="7"/>
      <c r="H519" s="7"/>
      <c r="I519" s="7"/>
      <c r="J519" s="7"/>
      <c r="K519" s="7"/>
      <c r="L519" s="7"/>
      <c r="M519" s="7"/>
      <c r="N519" s="7"/>
      <c r="O519" s="7"/>
      <c r="P519" s="7"/>
      <c r="Q519" s="7"/>
      <c r="R519" s="7"/>
      <c r="S519" s="7"/>
      <c r="T519" s="7"/>
      <c r="U519" s="7"/>
      <c r="V519" s="7"/>
      <c r="W519" s="7"/>
      <c r="X519" s="7"/>
      <c r="Y519" s="7"/>
    </row>
    <row r="520" spans="1:25" ht="19.5" customHeight="1">
      <c r="A520" s="23"/>
      <c r="B520" s="23"/>
      <c r="C520" s="7"/>
      <c r="D520" s="7"/>
      <c r="E520" s="7"/>
      <c r="F520" s="7"/>
      <c r="G520" s="7"/>
      <c r="H520" s="7"/>
      <c r="I520" s="7"/>
      <c r="J520" s="7"/>
      <c r="K520" s="7"/>
      <c r="L520" s="7"/>
      <c r="M520" s="7"/>
      <c r="N520" s="7"/>
      <c r="O520" s="7"/>
      <c r="P520" s="7"/>
      <c r="Q520" s="7"/>
      <c r="R520" s="7"/>
      <c r="S520" s="7"/>
      <c r="T520" s="7"/>
      <c r="U520" s="7"/>
      <c r="V520" s="7"/>
      <c r="W520" s="7"/>
      <c r="X520" s="7"/>
      <c r="Y520" s="7"/>
    </row>
    <row r="521" spans="1:25" ht="19.5" customHeight="1">
      <c r="A521" s="23"/>
      <c r="B521" s="23"/>
      <c r="C521" s="7"/>
      <c r="D521" s="7"/>
      <c r="E521" s="7"/>
      <c r="F521" s="7"/>
      <c r="G521" s="7"/>
      <c r="H521" s="7"/>
      <c r="I521" s="7"/>
      <c r="J521" s="7"/>
      <c r="K521" s="7"/>
      <c r="L521" s="7"/>
      <c r="M521" s="7"/>
      <c r="N521" s="7"/>
      <c r="O521" s="7"/>
      <c r="P521" s="7"/>
      <c r="Q521" s="7"/>
      <c r="R521" s="7"/>
      <c r="S521" s="7"/>
      <c r="T521" s="7"/>
      <c r="U521" s="7"/>
      <c r="V521" s="7"/>
      <c r="W521" s="7"/>
      <c r="X521" s="7"/>
      <c r="Y521" s="7"/>
    </row>
    <row r="522" spans="1:25" ht="19.5" customHeight="1">
      <c r="A522" s="23"/>
      <c r="B522" s="23"/>
      <c r="C522" s="7"/>
      <c r="D522" s="7"/>
      <c r="E522" s="7"/>
      <c r="F522" s="7"/>
      <c r="G522" s="7"/>
      <c r="H522" s="7"/>
      <c r="I522" s="7"/>
      <c r="J522" s="7"/>
      <c r="K522" s="7"/>
      <c r="L522" s="7"/>
      <c r="M522" s="7"/>
      <c r="N522" s="7"/>
      <c r="O522" s="7"/>
      <c r="P522" s="7"/>
      <c r="Q522" s="7"/>
      <c r="R522" s="7"/>
      <c r="S522" s="7"/>
      <c r="T522" s="7"/>
      <c r="U522" s="7"/>
      <c r="V522" s="7"/>
      <c r="W522" s="7"/>
      <c r="X522" s="7"/>
      <c r="Y522" s="7"/>
    </row>
    <row r="523" spans="1:25" ht="19.5" customHeight="1">
      <c r="A523" s="23"/>
      <c r="B523" s="23"/>
      <c r="C523" s="7"/>
      <c r="D523" s="7"/>
      <c r="E523" s="7"/>
      <c r="F523" s="7"/>
      <c r="G523" s="7"/>
      <c r="H523" s="7"/>
      <c r="I523" s="7"/>
      <c r="J523" s="7"/>
      <c r="K523" s="7"/>
      <c r="L523" s="7"/>
      <c r="M523" s="7"/>
      <c r="N523" s="7"/>
      <c r="O523" s="7"/>
      <c r="P523" s="7"/>
      <c r="Q523" s="7"/>
      <c r="R523" s="7"/>
      <c r="S523" s="7"/>
      <c r="T523" s="7"/>
      <c r="U523" s="7"/>
      <c r="V523" s="7"/>
      <c r="W523" s="7"/>
      <c r="X523" s="7"/>
      <c r="Y523" s="7"/>
    </row>
    <row r="524" spans="1:25" ht="19.5" customHeight="1">
      <c r="A524" s="23"/>
      <c r="B524" s="23"/>
      <c r="C524" s="7"/>
      <c r="D524" s="7"/>
      <c r="E524" s="7"/>
      <c r="F524" s="7"/>
      <c r="G524" s="7"/>
      <c r="H524" s="7"/>
      <c r="I524" s="7"/>
      <c r="J524" s="7"/>
      <c r="K524" s="7"/>
      <c r="L524" s="7"/>
      <c r="M524" s="7"/>
      <c r="N524" s="7"/>
      <c r="O524" s="7"/>
      <c r="P524" s="7"/>
      <c r="Q524" s="7"/>
      <c r="R524" s="7"/>
      <c r="S524" s="7"/>
      <c r="T524" s="7"/>
      <c r="U524" s="7"/>
      <c r="V524" s="7"/>
      <c r="W524" s="7"/>
      <c r="X524" s="7"/>
      <c r="Y524" s="7"/>
    </row>
    <row r="525" spans="1:25" ht="19.5" customHeight="1">
      <c r="A525" s="23"/>
      <c r="B525" s="23"/>
      <c r="C525" s="7"/>
      <c r="D525" s="7"/>
      <c r="E525" s="7"/>
      <c r="F525" s="7"/>
      <c r="G525" s="7"/>
      <c r="H525" s="7"/>
      <c r="I525" s="7"/>
      <c r="J525" s="7"/>
      <c r="K525" s="7"/>
      <c r="L525" s="7"/>
      <c r="M525" s="7"/>
      <c r="N525" s="7"/>
      <c r="O525" s="7"/>
      <c r="P525" s="7"/>
      <c r="Q525" s="7"/>
      <c r="R525" s="7"/>
      <c r="S525" s="7"/>
      <c r="T525" s="7"/>
      <c r="U525" s="7"/>
      <c r="V525" s="7"/>
      <c r="W525" s="7"/>
      <c r="X525" s="7"/>
      <c r="Y525" s="7"/>
    </row>
    <row r="526" spans="1:25" ht="19.5" customHeight="1">
      <c r="A526" s="23"/>
      <c r="B526" s="23"/>
      <c r="C526" s="7"/>
      <c r="D526" s="7"/>
      <c r="E526" s="7"/>
      <c r="F526" s="7"/>
      <c r="G526" s="7"/>
      <c r="H526" s="7"/>
      <c r="I526" s="7"/>
      <c r="J526" s="7"/>
      <c r="K526" s="7"/>
      <c r="L526" s="7"/>
      <c r="M526" s="7"/>
      <c r="N526" s="7"/>
      <c r="O526" s="7"/>
      <c r="P526" s="7"/>
      <c r="Q526" s="7"/>
      <c r="R526" s="7"/>
      <c r="S526" s="7"/>
      <c r="T526" s="7"/>
      <c r="U526" s="7"/>
      <c r="V526" s="7"/>
      <c r="W526" s="7"/>
      <c r="X526" s="7"/>
      <c r="Y526" s="7"/>
    </row>
    <row r="527" spans="1:25" ht="19.5" customHeight="1">
      <c r="A527" s="23"/>
      <c r="B527" s="23"/>
      <c r="C527" s="7"/>
      <c r="D527" s="7"/>
      <c r="E527" s="7"/>
      <c r="F527" s="7"/>
      <c r="G527" s="7"/>
      <c r="H527" s="7"/>
      <c r="I527" s="7"/>
      <c r="J527" s="7"/>
      <c r="K527" s="7"/>
      <c r="L527" s="7"/>
      <c r="M527" s="7"/>
      <c r="N527" s="7"/>
      <c r="O527" s="7"/>
      <c r="P527" s="7"/>
      <c r="Q527" s="7"/>
      <c r="R527" s="7"/>
      <c r="S527" s="7"/>
      <c r="T527" s="7"/>
      <c r="U527" s="7"/>
      <c r="V527" s="7"/>
      <c r="W527" s="7"/>
      <c r="X527" s="7"/>
      <c r="Y527" s="7"/>
    </row>
    <row r="528" spans="1:25" ht="19.5" customHeight="1">
      <c r="A528" s="23"/>
      <c r="B528" s="23"/>
      <c r="C528" s="7"/>
      <c r="D528" s="7"/>
      <c r="E528" s="7"/>
      <c r="F528" s="7"/>
      <c r="G528" s="7"/>
      <c r="H528" s="7"/>
      <c r="I528" s="7"/>
      <c r="J528" s="7"/>
      <c r="K528" s="7"/>
      <c r="L528" s="7"/>
      <c r="M528" s="7"/>
      <c r="N528" s="7"/>
      <c r="O528" s="7"/>
      <c r="P528" s="7"/>
      <c r="Q528" s="7"/>
      <c r="R528" s="7"/>
      <c r="S528" s="7"/>
      <c r="T528" s="7"/>
      <c r="U528" s="7"/>
      <c r="V528" s="7"/>
      <c r="W528" s="7"/>
      <c r="X528" s="7"/>
      <c r="Y528" s="7"/>
    </row>
    <row r="529" spans="1:25" ht="19.5" customHeight="1">
      <c r="A529" s="23"/>
      <c r="B529" s="23"/>
      <c r="C529" s="7"/>
      <c r="D529" s="7"/>
      <c r="E529" s="7"/>
      <c r="F529" s="7"/>
      <c r="G529" s="7"/>
      <c r="H529" s="7"/>
      <c r="I529" s="7"/>
      <c r="J529" s="7"/>
      <c r="K529" s="7"/>
      <c r="L529" s="7"/>
      <c r="M529" s="7"/>
      <c r="N529" s="7"/>
      <c r="O529" s="7"/>
      <c r="P529" s="7"/>
      <c r="Q529" s="7"/>
      <c r="R529" s="7"/>
      <c r="S529" s="7"/>
      <c r="T529" s="7"/>
      <c r="U529" s="7"/>
      <c r="V529" s="7"/>
      <c r="W529" s="7"/>
      <c r="X529" s="7"/>
      <c r="Y529" s="7"/>
    </row>
    <row r="530" spans="1:25" ht="19.5" customHeight="1">
      <c r="A530" s="23"/>
      <c r="B530" s="23"/>
      <c r="C530" s="7"/>
      <c r="D530" s="7"/>
      <c r="E530" s="7"/>
      <c r="F530" s="7"/>
      <c r="G530" s="7"/>
      <c r="H530" s="7"/>
      <c r="I530" s="7"/>
      <c r="J530" s="7"/>
      <c r="K530" s="7"/>
      <c r="L530" s="7"/>
      <c r="M530" s="7"/>
      <c r="N530" s="7"/>
      <c r="O530" s="7"/>
      <c r="P530" s="7"/>
      <c r="Q530" s="7"/>
      <c r="R530" s="7"/>
      <c r="S530" s="7"/>
      <c r="T530" s="7"/>
      <c r="U530" s="7"/>
      <c r="V530" s="7"/>
      <c r="W530" s="7"/>
      <c r="X530" s="7"/>
      <c r="Y530" s="7"/>
    </row>
    <row r="531" spans="1:25" ht="19.5" customHeight="1">
      <c r="A531" s="23"/>
      <c r="B531" s="23"/>
      <c r="C531" s="7"/>
      <c r="D531" s="7"/>
      <c r="E531" s="7"/>
      <c r="F531" s="7"/>
      <c r="G531" s="7"/>
      <c r="H531" s="7"/>
      <c r="I531" s="7"/>
      <c r="J531" s="7"/>
      <c r="K531" s="7"/>
      <c r="L531" s="7"/>
      <c r="M531" s="7"/>
      <c r="N531" s="7"/>
      <c r="O531" s="7"/>
      <c r="P531" s="7"/>
      <c r="Q531" s="7"/>
      <c r="R531" s="7"/>
      <c r="S531" s="7"/>
      <c r="T531" s="7"/>
      <c r="U531" s="7"/>
      <c r="V531" s="7"/>
      <c r="W531" s="7"/>
      <c r="X531" s="7"/>
      <c r="Y531" s="7"/>
    </row>
    <row r="532" spans="1:25" ht="19.5" customHeight="1">
      <c r="A532" s="23"/>
      <c r="B532" s="23"/>
      <c r="C532" s="7"/>
      <c r="D532" s="7"/>
      <c r="E532" s="7"/>
      <c r="F532" s="7"/>
      <c r="G532" s="7"/>
      <c r="H532" s="7"/>
      <c r="I532" s="7"/>
      <c r="J532" s="7"/>
      <c r="K532" s="7"/>
      <c r="L532" s="7"/>
      <c r="M532" s="7"/>
      <c r="N532" s="7"/>
      <c r="O532" s="7"/>
      <c r="P532" s="7"/>
      <c r="Q532" s="7"/>
      <c r="R532" s="7"/>
      <c r="S532" s="7"/>
      <c r="T532" s="7"/>
      <c r="U532" s="7"/>
      <c r="V532" s="7"/>
      <c r="W532" s="7"/>
      <c r="X532" s="7"/>
      <c r="Y532" s="7"/>
    </row>
    <row r="533" spans="1:25" ht="19.5" customHeight="1">
      <c r="A533" s="23"/>
      <c r="B533" s="23"/>
      <c r="C533" s="7"/>
      <c r="D533" s="7"/>
      <c r="E533" s="7"/>
      <c r="F533" s="7"/>
      <c r="G533" s="7"/>
      <c r="H533" s="7"/>
      <c r="I533" s="7"/>
      <c r="J533" s="7"/>
      <c r="K533" s="7"/>
      <c r="L533" s="7"/>
      <c r="M533" s="7"/>
      <c r="N533" s="7"/>
      <c r="O533" s="7"/>
      <c r="P533" s="7"/>
      <c r="Q533" s="7"/>
      <c r="R533" s="7"/>
      <c r="S533" s="7"/>
      <c r="T533" s="7"/>
      <c r="U533" s="7"/>
      <c r="V533" s="7"/>
      <c r="W533" s="7"/>
      <c r="X533" s="7"/>
      <c r="Y533" s="7"/>
    </row>
    <row r="534" spans="1:25" ht="19.5" customHeight="1">
      <c r="A534" s="23"/>
      <c r="B534" s="23"/>
      <c r="C534" s="7"/>
      <c r="D534" s="7"/>
      <c r="E534" s="7"/>
      <c r="F534" s="7"/>
      <c r="G534" s="7"/>
      <c r="H534" s="7"/>
      <c r="I534" s="7"/>
      <c r="J534" s="7"/>
      <c r="K534" s="7"/>
      <c r="L534" s="7"/>
      <c r="M534" s="7"/>
      <c r="N534" s="7"/>
      <c r="O534" s="7"/>
      <c r="P534" s="7"/>
      <c r="Q534" s="7"/>
      <c r="R534" s="7"/>
      <c r="S534" s="7"/>
      <c r="T534" s="7"/>
      <c r="U534" s="7"/>
      <c r="V534" s="7"/>
      <c r="W534" s="7"/>
      <c r="X534" s="7"/>
      <c r="Y534" s="7"/>
    </row>
    <row r="535" spans="1:25" ht="19.5" customHeight="1">
      <c r="A535" s="23"/>
      <c r="B535" s="23"/>
      <c r="C535" s="7"/>
      <c r="D535" s="7"/>
      <c r="E535" s="7"/>
      <c r="F535" s="7"/>
      <c r="G535" s="7"/>
      <c r="H535" s="7"/>
      <c r="I535" s="7"/>
      <c r="J535" s="7"/>
      <c r="K535" s="7"/>
      <c r="L535" s="7"/>
      <c r="M535" s="7"/>
      <c r="N535" s="7"/>
      <c r="O535" s="7"/>
      <c r="P535" s="7"/>
      <c r="Q535" s="7"/>
      <c r="R535" s="7"/>
      <c r="S535" s="7"/>
      <c r="T535" s="7"/>
      <c r="U535" s="7"/>
      <c r="V535" s="7"/>
      <c r="W535" s="7"/>
      <c r="X535" s="7"/>
      <c r="Y535" s="7"/>
    </row>
    <row r="536" spans="1:25" ht="19.5" customHeight="1">
      <c r="A536" s="23"/>
      <c r="B536" s="23"/>
      <c r="C536" s="7"/>
      <c r="D536" s="7"/>
      <c r="E536" s="7"/>
      <c r="F536" s="7"/>
      <c r="G536" s="7"/>
      <c r="H536" s="7"/>
      <c r="I536" s="7"/>
      <c r="J536" s="7"/>
      <c r="K536" s="7"/>
      <c r="L536" s="7"/>
      <c r="M536" s="7"/>
      <c r="N536" s="7"/>
      <c r="O536" s="7"/>
      <c r="P536" s="7"/>
      <c r="Q536" s="7"/>
      <c r="R536" s="7"/>
      <c r="S536" s="7"/>
      <c r="T536" s="7"/>
      <c r="U536" s="7"/>
      <c r="V536" s="7"/>
      <c r="W536" s="7"/>
      <c r="X536" s="7"/>
      <c r="Y536" s="7"/>
    </row>
    <row r="537" spans="1:25" ht="19.5" customHeight="1">
      <c r="A537" s="23"/>
      <c r="B537" s="23"/>
      <c r="C537" s="7"/>
      <c r="D537" s="7"/>
      <c r="E537" s="7"/>
      <c r="F537" s="7"/>
      <c r="G537" s="7"/>
      <c r="H537" s="7"/>
      <c r="I537" s="7"/>
      <c r="J537" s="7"/>
      <c r="K537" s="7"/>
      <c r="L537" s="7"/>
      <c r="M537" s="7"/>
      <c r="N537" s="7"/>
      <c r="O537" s="7"/>
      <c r="P537" s="7"/>
      <c r="Q537" s="7"/>
      <c r="R537" s="7"/>
      <c r="S537" s="7"/>
      <c r="T537" s="7"/>
      <c r="U537" s="7"/>
      <c r="V537" s="7"/>
      <c r="W537" s="7"/>
      <c r="X537" s="7"/>
      <c r="Y537" s="7"/>
    </row>
    <row r="538" spans="1:25" ht="19.5" customHeight="1">
      <c r="A538" s="23"/>
      <c r="B538" s="23"/>
      <c r="C538" s="7"/>
      <c r="D538" s="7"/>
      <c r="E538" s="7"/>
      <c r="F538" s="7"/>
      <c r="G538" s="7"/>
      <c r="H538" s="7"/>
      <c r="I538" s="7"/>
      <c r="J538" s="7"/>
      <c r="K538" s="7"/>
      <c r="L538" s="7"/>
      <c r="M538" s="7"/>
      <c r="N538" s="7"/>
      <c r="O538" s="7"/>
      <c r="P538" s="7"/>
      <c r="Q538" s="7"/>
      <c r="R538" s="7"/>
      <c r="S538" s="7"/>
      <c r="T538" s="7"/>
      <c r="U538" s="7"/>
      <c r="V538" s="7"/>
      <c r="W538" s="7"/>
      <c r="X538" s="7"/>
      <c r="Y538" s="7"/>
    </row>
    <row r="539" spans="1:25" ht="19.5" customHeight="1">
      <c r="A539" s="23"/>
      <c r="B539" s="23"/>
      <c r="C539" s="7"/>
      <c r="D539" s="7"/>
      <c r="E539" s="7"/>
      <c r="F539" s="7"/>
      <c r="G539" s="7"/>
      <c r="H539" s="7"/>
      <c r="I539" s="7"/>
      <c r="J539" s="7"/>
      <c r="K539" s="7"/>
      <c r="L539" s="7"/>
      <c r="M539" s="7"/>
      <c r="N539" s="7"/>
      <c r="O539" s="7"/>
      <c r="P539" s="7"/>
      <c r="Q539" s="7"/>
      <c r="R539" s="7"/>
      <c r="S539" s="7"/>
      <c r="T539" s="7"/>
      <c r="U539" s="7"/>
      <c r="V539" s="7"/>
      <c r="W539" s="7"/>
      <c r="X539" s="7"/>
      <c r="Y539" s="7"/>
    </row>
    <row r="540" spans="1:25" ht="19.5" customHeight="1">
      <c r="A540" s="23"/>
      <c r="B540" s="23"/>
      <c r="C540" s="7"/>
      <c r="D540" s="7"/>
      <c r="E540" s="7"/>
      <c r="F540" s="7"/>
      <c r="G540" s="7"/>
      <c r="H540" s="7"/>
      <c r="I540" s="7"/>
      <c r="J540" s="7"/>
      <c r="K540" s="7"/>
      <c r="L540" s="7"/>
      <c r="M540" s="7"/>
      <c r="N540" s="7"/>
      <c r="O540" s="7"/>
      <c r="P540" s="7"/>
      <c r="Q540" s="7"/>
      <c r="R540" s="7"/>
      <c r="S540" s="7"/>
      <c r="T540" s="7"/>
      <c r="U540" s="7"/>
      <c r="V540" s="7"/>
      <c r="W540" s="7"/>
      <c r="X540" s="7"/>
      <c r="Y540" s="7"/>
    </row>
    <row r="541" spans="1:25" ht="19.5" customHeight="1">
      <c r="A541" s="23"/>
      <c r="B541" s="23"/>
      <c r="C541" s="7"/>
      <c r="D541" s="7"/>
      <c r="E541" s="7"/>
      <c r="F541" s="7"/>
      <c r="G541" s="7"/>
      <c r="H541" s="7"/>
      <c r="I541" s="7"/>
      <c r="J541" s="7"/>
      <c r="K541" s="7"/>
      <c r="L541" s="7"/>
      <c r="M541" s="7"/>
      <c r="N541" s="7"/>
      <c r="O541" s="7"/>
      <c r="P541" s="7"/>
      <c r="Q541" s="7"/>
      <c r="R541" s="7"/>
      <c r="S541" s="7"/>
      <c r="T541" s="7"/>
      <c r="U541" s="7"/>
      <c r="V541" s="7"/>
      <c r="W541" s="7"/>
      <c r="X541" s="7"/>
      <c r="Y541" s="7"/>
    </row>
    <row r="542" spans="1:25" ht="19.5" customHeight="1">
      <c r="A542" s="23"/>
      <c r="B542" s="23"/>
      <c r="C542" s="7"/>
      <c r="D542" s="7"/>
      <c r="E542" s="7"/>
      <c r="F542" s="7"/>
      <c r="G542" s="7"/>
      <c r="H542" s="7"/>
      <c r="I542" s="7"/>
      <c r="J542" s="7"/>
      <c r="K542" s="7"/>
      <c r="L542" s="7"/>
      <c r="M542" s="7"/>
      <c r="N542" s="7"/>
      <c r="O542" s="7"/>
      <c r="P542" s="7"/>
      <c r="Q542" s="7"/>
      <c r="R542" s="7"/>
      <c r="S542" s="7"/>
      <c r="T542" s="7"/>
      <c r="U542" s="7"/>
      <c r="V542" s="7"/>
      <c r="W542" s="7"/>
      <c r="X542" s="7"/>
      <c r="Y542" s="7"/>
    </row>
    <row r="543" spans="1:25" ht="19.5" customHeight="1">
      <c r="A543" s="23"/>
      <c r="B543" s="23"/>
      <c r="C543" s="7"/>
      <c r="D543" s="7"/>
      <c r="E543" s="7"/>
      <c r="F543" s="7"/>
      <c r="G543" s="7"/>
      <c r="H543" s="7"/>
      <c r="I543" s="7"/>
      <c r="J543" s="7"/>
      <c r="K543" s="7"/>
      <c r="L543" s="7"/>
      <c r="M543" s="7"/>
      <c r="N543" s="7"/>
      <c r="O543" s="7"/>
      <c r="P543" s="7"/>
      <c r="Q543" s="7"/>
      <c r="R543" s="7"/>
      <c r="S543" s="7"/>
      <c r="T543" s="7"/>
      <c r="U543" s="7"/>
      <c r="V543" s="7"/>
      <c r="W543" s="7"/>
      <c r="X543" s="7"/>
      <c r="Y543" s="7"/>
    </row>
    <row r="544" spans="1:25" ht="19.5" customHeight="1">
      <c r="A544" s="23"/>
      <c r="B544" s="23"/>
      <c r="C544" s="7"/>
      <c r="D544" s="7"/>
      <c r="E544" s="7"/>
      <c r="F544" s="7"/>
      <c r="G544" s="7"/>
      <c r="H544" s="7"/>
      <c r="I544" s="7"/>
      <c r="J544" s="7"/>
      <c r="K544" s="7"/>
      <c r="L544" s="7"/>
      <c r="M544" s="7"/>
      <c r="N544" s="7"/>
      <c r="O544" s="7"/>
      <c r="P544" s="7"/>
      <c r="Q544" s="7"/>
      <c r="R544" s="7"/>
      <c r="S544" s="7"/>
      <c r="T544" s="7"/>
      <c r="U544" s="7"/>
      <c r="V544" s="7"/>
      <c r="W544" s="7"/>
      <c r="X544" s="7"/>
      <c r="Y544" s="7"/>
    </row>
    <row r="545" spans="1:25" ht="19.5" customHeight="1">
      <c r="A545" s="23"/>
      <c r="B545" s="23"/>
      <c r="C545" s="7"/>
      <c r="D545" s="7"/>
      <c r="E545" s="7"/>
      <c r="F545" s="7"/>
      <c r="G545" s="7"/>
      <c r="H545" s="7"/>
      <c r="I545" s="7"/>
      <c r="J545" s="7"/>
      <c r="K545" s="7"/>
      <c r="L545" s="7"/>
      <c r="M545" s="7"/>
      <c r="N545" s="7"/>
      <c r="O545" s="7"/>
      <c r="P545" s="7"/>
      <c r="Q545" s="7"/>
      <c r="R545" s="7"/>
      <c r="S545" s="7"/>
      <c r="T545" s="7"/>
      <c r="U545" s="7"/>
      <c r="V545" s="7"/>
      <c r="W545" s="7"/>
      <c r="X545" s="7"/>
      <c r="Y545" s="7"/>
    </row>
    <row r="546" spans="1:25" ht="19.5" customHeight="1">
      <c r="A546" s="23"/>
      <c r="B546" s="23"/>
      <c r="C546" s="7"/>
      <c r="D546" s="7"/>
      <c r="E546" s="7"/>
      <c r="F546" s="7"/>
      <c r="G546" s="7"/>
      <c r="H546" s="7"/>
      <c r="I546" s="7"/>
      <c r="J546" s="7"/>
      <c r="K546" s="7"/>
      <c r="L546" s="7"/>
      <c r="M546" s="7"/>
      <c r="N546" s="7"/>
      <c r="O546" s="7"/>
      <c r="P546" s="7"/>
      <c r="Q546" s="7"/>
      <c r="R546" s="7"/>
      <c r="S546" s="7"/>
      <c r="T546" s="7"/>
      <c r="U546" s="7"/>
      <c r="V546" s="7"/>
      <c r="W546" s="7"/>
      <c r="X546" s="7"/>
      <c r="Y546" s="7"/>
    </row>
    <row r="547" spans="1:25" ht="19.5" customHeight="1">
      <c r="A547" s="23"/>
      <c r="B547" s="23"/>
      <c r="C547" s="7"/>
      <c r="D547" s="7"/>
      <c r="E547" s="7"/>
      <c r="F547" s="7"/>
      <c r="G547" s="7"/>
      <c r="H547" s="7"/>
      <c r="I547" s="7"/>
      <c r="J547" s="7"/>
      <c r="K547" s="7"/>
      <c r="L547" s="7"/>
      <c r="M547" s="7"/>
      <c r="N547" s="7"/>
      <c r="O547" s="7"/>
      <c r="P547" s="7"/>
      <c r="Q547" s="7"/>
      <c r="R547" s="7"/>
      <c r="S547" s="7"/>
      <c r="T547" s="7"/>
      <c r="U547" s="7"/>
      <c r="V547" s="7"/>
      <c r="W547" s="7"/>
      <c r="X547" s="7"/>
      <c r="Y547" s="7"/>
    </row>
    <row r="548" spans="1:25" ht="19.5" customHeight="1">
      <c r="A548" s="23"/>
      <c r="B548" s="23"/>
      <c r="C548" s="7"/>
      <c r="D548" s="7"/>
      <c r="E548" s="7"/>
      <c r="F548" s="7"/>
      <c r="G548" s="7"/>
      <c r="H548" s="7"/>
      <c r="I548" s="7"/>
      <c r="J548" s="7"/>
      <c r="K548" s="7"/>
      <c r="L548" s="7"/>
      <c r="M548" s="7"/>
      <c r="N548" s="7"/>
      <c r="O548" s="7"/>
      <c r="P548" s="7"/>
      <c r="Q548" s="7"/>
      <c r="R548" s="7"/>
      <c r="S548" s="7"/>
      <c r="T548" s="7"/>
      <c r="U548" s="7"/>
      <c r="V548" s="7"/>
      <c r="W548" s="7"/>
      <c r="X548" s="7"/>
      <c r="Y548" s="7"/>
    </row>
    <row r="549" spans="1:25" ht="19.5" customHeight="1">
      <c r="A549" s="23"/>
      <c r="B549" s="23"/>
      <c r="C549" s="7"/>
      <c r="D549" s="7"/>
      <c r="E549" s="7"/>
      <c r="F549" s="7"/>
      <c r="G549" s="7"/>
      <c r="H549" s="7"/>
      <c r="I549" s="7"/>
      <c r="J549" s="7"/>
      <c r="K549" s="7"/>
      <c r="L549" s="7"/>
      <c r="M549" s="7"/>
      <c r="N549" s="7"/>
      <c r="O549" s="7"/>
      <c r="P549" s="7"/>
      <c r="Q549" s="7"/>
      <c r="R549" s="7"/>
      <c r="S549" s="7"/>
      <c r="T549" s="7"/>
      <c r="U549" s="7"/>
      <c r="V549" s="7"/>
      <c r="W549" s="7"/>
      <c r="X549" s="7"/>
      <c r="Y549" s="7"/>
    </row>
    <row r="550" spans="1:25" ht="19.5" customHeight="1">
      <c r="A550" s="23"/>
      <c r="B550" s="23"/>
      <c r="C550" s="7"/>
      <c r="D550" s="7"/>
      <c r="E550" s="7"/>
      <c r="F550" s="7"/>
      <c r="G550" s="7"/>
      <c r="H550" s="7"/>
      <c r="I550" s="7"/>
      <c r="J550" s="7"/>
      <c r="K550" s="7"/>
      <c r="L550" s="7"/>
      <c r="M550" s="7"/>
      <c r="N550" s="7"/>
      <c r="O550" s="7"/>
      <c r="P550" s="7"/>
      <c r="Q550" s="7"/>
      <c r="R550" s="7"/>
      <c r="S550" s="7"/>
      <c r="T550" s="7"/>
      <c r="U550" s="7"/>
      <c r="V550" s="7"/>
      <c r="W550" s="7"/>
      <c r="X550" s="7"/>
      <c r="Y550" s="7"/>
    </row>
    <row r="551" spans="1:25" ht="19.5" customHeight="1">
      <c r="A551" s="23"/>
      <c r="B551" s="23"/>
      <c r="C551" s="7"/>
      <c r="D551" s="7"/>
      <c r="E551" s="7"/>
      <c r="F551" s="7"/>
      <c r="G551" s="7"/>
      <c r="H551" s="7"/>
      <c r="I551" s="7"/>
      <c r="J551" s="7"/>
      <c r="K551" s="7"/>
      <c r="L551" s="7"/>
      <c r="M551" s="7"/>
      <c r="N551" s="7"/>
      <c r="O551" s="7"/>
      <c r="P551" s="7"/>
      <c r="Q551" s="7"/>
      <c r="R551" s="7"/>
      <c r="S551" s="7"/>
      <c r="T551" s="7"/>
      <c r="U551" s="7"/>
      <c r="V551" s="7"/>
      <c r="W551" s="7"/>
      <c r="X551" s="7"/>
      <c r="Y551" s="7"/>
    </row>
    <row r="552" spans="1:25" ht="19.5" customHeight="1">
      <c r="A552" s="23"/>
      <c r="B552" s="23"/>
      <c r="C552" s="7"/>
      <c r="D552" s="7"/>
      <c r="E552" s="7"/>
      <c r="F552" s="7"/>
      <c r="G552" s="7"/>
      <c r="H552" s="7"/>
      <c r="I552" s="7"/>
      <c r="J552" s="7"/>
      <c r="K552" s="7"/>
      <c r="L552" s="7"/>
      <c r="M552" s="7"/>
      <c r="N552" s="7"/>
      <c r="O552" s="7"/>
      <c r="P552" s="7"/>
      <c r="Q552" s="7"/>
      <c r="R552" s="7"/>
      <c r="S552" s="7"/>
      <c r="T552" s="7"/>
      <c r="U552" s="7"/>
      <c r="V552" s="7"/>
      <c r="W552" s="7"/>
      <c r="X552" s="7"/>
      <c r="Y552" s="7"/>
    </row>
    <row r="553" spans="1:25" ht="19.5" customHeight="1">
      <c r="A553" s="23"/>
      <c r="B553" s="23"/>
      <c r="C553" s="7"/>
      <c r="D553" s="7"/>
      <c r="E553" s="7"/>
      <c r="F553" s="7"/>
      <c r="G553" s="7"/>
      <c r="H553" s="7"/>
      <c r="I553" s="7"/>
      <c r="J553" s="7"/>
      <c r="K553" s="7"/>
      <c r="L553" s="7"/>
      <c r="M553" s="7"/>
      <c r="N553" s="7"/>
      <c r="O553" s="7"/>
      <c r="P553" s="7"/>
      <c r="Q553" s="7"/>
      <c r="R553" s="7"/>
      <c r="S553" s="7"/>
      <c r="T553" s="7"/>
      <c r="U553" s="7"/>
      <c r="V553" s="7"/>
      <c r="W553" s="7"/>
      <c r="X553" s="7"/>
      <c r="Y553" s="7"/>
    </row>
    <row r="554" spans="1:25" ht="19.5" customHeight="1">
      <c r="A554" s="23"/>
      <c r="B554" s="23"/>
      <c r="C554" s="7"/>
      <c r="D554" s="7"/>
      <c r="E554" s="7"/>
      <c r="F554" s="7"/>
      <c r="G554" s="7"/>
      <c r="H554" s="7"/>
      <c r="I554" s="7"/>
      <c r="J554" s="7"/>
      <c r="K554" s="7"/>
      <c r="L554" s="7"/>
      <c r="M554" s="7"/>
      <c r="N554" s="7"/>
      <c r="O554" s="7"/>
      <c r="P554" s="7"/>
      <c r="Q554" s="7"/>
      <c r="R554" s="7"/>
      <c r="S554" s="7"/>
      <c r="T554" s="7"/>
      <c r="U554" s="7"/>
      <c r="V554" s="7"/>
      <c r="W554" s="7"/>
      <c r="X554" s="7"/>
      <c r="Y554" s="7"/>
    </row>
    <row r="555" spans="1:25" ht="19.5" customHeight="1">
      <c r="A555" s="23"/>
      <c r="B555" s="23"/>
      <c r="C555" s="7"/>
      <c r="D555" s="7"/>
      <c r="E555" s="7"/>
      <c r="F555" s="7"/>
      <c r="G555" s="7"/>
      <c r="H555" s="7"/>
      <c r="I555" s="7"/>
      <c r="J555" s="7"/>
      <c r="K555" s="7"/>
      <c r="L555" s="7"/>
      <c r="M555" s="7"/>
      <c r="N555" s="7"/>
      <c r="O555" s="7"/>
      <c r="P555" s="7"/>
      <c r="Q555" s="7"/>
      <c r="R555" s="7"/>
      <c r="S555" s="7"/>
      <c r="T555" s="7"/>
      <c r="U555" s="7"/>
      <c r="V555" s="7"/>
      <c r="W555" s="7"/>
      <c r="X555" s="7"/>
      <c r="Y555" s="7"/>
    </row>
    <row r="556" spans="1:25" ht="19.5" customHeight="1">
      <c r="A556" s="23"/>
      <c r="B556" s="23"/>
      <c r="C556" s="7"/>
      <c r="D556" s="7"/>
      <c r="E556" s="7"/>
      <c r="F556" s="7"/>
      <c r="G556" s="7"/>
      <c r="H556" s="7"/>
      <c r="I556" s="7"/>
      <c r="J556" s="7"/>
      <c r="K556" s="7"/>
      <c r="L556" s="7"/>
      <c r="M556" s="7"/>
      <c r="N556" s="7"/>
      <c r="O556" s="7"/>
      <c r="P556" s="7"/>
      <c r="Q556" s="7"/>
      <c r="R556" s="7"/>
      <c r="S556" s="7"/>
      <c r="T556" s="7"/>
      <c r="U556" s="7"/>
      <c r="V556" s="7"/>
      <c r="W556" s="7"/>
      <c r="X556" s="7"/>
      <c r="Y556" s="7"/>
    </row>
    <row r="557" spans="1:25" ht="19.5" customHeight="1">
      <c r="A557" s="23"/>
      <c r="B557" s="23"/>
      <c r="C557" s="7"/>
      <c r="D557" s="7"/>
      <c r="E557" s="7"/>
      <c r="F557" s="7"/>
      <c r="G557" s="7"/>
      <c r="H557" s="7"/>
      <c r="I557" s="7"/>
      <c r="J557" s="7"/>
      <c r="K557" s="7"/>
      <c r="L557" s="7"/>
      <c r="M557" s="7"/>
      <c r="N557" s="7"/>
      <c r="O557" s="7"/>
      <c r="P557" s="7"/>
      <c r="Q557" s="7"/>
      <c r="R557" s="7"/>
      <c r="S557" s="7"/>
      <c r="T557" s="7"/>
      <c r="U557" s="7"/>
      <c r="V557" s="7"/>
      <c r="W557" s="7"/>
      <c r="X557" s="7"/>
      <c r="Y557" s="7"/>
    </row>
    <row r="558" spans="1:25" ht="19.5" customHeight="1">
      <c r="A558" s="23"/>
      <c r="B558" s="23"/>
      <c r="C558" s="7"/>
      <c r="D558" s="7"/>
      <c r="E558" s="7"/>
      <c r="F558" s="7"/>
      <c r="G558" s="7"/>
      <c r="H558" s="7"/>
      <c r="I558" s="7"/>
      <c r="J558" s="7"/>
      <c r="K558" s="7"/>
      <c r="L558" s="7"/>
      <c r="M558" s="7"/>
      <c r="N558" s="7"/>
      <c r="O558" s="7"/>
      <c r="P558" s="7"/>
      <c r="Q558" s="7"/>
      <c r="R558" s="7"/>
      <c r="S558" s="7"/>
      <c r="T558" s="7"/>
      <c r="U558" s="7"/>
      <c r="V558" s="7"/>
      <c r="W558" s="7"/>
      <c r="X558" s="7"/>
      <c r="Y558" s="7"/>
    </row>
    <row r="559" spans="1:25" ht="19.5" customHeight="1">
      <c r="A559" s="23"/>
      <c r="B559" s="23"/>
      <c r="C559" s="7"/>
      <c r="D559" s="7"/>
      <c r="E559" s="7"/>
      <c r="F559" s="7"/>
      <c r="G559" s="7"/>
      <c r="H559" s="7"/>
      <c r="I559" s="7"/>
      <c r="J559" s="7"/>
      <c r="K559" s="7"/>
      <c r="L559" s="7"/>
      <c r="M559" s="7"/>
      <c r="N559" s="7"/>
      <c r="O559" s="7"/>
      <c r="P559" s="7"/>
      <c r="Q559" s="7"/>
      <c r="R559" s="7"/>
      <c r="S559" s="7"/>
      <c r="T559" s="7"/>
      <c r="U559" s="7"/>
      <c r="V559" s="7"/>
      <c r="W559" s="7"/>
      <c r="X559" s="7"/>
      <c r="Y559" s="7"/>
    </row>
    <row r="560" spans="1:25" ht="19.5" customHeight="1">
      <c r="A560" s="23"/>
      <c r="B560" s="23"/>
      <c r="C560" s="7"/>
      <c r="D560" s="7"/>
      <c r="E560" s="7"/>
      <c r="F560" s="7"/>
      <c r="G560" s="7"/>
      <c r="H560" s="7"/>
      <c r="I560" s="7"/>
      <c r="J560" s="7"/>
      <c r="K560" s="7"/>
      <c r="L560" s="7"/>
      <c r="M560" s="7"/>
      <c r="N560" s="7"/>
      <c r="O560" s="7"/>
      <c r="P560" s="7"/>
      <c r="Q560" s="7"/>
      <c r="R560" s="7"/>
      <c r="S560" s="7"/>
      <c r="T560" s="7"/>
      <c r="U560" s="7"/>
      <c r="V560" s="7"/>
      <c r="W560" s="7"/>
      <c r="X560" s="7"/>
      <c r="Y560" s="7"/>
    </row>
    <row r="561" spans="1:25" ht="19.5" customHeight="1">
      <c r="A561" s="23"/>
      <c r="B561" s="23"/>
      <c r="C561" s="7"/>
      <c r="D561" s="7"/>
      <c r="E561" s="7"/>
      <c r="F561" s="7"/>
      <c r="G561" s="7"/>
      <c r="H561" s="7"/>
      <c r="I561" s="7"/>
      <c r="J561" s="7"/>
      <c r="K561" s="7"/>
      <c r="L561" s="7"/>
      <c r="M561" s="7"/>
      <c r="N561" s="7"/>
      <c r="O561" s="7"/>
      <c r="P561" s="7"/>
      <c r="Q561" s="7"/>
      <c r="R561" s="7"/>
      <c r="S561" s="7"/>
      <c r="T561" s="7"/>
      <c r="U561" s="7"/>
      <c r="V561" s="7"/>
      <c r="W561" s="7"/>
      <c r="X561" s="7"/>
      <c r="Y561" s="7"/>
    </row>
    <row r="562" spans="1:25" ht="19.5" customHeight="1">
      <c r="A562" s="23"/>
      <c r="B562" s="23"/>
      <c r="C562" s="7"/>
      <c r="D562" s="7"/>
      <c r="E562" s="7"/>
      <c r="F562" s="7"/>
      <c r="G562" s="7"/>
      <c r="H562" s="7"/>
      <c r="I562" s="7"/>
      <c r="J562" s="7"/>
      <c r="K562" s="7"/>
      <c r="L562" s="7"/>
      <c r="M562" s="7"/>
      <c r="N562" s="7"/>
      <c r="O562" s="7"/>
      <c r="P562" s="7"/>
      <c r="Q562" s="7"/>
      <c r="R562" s="7"/>
      <c r="S562" s="7"/>
      <c r="T562" s="7"/>
      <c r="U562" s="7"/>
      <c r="V562" s="7"/>
      <c r="W562" s="7"/>
      <c r="X562" s="7"/>
      <c r="Y562" s="7"/>
    </row>
    <row r="563" spans="1:25" ht="19.5" customHeight="1">
      <c r="A563" s="23"/>
      <c r="B563" s="23"/>
      <c r="C563" s="7"/>
      <c r="D563" s="7"/>
      <c r="E563" s="7"/>
      <c r="F563" s="7"/>
      <c r="G563" s="7"/>
      <c r="H563" s="7"/>
      <c r="I563" s="7"/>
      <c r="J563" s="7"/>
      <c r="K563" s="7"/>
      <c r="L563" s="7"/>
      <c r="M563" s="7"/>
      <c r="N563" s="7"/>
      <c r="O563" s="7"/>
      <c r="P563" s="7"/>
      <c r="Q563" s="7"/>
      <c r="R563" s="7"/>
      <c r="S563" s="7"/>
      <c r="T563" s="7"/>
      <c r="U563" s="7"/>
      <c r="V563" s="7"/>
      <c r="W563" s="7"/>
      <c r="X563" s="7"/>
      <c r="Y563" s="7"/>
    </row>
    <row r="564" spans="1:25" ht="19.5" customHeight="1">
      <c r="A564" s="23"/>
      <c r="B564" s="23"/>
      <c r="C564" s="7"/>
      <c r="D564" s="7"/>
      <c r="E564" s="7"/>
      <c r="F564" s="7"/>
      <c r="G564" s="7"/>
      <c r="H564" s="7"/>
      <c r="I564" s="7"/>
      <c r="J564" s="7"/>
      <c r="K564" s="7"/>
      <c r="L564" s="7"/>
      <c r="M564" s="7"/>
      <c r="N564" s="7"/>
      <c r="O564" s="7"/>
      <c r="P564" s="7"/>
      <c r="Q564" s="7"/>
      <c r="R564" s="7"/>
      <c r="S564" s="7"/>
      <c r="T564" s="7"/>
      <c r="U564" s="7"/>
      <c r="V564" s="7"/>
      <c r="W564" s="7"/>
      <c r="X564" s="7"/>
      <c r="Y564" s="7"/>
    </row>
    <row r="565" spans="1:25" ht="19.5" customHeight="1">
      <c r="A565" s="23"/>
      <c r="B565" s="23"/>
      <c r="C565" s="7"/>
      <c r="D565" s="7"/>
      <c r="E565" s="7"/>
      <c r="F565" s="7"/>
      <c r="G565" s="7"/>
      <c r="H565" s="7"/>
      <c r="I565" s="7"/>
      <c r="J565" s="7"/>
      <c r="K565" s="7"/>
      <c r="L565" s="7"/>
      <c r="M565" s="7"/>
      <c r="N565" s="7"/>
      <c r="O565" s="7"/>
      <c r="P565" s="7"/>
      <c r="Q565" s="7"/>
      <c r="R565" s="7"/>
      <c r="S565" s="7"/>
      <c r="T565" s="7"/>
      <c r="U565" s="7"/>
      <c r="V565" s="7"/>
      <c r="W565" s="7"/>
      <c r="X565" s="7"/>
      <c r="Y565" s="7"/>
    </row>
    <row r="566" spans="1:25" ht="19.5" customHeight="1">
      <c r="A566" s="23"/>
      <c r="B566" s="23"/>
      <c r="C566" s="7"/>
      <c r="D566" s="7"/>
      <c r="E566" s="7"/>
      <c r="F566" s="7"/>
      <c r="G566" s="7"/>
      <c r="H566" s="7"/>
      <c r="I566" s="7"/>
      <c r="J566" s="7"/>
      <c r="K566" s="7"/>
      <c r="L566" s="7"/>
      <c r="M566" s="7"/>
      <c r="N566" s="7"/>
      <c r="O566" s="7"/>
      <c r="P566" s="7"/>
      <c r="Q566" s="7"/>
      <c r="R566" s="7"/>
      <c r="S566" s="7"/>
      <c r="T566" s="7"/>
      <c r="U566" s="7"/>
      <c r="V566" s="7"/>
      <c r="W566" s="7"/>
      <c r="X566" s="7"/>
      <c r="Y566" s="7"/>
    </row>
    <row r="567" spans="1:25" ht="19.5" customHeight="1">
      <c r="A567" s="23"/>
      <c r="B567" s="23"/>
      <c r="C567" s="7"/>
      <c r="D567" s="7"/>
      <c r="E567" s="7"/>
      <c r="F567" s="7"/>
      <c r="G567" s="7"/>
      <c r="H567" s="7"/>
      <c r="I567" s="7"/>
      <c r="J567" s="7"/>
      <c r="K567" s="7"/>
      <c r="L567" s="7"/>
      <c r="M567" s="7"/>
      <c r="N567" s="7"/>
      <c r="O567" s="7"/>
      <c r="P567" s="7"/>
      <c r="Q567" s="7"/>
      <c r="R567" s="7"/>
      <c r="S567" s="7"/>
      <c r="T567" s="7"/>
      <c r="U567" s="7"/>
      <c r="V567" s="7"/>
      <c r="W567" s="7"/>
      <c r="X567" s="7"/>
      <c r="Y567" s="7"/>
    </row>
    <row r="568" spans="1:25" ht="19.5" customHeight="1">
      <c r="A568" s="23"/>
      <c r="B568" s="23"/>
      <c r="C568" s="7"/>
      <c r="D568" s="7"/>
      <c r="E568" s="7"/>
      <c r="F568" s="7"/>
      <c r="G568" s="7"/>
      <c r="H568" s="7"/>
      <c r="I568" s="7"/>
      <c r="J568" s="7"/>
      <c r="K568" s="7"/>
      <c r="L568" s="7"/>
      <c r="M568" s="7"/>
      <c r="N568" s="7"/>
      <c r="O568" s="7"/>
      <c r="P568" s="7"/>
      <c r="Q568" s="7"/>
      <c r="R568" s="7"/>
      <c r="S568" s="7"/>
      <c r="T568" s="7"/>
      <c r="U568" s="7"/>
      <c r="V568" s="7"/>
      <c r="W568" s="7"/>
      <c r="X568" s="7"/>
      <c r="Y568" s="7"/>
    </row>
    <row r="569" spans="1:25" ht="19.5" customHeight="1">
      <c r="A569" s="23"/>
      <c r="B569" s="23"/>
      <c r="C569" s="7"/>
      <c r="D569" s="7"/>
      <c r="E569" s="7"/>
      <c r="F569" s="7"/>
      <c r="G569" s="7"/>
      <c r="H569" s="7"/>
      <c r="I569" s="7"/>
      <c r="J569" s="7"/>
      <c r="K569" s="7"/>
      <c r="L569" s="7"/>
      <c r="M569" s="7"/>
      <c r="N569" s="7"/>
      <c r="O569" s="7"/>
      <c r="P569" s="7"/>
      <c r="Q569" s="7"/>
      <c r="R569" s="7"/>
      <c r="S569" s="7"/>
      <c r="T569" s="7"/>
      <c r="U569" s="7"/>
      <c r="V569" s="7"/>
      <c r="W569" s="7"/>
      <c r="X569" s="7"/>
      <c r="Y569" s="7"/>
    </row>
    <row r="570" spans="1:25" ht="19.5" customHeight="1">
      <c r="A570" s="23"/>
      <c r="B570" s="23"/>
      <c r="C570" s="7"/>
      <c r="D570" s="7"/>
      <c r="E570" s="7"/>
      <c r="F570" s="7"/>
      <c r="G570" s="7"/>
      <c r="H570" s="7"/>
      <c r="I570" s="7"/>
      <c r="J570" s="7"/>
      <c r="K570" s="7"/>
      <c r="L570" s="7"/>
      <c r="M570" s="7"/>
      <c r="N570" s="7"/>
      <c r="O570" s="7"/>
      <c r="P570" s="7"/>
      <c r="Q570" s="7"/>
      <c r="R570" s="7"/>
      <c r="S570" s="7"/>
      <c r="T570" s="7"/>
      <c r="U570" s="7"/>
      <c r="V570" s="7"/>
      <c r="W570" s="7"/>
      <c r="X570" s="7"/>
      <c r="Y570" s="7"/>
    </row>
    <row r="571" spans="1:25" ht="19.5" customHeight="1">
      <c r="A571" s="23"/>
      <c r="B571" s="23"/>
      <c r="C571" s="7"/>
      <c r="D571" s="7"/>
      <c r="E571" s="7"/>
      <c r="F571" s="7"/>
      <c r="G571" s="7"/>
      <c r="H571" s="7"/>
      <c r="I571" s="7"/>
      <c r="J571" s="7"/>
      <c r="K571" s="7"/>
      <c r="L571" s="7"/>
      <c r="M571" s="7"/>
      <c r="N571" s="7"/>
      <c r="O571" s="7"/>
      <c r="P571" s="7"/>
      <c r="Q571" s="7"/>
      <c r="R571" s="7"/>
      <c r="S571" s="7"/>
      <c r="T571" s="7"/>
      <c r="U571" s="7"/>
      <c r="V571" s="7"/>
      <c r="W571" s="7"/>
      <c r="X571" s="7"/>
      <c r="Y571" s="7"/>
    </row>
    <row r="572" spans="1:25" ht="19.5" customHeight="1">
      <c r="A572" s="23"/>
      <c r="B572" s="23"/>
      <c r="C572" s="7"/>
      <c r="D572" s="7"/>
      <c r="E572" s="7"/>
      <c r="F572" s="7"/>
      <c r="G572" s="7"/>
      <c r="H572" s="7"/>
      <c r="I572" s="7"/>
      <c r="J572" s="7"/>
      <c r="K572" s="7"/>
      <c r="L572" s="7"/>
      <c r="M572" s="7"/>
      <c r="N572" s="7"/>
      <c r="O572" s="7"/>
      <c r="P572" s="7"/>
      <c r="Q572" s="7"/>
      <c r="R572" s="7"/>
      <c r="S572" s="7"/>
      <c r="T572" s="7"/>
      <c r="U572" s="7"/>
      <c r="V572" s="7"/>
      <c r="W572" s="7"/>
      <c r="X572" s="7"/>
      <c r="Y572" s="7"/>
    </row>
    <row r="573" spans="1:25" ht="19.5" customHeight="1">
      <c r="A573" s="23"/>
      <c r="B573" s="23"/>
      <c r="C573" s="7"/>
      <c r="D573" s="7"/>
      <c r="E573" s="7"/>
      <c r="F573" s="7"/>
      <c r="G573" s="7"/>
      <c r="H573" s="7"/>
      <c r="I573" s="7"/>
      <c r="J573" s="7"/>
      <c r="K573" s="7"/>
      <c r="L573" s="7"/>
      <c r="M573" s="7"/>
      <c r="N573" s="7"/>
      <c r="O573" s="7"/>
      <c r="P573" s="7"/>
      <c r="Q573" s="7"/>
      <c r="R573" s="7"/>
      <c r="S573" s="7"/>
      <c r="T573" s="7"/>
      <c r="U573" s="7"/>
      <c r="V573" s="7"/>
      <c r="W573" s="7"/>
      <c r="X573" s="7"/>
      <c r="Y573" s="7"/>
    </row>
    <row r="574" spans="1:25" ht="19.5" customHeight="1">
      <c r="A574" s="23"/>
      <c r="B574" s="23"/>
      <c r="C574" s="7"/>
      <c r="D574" s="7"/>
      <c r="E574" s="7"/>
      <c r="F574" s="7"/>
      <c r="G574" s="7"/>
      <c r="H574" s="7"/>
      <c r="I574" s="7"/>
      <c r="J574" s="7"/>
      <c r="K574" s="7"/>
      <c r="L574" s="7"/>
      <c r="M574" s="7"/>
      <c r="N574" s="7"/>
      <c r="O574" s="7"/>
      <c r="P574" s="7"/>
      <c r="Q574" s="7"/>
      <c r="R574" s="7"/>
      <c r="S574" s="7"/>
      <c r="T574" s="7"/>
      <c r="U574" s="7"/>
      <c r="V574" s="7"/>
      <c r="W574" s="7"/>
      <c r="X574" s="7"/>
      <c r="Y574" s="7"/>
    </row>
    <row r="575" spans="1:25" ht="19.5" customHeight="1">
      <c r="A575" s="23"/>
      <c r="B575" s="23"/>
      <c r="C575" s="7"/>
      <c r="D575" s="7"/>
      <c r="E575" s="7"/>
      <c r="F575" s="7"/>
      <c r="G575" s="7"/>
      <c r="H575" s="7"/>
      <c r="I575" s="7"/>
      <c r="J575" s="7"/>
      <c r="K575" s="7"/>
      <c r="L575" s="7"/>
      <c r="M575" s="7"/>
      <c r="N575" s="7"/>
      <c r="O575" s="7"/>
      <c r="P575" s="7"/>
      <c r="Q575" s="7"/>
      <c r="R575" s="7"/>
      <c r="S575" s="7"/>
      <c r="T575" s="7"/>
      <c r="U575" s="7"/>
      <c r="V575" s="7"/>
      <c r="W575" s="7"/>
      <c r="X575" s="7"/>
      <c r="Y575" s="7"/>
    </row>
    <row r="576" spans="1:25" ht="19.5" customHeight="1">
      <c r="A576" s="23"/>
      <c r="B576" s="23"/>
      <c r="C576" s="7"/>
      <c r="D576" s="7"/>
      <c r="E576" s="7"/>
      <c r="F576" s="7"/>
      <c r="G576" s="7"/>
      <c r="H576" s="7"/>
      <c r="I576" s="7"/>
      <c r="J576" s="7"/>
      <c r="K576" s="7"/>
      <c r="L576" s="7"/>
      <c r="M576" s="7"/>
      <c r="N576" s="7"/>
      <c r="O576" s="7"/>
      <c r="P576" s="7"/>
      <c r="Q576" s="7"/>
      <c r="R576" s="7"/>
      <c r="S576" s="7"/>
      <c r="T576" s="7"/>
      <c r="U576" s="7"/>
      <c r="V576" s="7"/>
      <c r="W576" s="7"/>
      <c r="X576" s="7"/>
      <c r="Y576" s="7"/>
    </row>
    <row r="577" spans="1:25" ht="19.5" customHeight="1">
      <c r="A577" s="23"/>
      <c r="B577" s="23"/>
      <c r="C577" s="7"/>
      <c r="D577" s="7"/>
      <c r="E577" s="7"/>
      <c r="F577" s="7"/>
      <c r="G577" s="7"/>
      <c r="H577" s="7"/>
      <c r="I577" s="7"/>
      <c r="J577" s="7"/>
      <c r="K577" s="7"/>
      <c r="L577" s="7"/>
      <c r="M577" s="7"/>
      <c r="N577" s="7"/>
      <c r="O577" s="7"/>
      <c r="P577" s="7"/>
      <c r="Q577" s="7"/>
      <c r="R577" s="7"/>
      <c r="S577" s="7"/>
      <c r="T577" s="7"/>
      <c r="U577" s="7"/>
      <c r="V577" s="7"/>
      <c r="W577" s="7"/>
      <c r="X577" s="7"/>
      <c r="Y577" s="7"/>
    </row>
    <row r="578" spans="1:25" ht="19.5" customHeight="1">
      <c r="A578" s="23"/>
      <c r="B578" s="23"/>
      <c r="C578" s="7"/>
      <c r="D578" s="7"/>
      <c r="E578" s="7"/>
      <c r="F578" s="7"/>
      <c r="G578" s="7"/>
      <c r="H578" s="7"/>
      <c r="I578" s="7"/>
      <c r="J578" s="7"/>
      <c r="K578" s="7"/>
      <c r="L578" s="7"/>
      <c r="M578" s="7"/>
      <c r="N578" s="7"/>
      <c r="O578" s="7"/>
      <c r="P578" s="7"/>
      <c r="Q578" s="7"/>
      <c r="R578" s="7"/>
      <c r="S578" s="7"/>
      <c r="T578" s="7"/>
      <c r="U578" s="7"/>
      <c r="V578" s="7"/>
      <c r="W578" s="7"/>
      <c r="X578" s="7"/>
      <c r="Y578" s="7"/>
    </row>
    <row r="579" spans="1:25" ht="19.5" customHeight="1">
      <c r="A579" s="23"/>
      <c r="B579" s="23"/>
      <c r="C579" s="7"/>
      <c r="D579" s="7"/>
      <c r="E579" s="7"/>
      <c r="F579" s="7"/>
      <c r="G579" s="7"/>
      <c r="H579" s="7"/>
      <c r="I579" s="7"/>
      <c r="J579" s="7"/>
      <c r="K579" s="7"/>
      <c r="L579" s="7"/>
      <c r="M579" s="7"/>
      <c r="N579" s="7"/>
      <c r="O579" s="7"/>
      <c r="P579" s="7"/>
      <c r="Q579" s="7"/>
      <c r="R579" s="7"/>
      <c r="S579" s="7"/>
      <c r="T579" s="7"/>
      <c r="U579" s="7"/>
      <c r="V579" s="7"/>
      <c r="W579" s="7"/>
      <c r="X579" s="7"/>
      <c r="Y579" s="7"/>
    </row>
    <row r="580" spans="1:25" ht="19.5" customHeight="1">
      <c r="A580" s="23"/>
      <c r="B580" s="23"/>
      <c r="C580" s="7"/>
      <c r="D580" s="7"/>
      <c r="E580" s="7"/>
      <c r="F580" s="7"/>
      <c r="G580" s="7"/>
      <c r="H580" s="7"/>
      <c r="I580" s="7"/>
      <c r="J580" s="7"/>
      <c r="K580" s="7"/>
      <c r="L580" s="7"/>
      <c r="M580" s="7"/>
      <c r="N580" s="7"/>
      <c r="O580" s="7"/>
      <c r="P580" s="7"/>
      <c r="Q580" s="7"/>
      <c r="R580" s="7"/>
      <c r="S580" s="7"/>
      <c r="T580" s="7"/>
      <c r="U580" s="7"/>
      <c r="V580" s="7"/>
      <c r="W580" s="7"/>
      <c r="X580" s="7"/>
      <c r="Y580" s="7"/>
    </row>
    <row r="581" spans="1:25" ht="19.5" customHeight="1">
      <c r="A581" s="23"/>
      <c r="B581" s="23"/>
      <c r="C581" s="7"/>
      <c r="D581" s="7"/>
      <c r="E581" s="7"/>
      <c r="F581" s="7"/>
      <c r="G581" s="7"/>
      <c r="H581" s="7"/>
      <c r="I581" s="7"/>
      <c r="J581" s="7"/>
      <c r="K581" s="7"/>
      <c r="L581" s="7"/>
      <c r="M581" s="7"/>
      <c r="N581" s="7"/>
      <c r="O581" s="7"/>
      <c r="P581" s="7"/>
      <c r="Q581" s="7"/>
      <c r="R581" s="7"/>
      <c r="S581" s="7"/>
      <c r="T581" s="7"/>
      <c r="U581" s="7"/>
      <c r="V581" s="7"/>
      <c r="W581" s="7"/>
      <c r="X581" s="7"/>
      <c r="Y581" s="7"/>
    </row>
    <row r="582" spans="1:25" ht="19.5" customHeight="1">
      <c r="A582" s="23"/>
      <c r="B582" s="23"/>
      <c r="C582" s="7"/>
      <c r="D582" s="7"/>
      <c r="E582" s="7"/>
      <c r="F582" s="7"/>
      <c r="G582" s="7"/>
      <c r="H582" s="7"/>
      <c r="I582" s="7"/>
      <c r="J582" s="7"/>
      <c r="K582" s="7"/>
      <c r="L582" s="7"/>
      <c r="M582" s="7"/>
      <c r="N582" s="7"/>
      <c r="O582" s="7"/>
      <c r="P582" s="7"/>
      <c r="Q582" s="7"/>
      <c r="R582" s="7"/>
      <c r="S582" s="7"/>
      <c r="T582" s="7"/>
      <c r="U582" s="7"/>
      <c r="V582" s="7"/>
      <c r="W582" s="7"/>
      <c r="X582" s="7"/>
      <c r="Y582" s="7"/>
    </row>
    <row r="583" spans="1:25" ht="19.5" customHeight="1">
      <c r="A583" s="23"/>
      <c r="B583" s="23"/>
      <c r="C583" s="7"/>
      <c r="D583" s="7"/>
      <c r="E583" s="7"/>
      <c r="F583" s="7"/>
      <c r="G583" s="7"/>
      <c r="H583" s="7"/>
      <c r="I583" s="7"/>
      <c r="J583" s="7"/>
      <c r="K583" s="7"/>
      <c r="L583" s="7"/>
      <c r="M583" s="7"/>
      <c r="N583" s="7"/>
      <c r="O583" s="7"/>
      <c r="P583" s="7"/>
      <c r="Q583" s="7"/>
      <c r="R583" s="7"/>
      <c r="S583" s="7"/>
      <c r="T583" s="7"/>
      <c r="U583" s="7"/>
      <c r="V583" s="7"/>
      <c r="W583" s="7"/>
      <c r="X583" s="7"/>
      <c r="Y583" s="7"/>
    </row>
    <row r="584" spans="1:25" ht="19.5" customHeight="1">
      <c r="A584" s="23"/>
      <c r="B584" s="23"/>
      <c r="C584" s="7"/>
      <c r="D584" s="7"/>
      <c r="E584" s="7"/>
      <c r="F584" s="7"/>
      <c r="G584" s="7"/>
      <c r="H584" s="7"/>
      <c r="I584" s="7"/>
      <c r="J584" s="7"/>
      <c r="K584" s="7"/>
      <c r="L584" s="7"/>
      <c r="M584" s="7"/>
      <c r="N584" s="7"/>
      <c r="O584" s="7"/>
      <c r="P584" s="7"/>
      <c r="Q584" s="7"/>
      <c r="R584" s="7"/>
      <c r="S584" s="7"/>
      <c r="T584" s="7"/>
      <c r="U584" s="7"/>
      <c r="V584" s="7"/>
      <c r="W584" s="7"/>
      <c r="X584" s="7"/>
      <c r="Y584" s="7"/>
    </row>
    <row r="585" spans="1:25" ht="19.5" customHeight="1">
      <c r="A585" s="23"/>
      <c r="B585" s="23"/>
      <c r="C585" s="7"/>
      <c r="D585" s="7"/>
      <c r="E585" s="7"/>
      <c r="F585" s="7"/>
      <c r="G585" s="7"/>
      <c r="H585" s="7"/>
      <c r="I585" s="7"/>
      <c r="J585" s="7"/>
      <c r="K585" s="7"/>
      <c r="L585" s="7"/>
      <c r="M585" s="7"/>
      <c r="N585" s="7"/>
      <c r="O585" s="7"/>
      <c r="P585" s="7"/>
      <c r="Q585" s="7"/>
      <c r="R585" s="7"/>
      <c r="S585" s="7"/>
      <c r="T585" s="7"/>
      <c r="U585" s="7"/>
      <c r="V585" s="7"/>
      <c r="W585" s="7"/>
      <c r="X585" s="7"/>
      <c r="Y585" s="7"/>
    </row>
    <row r="586" spans="1:25" ht="19.5" customHeight="1">
      <c r="A586" s="23"/>
      <c r="B586" s="23"/>
      <c r="C586" s="7"/>
      <c r="D586" s="7"/>
      <c r="E586" s="7"/>
      <c r="F586" s="7"/>
      <c r="G586" s="7"/>
      <c r="H586" s="7"/>
      <c r="I586" s="7"/>
      <c r="J586" s="7"/>
      <c r="K586" s="7"/>
      <c r="L586" s="7"/>
      <c r="M586" s="7"/>
      <c r="N586" s="7"/>
      <c r="O586" s="7"/>
      <c r="P586" s="7"/>
      <c r="Q586" s="7"/>
      <c r="R586" s="7"/>
      <c r="S586" s="7"/>
      <c r="T586" s="7"/>
      <c r="U586" s="7"/>
      <c r="V586" s="7"/>
      <c r="W586" s="7"/>
      <c r="X586" s="7"/>
      <c r="Y586" s="7"/>
    </row>
    <row r="587" spans="1:25" ht="19.5" customHeight="1">
      <c r="A587" s="23"/>
      <c r="B587" s="23"/>
      <c r="C587" s="7"/>
      <c r="D587" s="7"/>
      <c r="E587" s="7"/>
      <c r="F587" s="7"/>
      <c r="G587" s="7"/>
      <c r="H587" s="7"/>
      <c r="I587" s="7"/>
      <c r="J587" s="7"/>
      <c r="K587" s="7"/>
      <c r="L587" s="7"/>
      <c r="M587" s="7"/>
      <c r="N587" s="7"/>
      <c r="O587" s="7"/>
      <c r="P587" s="7"/>
      <c r="Q587" s="7"/>
      <c r="R587" s="7"/>
      <c r="S587" s="7"/>
      <c r="T587" s="7"/>
      <c r="U587" s="7"/>
      <c r="V587" s="7"/>
      <c r="W587" s="7"/>
      <c r="X587" s="7"/>
      <c r="Y587" s="7"/>
    </row>
    <row r="588" spans="1:25" ht="19.5" customHeight="1">
      <c r="A588" s="23"/>
      <c r="B588" s="23"/>
      <c r="C588" s="7"/>
      <c r="D588" s="7"/>
      <c r="E588" s="7"/>
      <c r="F588" s="7"/>
      <c r="G588" s="7"/>
      <c r="H588" s="7"/>
      <c r="I588" s="7"/>
      <c r="J588" s="7"/>
      <c r="K588" s="7"/>
      <c r="L588" s="7"/>
      <c r="M588" s="7"/>
      <c r="N588" s="7"/>
      <c r="O588" s="7"/>
      <c r="P588" s="7"/>
      <c r="Q588" s="7"/>
      <c r="R588" s="7"/>
      <c r="S588" s="7"/>
      <c r="T588" s="7"/>
      <c r="U588" s="7"/>
      <c r="V588" s="7"/>
      <c r="W588" s="7"/>
      <c r="X588" s="7"/>
      <c r="Y588" s="7"/>
    </row>
    <row r="589" spans="1:25" ht="19.5" customHeight="1">
      <c r="A589" s="23"/>
      <c r="B589" s="23"/>
      <c r="C589" s="7"/>
      <c r="D589" s="7"/>
      <c r="E589" s="7"/>
      <c r="F589" s="7"/>
      <c r="G589" s="7"/>
      <c r="H589" s="7"/>
      <c r="I589" s="7"/>
      <c r="J589" s="7"/>
      <c r="K589" s="7"/>
      <c r="L589" s="7"/>
      <c r="M589" s="7"/>
      <c r="N589" s="7"/>
      <c r="O589" s="7"/>
      <c r="P589" s="7"/>
      <c r="Q589" s="7"/>
      <c r="R589" s="7"/>
      <c r="S589" s="7"/>
      <c r="T589" s="7"/>
      <c r="U589" s="7"/>
      <c r="V589" s="7"/>
      <c r="W589" s="7"/>
      <c r="X589" s="7"/>
      <c r="Y589" s="7"/>
    </row>
    <row r="590" spans="1:25" ht="19.5" customHeight="1">
      <c r="A590" s="23"/>
      <c r="B590" s="23"/>
      <c r="C590" s="7"/>
      <c r="D590" s="7"/>
      <c r="E590" s="7"/>
      <c r="F590" s="7"/>
      <c r="G590" s="7"/>
      <c r="H590" s="7"/>
      <c r="I590" s="7"/>
      <c r="J590" s="7"/>
      <c r="K590" s="7"/>
      <c r="L590" s="7"/>
      <c r="M590" s="7"/>
      <c r="N590" s="7"/>
      <c r="O590" s="7"/>
      <c r="P590" s="7"/>
      <c r="Q590" s="7"/>
      <c r="R590" s="7"/>
      <c r="S590" s="7"/>
      <c r="T590" s="7"/>
      <c r="U590" s="7"/>
      <c r="V590" s="7"/>
      <c r="W590" s="7"/>
      <c r="X590" s="7"/>
      <c r="Y590" s="7"/>
    </row>
    <row r="591" spans="1:25" ht="19.5" customHeight="1">
      <c r="A591" s="23"/>
      <c r="B591" s="23"/>
      <c r="C591" s="7"/>
      <c r="D591" s="7"/>
      <c r="E591" s="7"/>
      <c r="F591" s="7"/>
      <c r="G591" s="7"/>
      <c r="H591" s="7"/>
      <c r="I591" s="7"/>
      <c r="J591" s="7"/>
      <c r="K591" s="7"/>
      <c r="L591" s="7"/>
      <c r="M591" s="7"/>
      <c r="N591" s="7"/>
      <c r="O591" s="7"/>
      <c r="P591" s="7"/>
      <c r="Q591" s="7"/>
      <c r="R591" s="7"/>
      <c r="S591" s="7"/>
      <c r="T591" s="7"/>
      <c r="U591" s="7"/>
      <c r="V591" s="7"/>
      <c r="W591" s="7"/>
      <c r="X591" s="7"/>
      <c r="Y591" s="7"/>
    </row>
    <row r="592" spans="1:25" ht="19.5" customHeight="1">
      <c r="A592" s="23"/>
      <c r="B592" s="23"/>
      <c r="C592" s="7"/>
      <c r="D592" s="7"/>
      <c r="E592" s="7"/>
      <c r="F592" s="7"/>
      <c r="G592" s="7"/>
      <c r="H592" s="7"/>
      <c r="I592" s="7"/>
      <c r="J592" s="7"/>
      <c r="K592" s="7"/>
      <c r="L592" s="7"/>
      <c r="M592" s="7"/>
      <c r="N592" s="7"/>
      <c r="O592" s="7"/>
      <c r="P592" s="7"/>
      <c r="Q592" s="7"/>
      <c r="R592" s="7"/>
      <c r="S592" s="7"/>
      <c r="T592" s="7"/>
      <c r="U592" s="7"/>
      <c r="V592" s="7"/>
      <c r="W592" s="7"/>
      <c r="X592" s="7"/>
      <c r="Y592" s="7"/>
    </row>
    <row r="593" spans="1:25" ht="19.5" customHeight="1">
      <c r="A593" s="23"/>
      <c r="B593" s="23"/>
      <c r="C593" s="7"/>
      <c r="D593" s="7"/>
      <c r="E593" s="7"/>
      <c r="F593" s="7"/>
      <c r="G593" s="7"/>
      <c r="H593" s="7"/>
      <c r="I593" s="7"/>
      <c r="J593" s="7"/>
      <c r="K593" s="7"/>
      <c r="L593" s="7"/>
      <c r="M593" s="7"/>
      <c r="N593" s="7"/>
      <c r="O593" s="7"/>
      <c r="P593" s="7"/>
      <c r="Q593" s="7"/>
      <c r="R593" s="7"/>
      <c r="S593" s="7"/>
      <c r="T593" s="7"/>
      <c r="U593" s="7"/>
      <c r="V593" s="7"/>
      <c r="W593" s="7"/>
      <c r="X593" s="7"/>
      <c r="Y593" s="7"/>
    </row>
    <row r="594" spans="1:25" ht="19.5" customHeight="1">
      <c r="A594" s="23"/>
      <c r="B594" s="23"/>
      <c r="C594" s="7"/>
      <c r="D594" s="7"/>
      <c r="E594" s="7"/>
      <c r="F594" s="7"/>
      <c r="G594" s="7"/>
      <c r="H594" s="7"/>
      <c r="I594" s="7"/>
      <c r="J594" s="7"/>
      <c r="K594" s="7"/>
      <c r="L594" s="7"/>
      <c r="M594" s="7"/>
      <c r="N594" s="7"/>
      <c r="O594" s="7"/>
      <c r="P594" s="7"/>
      <c r="Q594" s="7"/>
      <c r="R594" s="7"/>
      <c r="S594" s="7"/>
      <c r="T594" s="7"/>
      <c r="U594" s="7"/>
      <c r="V594" s="7"/>
      <c r="W594" s="7"/>
      <c r="X594" s="7"/>
      <c r="Y594" s="7"/>
    </row>
    <row r="595" spans="1:25" ht="19.5" customHeight="1">
      <c r="A595" s="23"/>
      <c r="B595" s="23"/>
      <c r="C595" s="7"/>
      <c r="D595" s="7"/>
      <c r="E595" s="7"/>
      <c r="F595" s="7"/>
      <c r="G595" s="7"/>
      <c r="H595" s="7"/>
      <c r="I595" s="7"/>
      <c r="J595" s="7"/>
      <c r="K595" s="7"/>
      <c r="L595" s="7"/>
      <c r="M595" s="7"/>
      <c r="N595" s="7"/>
      <c r="O595" s="7"/>
      <c r="P595" s="7"/>
      <c r="Q595" s="7"/>
      <c r="R595" s="7"/>
      <c r="S595" s="7"/>
      <c r="T595" s="7"/>
      <c r="U595" s="7"/>
      <c r="V595" s="7"/>
      <c r="W595" s="7"/>
      <c r="X595" s="7"/>
      <c r="Y595" s="7"/>
    </row>
    <row r="596" spans="1:25" ht="19.5" customHeight="1">
      <c r="A596" s="23"/>
      <c r="B596" s="23"/>
      <c r="C596" s="7"/>
      <c r="D596" s="7"/>
      <c r="E596" s="7"/>
      <c r="F596" s="7"/>
      <c r="G596" s="7"/>
      <c r="H596" s="7"/>
      <c r="I596" s="7"/>
      <c r="J596" s="7"/>
      <c r="K596" s="7"/>
      <c r="L596" s="7"/>
      <c r="M596" s="7"/>
      <c r="N596" s="7"/>
      <c r="O596" s="7"/>
      <c r="P596" s="7"/>
      <c r="Q596" s="7"/>
      <c r="R596" s="7"/>
      <c r="S596" s="7"/>
      <c r="T596" s="7"/>
      <c r="U596" s="7"/>
      <c r="V596" s="7"/>
      <c r="W596" s="7"/>
      <c r="X596" s="7"/>
      <c r="Y596" s="7"/>
    </row>
    <row r="597" spans="1:25" ht="19.5" customHeight="1">
      <c r="A597" s="23"/>
      <c r="B597" s="23"/>
      <c r="C597" s="7"/>
      <c r="D597" s="7"/>
      <c r="E597" s="7"/>
      <c r="F597" s="7"/>
      <c r="G597" s="7"/>
      <c r="H597" s="7"/>
      <c r="I597" s="7"/>
      <c r="J597" s="7"/>
      <c r="K597" s="7"/>
      <c r="L597" s="7"/>
      <c r="M597" s="7"/>
      <c r="N597" s="7"/>
      <c r="O597" s="7"/>
      <c r="P597" s="7"/>
      <c r="Q597" s="7"/>
      <c r="R597" s="7"/>
      <c r="S597" s="7"/>
      <c r="T597" s="7"/>
      <c r="U597" s="7"/>
      <c r="V597" s="7"/>
      <c r="W597" s="7"/>
      <c r="X597" s="7"/>
      <c r="Y597" s="7"/>
    </row>
    <row r="598" spans="1:25" ht="19.5" customHeight="1">
      <c r="A598" s="23"/>
      <c r="B598" s="23"/>
      <c r="C598" s="7"/>
      <c r="D598" s="7"/>
      <c r="E598" s="7"/>
      <c r="F598" s="7"/>
      <c r="G598" s="7"/>
      <c r="H598" s="7"/>
      <c r="I598" s="7"/>
      <c r="J598" s="7"/>
      <c r="K598" s="7"/>
      <c r="L598" s="7"/>
      <c r="M598" s="7"/>
      <c r="N598" s="7"/>
      <c r="O598" s="7"/>
      <c r="P598" s="7"/>
      <c r="Q598" s="7"/>
      <c r="R598" s="7"/>
      <c r="S598" s="7"/>
      <c r="T598" s="7"/>
      <c r="U598" s="7"/>
      <c r="V598" s="7"/>
      <c r="W598" s="7"/>
      <c r="X598" s="7"/>
      <c r="Y598" s="7"/>
    </row>
    <row r="599" spans="1:25" ht="19.5" customHeight="1">
      <c r="A599" s="23"/>
      <c r="B599" s="23"/>
      <c r="C599" s="7"/>
      <c r="D599" s="7"/>
      <c r="E599" s="7"/>
      <c r="F599" s="7"/>
      <c r="G599" s="7"/>
      <c r="H599" s="7"/>
      <c r="I599" s="7"/>
      <c r="J599" s="7"/>
      <c r="K599" s="7"/>
      <c r="L599" s="7"/>
      <c r="M599" s="7"/>
      <c r="N599" s="7"/>
      <c r="O599" s="7"/>
      <c r="P599" s="7"/>
      <c r="Q599" s="7"/>
      <c r="R599" s="7"/>
      <c r="S599" s="7"/>
      <c r="T599" s="7"/>
      <c r="U599" s="7"/>
      <c r="V599" s="7"/>
      <c r="W599" s="7"/>
      <c r="X599" s="7"/>
      <c r="Y599" s="7"/>
    </row>
    <row r="600" spans="1:25" ht="19.5" customHeight="1">
      <c r="A600" s="23"/>
      <c r="B600" s="23"/>
      <c r="C600" s="7"/>
      <c r="D600" s="7"/>
      <c r="E600" s="7"/>
      <c r="F600" s="7"/>
      <c r="G600" s="7"/>
      <c r="H600" s="7"/>
      <c r="I600" s="7"/>
      <c r="J600" s="7"/>
      <c r="K600" s="7"/>
      <c r="L600" s="7"/>
      <c r="M600" s="7"/>
      <c r="N600" s="7"/>
      <c r="O600" s="7"/>
      <c r="P600" s="7"/>
      <c r="Q600" s="7"/>
      <c r="R600" s="7"/>
      <c r="S600" s="7"/>
      <c r="T600" s="7"/>
      <c r="U600" s="7"/>
      <c r="V600" s="7"/>
      <c r="W600" s="7"/>
      <c r="X600" s="7"/>
      <c r="Y600" s="7"/>
    </row>
    <row r="601" spans="1:25" ht="19.5" customHeight="1">
      <c r="A601" s="23"/>
      <c r="B601" s="23"/>
      <c r="C601" s="7"/>
      <c r="D601" s="7"/>
      <c r="E601" s="7"/>
      <c r="F601" s="7"/>
      <c r="G601" s="7"/>
      <c r="H601" s="7"/>
      <c r="I601" s="7"/>
      <c r="J601" s="7"/>
      <c r="K601" s="7"/>
      <c r="L601" s="7"/>
      <c r="M601" s="7"/>
      <c r="N601" s="7"/>
      <c r="O601" s="7"/>
      <c r="P601" s="7"/>
      <c r="Q601" s="7"/>
      <c r="R601" s="7"/>
      <c r="S601" s="7"/>
      <c r="T601" s="7"/>
      <c r="U601" s="7"/>
      <c r="V601" s="7"/>
      <c r="W601" s="7"/>
      <c r="X601" s="7"/>
      <c r="Y601" s="7"/>
    </row>
    <row r="602" spans="1:25" ht="19.5" customHeight="1">
      <c r="A602" s="23"/>
      <c r="B602" s="23"/>
      <c r="C602" s="7"/>
      <c r="D602" s="7"/>
      <c r="E602" s="7"/>
      <c r="F602" s="7"/>
      <c r="G602" s="7"/>
      <c r="H602" s="7"/>
      <c r="I602" s="7"/>
      <c r="J602" s="7"/>
      <c r="K602" s="7"/>
      <c r="L602" s="7"/>
      <c r="M602" s="7"/>
      <c r="N602" s="7"/>
      <c r="O602" s="7"/>
      <c r="P602" s="7"/>
      <c r="Q602" s="7"/>
      <c r="R602" s="7"/>
      <c r="S602" s="7"/>
      <c r="T602" s="7"/>
      <c r="U602" s="7"/>
      <c r="V602" s="7"/>
      <c r="W602" s="7"/>
      <c r="X602" s="7"/>
      <c r="Y602" s="7"/>
    </row>
    <row r="603" spans="1:25" ht="19.5" customHeight="1">
      <c r="A603" s="23"/>
      <c r="B603" s="23"/>
      <c r="C603" s="7"/>
      <c r="D603" s="7"/>
      <c r="E603" s="7"/>
      <c r="F603" s="7"/>
      <c r="G603" s="7"/>
      <c r="H603" s="7"/>
      <c r="I603" s="7"/>
      <c r="J603" s="7"/>
      <c r="K603" s="7"/>
      <c r="L603" s="7"/>
      <c r="M603" s="7"/>
      <c r="N603" s="7"/>
      <c r="O603" s="7"/>
      <c r="P603" s="7"/>
      <c r="Q603" s="7"/>
      <c r="R603" s="7"/>
      <c r="S603" s="7"/>
      <c r="T603" s="7"/>
      <c r="U603" s="7"/>
      <c r="V603" s="7"/>
      <c r="W603" s="7"/>
      <c r="X603" s="7"/>
      <c r="Y603" s="7"/>
    </row>
    <row r="604" spans="1:25" ht="19.5" customHeight="1">
      <c r="A604" s="23"/>
      <c r="B604" s="23"/>
      <c r="C604" s="7"/>
      <c r="D604" s="7"/>
      <c r="E604" s="7"/>
      <c r="F604" s="7"/>
      <c r="G604" s="7"/>
      <c r="H604" s="7"/>
      <c r="I604" s="7"/>
      <c r="J604" s="7"/>
      <c r="K604" s="7"/>
      <c r="L604" s="7"/>
      <c r="M604" s="7"/>
      <c r="N604" s="7"/>
      <c r="O604" s="7"/>
      <c r="P604" s="7"/>
      <c r="Q604" s="7"/>
      <c r="R604" s="7"/>
      <c r="S604" s="7"/>
      <c r="T604" s="7"/>
      <c r="U604" s="7"/>
      <c r="V604" s="7"/>
      <c r="W604" s="7"/>
      <c r="X604" s="7"/>
      <c r="Y604" s="7"/>
    </row>
    <row r="605" spans="1:25" ht="19.5" customHeight="1">
      <c r="A605" s="23"/>
      <c r="B605" s="23"/>
      <c r="C605" s="7"/>
      <c r="D605" s="7"/>
      <c r="E605" s="7"/>
      <c r="F605" s="7"/>
      <c r="G605" s="7"/>
      <c r="H605" s="7"/>
      <c r="I605" s="7"/>
      <c r="J605" s="7"/>
      <c r="K605" s="7"/>
      <c r="L605" s="7"/>
      <c r="M605" s="7"/>
      <c r="N605" s="7"/>
      <c r="O605" s="7"/>
      <c r="P605" s="7"/>
      <c r="Q605" s="7"/>
      <c r="R605" s="7"/>
      <c r="S605" s="7"/>
      <c r="T605" s="7"/>
      <c r="U605" s="7"/>
      <c r="V605" s="7"/>
      <c r="W605" s="7"/>
      <c r="X605" s="7"/>
      <c r="Y605" s="7"/>
    </row>
    <row r="606" spans="1:25" ht="19.5" customHeight="1">
      <c r="A606" s="23"/>
      <c r="B606" s="23"/>
      <c r="C606" s="7"/>
      <c r="D606" s="7"/>
      <c r="E606" s="7"/>
      <c r="F606" s="7"/>
      <c r="G606" s="7"/>
      <c r="H606" s="7"/>
      <c r="I606" s="7"/>
      <c r="J606" s="7"/>
      <c r="K606" s="7"/>
      <c r="L606" s="7"/>
      <c r="M606" s="7"/>
      <c r="N606" s="7"/>
      <c r="O606" s="7"/>
      <c r="P606" s="7"/>
      <c r="Q606" s="7"/>
      <c r="R606" s="7"/>
      <c r="S606" s="7"/>
      <c r="T606" s="7"/>
      <c r="U606" s="7"/>
      <c r="V606" s="7"/>
      <c r="W606" s="7"/>
      <c r="X606" s="7"/>
      <c r="Y606" s="7"/>
    </row>
    <row r="607" spans="1:25" ht="19.5" customHeight="1">
      <c r="A607" s="23"/>
      <c r="B607" s="23"/>
      <c r="C607" s="7"/>
      <c r="D607" s="7"/>
      <c r="E607" s="7"/>
      <c r="F607" s="7"/>
      <c r="G607" s="7"/>
      <c r="H607" s="7"/>
      <c r="I607" s="7"/>
      <c r="J607" s="7"/>
      <c r="K607" s="7"/>
      <c r="L607" s="7"/>
      <c r="M607" s="7"/>
      <c r="N607" s="7"/>
      <c r="O607" s="7"/>
      <c r="P607" s="7"/>
      <c r="Q607" s="7"/>
      <c r="R607" s="7"/>
      <c r="S607" s="7"/>
      <c r="T607" s="7"/>
      <c r="U607" s="7"/>
      <c r="V607" s="7"/>
      <c r="W607" s="7"/>
      <c r="X607" s="7"/>
      <c r="Y607" s="7"/>
    </row>
    <row r="608" spans="1:25" ht="19.5" customHeight="1">
      <c r="A608" s="23"/>
      <c r="B608" s="23"/>
      <c r="C608" s="7"/>
      <c r="D608" s="7"/>
      <c r="E608" s="7"/>
      <c r="F608" s="7"/>
      <c r="G608" s="7"/>
      <c r="H608" s="7"/>
      <c r="I608" s="7"/>
      <c r="J608" s="7"/>
      <c r="K608" s="7"/>
      <c r="L608" s="7"/>
      <c r="M608" s="7"/>
      <c r="N608" s="7"/>
      <c r="O608" s="7"/>
      <c r="P608" s="7"/>
      <c r="Q608" s="7"/>
      <c r="R608" s="7"/>
      <c r="S608" s="7"/>
      <c r="T608" s="7"/>
      <c r="U608" s="7"/>
      <c r="V608" s="7"/>
      <c r="W608" s="7"/>
      <c r="X608" s="7"/>
      <c r="Y608" s="7"/>
    </row>
    <row r="609" spans="1:25" ht="19.5" customHeight="1">
      <c r="A609" s="23"/>
      <c r="B609" s="23"/>
      <c r="C609" s="7"/>
      <c r="D609" s="7"/>
      <c r="E609" s="7"/>
      <c r="F609" s="7"/>
      <c r="G609" s="7"/>
      <c r="H609" s="7"/>
      <c r="I609" s="7"/>
      <c r="J609" s="7"/>
      <c r="K609" s="7"/>
      <c r="L609" s="7"/>
      <c r="M609" s="7"/>
      <c r="N609" s="7"/>
      <c r="O609" s="7"/>
      <c r="P609" s="7"/>
      <c r="Q609" s="7"/>
      <c r="R609" s="7"/>
      <c r="S609" s="7"/>
      <c r="T609" s="7"/>
      <c r="U609" s="7"/>
      <c r="V609" s="7"/>
      <c r="W609" s="7"/>
      <c r="X609" s="7"/>
      <c r="Y609" s="7"/>
    </row>
    <row r="610" spans="1:25" ht="19.5" customHeight="1">
      <c r="A610" s="23"/>
      <c r="B610" s="23"/>
      <c r="C610" s="7"/>
      <c r="D610" s="7"/>
      <c r="E610" s="7"/>
      <c r="F610" s="7"/>
      <c r="G610" s="7"/>
      <c r="H610" s="7"/>
      <c r="I610" s="7"/>
      <c r="J610" s="7"/>
      <c r="K610" s="7"/>
      <c r="L610" s="7"/>
      <c r="M610" s="7"/>
      <c r="N610" s="7"/>
      <c r="O610" s="7"/>
      <c r="P610" s="7"/>
      <c r="Q610" s="7"/>
      <c r="R610" s="7"/>
      <c r="S610" s="7"/>
      <c r="T610" s="7"/>
      <c r="U610" s="7"/>
      <c r="V610" s="7"/>
      <c r="W610" s="7"/>
      <c r="X610" s="7"/>
      <c r="Y610" s="7"/>
    </row>
    <row r="611" spans="1:25" ht="19.5" customHeight="1">
      <c r="A611" s="23"/>
      <c r="B611" s="23"/>
      <c r="C611" s="7"/>
      <c r="D611" s="7"/>
      <c r="E611" s="7"/>
      <c r="F611" s="7"/>
      <c r="G611" s="7"/>
      <c r="H611" s="7"/>
      <c r="I611" s="7"/>
      <c r="J611" s="7"/>
      <c r="K611" s="7"/>
      <c r="L611" s="7"/>
      <c r="M611" s="7"/>
      <c r="N611" s="7"/>
      <c r="O611" s="7"/>
      <c r="P611" s="7"/>
      <c r="Q611" s="7"/>
      <c r="R611" s="7"/>
      <c r="S611" s="7"/>
      <c r="T611" s="7"/>
      <c r="U611" s="7"/>
      <c r="V611" s="7"/>
      <c r="W611" s="7"/>
      <c r="X611" s="7"/>
      <c r="Y611" s="7"/>
    </row>
    <row r="612" spans="1:25" ht="19.5" customHeight="1">
      <c r="A612" s="23"/>
      <c r="B612" s="23"/>
      <c r="C612" s="7"/>
      <c r="D612" s="7"/>
      <c r="E612" s="7"/>
      <c r="F612" s="7"/>
      <c r="G612" s="7"/>
      <c r="H612" s="7"/>
      <c r="I612" s="7"/>
      <c r="J612" s="7"/>
      <c r="K612" s="7"/>
      <c r="L612" s="7"/>
      <c r="M612" s="7"/>
      <c r="N612" s="7"/>
      <c r="O612" s="7"/>
      <c r="P612" s="7"/>
      <c r="Q612" s="7"/>
      <c r="R612" s="7"/>
      <c r="S612" s="7"/>
      <c r="T612" s="7"/>
      <c r="U612" s="7"/>
      <c r="V612" s="7"/>
      <c r="W612" s="7"/>
      <c r="X612" s="7"/>
      <c r="Y612" s="7"/>
    </row>
    <row r="613" spans="1:25" ht="19.5" customHeight="1">
      <c r="A613" s="23"/>
      <c r="B613" s="23"/>
      <c r="C613" s="7"/>
      <c r="D613" s="7"/>
      <c r="E613" s="7"/>
      <c r="F613" s="7"/>
      <c r="G613" s="7"/>
      <c r="H613" s="7"/>
      <c r="I613" s="7"/>
      <c r="J613" s="7"/>
      <c r="K613" s="7"/>
      <c r="L613" s="7"/>
      <c r="M613" s="7"/>
      <c r="N613" s="7"/>
      <c r="O613" s="7"/>
      <c r="P613" s="7"/>
      <c r="Q613" s="7"/>
      <c r="R613" s="7"/>
      <c r="S613" s="7"/>
      <c r="T613" s="7"/>
      <c r="U613" s="7"/>
      <c r="V613" s="7"/>
      <c r="W613" s="7"/>
      <c r="X613" s="7"/>
      <c r="Y613" s="7"/>
    </row>
    <row r="614" spans="1:25" ht="19.5" customHeight="1">
      <c r="A614" s="23"/>
      <c r="B614" s="23"/>
      <c r="C614" s="7"/>
      <c r="D614" s="7"/>
      <c r="E614" s="7"/>
      <c r="F614" s="7"/>
      <c r="G614" s="7"/>
      <c r="H614" s="7"/>
      <c r="I614" s="7"/>
      <c r="J614" s="7"/>
      <c r="K614" s="7"/>
      <c r="L614" s="7"/>
      <c r="M614" s="7"/>
      <c r="N614" s="7"/>
      <c r="O614" s="7"/>
      <c r="P614" s="7"/>
      <c r="Q614" s="7"/>
      <c r="R614" s="7"/>
      <c r="S614" s="7"/>
      <c r="T614" s="7"/>
      <c r="U614" s="7"/>
      <c r="V614" s="7"/>
      <c r="W614" s="7"/>
      <c r="X614" s="7"/>
      <c r="Y614" s="7"/>
    </row>
    <row r="615" spans="1:25" ht="19.5" customHeight="1">
      <c r="A615" s="23"/>
      <c r="B615" s="23"/>
      <c r="C615" s="7"/>
      <c r="D615" s="7"/>
      <c r="E615" s="7"/>
      <c r="F615" s="7"/>
      <c r="G615" s="7"/>
      <c r="H615" s="7"/>
      <c r="I615" s="7"/>
      <c r="J615" s="7"/>
      <c r="K615" s="7"/>
      <c r="L615" s="7"/>
      <c r="M615" s="7"/>
      <c r="N615" s="7"/>
      <c r="O615" s="7"/>
      <c r="P615" s="7"/>
      <c r="Q615" s="7"/>
      <c r="R615" s="7"/>
      <c r="S615" s="7"/>
      <c r="T615" s="7"/>
      <c r="U615" s="7"/>
      <c r="V615" s="7"/>
      <c r="W615" s="7"/>
      <c r="X615" s="7"/>
      <c r="Y615" s="7"/>
    </row>
    <row r="616" spans="1:25" ht="19.5" customHeight="1">
      <c r="A616" s="23"/>
      <c r="B616" s="23"/>
      <c r="C616" s="7"/>
      <c r="D616" s="7"/>
      <c r="E616" s="7"/>
      <c r="F616" s="7"/>
      <c r="G616" s="7"/>
      <c r="H616" s="7"/>
      <c r="I616" s="7"/>
      <c r="J616" s="7"/>
      <c r="K616" s="7"/>
      <c r="L616" s="7"/>
      <c r="M616" s="7"/>
      <c r="N616" s="7"/>
      <c r="O616" s="7"/>
      <c r="P616" s="7"/>
      <c r="Q616" s="7"/>
      <c r="R616" s="7"/>
      <c r="S616" s="7"/>
      <c r="T616" s="7"/>
      <c r="U616" s="7"/>
      <c r="V616" s="7"/>
      <c r="W616" s="7"/>
      <c r="X616" s="7"/>
      <c r="Y616" s="7"/>
    </row>
    <row r="617" spans="1:25" ht="19.5" customHeight="1">
      <c r="A617" s="23"/>
      <c r="B617" s="23"/>
      <c r="C617" s="7"/>
      <c r="D617" s="7"/>
      <c r="E617" s="7"/>
      <c r="F617" s="7"/>
      <c r="G617" s="7"/>
      <c r="H617" s="7"/>
      <c r="I617" s="7"/>
      <c r="J617" s="7"/>
      <c r="K617" s="7"/>
      <c r="L617" s="7"/>
      <c r="M617" s="7"/>
      <c r="N617" s="7"/>
      <c r="O617" s="7"/>
      <c r="P617" s="7"/>
      <c r="Q617" s="7"/>
      <c r="R617" s="7"/>
      <c r="S617" s="7"/>
      <c r="T617" s="7"/>
      <c r="U617" s="7"/>
      <c r="V617" s="7"/>
      <c r="W617" s="7"/>
      <c r="X617" s="7"/>
      <c r="Y617" s="7"/>
    </row>
    <row r="618" spans="1:25" ht="19.5" customHeight="1">
      <c r="A618" s="23"/>
      <c r="B618" s="23"/>
      <c r="C618" s="7"/>
      <c r="D618" s="7"/>
      <c r="E618" s="7"/>
      <c r="F618" s="7"/>
      <c r="G618" s="7"/>
      <c r="H618" s="7"/>
      <c r="I618" s="7"/>
      <c r="J618" s="7"/>
      <c r="K618" s="7"/>
      <c r="L618" s="7"/>
      <c r="M618" s="7"/>
      <c r="N618" s="7"/>
      <c r="O618" s="7"/>
      <c r="P618" s="7"/>
      <c r="Q618" s="7"/>
      <c r="R618" s="7"/>
      <c r="S618" s="7"/>
      <c r="T618" s="7"/>
      <c r="U618" s="7"/>
      <c r="V618" s="7"/>
      <c r="W618" s="7"/>
      <c r="X618" s="7"/>
      <c r="Y618" s="7"/>
    </row>
    <row r="619" spans="1:25" ht="19.5" customHeight="1">
      <c r="A619" s="23"/>
      <c r="B619" s="23"/>
      <c r="C619" s="7"/>
      <c r="D619" s="7"/>
      <c r="E619" s="7"/>
      <c r="F619" s="7"/>
      <c r="G619" s="7"/>
      <c r="H619" s="7"/>
      <c r="I619" s="7"/>
      <c r="J619" s="7"/>
      <c r="K619" s="7"/>
      <c r="L619" s="7"/>
      <c r="M619" s="7"/>
      <c r="N619" s="7"/>
      <c r="O619" s="7"/>
      <c r="P619" s="7"/>
      <c r="Q619" s="7"/>
      <c r="R619" s="7"/>
      <c r="S619" s="7"/>
      <c r="T619" s="7"/>
      <c r="U619" s="7"/>
      <c r="V619" s="7"/>
      <c r="W619" s="7"/>
      <c r="X619" s="7"/>
      <c r="Y619" s="7"/>
    </row>
    <row r="620" spans="1:25" ht="19.5" customHeight="1">
      <c r="A620" s="23"/>
      <c r="B620" s="23"/>
      <c r="C620" s="7"/>
      <c r="D620" s="7"/>
      <c r="E620" s="7"/>
      <c r="F620" s="7"/>
      <c r="G620" s="7"/>
      <c r="H620" s="7"/>
      <c r="I620" s="7"/>
      <c r="J620" s="7"/>
      <c r="K620" s="7"/>
      <c r="L620" s="7"/>
      <c r="M620" s="7"/>
      <c r="N620" s="7"/>
      <c r="O620" s="7"/>
      <c r="P620" s="7"/>
      <c r="Q620" s="7"/>
      <c r="R620" s="7"/>
      <c r="S620" s="7"/>
      <c r="T620" s="7"/>
      <c r="U620" s="7"/>
      <c r="V620" s="7"/>
      <c r="W620" s="7"/>
      <c r="X620" s="7"/>
      <c r="Y620" s="7"/>
    </row>
    <row r="621" spans="1:25" ht="19.5" customHeight="1">
      <c r="A621" s="23"/>
      <c r="B621" s="23"/>
      <c r="C621" s="7"/>
      <c r="D621" s="7"/>
      <c r="E621" s="7"/>
      <c r="F621" s="7"/>
      <c r="G621" s="7"/>
      <c r="H621" s="7"/>
      <c r="I621" s="7"/>
      <c r="J621" s="7"/>
      <c r="K621" s="7"/>
      <c r="L621" s="7"/>
      <c r="M621" s="7"/>
      <c r="N621" s="7"/>
      <c r="O621" s="7"/>
      <c r="P621" s="7"/>
      <c r="Q621" s="7"/>
      <c r="R621" s="7"/>
      <c r="S621" s="7"/>
      <c r="T621" s="7"/>
      <c r="U621" s="7"/>
      <c r="V621" s="7"/>
      <c r="W621" s="7"/>
      <c r="X621" s="7"/>
      <c r="Y621" s="7"/>
    </row>
    <row r="622" spans="1:25" ht="19.5" customHeight="1">
      <c r="A622" s="23"/>
      <c r="B622" s="23"/>
      <c r="C622" s="7"/>
      <c r="D622" s="7"/>
      <c r="E622" s="7"/>
      <c r="F622" s="7"/>
      <c r="G622" s="7"/>
      <c r="H622" s="7"/>
      <c r="I622" s="7"/>
      <c r="J622" s="7"/>
      <c r="K622" s="7"/>
      <c r="L622" s="7"/>
      <c r="M622" s="7"/>
      <c r="N622" s="7"/>
      <c r="O622" s="7"/>
      <c r="P622" s="7"/>
      <c r="Q622" s="7"/>
      <c r="R622" s="7"/>
      <c r="S622" s="7"/>
      <c r="T622" s="7"/>
      <c r="U622" s="7"/>
      <c r="V622" s="7"/>
      <c r="W622" s="7"/>
      <c r="X622" s="7"/>
      <c r="Y622" s="7"/>
    </row>
    <row r="623" spans="1:25" ht="19.5" customHeight="1">
      <c r="A623" s="23"/>
      <c r="B623" s="23"/>
      <c r="C623" s="7"/>
      <c r="D623" s="7"/>
      <c r="E623" s="7"/>
      <c r="F623" s="7"/>
      <c r="G623" s="7"/>
      <c r="H623" s="7"/>
      <c r="I623" s="7"/>
      <c r="J623" s="7"/>
      <c r="K623" s="7"/>
      <c r="L623" s="7"/>
      <c r="M623" s="7"/>
      <c r="N623" s="7"/>
      <c r="O623" s="7"/>
      <c r="P623" s="7"/>
      <c r="Q623" s="7"/>
      <c r="R623" s="7"/>
      <c r="S623" s="7"/>
      <c r="T623" s="7"/>
      <c r="U623" s="7"/>
      <c r="V623" s="7"/>
      <c r="W623" s="7"/>
      <c r="X623" s="7"/>
      <c r="Y623" s="7"/>
    </row>
    <row r="624" spans="1:25" ht="19.5" customHeight="1">
      <c r="A624" s="23"/>
      <c r="B624" s="23"/>
      <c r="C624" s="7"/>
      <c r="D624" s="7"/>
      <c r="E624" s="7"/>
      <c r="F624" s="7"/>
      <c r="G624" s="7"/>
      <c r="H624" s="7"/>
      <c r="I624" s="7"/>
      <c r="J624" s="7"/>
      <c r="K624" s="7"/>
      <c r="L624" s="7"/>
      <c r="M624" s="7"/>
      <c r="N624" s="7"/>
      <c r="O624" s="7"/>
      <c r="P624" s="7"/>
      <c r="Q624" s="7"/>
      <c r="R624" s="7"/>
      <c r="S624" s="7"/>
      <c r="T624" s="7"/>
      <c r="U624" s="7"/>
      <c r="V624" s="7"/>
      <c r="W624" s="7"/>
      <c r="X624" s="7"/>
      <c r="Y624" s="7"/>
    </row>
    <row r="625" spans="1:25" ht="19.5" customHeight="1">
      <c r="A625" s="23"/>
      <c r="B625" s="23"/>
      <c r="C625" s="7"/>
      <c r="D625" s="7"/>
      <c r="E625" s="7"/>
      <c r="F625" s="7"/>
      <c r="G625" s="7"/>
      <c r="H625" s="7"/>
      <c r="I625" s="7"/>
      <c r="J625" s="7"/>
      <c r="K625" s="7"/>
      <c r="L625" s="7"/>
      <c r="M625" s="7"/>
      <c r="N625" s="7"/>
      <c r="O625" s="7"/>
      <c r="P625" s="7"/>
      <c r="Q625" s="7"/>
      <c r="R625" s="7"/>
      <c r="S625" s="7"/>
      <c r="T625" s="7"/>
      <c r="U625" s="7"/>
      <c r="V625" s="7"/>
      <c r="W625" s="7"/>
      <c r="X625" s="7"/>
      <c r="Y625" s="7"/>
    </row>
    <row r="626" spans="1:25" ht="19.5" customHeight="1">
      <c r="A626" s="23"/>
      <c r="B626" s="23"/>
      <c r="C626" s="7"/>
      <c r="D626" s="7"/>
      <c r="E626" s="7"/>
      <c r="F626" s="7"/>
      <c r="G626" s="7"/>
      <c r="H626" s="7"/>
      <c r="I626" s="7"/>
      <c r="J626" s="7"/>
      <c r="K626" s="7"/>
      <c r="L626" s="7"/>
      <c r="M626" s="7"/>
      <c r="N626" s="7"/>
      <c r="O626" s="7"/>
      <c r="P626" s="7"/>
      <c r="Q626" s="7"/>
      <c r="R626" s="7"/>
      <c r="S626" s="7"/>
      <c r="T626" s="7"/>
      <c r="U626" s="7"/>
      <c r="V626" s="7"/>
      <c r="W626" s="7"/>
      <c r="X626" s="7"/>
      <c r="Y626" s="7"/>
    </row>
    <row r="627" spans="1:25" ht="19.5" customHeight="1">
      <c r="A627" s="23"/>
      <c r="B627" s="23"/>
      <c r="C627" s="7"/>
      <c r="D627" s="7"/>
      <c r="E627" s="7"/>
      <c r="F627" s="7"/>
      <c r="G627" s="7"/>
      <c r="H627" s="7"/>
      <c r="I627" s="7"/>
      <c r="J627" s="7"/>
      <c r="K627" s="7"/>
      <c r="L627" s="7"/>
      <c r="M627" s="7"/>
      <c r="N627" s="7"/>
      <c r="O627" s="7"/>
      <c r="P627" s="7"/>
      <c r="Q627" s="7"/>
      <c r="R627" s="7"/>
      <c r="S627" s="7"/>
      <c r="T627" s="7"/>
      <c r="U627" s="7"/>
      <c r="V627" s="7"/>
      <c r="W627" s="7"/>
      <c r="X627" s="7"/>
      <c r="Y627" s="7"/>
    </row>
    <row r="628" spans="1:25" ht="19.5" customHeight="1">
      <c r="A628" s="23"/>
      <c r="B628" s="23"/>
      <c r="C628" s="7"/>
      <c r="D628" s="7"/>
      <c r="E628" s="7"/>
      <c r="F628" s="7"/>
      <c r="G628" s="7"/>
      <c r="H628" s="7"/>
      <c r="I628" s="7"/>
      <c r="J628" s="7"/>
      <c r="K628" s="7"/>
      <c r="L628" s="7"/>
      <c r="M628" s="7"/>
      <c r="N628" s="7"/>
      <c r="O628" s="7"/>
      <c r="P628" s="7"/>
      <c r="Q628" s="7"/>
      <c r="R628" s="7"/>
      <c r="S628" s="7"/>
      <c r="T628" s="7"/>
      <c r="U628" s="7"/>
      <c r="V628" s="7"/>
      <c r="W628" s="7"/>
      <c r="X628" s="7"/>
      <c r="Y628" s="7"/>
    </row>
    <row r="629" spans="1:25" ht="19.5" customHeight="1">
      <c r="A629" s="23"/>
      <c r="B629" s="23"/>
      <c r="C629" s="7"/>
      <c r="D629" s="7"/>
      <c r="E629" s="7"/>
      <c r="F629" s="7"/>
      <c r="G629" s="7"/>
      <c r="H629" s="7"/>
      <c r="I629" s="7"/>
      <c r="J629" s="7"/>
      <c r="K629" s="7"/>
      <c r="L629" s="7"/>
      <c r="M629" s="7"/>
      <c r="N629" s="7"/>
      <c r="O629" s="7"/>
      <c r="P629" s="7"/>
      <c r="Q629" s="7"/>
      <c r="R629" s="7"/>
      <c r="S629" s="7"/>
      <c r="T629" s="7"/>
      <c r="U629" s="7"/>
      <c r="V629" s="7"/>
      <c r="W629" s="7"/>
      <c r="X629" s="7"/>
      <c r="Y629" s="7"/>
    </row>
    <row r="630" spans="1:25" ht="19.5" customHeight="1">
      <c r="A630" s="23"/>
      <c r="B630" s="23"/>
      <c r="C630" s="7"/>
      <c r="D630" s="7"/>
      <c r="E630" s="7"/>
      <c r="F630" s="7"/>
      <c r="G630" s="7"/>
      <c r="H630" s="7"/>
      <c r="I630" s="7"/>
      <c r="J630" s="7"/>
      <c r="K630" s="7"/>
      <c r="L630" s="7"/>
      <c r="M630" s="7"/>
      <c r="N630" s="7"/>
      <c r="O630" s="7"/>
      <c r="P630" s="7"/>
      <c r="Q630" s="7"/>
      <c r="R630" s="7"/>
      <c r="S630" s="7"/>
      <c r="T630" s="7"/>
      <c r="U630" s="7"/>
      <c r="V630" s="7"/>
      <c r="W630" s="7"/>
      <c r="X630" s="7"/>
      <c r="Y630" s="7"/>
    </row>
    <row r="631" spans="1:25" ht="19.5" customHeight="1">
      <c r="A631" s="23"/>
      <c r="B631" s="23"/>
      <c r="C631" s="7"/>
      <c r="D631" s="7"/>
      <c r="E631" s="7"/>
      <c r="F631" s="7"/>
      <c r="G631" s="7"/>
      <c r="H631" s="7"/>
      <c r="I631" s="7"/>
      <c r="J631" s="7"/>
      <c r="K631" s="7"/>
      <c r="L631" s="7"/>
      <c r="M631" s="7"/>
      <c r="N631" s="7"/>
      <c r="O631" s="7"/>
      <c r="P631" s="7"/>
      <c r="Q631" s="7"/>
      <c r="R631" s="7"/>
      <c r="S631" s="7"/>
      <c r="T631" s="7"/>
      <c r="U631" s="7"/>
      <c r="V631" s="7"/>
      <c r="W631" s="7"/>
      <c r="X631" s="7"/>
      <c r="Y631" s="7"/>
    </row>
    <row r="632" spans="1:25" ht="19.5" customHeight="1">
      <c r="A632" s="23"/>
      <c r="B632" s="23"/>
      <c r="C632" s="7"/>
      <c r="D632" s="7"/>
      <c r="E632" s="7"/>
      <c r="F632" s="7"/>
      <c r="G632" s="7"/>
      <c r="H632" s="7"/>
      <c r="I632" s="7"/>
      <c r="J632" s="7"/>
      <c r="K632" s="7"/>
      <c r="L632" s="7"/>
      <c r="M632" s="7"/>
      <c r="N632" s="7"/>
      <c r="O632" s="7"/>
      <c r="P632" s="7"/>
      <c r="Q632" s="7"/>
      <c r="R632" s="7"/>
      <c r="S632" s="7"/>
      <c r="T632" s="7"/>
      <c r="U632" s="7"/>
      <c r="V632" s="7"/>
      <c r="W632" s="7"/>
      <c r="X632" s="7"/>
      <c r="Y632" s="7"/>
    </row>
    <row r="633" spans="1:25" ht="19.5" customHeight="1">
      <c r="A633" s="23"/>
      <c r="B633" s="23"/>
      <c r="C633" s="7"/>
      <c r="D633" s="7"/>
      <c r="E633" s="7"/>
      <c r="F633" s="7"/>
      <c r="G633" s="7"/>
      <c r="H633" s="7"/>
      <c r="I633" s="7"/>
      <c r="J633" s="7"/>
      <c r="K633" s="7"/>
      <c r="L633" s="7"/>
      <c r="M633" s="7"/>
      <c r="N633" s="7"/>
      <c r="O633" s="7"/>
      <c r="P633" s="7"/>
      <c r="Q633" s="7"/>
      <c r="R633" s="7"/>
      <c r="S633" s="7"/>
      <c r="T633" s="7"/>
      <c r="U633" s="7"/>
      <c r="V633" s="7"/>
      <c r="W633" s="7"/>
      <c r="X633" s="7"/>
      <c r="Y633" s="7"/>
    </row>
    <row r="634" spans="1:25" ht="19.5" customHeight="1">
      <c r="A634" s="23"/>
      <c r="B634" s="23"/>
      <c r="C634" s="7"/>
      <c r="D634" s="7"/>
      <c r="E634" s="7"/>
      <c r="F634" s="7"/>
      <c r="G634" s="7"/>
      <c r="H634" s="7"/>
      <c r="I634" s="7"/>
      <c r="J634" s="7"/>
      <c r="K634" s="7"/>
      <c r="L634" s="7"/>
      <c r="M634" s="7"/>
      <c r="N634" s="7"/>
      <c r="O634" s="7"/>
      <c r="P634" s="7"/>
      <c r="Q634" s="7"/>
      <c r="R634" s="7"/>
      <c r="S634" s="7"/>
      <c r="T634" s="7"/>
      <c r="U634" s="7"/>
      <c r="V634" s="7"/>
      <c r="W634" s="7"/>
      <c r="X634" s="7"/>
      <c r="Y634" s="7"/>
    </row>
    <row r="635" spans="1:25" ht="19.5" customHeight="1">
      <c r="A635" s="23"/>
      <c r="B635" s="23"/>
      <c r="C635" s="7"/>
      <c r="D635" s="7"/>
      <c r="E635" s="7"/>
      <c r="F635" s="7"/>
      <c r="G635" s="7"/>
      <c r="H635" s="7"/>
      <c r="I635" s="7"/>
      <c r="J635" s="7"/>
      <c r="K635" s="7"/>
      <c r="L635" s="7"/>
      <c r="M635" s="7"/>
      <c r="N635" s="7"/>
      <c r="O635" s="7"/>
      <c r="P635" s="7"/>
      <c r="Q635" s="7"/>
      <c r="R635" s="7"/>
      <c r="S635" s="7"/>
      <c r="T635" s="7"/>
      <c r="U635" s="7"/>
      <c r="V635" s="7"/>
      <c r="W635" s="7"/>
      <c r="X635" s="7"/>
      <c r="Y635" s="7"/>
    </row>
    <row r="636" spans="1:25" ht="19.5" customHeight="1">
      <c r="A636" s="23"/>
      <c r="B636" s="23"/>
      <c r="C636" s="7"/>
      <c r="D636" s="7"/>
      <c r="E636" s="7"/>
      <c r="F636" s="7"/>
      <c r="G636" s="7"/>
      <c r="H636" s="7"/>
      <c r="I636" s="7"/>
      <c r="J636" s="7"/>
      <c r="K636" s="7"/>
      <c r="L636" s="7"/>
      <c r="M636" s="7"/>
      <c r="N636" s="7"/>
      <c r="O636" s="7"/>
      <c r="P636" s="7"/>
      <c r="Q636" s="7"/>
      <c r="R636" s="7"/>
      <c r="S636" s="7"/>
      <c r="T636" s="7"/>
      <c r="U636" s="7"/>
      <c r="V636" s="7"/>
      <c r="W636" s="7"/>
      <c r="X636" s="7"/>
      <c r="Y636" s="7"/>
    </row>
    <row r="637" spans="1:25" ht="19.5" customHeight="1">
      <c r="A637" s="23"/>
      <c r="B637" s="23"/>
      <c r="C637" s="7"/>
      <c r="D637" s="7"/>
      <c r="E637" s="7"/>
      <c r="F637" s="7"/>
      <c r="G637" s="7"/>
      <c r="H637" s="7"/>
      <c r="I637" s="7"/>
      <c r="J637" s="7"/>
      <c r="K637" s="7"/>
      <c r="L637" s="7"/>
      <c r="M637" s="7"/>
      <c r="N637" s="7"/>
      <c r="O637" s="7"/>
      <c r="P637" s="7"/>
      <c r="Q637" s="7"/>
      <c r="R637" s="7"/>
      <c r="S637" s="7"/>
      <c r="T637" s="7"/>
      <c r="U637" s="7"/>
      <c r="V637" s="7"/>
      <c r="W637" s="7"/>
      <c r="X637" s="7"/>
      <c r="Y637" s="7"/>
    </row>
    <row r="638" spans="1:25" ht="19.5" customHeight="1">
      <c r="A638" s="23"/>
      <c r="B638" s="23"/>
      <c r="C638" s="7"/>
      <c r="D638" s="7"/>
      <c r="E638" s="7"/>
      <c r="F638" s="7"/>
      <c r="G638" s="7"/>
      <c r="H638" s="7"/>
      <c r="I638" s="7"/>
      <c r="J638" s="7"/>
      <c r="K638" s="7"/>
      <c r="L638" s="7"/>
      <c r="M638" s="7"/>
      <c r="N638" s="7"/>
      <c r="O638" s="7"/>
      <c r="P638" s="7"/>
      <c r="Q638" s="7"/>
      <c r="R638" s="7"/>
      <c r="S638" s="7"/>
      <c r="T638" s="7"/>
      <c r="U638" s="7"/>
      <c r="V638" s="7"/>
      <c r="W638" s="7"/>
      <c r="X638" s="7"/>
      <c r="Y638" s="7"/>
    </row>
    <row r="639" spans="1:25" ht="19.5" customHeight="1">
      <c r="A639" s="23"/>
      <c r="B639" s="23"/>
      <c r="C639" s="7"/>
      <c r="D639" s="7"/>
      <c r="E639" s="7"/>
      <c r="F639" s="7"/>
      <c r="G639" s="7"/>
      <c r="H639" s="7"/>
      <c r="I639" s="7"/>
      <c r="J639" s="7"/>
      <c r="K639" s="7"/>
      <c r="L639" s="7"/>
      <c r="M639" s="7"/>
      <c r="N639" s="7"/>
      <c r="O639" s="7"/>
      <c r="P639" s="7"/>
      <c r="Q639" s="7"/>
      <c r="R639" s="7"/>
      <c r="S639" s="7"/>
      <c r="T639" s="7"/>
      <c r="U639" s="7"/>
      <c r="V639" s="7"/>
      <c r="W639" s="7"/>
      <c r="X639" s="7"/>
      <c r="Y639" s="7"/>
    </row>
    <row r="640" spans="1:25" ht="19.5" customHeight="1">
      <c r="A640" s="23"/>
      <c r="B640" s="23"/>
      <c r="C640" s="7"/>
      <c r="D640" s="7"/>
      <c r="E640" s="7"/>
      <c r="F640" s="7"/>
      <c r="G640" s="7"/>
      <c r="H640" s="7"/>
      <c r="I640" s="7"/>
      <c r="J640" s="7"/>
      <c r="K640" s="7"/>
      <c r="L640" s="7"/>
      <c r="M640" s="7"/>
      <c r="N640" s="7"/>
      <c r="O640" s="7"/>
      <c r="P640" s="7"/>
      <c r="Q640" s="7"/>
      <c r="R640" s="7"/>
      <c r="S640" s="7"/>
      <c r="T640" s="7"/>
      <c r="U640" s="7"/>
      <c r="V640" s="7"/>
      <c r="W640" s="7"/>
      <c r="X640" s="7"/>
      <c r="Y640" s="7"/>
    </row>
    <row r="641" spans="1:25" ht="19.5" customHeight="1">
      <c r="A641" s="23"/>
      <c r="B641" s="23"/>
      <c r="C641" s="7"/>
      <c r="D641" s="7"/>
      <c r="E641" s="7"/>
      <c r="F641" s="7"/>
      <c r="G641" s="7"/>
      <c r="H641" s="7"/>
      <c r="I641" s="7"/>
      <c r="J641" s="7"/>
      <c r="K641" s="7"/>
      <c r="L641" s="7"/>
      <c r="M641" s="7"/>
      <c r="N641" s="7"/>
      <c r="O641" s="7"/>
      <c r="P641" s="7"/>
      <c r="Q641" s="7"/>
      <c r="R641" s="7"/>
      <c r="S641" s="7"/>
      <c r="T641" s="7"/>
      <c r="U641" s="7"/>
      <c r="V641" s="7"/>
      <c r="W641" s="7"/>
      <c r="X641" s="7"/>
      <c r="Y641" s="7"/>
    </row>
    <row r="642" spans="1:25" ht="19.5" customHeight="1">
      <c r="A642" s="23"/>
      <c r="B642" s="23"/>
      <c r="C642" s="7"/>
      <c r="D642" s="7"/>
      <c r="E642" s="7"/>
      <c r="F642" s="7"/>
      <c r="G642" s="7"/>
      <c r="H642" s="7"/>
      <c r="I642" s="7"/>
      <c r="J642" s="7"/>
      <c r="K642" s="7"/>
      <c r="L642" s="7"/>
      <c r="M642" s="7"/>
      <c r="N642" s="7"/>
      <c r="O642" s="7"/>
      <c r="P642" s="7"/>
      <c r="Q642" s="7"/>
      <c r="R642" s="7"/>
      <c r="S642" s="7"/>
      <c r="T642" s="7"/>
      <c r="U642" s="7"/>
      <c r="V642" s="7"/>
      <c r="W642" s="7"/>
      <c r="X642" s="7"/>
      <c r="Y642" s="7"/>
    </row>
    <row r="643" spans="1:25" ht="19.5" customHeight="1">
      <c r="A643" s="23"/>
      <c r="B643" s="23"/>
      <c r="C643" s="7"/>
      <c r="D643" s="7"/>
      <c r="E643" s="7"/>
      <c r="F643" s="7"/>
      <c r="G643" s="7"/>
      <c r="H643" s="7"/>
      <c r="I643" s="7"/>
      <c r="J643" s="7"/>
      <c r="K643" s="7"/>
      <c r="L643" s="7"/>
      <c r="M643" s="7"/>
      <c r="N643" s="7"/>
      <c r="O643" s="7"/>
      <c r="P643" s="7"/>
      <c r="Q643" s="7"/>
      <c r="R643" s="7"/>
      <c r="S643" s="7"/>
      <c r="T643" s="7"/>
      <c r="U643" s="7"/>
      <c r="V643" s="7"/>
      <c r="W643" s="7"/>
      <c r="X643" s="7"/>
      <c r="Y643" s="7"/>
    </row>
    <row r="644" spans="1:25" ht="19.5" customHeight="1">
      <c r="A644" s="23"/>
      <c r="B644" s="23"/>
      <c r="C644" s="7"/>
      <c r="D644" s="7"/>
      <c r="E644" s="7"/>
      <c r="F644" s="7"/>
      <c r="G644" s="7"/>
      <c r="H644" s="7"/>
      <c r="I644" s="7"/>
      <c r="J644" s="7"/>
      <c r="K644" s="7"/>
      <c r="L644" s="7"/>
      <c r="M644" s="7"/>
      <c r="N644" s="7"/>
      <c r="O644" s="7"/>
      <c r="P644" s="7"/>
      <c r="Q644" s="7"/>
      <c r="R644" s="7"/>
      <c r="S644" s="7"/>
      <c r="T644" s="7"/>
      <c r="U644" s="7"/>
      <c r="V644" s="7"/>
      <c r="W644" s="7"/>
      <c r="X644" s="7"/>
      <c r="Y644" s="7"/>
    </row>
    <row r="645" spans="1:25" ht="19.5" customHeight="1">
      <c r="A645" s="23"/>
      <c r="B645" s="23"/>
      <c r="C645" s="7"/>
      <c r="D645" s="7"/>
      <c r="E645" s="7"/>
      <c r="F645" s="7"/>
      <c r="G645" s="7"/>
      <c r="H645" s="7"/>
      <c r="I645" s="7"/>
      <c r="J645" s="7"/>
      <c r="K645" s="7"/>
      <c r="L645" s="7"/>
      <c r="M645" s="7"/>
      <c r="N645" s="7"/>
      <c r="O645" s="7"/>
      <c r="P645" s="7"/>
      <c r="Q645" s="7"/>
      <c r="R645" s="7"/>
      <c r="S645" s="7"/>
      <c r="T645" s="7"/>
      <c r="U645" s="7"/>
      <c r="V645" s="7"/>
      <c r="W645" s="7"/>
      <c r="X645" s="7"/>
      <c r="Y645" s="7"/>
    </row>
    <row r="646" spans="1:25" ht="19.5" customHeight="1">
      <c r="A646" s="23"/>
      <c r="B646" s="23"/>
      <c r="C646" s="7"/>
      <c r="D646" s="7"/>
      <c r="E646" s="7"/>
      <c r="F646" s="7"/>
      <c r="G646" s="7"/>
      <c r="H646" s="7"/>
      <c r="I646" s="7"/>
      <c r="J646" s="7"/>
      <c r="K646" s="7"/>
      <c r="L646" s="7"/>
      <c r="M646" s="7"/>
      <c r="N646" s="7"/>
      <c r="O646" s="7"/>
      <c r="P646" s="7"/>
      <c r="Q646" s="7"/>
      <c r="R646" s="7"/>
      <c r="S646" s="7"/>
      <c r="T646" s="7"/>
      <c r="U646" s="7"/>
      <c r="V646" s="7"/>
      <c r="W646" s="7"/>
      <c r="X646" s="7"/>
      <c r="Y646" s="7"/>
    </row>
    <row r="647" spans="1:25" ht="19.5" customHeight="1">
      <c r="A647" s="23"/>
      <c r="B647" s="23"/>
      <c r="C647" s="7"/>
      <c r="D647" s="7"/>
      <c r="E647" s="7"/>
      <c r="F647" s="7"/>
      <c r="G647" s="7"/>
      <c r="H647" s="7"/>
      <c r="I647" s="7"/>
      <c r="J647" s="7"/>
      <c r="K647" s="7"/>
      <c r="L647" s="7"/>
      <c r="M647" s="7"/>
      <c r="N647" s="7"/>
      <c r="O647" s="7"/>
      <c r="P647" s="7"/>
      <c r="Q647" s="7"/>
      <c r="R647" s="7"/>
      <c r="S647" s="7"/>
      <c r="T647" s="7"/>
      <c r="U647" s="7"/>
      <c r="V647" s="7"/>
      <c r="W647" s="7"/>
      <c r="X647" s="7"/>
      <c r="Y647" s="7"/>
    </row>
    <row r="648" spans="1:25" ht="19.5" customHeight="1">
      <c r="A648" s="23"/>
      <c r="B648" s="23"/>
      <c r="C648" s="7"/>
      <c r="D648" s="7"/>
      <c r="E648" s="7"/>
      <c r="F648" s="7"/>
      <c r="G648" s="7"/>
      <c r="H648" s="7"/>
      <c r="I648" s="7"/>
      <c r="J648" s="7"/>
      <c r="K648" s="7"/>
      <c r="L648" s="7"/>
      <c r="M648" s="7"/>
      <c r="N648" s="7"/>
      <c r="O648" s="7"/>
      <c r="P648" s="7"/>
      <c r="Q648" s="7"/>
      <c r="R648" s="7"/>
      <c r="S648" s="7"/>
      <c r="T648" s="7"/>
      <c r="U648" s="7"/>
      <c r="V648" s="7"/>
      <c r="W648" s="7"/>
      <c r="X648" s="7"/>
      <c r="Y648" s="7"/>
    </row>
    <row r="649" spans="1:25" ht="19.5" customHeight="1">
      <c r="A649" s="23"/>
      <c r="B649" s="23"/>
      <c r="C649" s="7"/>
      <c r="D649" s="7"/>
      <c r="E649" s="7"/>
      <c r="F649" s="7"/>
      <c r="G649" s="7"/>
      <c r="H649" s="7"/>
      <c r="I649" s="7"/>
      <c r="J649" s="7"/>
      <c r="K649" s="7"/>
      <c r="L649" s="7"/>
      <c r="M649" s="7"/>
      <c r="N649" s="7"/>
      <c r="O649" s="7"/>
      <c r="P649" s="7"/>
      <c r="Q649" s="7"/>
      <c r="R649" s="7"/>
      <c r="S649" s="7"/>
      <c r="T649" s="7"/>
      <c r="U649" s="7"/>
      <c r="V649" s="7"/>
      <c r="W649" s="7"/>
      <c r="X649" s="7"/>
      <c r="Y649" s="7"/>
    </row>
    <row r="650" spans="1:25" ht="19.5" customHeight="1">
      <c r="A650" s="23"/>
      <c r="B650" s="23"/>
      <c r="C650" s="7"/>
      <c r="D650" s="7"/>
      <c r="E650" s="7"/>
      <c r="F650" s="7"/>
      <c r="G650" s="7"/>
      <c r="H650" s="7"/>
      <c r="I650" s="7"/>
      <c r="J650" s="7"/>
      <c r="K650" s="7"/>
      <c r="L650" s="7"/>
      <c r="M650" s="7"/>
      <c r="N650" s="7"/>
      <c r="O650" s="7"/>
      <c r="P650" s="7"/>
      <c r="Q650" s="7"/>
      <c r="R650" s="7"/>
      <c r="S650" s="7"/>
      <c r="T650" s="7"/>
      <c r="U650" s="7"/>
      <c r="V650" s="7"/>
      <c r="W650" s="7"/>
      <c r="X650" s="7"/>
      <c r="Y650" s="7"/>
    </row>
    <row r="651" spans="1:25" ht="19.5" customHeight="1">
      <c r="A651" s="23"/>
      <c r="B651" s="23"/>
      <c r="C651" s="7"/>
      <c r="D651" s="7"/>
      <c r="E651" s="7"/>
      <c r="F651" s="7"/>
      <c r="G651" s="7"/>
      <c r="H651" s="7"/>
      <c r="I651" s="7"/>
      <c r="J651" s="7"/>
      <c r="K651" s="7"/>
      <c r="L651" s="7"/>
      <c r="M651" s="7"/>
      <c r="N651" s="7"/>
      <c r="O651" s="7"/>
      <c r="P651" s="7"/>
      <c r="Q651" s="7"/>
      <c r="R651" s="7"/>
      <c r="S651" s="7"/>
      <c r="T651" s="7"/>
      <c r="U651" s="7"/>
      <c r="V651" s="7"/>
      <c r="W651" s="7"/>
      <c r="X651" s="7"/>
      <c r="Y651" s="7"/>
    </row>
    <row r="652" spans="1:25" ht="19.5" customHeight="1">
      <c r="A652" s="23"/>
      <c r="B652" s="23"/>
      <c r="C652" s="7"/>
      <c r="D652" s="7"/>
      <c r="E652" s="7"/>
      <c r="F652" s="7"/>
      <c r="G652" s="7"/>
      <c r="H652" s="7"/>
      <c r="I652" s="7"/>
      <c r="J652" s="7"/>
      <c r="K652" s="7"/>
      <c r="L652" s="7"/>
      <c r="M652" s="7"/>
      <c r="N652" s="7"/>
      <c r="O652" s="7"/>
      <c r="P652" s="7"/>
      <c r="Q652" s="7"/>
      <c r="R652" s="7"/>
      <c r="S652" s="7"/>
      <c r="T652" s="7"/>
      <c r="U652" s="7"/>
      <c r="V652" s="7"/>
      <c r="W652" s="7"/>
      <c r="X652" s="7"/>
      <c r="Y652" s="7"/>
    </row>
    <row r="653" spans="1:25" ht="19.5" customHeight="1">
      <c r="A653" s="23"/>
      <c r="B653" s="23"/>
      <c r="C653" s="7"/>
      <c r="D653" s="7"/>
      <c r="E653" s="7"/>
      <c r="F653" s="7"/>
      <c r="G653" s="7"/>
      <c r="H653" s="7"/>
      <c r="I653" s="7"/>
      <c r="J653" s="7"/>
      <c r="K653" s="7"/>
      <c r="L653" s="7"/>
      <c r="M653" s="7"/>
      <c r="N653" s="7"/>
      <c r="O653" s="7"/>
      <c r="P653" s="7"/>
      <c r="Q653" s="7"/>
      <c r="R653" s="7"/>
      <c r="S653" s="7"/>
      <c r="T653" s="7"/>
      <c r="U653" s="7"/>
      <c r="V653" s="7"/>
      <c r="W653" s="7"/>
      <c r="X653" s="7"/>
      <c r="Y653" s="7"/>
    </row>
    <row r="654" spans="1:25" ht="19.5" customHeight="1">
      <c r="A654" s="23"/>
      <c r="B654" s="23"/>
      <c r="C654" s="7"/>
      <c r="D654" s="7"/>
      <c r="E654" s="7"/>
      <c r="F654" s="7"/>
      <c r="G654" s="7"/>
      <c r="H654" s="7"/>
      <c r="I654" s="7"/>
      <c r="J654" s="7"/>
      <c r="K654" s="7"/>
      <c r="L654" s="7"/>
      <c r="M654" s="7"/>
      <c r="N654" s="7"/>
      <c r="O654" s="7"/>
      <c r="P654" s="7"/>
      <c r="Q654" s="7"/>
      <c r="R654" s="7"/>
      <c r="S654" s="7"/>
      <c r="T654" s="7"/>
      <c r="U654" s="7"/>
      <c r="V654" s="7"/>
      <c r="W654" s="7"/>
      <c r="X654" s="7"/>
      <c r="Y654" s="7"/>
    </row>
    <row r="655" spans="1:25" ht="19.5" customHeight="1">
      <c r="A655" s="23"/>
      <c r="B655" s="23"/>
      <c r="C655" s="7"/>
      <c r="D655" s="7"/>
      <c r="E655" s="7"/>
      <c r="F655" s="7"/>
      <c r="G655" s="7"/>
      <c r="H655" s="7"/>
      <c r="I655" s="7"/>
      <c r="J655" s="7"/>
      <c r="K655" s="7"/>
      <c r="L655" s="7"/>
      <c r="M655" s="7"/>
      <c r="N655" s="7"/>
      <c r="O655" s="7"/>
      <c r="P655" s="7"/>
      <c r="Q655" s="7"/>
      <c r="R655" s="7"/>
      <c r="S655" s="7"/>
      <c r="T655" s="7"/>
      <c r="U655" s="7"/>
      <c r="V655" s="7"/>
      <c r="W655" s="7"/>
      <c r="X655" s="7"/>
      <c r="Y655" s="7"/>
    </row>
    <row r="656" spans="1:25" ht="19.5" customHeight="1">
      <c r="A656" s="23"/>
      <c r="B656" s="23"/>
      <c r="C656" s="7"/>
      <c r="D656" s="7"/>
      <c r="E656" s="7"/>
      <c r="F656" s="7"/>
      <c r="G656" s="7"/>
      <c r="H656" s="7"/>
      <c r="I656" s="7"/>
      <c r="J656" s="7"/>
      <c r="K656" s="7"/>
      <c r="L656" s="7"/>
      <c r="M656" s="7"/>
      <c r="N656" s="7"/>
      <c r="O656" s="7"/>
      <c r="P656" s="7"/>
      <c r="Q656" s="7"/>
      <c r="R656" s="7"/>
      <c r="S656" s="7"/>
      <c r="T656" s="7"/>
      <c r="U656" s="7"/>
      <c r="V656" s="7"/>
      <c r="W656" s="7"/>
      <c r="X656" s="7"/>
      <c r="Y656" s="7"/>
    </row>
    <row r="657" spans="1:25" ht="19.5" customHeight="1">
      <c r="A657" s="23"/>
      <c r="B657" s="23"/>
      <c r="C657" s="7"/>
      <c r="D657" s="7"/>
      <c r="E657" s="7"/>
      <c r="F657" s="7"/>
      <c r="G657" s="7"/>
      <c r="H657" s="7"/>
      <c r="I657" s="7"/>
      <c r="J657" s="7"/>
      <c r="K657" s="7"/>
      <c r="L657" s="7"/>
      <c r="M657" s="7"/>
      <c r="N657" s="7"/>
      <c r="O657" s="7"/>
      <c r="P657" s="7"/>
      <c r="Q657" s="7"/>
      <c r="R657" s="7"/>
      <c r="S657" s="7"/>
      <c r="T657" s="7"/>
      <c r="U657" s="7"/>
      <c r="V657" s="7"/>
      <c r="W657" s="7"/>
      <c r="X657" s="7"/>
      <c r="Y657" s="7"/>
    </row>
    <row r="658" spans="1:25" ht="19.5" customHeight="1">
      <c r="A658" s="23"/>
      <c r="B658" s="23"/>
      <c r="C658" s="7"/>
      <c r="D658" s="7"/>
      <c r="E658" s="7"/>
      <c r="F658" s="7"/>
      <c r="G658" s="7"/>
      <c r="H658" s="7"/>
      <c r="I658" s="7"/>
      <c r="J658" s="7"/>
      <c r="K658" s="7"/>
      <c r="L658" s="7"/>
      <c r="M658" s="7"/>
      <c r="N658" s="7"/>
      <c r="O658" s="7"/>
      <c r="P658" s="7"/>
      <c r="Q658" s="7"/>
      <c r="R658" s="7"/>
      <c r="S658" s="7"/>
      <c r="T658" s="7"/>
      <c r="U658" s="7"/>
      <c r="V658" s="7"/>
      <c r="W658" s="7"/>
      <c r="X658" s="7"/>
      <c r="Y658" s="7"/>
    </row>
    <row r="659" spans="1:25" ht="19.5" customHeight="1">
      <c r="A659" s="23"/>
      <c r="B659" s="23"/>
      <c r="C659" s="7"/>
      <c r="D659" s="7"/>
      <c r="E659" s="7"/>
      <c r="F659" s="7"/>
      <c r="G659" s="7"/>
      <c r="H659" s="7"/>
      <c r="I659" s="7"/>
      <c r="J659" s="7"/>
      <c r="K659" s="7"/>
      <c r="L659" s="7"/>
      <c r="M659" s="7"/>
      <c r="N659" s="7"/>
      <c r="O659" s="7"/>
      <c r="P659" s="7"/>
      <c r="Q659" s="7"/>
      <c r="R659" s="7"/>
      <c r="S659" s="7"/>
      <c r="T659" s="7"/>
      <c r="U659" s="7"/>
      <c r="V659" s="7"/>
      <c r="W659" s="7"/>
      <c r="X659" s="7"/>
      <c r="Y659" s="7"/>
    </row>
    <row r="660" spans="1:25" ht="19.5" customHeight="1">
      <c r="A660" s="23"/>
      <c r="B660" s="23"/>
      <c r="C660" s="7"/>
      <c r="D660" s="7"/>
      <c r="E660" s="7"/>
      <c r="F660" s="7"/>
      <c r="G660" s="7"/>
      <c r="H660" s="7"/>
      <c r="I660" s="7"/>
      <c r="J660" s="7"/>
      <c r="K660" s="7"/>
      <c r="L660" s="7"/>
      <c r="M660" s="7"/>
      <c r="N660" s="7"/>
      <c r="O660" s="7"/>
      <c r="P660" s="7"/>
      <c r="Q660" s="7"/>
      <c r="R660" s="7"/>
      <c r="S660" s="7"/>
      <c r="T660" s="7"/>
      <c r="U660" s="7"/>
      <c r="V660" s="7"/>
      <c r="W660" s="7"/>
      <c r="X660" s="7"/>
      <c r="Y660" s="7"/>
    </row>
    <row r="661" spans="1:25" ht="19.5" customHeight="1">
      <c r="A661" s="23"/>
      <c r="B661" s="23"/>
      <c r="C661" s="7"/>
      <c r="D661" s="7"/>
      <c r="E661" s="7"/>
      <c r="F661" s="7"/>
      <c r="G661" s="7"/>
      <c r="H661" s="7"/>
      <c r="I661" s="7"/>
      <c r="J661" s="7"/>
      <c r="K661" s="7"/>
      <c r="L661" s="7"/>
      <c r="M661" s="7"/>
      <c r="N661" s="7"/>
      <c r="O661" s="7"/>
      <c r="P661" s="7"/>
      <c r="Q661" s="7"/>
      <c r="R661" s="7"/>
      <c r="S661" s="7"/>
      <c r="T661" s="7"/>
      <c r="U661" s="7"/>
      <c r="V661" s="7"/>
      <c r="W661" s="7"/>
      <c r="X661" s="7"/>
      <c r="Y661" s="7"/>
    </row>
    <row r="662" spans="1:25" ht="19.5" customHeight="1">
      <c r="A662" s="23"/>
      <c r="B662" s="23"/>
      <c r="C662" s="7"/>
      <c r="D662" s="7"/>
      <c r="E662" s="7"/>
      <c r="F662" s="7"/>
      <c r="G662" s="7"/>
      <c r="H662" s="7"/>
      <c r="I662" s="7"/>
      <c r="J662" s="7"/>
      <c r="K662" s="7"/>
      <c r="L662" s="7"/>
      <c r="M662" s="7"/>
      <c r="N662" s="7"/>
      <c r="O662" s="7"/>
      <c r="P662" s="7"/>
      <c r="Q662" s="7"/>
      <c r="R662" s="7"/>
      <c r="S662" s="7"/>
      <c r="T662" s="7"/>
      <c r="U662" s="7"/>
      <c r="V662" s="7"/>
      <c r="W662" s="7"/>
      <c r="X662" s="7"/>
      <c r="Y662" s="7"/>
    </row>
    <row r="663" spans="1:25" ht="19.5" customHeight="1">
      <c r="A663" s="23"/>
      <c r="B663" s="23"/>
      <c r="C663" s="7"/>
      <c r="D663" s="7"/>
      <c r="E663" s="7"/>
      <c r="F663" s="7"/>
      <c r="G663" s="7"/>
      <c r="H663" s="7"/>
      <c r="I663" s="7"/>
      <c r="J663" s="7"/>
      <c r="K663" s="7"/>
      <c r="L663" s="7"/>
      <c r="M663" s="7"/>
      <c r="N663" s="7"/>
      <c r="O663" s="7"/>
      <c r="P663" s="7"/>
      <c r="Q663" s="7"/>
      <c r="R663" s="7"/>
      <c r="S663" s="7"/>
      <c r="T663" s="7"/>
      <c r="U663" s="7"/>
      <c r="V663" s="7"/>
      <c r="W663" s="7"/>
      <c r="X663" s="7"/>
      <c r="Y663" s="7"/>
    </row>
    <row r="664" spans="1:25" ht="19.5" customHeight="1">
      <c r="A664" s="23"/>
      <c r="B664" s="23"/>
      <c r="C664" s="7"/>
      <c r="D664" s="7"/>
      <c r="E664" s="7"/>
      <c r="F664" s="7"/>
      <c r="G664" s="7"/>
      <c r="H664" s="7"/>
      <c r="I664" s="7"/>
      <c r="J664" s="7"/>
      <c r="K664" s="7"/>
      <c r="L664" s="7"/>
      <c r="M664" s="7"/>
      <c r="N664" s="7"/>
      <c r="O664" s="7"/>
      <c r="P664" s="7"/>
      <c r="Q664" s="7"/>
      <c r="R664" s="7"/>
      <c r="S664" s="7"/>
      <c r="T664" s="7"/>
      <c r="U664" s="7"/>
      <c r="V664" s="7"/>
      <c r="W664" s="7"/>
      <c r="X664" s="7"/>
      <c r="Y664" s="7"/>
    </row>
    <row r="665" spans="1:25" ht="19.5" customHeight="1">
      <c r="A665" s="23"/>
      <c r="B665" s="23"/>
      <c r="C665" s="7"/>
      <c r="D665" s="7"/>
      <c r="E665" s="7"/>
      <c r="F665" s="7"/>
      <c r="G665" s="7"/>
      <c r="H665" s="7"/>
      <c r="I665" s="7"/>
      <c r="J665" s="7"/>
      <c r="K665" s="7"/>
      <c r="L665" s="7"/>
      <c r="M665" s="7"/>
      <c r="N665" s="7"/>
      <c r="O665" s="7"/>
      <c r="P665" s="7"/>
      <c r="Q665" s="7"/>
      <c r="R665" s="7"/>
      <c r="S665" s="7"/>
      <c r="T665" s="7"/>
      <c r="U665" s="7"/>
      <c r="V665" s="7"/>
      <c r="W665" s="7"/>
      <c r="X665" s="7"/>
      <c r="Y665" s="7"/>
    </row>
    <row r="666" spans="1:25" ht="19.5" customHeight="1">
      <c r="A666" s="23"/>
      <c r="B666" s="23"/>
      <c r="C666" s="7"/>
      <c r="D666" s="7"/>
      <c r="E666" s="7"/>
      <c r="F666" s="7"/>
      <c r="G666" s="7"/>
      <c r="H666" s="7"/>
      <c r="I666" s="7"/>
      <c r="J666" s="7"/>
      <c r="K666" s="7"/>
      <c r="L666" s="7"/>
      <c r="M666" s="7"/>
      <c r="N666" s="7"/>
      <c r="O666" s="7"/>
      <c r="P666" s="7"/>
      <c r="Q666" s="7"/>
      <c r="R666" s="7"/>
      <c r="S666" s="7"/>
      <c r="T666" s="7"/>
      <c r="U666" s="7"/>
      <c r="V666" s="7"/>
      <c r="W666" s="7"/>
      <c r="X666" s="7"/>
      <c r="Y666" s="7"/>
    </row>
    <row r="667" spans="1:25" ht="19.5" customHeight="1">
      <c r="A667" s="23"/>
      <c r="B667" s="23"/>
      <c r="C667" s="7"/>
      <c r="D667" s="7"/>
      <c r="E667" s="7"/>
      <c r="F667" s="7"/>
      <c r="G667" s="7"/>
      <c r="H667" s="7"/>
      <c r="I667" s="7"/>
      <c r="J667" s="7"/>
      <c r="K667" s="7"/>
      <c r="L667" s="7"/>
      <c r="M667" s="7"/>
      <c r="N667" s="7"/>
      <c r="O667" s="7"/>
      <c r="P667" s="7"/>
      <c r="Q667" s="7"/>
      <c r="R667" s="7"/>
      <c r="S667" s="7"/>
      <c r="T667" s="7"/>
      <c r="U667" s="7"/>
      <c r="V667" s="7"/>
      <c r="W667" s="7"/>
      <c r="X667" s="7"/>
      <c r="Y667" s="7"/>
    </row>
    <row r="668" spans="1:25" ht="19.5" customHeight="1">
      <c r="A668" s="23"/>
      <c r="B668" s="23"/>
      <c r="C668" s="7"/>
      <c r="D668" s="7"/>
      <c r="E668" s="7"/>
      <c r="F668" s="7"/>
      <c r="G668" s="7"/>
      <c r="H668" s="7"/>
      <c r="I668" s="7"/>
      <c r="J668" s="7"/>
      <c r="K668" s="7"/>
      <c r="L668" s="7"/>
      <c r="M668" s="7"/>
      <c r="N668" s="7"/>
      <c r="O668" s="7"/>
      <c r="P668" s="7"/>
      <c r="Q668" s="7"/>
      <c r="R668" s="7"/>
      <c r="S668" s="7"/>
      <c r="T668" s="7"/>
      <c r="U668" s="7"/>
      <c r="V668" s="7"/>
      <c r="W668" s="7"/>
      <c r="X668" s="7"/>
      <c r="Y668" s="7"/>
    </row>
    <row r="669" spans="1:25" ht="19.5" customHeight="1">
      <c r="A669" s="23"/>
      <c r="B669" s="23"/>
      <c r="C669" s="7"/>
      <c r="D669" s="7"/>
      <c r="E669" s="7"/>
      <c r="F669" s="7"/>
      <c r="G669" s="7"/>
      <c r="H669" s="7"/>
      <c r="I669" s="7"/>
      <c r="J669" s="7"/>
      <c r="K669" s="7"/>
      <c r="L669" s="7"/>
      <c r="M669" s="7"/>
      <c r="N669" s="7"/>
      <c r="O669" s="7"/>
      <c r="P669" s="7"/>
      <c r="Q669" s="7"/>
      <c r="R669" s="7"/>
      <c r="S669" s="7"/>
      <c r="T669" s="7"/>
      <c r="U669" s="7"/>
      <c r="V669" s="7"/>
      <c r="W669" s="7"/>
      <c r="X669" s="7"/>
      <c r="Y669" s="7"/>
    </row>
    <row r="670" spans="1:25" ht="19.5" customHeight="1">
      <c r="A670" s="23"/>
      <c r="B670" s="23"/>
      <c r="C670" s="7"/>
      <c r="D670" s="7"/>
      <c r="E670" s="7"/>
      <c r="F670" s="7"/>
      <c r="G670" s="7"/>
      <c r="H670" s="7"/>
      <c r="I670" s="7"/>
      <c r="J670" s="7"/>
      <c r="K670" s="7"/>
      <c r="L670" s="7"/>
      <c r="M670" s="7"/>
      <c r="N670" s="7"/>
      <c r="O670" s="7"/>
      <c r="P670" s="7"/>
      <c r="Q670" s="7"/>
      <c r="R670" s="7"/>
      <c r="S670" s="7"/>
      <c r="T670" s="7"/>
      <c r="U670" s="7"/>
      <c r="V670" s="7"/>
      <c r="W670" s="7"/>
      <c r="X670" s="7"/>
      <c r="Y670" s="7"/>
    </row>
    <row r="671" spans="1:25" ht="19.5" customHeight="1">
      <c r="A671" s="23"/>
      <c r="B671" s="23"/>
      <c r="C671" s="7"/>
      <c r="D671" s="7"/>
      <c r="E671" s="7"/>
      <c r="F671" s="7"/>
      <c r="G671" s="7"/>
      <c r="H671" s="7"/>
      <c r="I671" s="7"/>
      <c r="J671" s="7"/>
      <c r="K671" s="7"/>
      <c r="L671" s="7"/>
      <c r="M671" s="7"/>
      <c r="N671" s="7"/>
      <c r="O671" s="7"/>
      <c r="P671" s="7"/>
      <c r="Q671" s="7"/>
      <c r="R671" s="7"/>
      <c r="S671" s="7"/>
      <c r="T671" s="7"/>
      <c r="U671" s="7"/>
      <c r="V671" s="7"/>
      <c r="W671" s="7"/>
      <c r="X671" s="7"/>
      <c r="Y671" s="7"/>
    </row>
    <row r="672" spans="1:25" ht="19.5" customHeight="1">
      <c r="A672" s="23"/>
      <c r="B672" s="23"/>
      <c r="C672" s="7"/>
      <c r="D672" s="7"/>
      <c r="E672" s="7"/>
      <c r="F672" s="7"/>
      <c r="G672" s="7"/>
      <c r="H672" s="7"/>
      <c r="I672" s="7"/>
      <c r="J672" s="7"/>
      <c r="K672" s="7"/>
      <c r="L672" s="7"/>
      <c r="M672" s="7"/>
      <c r="N672" s="7"/>
      <c r="O672" s="7"/>
      <c r="P672" s="7"/>
      <c r="Q672" s="7"/>
      <c r="R672" s="7"/>
      <c r="S672" s="7"/>
      <c r="T672" s="7"/>
      <c r="U672" s="7"/>
      <c r="V672" s="7"/>
      <c r="W672" s="7"/>
      <c r="X672" s="7"/>
      <c r="Y672" s="7"/>
    </row>
    <row r="673" spans="1:25" ht="19.5" customHeight="1">
      <c r="A673" s="23"/>
      <c r="B673" s="23"/>
      <c r="C673" s="7"/>
      <c r="D673" s="7"/>
      <c r="E673" s="7"/>
      <c r="F673" s="7"/>
      <c r="G673" s="7"/>
      <c r="H673" s="7"/>
      <c r="I673" s="7"/>
      <c r="J673" s="7"/>
      <c r="K673" s="7"/>
      <c r="L673" s="7"/>
      <c r="M673" s="7"/>
      <c r="N673" s="7"/>
      <c r="O673" s="7"/>
      <c r="P673" s="7"/>
      <c r="Q673" s="7"/>
      <c r="R673" s="7"/>
      <c r="S673" s="7"/>
      <c r="T673" s="7"/>
      <c r="U673" s="7"/>
      <c r="V673" s="7"/>
      <c r="W673" s="7"/>
      <c r="X673" s="7"/>
      <c r="Y673" s="7"/>
    </row>
    <row r="674" spans="1:25" ht="19.5" customHeight="1">
      <c r="A674" s="23"/>
      <c r="B674" s="23"/>
      <c r="C674" s="7"/>
      <c r="D674" s="7"/>
      <c r="E674" s="7"/>
      <c r="F674" s="7"/>
      <c r="G674" s="7"/>
      <c r="H674" s="7"/>
      <c r="I674" s="7"/>
      <c r="J674" s="7"/>
      <c r="K674" s="7"/>
      <c r="L674" s="7"/>
      <c r="M674" s="7"/>
      <c r="N674" s="7"/>
      <c r="O674" s="7"/>
      <c r="P674" s="7"/>
      <c r="Q674" s="7"/>
      <c r="R674" s="7"/>
      <c r="S674" s="7"/>
      <c r="T674" s="7"/>
      <c r="U674" s="7"/>
      <c r="V674" s="7"/>
      <c r="W674" s="7"/>
      <c r="X674" s="7"/>
      <c r="Y674" s="7"/>
    </row>
    <row r="675" spans="1:25" ht="19.5" customHeight="1">
      <c r="A675" s="23"/>
      <c r="B675" s="23"/>
      <c r="C675" s="7"/>
      <c r="D675" s="7"/>
      <c r="E675" s="7"/>
      <c r="F675" s="7"/>
      <c r="G675" s="7"/>
      <c r="H675" s="7"/>
      <c r="I675" s="7"/>
      <c r="J675" s="7"/>
      <c r="K675" s="7"/>
      <c r="L675" s="7"/>
      <c r="M675" s="7"/>
      <c r="N675" s="7"/>
      <c r="O675" s="7"/>
      <c r="P675" s="7"/>
      <c r="Q675" s="7"/>
      <c r="R675" s="7"/>
      <c r="S675" s="7"/>
      <c r="T675" s="7"/>
      <c r="U675" s="7"/>
      <c r="V675" s="7"/>
      <c r="W675" s="7"/>
      <c r="X675" s="7"/>
      <c r="Y675" s="7"/>
    </row>
    <row r="676" spans="1:25" ht="19.5" customHeight="1">
      <c r="A676" s="23"/>
      <c r="B676" s="23"/>
      <c r="C676" s="7"/>
      <c r="D676" s="7"/>
      <c r="E676" s="7"/>
      <c r="F676" s="7"/>
      <c r="G676" s="7"/>
      <c r="H676" s="7"/>
      <c r="I676" s="7"/>
      <c r="J676" s="7"/>
      <c r="K676" s="7"/>
      <c r="L676" s="7"/>
      <c r="M676" s="7"/>
      <c r="N676" s="7"/>
      <c r="O676" s="7"/>
      <c r="P676" s="7"/>
      <c r="Q676" s="7"/>
      <c r="R676" s="7"/>
      <c r="S676" s="7"/>
      <c r="T676" s="7"/>
      <c r="U676" s="7"/>
      <c r="V676" s="7"/>
      <c r="W676" s="7"/>
      <c r="X676" s="7"/>
      <c r="Y676" s="7"/>
    </row>
    <row r="677" spans="1:25" ht="19.5" customHeight="1">
      <c r="A677" s="23"/>
      <c r="B677" s="23"/>
      <c r="C677" s="7"/>
      <c r="D677" s="7"/>
      <c r="E677" s="7"/>
      <c r="F677" s="7"/>
      <c r="G677" s="7"/>
      <c r="H677" s="7"/>
      <c r="I677" s="7"/>
      <c r="J677" s="7"/>
      <c r="K677" s="7"/>
      <c r="L677" s="7"/>
      <c r="M677" s="7"/>
      <c r="N677" s="7"/>
      <c r="O677" s="7"/>
      <c r="P677" s="7"/>
      <c r="Q677" s="7"/>
      <c r="R677" s="7"/>
      <c r="S677" s="7"/>
      <c r="T677" s="7"/>
      <c r="U677" s="7"/>
      <c r="V677" s="7"/>
      <c r="W677" s="7"/>
      <c r="X677" s="7"/>
      <c r="Y677" s="7"/>
    </row>
    <row r="678" spans="1:25" ht="19.5" customHeight="1">
      <c r="A678" s="23"/>
      <c r="B678" s="23"/>
      <c r="C678" s="7"/>
      <c r="D678" s="7"/>
      <c r="E678" s="7"/>
      <c r="F678" s="7"/>
      <c r="G678" s="7"/>
      <c r="H678" s="7"/>
      <c r="I678" s="7"/>
      <c r="J678" s="7"/>
      <c r="K678" s="7"/>
      <c r="L678" s="7"/>
      <c r="M678" s="7"/>
      <c r="N678" s="7"/>
      <c r="O678" s="7"/>
      <c r="P678" s="7"/>
      <c r="Q678" s="7"/>
      <c r="R678" s="7"/>
      <c r="S678" s="7"/>
      <c r="T678" s="7"/>
      <c r="U678" s="7"/>
      <c r="V678" s="7"/>
      <c r="W678" s="7"/>
      <c r="X678" s="7"/>
      <c r="Y678" s="7"/>
    </row>
    <row r="679" spans="1:25" ht="19.5" customHeight="1">
      <c r="A679" s="23"/>
      <c r="B679" s="23"/>
      <c r="C679" s="7"/>
      <c r="D679" s="7"/>
      <c r="E679" s="7"/>
      <c r="F679" s="7"/>
      <c r="G679" s="7"/>
      <c r="H679" s="7"/>
      <c r="I679" s="7"/>
      <c r="J679" s="7"/>
      <c r="K679" s="7"/>
      <c r="L679" s="7"/>
      <c r="M679" s="7"/>
      <c r="N679" s="7"/>
      <c r="O679" s="7"/>
      <c r="P679" s="7"/>
      <c r="Q679" s="7"/>
      <c r="R679" s="7"/>
      <c r="S679" s="7"/>
      <c r="T679" s="7"/>
      <c r="U679" s="7"/>
      <c r="V679" s="7"/>
      <c r="W679" s="7"/>
      <c r="X679" s="7"/>
      <c r="Y679" s="7"/>
    </row>
    <row r="680" spans="1:25" ht="19.5" customHeight="1">
      <c r="A680" s="23"/>
      <c r="B680" s="23"/>
      <c r="C680" s="7"/>
      <c r="D680" s="7"/>
      <c r="E680" s="7"/>
      <c r="F680" s="7"/>
      <c r="G680" s="7"/>
      <c r="H680" s="7"/>
      <c r="I680" s="7"/>
      <c r="J680" s="7"/>
      <c r="K680" s="7"/>
      <c r="L680" s="7"/>
      <c r="M680" s="7"/>
      <c r="N680" s="7"/>
      <c r="O680" s="7"/>
      <c r="P680" s="7"/>
      <c r="Q680" s="7"/>
      <c r="R680" s="7"/>
      <c r="S680" s="7"/>
      <c r="T680" s="7"/>
      <c r="U680" s="7"/>
      <c r="V680" s="7"/>
      <c r="W680" s="7"/>
      <c r="X680" s="7"/>
      <c r="Y680" s="7"/>
    </row>
    <row r="681" spans="1:25" ht="19.5" customHeight="1">
      <c r="A681" s="23"/>
      <c r="B681" s="23"/>
      <c r="C681" s="7"/>
      <c r="D681" s="7"/>
      <c r="E681" s="7"/>
      <c r="F681" s="7"/>
      <c r="G681" s="7"/>
      <c r="H681" s="7"/>
      <c r="I681" s="7"/>
      <c r="J681" s="7"/>
      <c r="K681" s="7"/>
      <c r="L681" s="7"/>
      <c r="M681" s="7"/>
      <c r="N681" s="7"/>
      <c r="O681" s="7"/>
      <c r="P681" s="7"/>
      <c r="Q681" s="7"/>
      <c r="R681" s="7"/>
      <c r="S681" s="7"/>
      <c r="T681" s="7"/>
      <c r="U681" s="7"/>
      <c r="V681" s="7"/>
      <c r="W681" s="7"/>
      <c r="X681" s="7"/>
      <c r="Y681" s="7"/>
    </row>
    <row r="682" spans="1:25" ht="19.5" customHeight="1">
      <c r="A682" s="23"/>
      <c r="B682" s="23"/>
      <c r="C682" s="7"/>
      <c r="D682" s="7"/>
      <c r="E682" s="7"/>
      <c r="F682" s="7"/>
      <c r="G682" s="7"/>
      <c r="H682" s="7"/>
      <c r="I682" s="7"/>
      <c r="J682" s="7"/>
      <c r="K682" s="7"/>
      <c r="L682" s="7"/>
      <c r="M682" s="7"/>
      <c r="N682" s="7"/>
      <c r="O682" s="7"/>
      <c r="P682" s="7"/>
      <c r="Q682" s="7"/>
      <c r="R682" s="7"/>
      <c r="S682" s="7"/>
      <c r="T682" s="7"/>
      <c r="U682" s="7"/>
      <c r="V682" s="7"/>
      <c r="W682" s="7"/>
      <c r="X682" s="7"/>
      <c r="Y682" s="7"/>
    </row>
    <row r="683" spans="1:25" ht="19.5" customHeight="1">
      <c r="A683" s="23"/>
      <c r="B683" s="23"/>
      <c r="C683" s="7"/>
      <c r="D683" s="7"/>
      <c r="E683" s="7"/>
      <c r="F683" s="7"/>
      <c r="G683" s="7"/>
      <c r="H683" s="7"/>
      <c r="I683" s="7"/>
      <c r="J683" s="7"/>
      <c r="K683" s="7"/>
      <c r="L683" s="7"/>
      <c r="M683" s="7"/>
      <c r="N683" s="7"/>
      <c r="O683" s="7"/>
      <c r="P683" s="7"/>
      <c r="Q683" s="7"/>
      <c r="R683" s="7"/>
      <c r="S683" s="7"/>
      <c r="T683" s="7"/>
      <c r="U683" s="7"/>
      <c r="V683" s="7"/>
      <c r="W683" s="7"/>
      <c r="X683" s="7"/>
      <c r="Y683" s="7"/>
    </row>
    <row r="684" spans="1:25" ht="19.5" customHeight="1">
      <c r="A684" s="23"/>
      <c r="B684" s="23"/>
      <c r="C684" s="7"/>
      <c r="D684" s="7"/>
      <c r="E684" s="7"/>
      <c r="F684" s="7"/>
      <c r="G684" s="7"/>
      <c r="H684" s="7"/>
      <c r="I684" s="7"/>
      <c r="J684" s="7"/>
      <c r="K684" s="7"/>
      <c r="L684" s="7"/>
      <c r="M684" s="7"/>
      <c r="N684" s="7"/>
      <c r="O684" s="7"/>
      <c r="P684" s="7"/>
      <c r="Q684" s="7"/>
      <c r="R684" s="7"/>
      <c r="S684" s="7"/>
      <c r="T684" s="7"/>
      <c r="U684" s="7"/>
      <c r="V684" s="7"/>
      <c r="W684" s="7"/>
      <c r="X684" s="7"/>
      <c r="Y684" s="7"/>
    </row>
    <row r="685" spans="1:25" ht="19.5" customHeight="1">
      <c r="A685" s="23"/>
      <c r="B685" s="23"/>
      <c r="C685" s="7"/>
      <c r="D685" s="7"/>
      <c r="E685" s="7"/>
      <c r="F685" s="7"/>
      <c r="G685" s="7"/>
      <c r="H685" s="7"/>
      <c r="I685" s="7"/>
      <c r="J685" s="7"/>
      <c r="K685" s="7"/>
      <c r="L685" s="7"/>
      <c r="M685" s="7"/>
      <c r="N685" s="7"/>
      <c r="O685" s="7"/>
      <c r="P685" s="7"/>
      <c r="Q685" s="7"/>
      <c r="R685" s="7"/>
      <c r="S685" s="7"/>
      <c r="T685" s="7"/>
      <c r="U685" s="7"/>
      <c r="V685" s="7"/>
      <c r="W685" s="7"/>
      <c r="X685" s="7"/>
      <c r="Y685" s="7"/>
    </row>
    <row r="686" spans="1:25" ht="19.5" customHeight="1">
      <c r="A686" s="23"/>
      <c r="B686" s="23"/>
      <c r="C686" s="7"/>
      <c r="D686" s="7"/>
      <c r="E686" s="7"/>
      <c r="F686" s="7"/>
      <c r="G686" s="7"/>
      <c r="H686" s="7"/>
      <c r="I686" s="7"/>
      <c r="J686" s="7"/>
      <c r="K686" s="7"/>
      <c r="L686" s="7"/>
      <c r="M686" s="7"/>
      <c r="N686" s="7"/>
      <c r="O686" s="7"/>
      <c r="P686" s="7"/>
      <c r="Q686" s="7"/>
      <c r="R686" s="7"/>
      <c r="S686" s="7"/>
      <c r="T686" s="7"/>
      <c r="U686" s="7"/>
      <c r="V686" s="7"/>
      <c r="W686" s="7"/>
      <c r="X686" s="7"/>
      <c r="Y686" s="7"/>
    </row>
    <row r="687" spans="1:25" ht="19.5" customHeight="1">
      <c r="A687" s="23"/>
      <c r="B687" s="23"/>
      <c r="C687" s="7"/>
      <c r="D687" s="7"/>
      <c r="E687" s="7"/>
      <c r="F687" s="7"/>
      <c r="G687" s="7"/>
      <c r="H687" s="7"/>
      <c r="I687" s="7"/>
      <c r="J687" s="7"/>
      <c r="K687" s="7"/>
      <c r="L687" s="7"/>
      <c r="M687" s="7"/>
      <c r="N687" s="7"/>
      <c r="O687" s="7"/>
      <c r="P687" s="7"/>
      <c r="Q687" s="7"/>
      <c r="R687" s="7"/>
      <c r="S687" s="7"/>
      <c r="T687" s="7"/>
      <c r="U687" s="7"/>
      <c r="V687" s="7"/>
      <c r="W687" s="7"/>
      <c r="X687" s="7"/>
      <c r="Y687" s="7"/>
    </row>
    <row r="688" spans="1:25" ht="19.5" customHeight="1">
      <c r="A688" s="23"/>
      <c r="B688" s="23"/>
      <c r="C688" s="7"/>
      <c r="D688" s="7"/>
      <c r="E688" s="7"/>
      <c r="F688" s="7"/>
      <c r="G688" s="7"/>
      <c r="H688" s="7"/>
      <c r="I688" s="7"/>
      <c r="J688" s="7"/>
      <c r="K688" s="7"/>
      <c r="L688" s="7"/>
      <c r="M688" s="7"/>
      <c r="N688" s="7"/>
      <c r="O688" s="7"/>
      <c r="P688" s="7"/>
      <c r="Q688" s="7"/>
      <c r="R688" s="7"/>
      <c r="S688" s="7"/>
      <c r="T688" s="7"/>
      <c r="U688" s="7"/>
      <c r="V688" s="7"/>
      <c r="W688" s="7"/>
      <c r="X688" s="7"/>
      <c r="Y688" s="7"/>
    </row>
    <row r="689" spans="1:25" ht="19.5" customHeight="1">
      <c r="A689" s="23"/>
      <c r="B689" s="23"/>
      <c r="C689" s="7"/>
      <c r="D689" s="7"/>
      <c r="E689" s="7"/>
      <c r="F689" s="7"/>
      <c r="G689" s="7"/>
      <c r="H689" s="7"/>
      <c r="I689" s="7"/>
      <c r="J689" s="7"/>
      <c r="K689" s="7"/>
      <c r="L689" s="7"/>
      <c r="M689" s="7"/>
      <c r="N689" s="7"/>
      <c r="O689" s="7"/>
      <c r="P689" s="7"/>
      <c r="Q689" s="7"/>
      <c r="R689" s="7"/>
      <c r="S689" s="7"/>
      <c r="T689" s="7"/>
      <c r="U689" s="7"/>
      <c r="V689" s="7"/>
      <c r="W689" s="7"/>
      <c r="X689" s="7"/>
      <c r="Y689" s="7"/>
    </row>
    <row r="690" spans="1:25" ht="19.5" customHeight="1">
      <c r="A690" s="23"/>
      <c r="B690" s="23"/>
      <c r="C690" s="7"/>
      <c r="D690" s="7"/>
      <c r="E690" s="7"/>
      <c r="F690" s="7"/>
      <c r="G690" s="7"/>
      <c r="H690" s="7"/>
      <c r="I690" s="7"/>
      <c r="J690" s="7"/>
      <c r="K690" s="7"/>
      <c r="L690" s="7"/>
      <c r="M690" s="7"/>
      <c r="N690" s="7"/>
      <c r="O690" s="7"/>
      <c r="P690" s="7"/>
      <c r="Q690" s="7"/>
      <c r="R690" s="7"/>
      <c r="S690" s="7"/>
      <c r="T690" s="7"/>
      <c r="U690" s="7"/>
      <c r="V690" s="7"/>
      <c r="W690" s="7"/>
      <c r="X690" s="7"/>
      <c r="Y690" s="7"/>
    </row>
    <row r="691" spans="1:25" ht="19.5" customHeight="1">
      <c r="A691" s="23"/>
      <c r="B691" s="23"/>
      <c r="C691" s="7"/>
      <c r="D691" s="7"/>
      <c r="E691" s="7"/>
      <c r="F691" s="7"/>
      <c r="G691" s="7"/>
      <c r="H691" s="7"/>
      <c r="I691" s="7"/>
      <c r="J691" s="7"/>
      <c r="K691" s="7"/>
      <c r="L691" s="7"/>
      <c r="M691" s="7"/>
      <c r="N691" s="7"/>
      <c r="O691" s="7"/>
      <c r="P691" s="7"/>
      <c r="Q691" s="7"/>
      <c r="R691" s="7"/>
      <c r="S691" s="7"/>
      <c r="T691" s="7"/>
      <c r="U691" s="7"/>
      <c r="V691" s="7"/>
      <c r="W691" s="7"/>
      <c r="X691" s="7"/>
      <c r="Y691" s="7"/>
    </row>
    <row r="692" spans="1:25" ht="19.5" customHeight="1">
      <c r="A692" s="23"/>
      <c r="B692" s="23"/>
      <c r="C692" s="7"/>
      <c r="D692" s="7"/>
      <c r="E692" s="7"/>
      <c r="F692" s="7"/>
      <c r="G692" s="7"/>
      <c r="H692" s="7"/>
      <c r="I692" s="7"/>
      <c r="J692" s="7"/>
      <c r="K692" s="7"/>
      <c r="L692" s="7"/>
      <c r="M692" s="7"/>
      <c r="N692" s="7"/>
      <c r="O692" s="7"/>
      <c r="P692" s="7"/>
      <c r="Q692" s="7"/>
      <c r="R692" s="7"/>
      <c r="S692" s="7"/>
      <c r="T692" s="7"/>
      <c r="U692" s="7"/>
      <c r="V692" s="7"/>
      <c r="W692" s="7"/>
      <c r="X692" s="7"/>
      <c r="Y692" s="7"/>
    </row>
    <row r="693" spans="1:25" ht="19.5" customHeight="1">
      <c r="A693" s="23"/>
      <c r="B693" s="23"/>
      <c r="C693" s="7"/>
      <c r="D693" s="7"/>
      <c r="E693" s="7"/>
      <c r="F693" s="7"/>
      <c r="G693" s="7"/>
      <c r="H693" s="7"/>
      <c r="I693" s="7"/>
      <c r="J693" s="7"/>
      <c r="K693" s="7"/>
      <c r="L693" s="7"/>
      <c r="M693" s="7"/>
      <c r="N693" s="7"/>
      <c r="O693" s="7"/>
      <c r="P693" s="7"/>
      <c r="Q693" s="7"/>
      <c r="R693" s="7"/>
      <c r="S693" s="7"/>
      <c r="T693" s="7"/>
      <c r="U693" s="7"/>
      <c r="V693" s="7"/>
      <c r="W693" s="7"/>
      <c r="X693" s="7"/>
      <c r="Y693" s="7"/>
    </row>
    <row r="694" spans="1:25" ht="19.5" customHeight="1">
      <c r="A694" s="23"/>
      <c r="B694" s="23"/>
      <c r="C694" s="7"/>
      <c r="D694" s="7"/>
      <c r="E694" s="7"/>
      <c r="F694" s="7"/>
      <c r="G694" s="7"/>
      <c r="H694" s="7"/>
      <c r="I694" s="7"/>
      <c r="J694" s="7"/>
      <c r="K694" s="7"/>
      <c r="L694" s="7"/>
      <c r="M694" s="7"/>
      <c r="N694" s="7"/>
      <c r="O694" s="7"/>
      <c r="P694" s="7"/>
      <c r="Q694" s="7"/>
      <c r="R694" s="7"/>
      <c r="S694" s="7"/>
      <c r="T694" s="7"/>
      <c r="U694" s="7"/>
      <c r="V694" s="7"/>
      <c r="W694" s="7"/>
      <c r="X694" s="7"/>
      <c r="Y694" s="7"/>
    </row>
    <row r="695" spans="1:25" ht="19.5" customHeight="1">
      <c r="A695" s="23"/>
      <c r="B695" s="23"/>
      <c r="C695" s="7"/>
      <c r="D695" s="7"/>
      <c r="E695" s="7"/>
      <c r="F695" s="7"/>
      <c r="G695" s="7"/>
      <c r="H695" s="7"/>
      <c r="I695" s="7"/>
      <c r="J695" s="7"/>
      <c r="K695" s="7"/>
      <c r="L695" s="7"/>
      <c r="M695" s="7"/>
      <c r="N695" s="7"/>
      <c r="O695" s="7"/>
      <c r="P695" s="7"/>
      <c r="Q695" s="7"/>
      <c r="R695" s="7"/>
      <c r="S695" s="7"/>
      <c r="T695" s="7"/>
      <c r="U695" s="7"/>
      <c r="V695" s="7"/>
      <c r="W695" s="7"/>
      <c r="X695" s="7"/>
      <c r="Y695" s="7"/>
    </row>
    <row r="696" spans="1:25" ht="19.5" customHeight="1">
      <c r="A696" s="23"/>
      <c r="B696" s="23"/>
      <c r="C696" s="7"/>
      <c r="D696" s="7"/>
      <c r="E696" s="7"/>
      <c r="F696" s="7"/>
      <c r="G696" s="7"/>
      <c r="H696" s="7"/>
      <c r="I696" s="7"/>
      <c r="J696" s="7"/>
      <c r="K696" s="7"/>
      <c r="L696" s="7"/>
      <c r="M696" s="7"/>
      <c r="N696" s="7"/>
      <c r="O696" s="7"/>
      <c r="P696" s="7"/>
      <c r="Q696" s="7"/>
      <c r="R696" s="7"/>
      <c r="S696" s="7"/>
      <c r="T696" s="7"/>
      <c r="U696" s="7"/>
      <c r="V696" s="7"/>
      <c r="W696" s="7"/>
      <c r="X696" s="7"/>
      <c r="Y696" s="7"/>
    </row>
    <row r="697" spans="1:25" ht="19.5" customHeight="1">
      <c r="A697" s="23"/>
      <c r="B697" s="23"/>
      <c r="C697" s="7"/>
      <c r="D697" s="7"/>
      <c r="E697" s="7"/>
      <c r="F697" s="7"/>
      <c r="G697" s="7"/>
      <c r="H697" s="7"/>
      <c r="I697" s="7"/>
      <c r="J697" s="7"/>
      <c r="K697" s="7"/>
      <c r="L697" s="7"/>
      <c r="M697" s="7"/>
      <c r="N697" s="7"/>
      <c r="O697" s="7"/>
      <c r="P697" s="7"/>
      <c r="Q697" s="7"/>
      <c r="R697" s="7"/>
      <c r="S697" s="7"/>
      <c r="T697" s="7"/>
      <c r="U697" s="7"/>
      <c r="V697" s="7"/>
      <c r="W697" s="7"/>
      <c r="X697" s="7"/>
      <c r="Y697" s="7"/>
    </row>
    <row r="698" spans="1:25" ht="19.5" customHeight="1">
      <c r="A698" s="23"/>
      <c r="B698" s="23"/>
      <c r="C698" s="7"/>
      <c r="D698" s="7"/>
      <c r="E698" s="7"/>
      <c r="F698" s="7"/>
      <c r="G698" s="7"/>
      <c r="H698" s="7"/>
      <c r="I698" s="7"/>
      <c r="J698" s="7"/>
      <c r="K698" s="7"/>
      <c r="L698" s="7"/>
      <c r="M698" s="7"/>
      <c r="N698" s="7"/>
      <c r="O698" s="7"/>
      <c r="P698" s="7"/>
      <c r="Q698" s="7"/>
      <c r="R698" s="7"/>
      <c r="S698" s="7"/>
      <c r="T698" s="7"/>
      <c r="U698" s="7"/>
      <c r="V698" s="7"/>
      <c r="W698" s="7"/>
      <c r="X698" s="7"/>
      <c r="Y698" s="7"/>
    </row>
    <row r="699" spans="1:25" ht="19.5" customHeight="1">
      <c r="A699" s="23"/>
      <c r="B699" s="23"/>
      <c r="C699" s="7"/>
      <c r="D699" s="7"/>
      <c r="E699" s="7"/>
      <c r="F699" s="7"/>
      <c r="G699" s="7"/>
      <c r="H699" s="7"/>
      <c r="I699" s="7"/>
      <c r="J699" s="7"/>
      <c r="K699" s="7"/>
      <c r="L699" s="7"/>
      <c r="M699" s="7"/>
      <c r="N699" s="7"/>
      <c r="O699" s="7"/>
      <c r="P699" s="7"/>
      <c r="Q699" s="7"/>
      <c r="R699" s="7"/>
      <c r="S699" s="7"/>
      <c r="T699" s="7"/>
      <c r="U699" s="7"/>
      <c r="V699" s="7"/>
      <c r="W699" s="7"/>
      <c r="X699" s="7"/>
      <c r="Y699" s="7"/>
    </row>
    <row r="700" spans="1:25" ht="19.5" customHeight="1">
      <c r="A700" s="23"/>
      <c r="B700" s="23"/>
      <c r="C700" s="7"/>
      <c r="D700" s="7"/>
      <c r="E700" s="7"/>
      <c r="F700" s="7"/>
      <c r="G700" s="7"/>
      <c r="H700" s="7"/>
      <c r="I700" s="7"/>
      <c r="J700" s="7"/>
      <c r="K700" s="7"/>
      <c r="L700" s="7"/>
      <c r="M700" s="7"/>
      <c r="N700" s="7"/>
      <c r="O700" s="7"/>
      <c r="P700" s="7"/>
      <c r="Q700" s="7"/>
      <c r="R700" s="7"/>
      <c r="S700" s="7"/>
      <c r="T700" s="7"/>
      <c r="U700" s="7"/>
      <c r="V700" s="7"/>
      <c r="W700" s="7"/>
      <c r="X700" s="7"/>
      <c r="Y700" s="7"/>
    </row>
    <row r="701" spans="1:25" ht="19.5" customHeight="1">
      <c r="A701" s="23"/>
      <c r="B701" s="23"/>
      <c r="C701" s="7"/>
      <c r="D701" s="7"/>
      <c r="E701" s="7"/>
      <c r="F701" s="7"/>
      <c r="G701" s="7"/>
      <c r="H701" s="7"/>
      <c r="I701" s="7"/>
      <c r="J701" s="7"/>
      <c r="K701" s="7"/>
      <c r="L701" s="7"/>
      <c r="M701" s="7"/>
      <c r="N701" s="7"/>
      <c r="O701" s="7"/>
      <c r="P701" s="7"/>
      <c r="Q701" s="7"/>
      <c r="R701" s="7"/>
      <c r="S701" s="7"/>
      <c r="T701" s="7"/>
      <c r="U701" s="7"/>
      <c r="V701" s="7"/>
      <c r="W701" s="7"/>
      <c r="X701" s="7"/>
      <c r="Y701" s="7"/>
    </row>
    <row r="702" spans="1:25" ht="19.5" customHeight="1">
      <c r="A702" s="23"/>
      <c r="B702" s="23"/>
      <c r="C702" s="7"/>
      <c r="D702" s="7"/>
      <c r="E702" s="7"/>
      <c r="F702" s="7"/>
      <c r="G702" s="7"/>
      <c r="H702" s="7"/>
      <c r="I702" s="7"/>
      <c r="J702" s="7"/>
      <c r="K702" s="7"/>
      <c r="L702" s="7"/>
      <c r="M702" s="7"/>
      <c r="N702" s="7"/>
      <c r="O702" s="7"/>
      <c r="P702" s="7"/>
      <c r="Q702" s="7"/>
      <c r="R702" s="7"/>
      <c r="S702" s="7"/>
      <c r="T702" s="7"/>
      <c r="U702" s="7"/>
      <c r="V702" s="7"/>
      <c r="W702" s="7"/>
      <c r="X702" s="7"/>
      <c r="Y702" s="7"/>
    </row>
    <row r="703" spans="1:25" ht="19.5" customHeight="1">
      <c r="A703" s="23"/>
      <c r="B703" s="23"/>
      <c r="C703" s="7"/>
      <c r="D703" s="7"/>
      <c r="E703" s="7"/>
      <c r="F703" s="7"/>
      <c r="G703" s="7"/>
      <c r="H703" s="7"/>
      <c r="I703" s="7"/>
      <c r="J703" s="7"/>
      <c r="K703" s="7"/>
      <c r="L703" s="7"/>
      <c r="M703" s="7"/>
      <c r="N703" s="7"/>
      <c r="O703" s="7"/>
      <c r="P703" s="7"/>
      <c r="Q703" s="7"/>
      <c r="R703" s="7"/>
      <c r="S703" s="7"/>
      <c r="T703" s="7"/>
      <c r="U703" s="7"/>
      <c r="V703" s="7"/>
      <c r="W703" s="7"/>
      <c r="X703" s="7"/>
      <c r="Y703" s="7"/>
    </row>
    <row r="704" spans="1:25" ht="19.5" customHeight="1">
      <c r="A704" s="23"/>
      <c r="B704" s="23"/>
      <c r="C704" s="7"/>
      <c r="D704" s="7"/>
      <c r="E704" s="7"/>
      <c r="F704" s="7"/>
      <c r="G704" s="7"/>
      <c r="H704" s="7"/>
      <c r="I704" s="7"/>
      <c r="J704" s="7"/>
      <c r="K704" s="7"/>
      <c r="L704" s="7"/>
      <c r="M704" s="7"/>
      <c r="N704" s="7"/>
      <c r="O704" s="7"/>
      <c r="P704" s="7"/>
      <c r="Q704" s="7"/>
      <c r="R704" s="7"/>
      <c r="S704" s="7"/>
      <c r="T704" s="7"/>
      <c r="U704" s="7"/>
      <c r="V704" s="7"/>
      <c r="W704" s="7"/>
      <c r="X704" s="7"/>
      <c r="Y704" s="7"/>
    </row>
    <row r="705" spans="1:25" ht="19.5" customHeight="1">
      <c r="A705" s="23"/>
      <c r="B705" s="23"/>
      <c r="C705" s="7"/>
      <c r="D705" s="7"/>
      <c r="E705" s="7"/>
      <c r="F705" s="7"/>
      <c r="G705" s="7"/>
      <c r="H705" s="7"/>
      <c r="I705" s="7"/>
      <c r="J705" s="7"/>
      <c r="K705" s="7"/>
      <c r="L705" s="7"/>
      <c r="M705" s="7"/>
      <c r="N705" s="7"/>
      <c r="O705" s="7"/>
      <c r="P705" s="7"/>
      <c r="Q705" s="7"/>
      <c r="R705" s="7"/>
      <c r="S705" s="7"/>
      <c r="T705" s="7"/>
      <c r="U705" s="7"/>
      <c r="V705" s="7"/>
      <c r="W705" s="7"/>
      <c r="X705" s="7"/>
      <c r="Y705" s="7"/>
    </row>
    <row r="706" spans="1:25" ht="19.5" customHeight="1">
      <c r="A706" s="23"/>
      <c r="B706" s="23"/>
      <c r="C706" s="7"/>
      <c r="D706" s="7"/>
      <c r="E706" s="7"/>
      <c r="F706" s="7"/>
      <c r="G706" s="7"/>
      <c r="H706" s="7"/>
      <c r="I706" s="7"/>
      <c r="J706" s="7"/>
      <c r="K706" s="7"/>
      <c r="L706" s="7"/>
      <c r="M706" s="7"/>
      <c r="N706" s="7"/>
      <c r="O706" s="7"/>
      <c r="P706" s="7"/>
      <c r="Q706" s="7"/>
      <c r="R706" s="7"/>
      <c r="S706" s="7"/>
      <c r="T706" s="7"/>
      <c r="U706" s="7"/>
      <c r="V706" s="7"/>
      <c r="W706" s="7"/>
      <c r="X706" s="7"/>
      <c r="Y706" s="7"/>
    </row>
    <row r="707" spans="1:25" ht="19.5" customHeight="1">
      <c r="A707" s="23"/>
      <c r="B707" s="23"/>
      <c r="C707" s="7"/>
      <c r="D707" s="7"/>
      <c r="E707" s="7"/>
      <c r="F707" s="7"/>
      <c r="G707" s="7"/>
      <c r="H707" s="7"/>
      <c r="I707" s="7"/>
      <c r="J707" s="7"/>
      <c r="K707" s="7"/>
      <c r="L707" s="7"/>
      <c r="M707" s="7"/>
      <c r="N707" s="7"/>
      <c r="O707" s="7"/>
      <c r="P707" s="7"/>
      <c r="Q707" s="7"/>
      <c r="R707" s="7"/>
      <c r="S707" s="7"/>
      <c r="T707" s="7"/>
      <c r="U707" s="7"/>
      <c r="V707" s="7"/>
      <c r="W707" s="7"/>
      <c r="X707" s="7"/>
      <c r="Y707" s="7"/>
    </row>
    <row r="708" spans="1:25" ht="19.5" customHeight="1">
      <c r="A708" s="23"/>
      <c r="B708" s="23"/>
      <c r="C708" s="7"/>
      <c r="D708" s="7"/>
      <c r="E708" s="7"/>
      <c r="F708" s="7"/>
      <c r="G708" s="7"/>
      <c r="H708" s="7"/>
      <c r="I708" s="7"/>
      <c r="J708" s="7"/>
      <c r="K708" s="7"/>
      <c r="L708" s="7"/>
      <c r="M708" s="7"/>
      <c r="N708" s="7"/>
      <c r="O708" s="7"/>
      <c r="P708" s="7"/>
      <c r="Q708" s="7"/>
      <c r="R708" s="7"/>
      <c r="S708" s="7"/>
      <c r="T708" s="7"/>
      <c r="U708" s="7"/>
      <c r="V708" s="7"/>
      <c r="W708" s="7"/>
      <c r="X708" s="7"/>
      <c r="Y708" s="7"/>
    </row>
    <row r="709" spans="1:25" ht="19.5" customHeight="1">
      <c r="A709" s="23"/>
      <c r="B709" s="23"/>
      <c r="C709" s="7"/>
      <c r="D709" s="7"/>
      <c r="E709" s="7"/>
      <c r="F709" s="7"/>
      <c r="G709" s="7"/>
      <c r="H709" s="7"/>
      <c r="I709" s="7"/>
      <c r="J709" s="7"/>
      <c r="K709" s="7"/>
      <c r="L709" s="7"/>
      <c r="M709" s="7"/>
      <c r="N709" s="7"/>
      <c r="O709" s="7"/>
      <c r="P709" s="7"/>
      <c r="Q709" s="7"/>
      <c r="R709" s="7"/>
      <c r="S709" s="7"/>
      <c r="T709" s="7"/>
      <c r="U709" s="7"/>
      <c r="V709" s="7"/>
      <c r="W709" s="7"/>
      <c r="X709" s="7"/>
      <c r="Y709" s="7"/>
    </row>
    <row r="710" spans="1:25" ht="19.5" customHeight="1">
      <c r="A710" s="23"/>
      <c r="B710" s="23"/>
      <c r="C710" s="7"/>
      <c r="D710" s="7"/>
      <c r="E710" s="7"/>
      <c r="F710" s="7"/>
      <c r="G710" s="7"/>
      <c r="H710" s="7"/>
      <c r="I710" s="7"/>
      <c r="J710" s="7"/>
      <c r="K710" s="7"/>
      <c r="L710" s="7"/>
      <c r="M710" s="7"/>
      <c r="N710" s="7"/>
      <c r="O710" s="7"/>
      <c r="P710" s="7"/>
      <c r="Q710" s="7"/>
      <c r="R710" s="7"/>
      <c r="S710" s="7"/>
      <c r="T710" s="7"/>
      <c r="U710" s="7"/>
      <c r="V710" s="7"/>
      <c r="W710" s="7"/>
      <c r="X710" s="7"/>
      <c r="Y710" s="7"/>
    </row>
    <row r="711" spans="1:25" ht="19.5" customHeight="1">
      <c r="A711" s="23"/>
      <c r="B711" s="23"/>
      <c r="C711" s="7"/>
      <c r="D711" s="7"/>
      <c r="E711" s="7"/>
      <c r="F711" s="7"/>
      <c r="G711" s="7"/>
      <c r="H711" s="7"/>
      <c r="I711" s="7"/>
      <c r="J711" s="7"/>
      <c r="K711" s="7"/>
      <c r="L711" s="7"/>
      <c r="M711" s="7"/>
      <c r="N711" s="7"/>
      <c r="O711" s="7"/>
      <c r="P711" s="7"/>
      <c r="Q711" s="7"/>
      <c r="R711" s="7"/>
      <c r="S711" s="7"/>
      <c r="T711" s="7"/>
      <c r="U711" s="7"/>
      <c r="V711" s="7"/>
      <c r="W711" s="7"/>
      <c r="X711" s="7"/>
      <c r="Y711" s="7"/>
    </row>
    <row r="712" spans="1:25" ht="19.5" customHeight="1">
      <c r="A712" s="23"/>
      <c r="B712" s="23"/>
      <c r="C712" s="7"/>
      <c r="D712" s="7"/>
      <c r="E712" s="7"/>
      <c r="F712" s="7"/>
      <c r="G712" s="7"/>
      <c r="H712" s="7"/>
      <c r="I712" s="7"/>
      <c r="J712" s="7"/>
      <c r="K712" s="7"/>
      <c r="L712" s="7"/>
      <c r="M712" s="7"/>
      <c r="N712" s="7"/>
      <c r="O712" s="7"/>
      <c r="P712" s="7"/>
      <c r="Q712" s="7"/>
      <c r="R712" s="7"/>
      <c r="S712" s="7"/>
      <c r="T712" s="7"/>
      <c r="U712" s="7"/>
      <c r="V712" s="7"/>
      <c r="W712" s="7"/>
      <c r="X712" s="7"/>
      <c r="Y712" s="7"/>
    </row>
    <row r="713" spans="1:25" ht="19.5" customHeight="1">
      <c r="A713" s="23"/>
      <c r="B713" s="23"/>
      <c r="C713" s="7"/>
      <c r="D713" s="7"/>
      <c r="E713" s="7"/>
      <c r="F713" s="7"/>
      <c r="G713" s="7"/>
      <c r="H713" s="7"/>
      <c r="I713" s="7"/>
      <c r="J713" s="7"/>
      <c r="K713" s="7"/>
      <c r="L713" s="7"/>
      <c r="M713" s="7"/>
      <c r="N713" s="7"/>
      <c r="O713" s="7"/>
      <c r="P713" s="7"/>
      <c r="Q713" s="7"/>
      <c r="R713" s="7"/>
      <c r="S713" s="7"/>
      <c r="T713" s="7"/>
      <c r="U713" s="7"/>
      <c r="V713" s="7"/>
      <c r="W713" s="7"/>
      <c r="X713" s="7"/>
      <c r="Y713" s="7"/>
    </row>
    <row r="714" spans="1:25" ht="19.5" customHeight="1">
      <c r="A714" s="23"/>
      <c r="B714" s="23"/>
      <c r="C714" s="7"/>
      <c r="D714" s="7"/>
      <c r="E714" s="7"/>
      <c r="F714" s="7"/>
      <c r="G714" s="7"/>
      <c r="H714" s="7"/>
      <c r="I714" s="7"/>
      <c r="J714" s="7"/>
      <c r="K714" s="7"/>
      <c r="L714" s="7"/>
      <c r="M714" s="7"/>
      <c r="N714" s="7"/>
      <c r="O714" s="7"/>
      <c r="P714" s="7"/>
      <c r="Q714" s="7"/>
      <c r="R714" s="7"/>
      <c r="S714" s="7"/>
      <c r="T714" s="7"/>
      <c r="U714" s="7"/>
      <c r="V714" s="7"/>
      <c r="W714" s="7"/>
      <c r="X714" s="7"/>
      <c r="Y714" s="7"/>
    </row>
    <row r="715" spans="1:25" ht="19.5" customHeight="1">
      <c r="A715" s="23"/>
      <c r="B715" s="23"/>
      <c r="C715" s="7"/>
      <c r="D715" s="7"/>
      <c r="E715" s="7"/>
      <c r="F715" s="7"/>
      <c r="G715" s="7"/>
      <c r="H715" s="7"/>
      <c r="I715" s="7"/>
      <c r="J715" s="7"/>
      <c r="K715" s="7"/>
      <c r="L715" s="7"/>
      <c r="M715" s="7"/>
      <c r="N715" s="7"/>
      <c r="O715" s="7"/>
      <c r="P715" s="7"/>
      <c r="Q715" s="7"/>
      <c r="R715" s="7"/>
      <c r="S715" s="7"/>
      <c r="T715" s="7"/>
      <c r="U715" s="7"/>
      <c r="V715" s="7"/>
      <c r="W715" s="7"/>
      <c r="X715" s="7"/>
      <c r="Y715" s="7"/>
    </row>
    <row r="716" spans="1:25" ht="19.5" customHeight="1">
      <c r="A716" s="23"/>
      <c r="B716" s="23"/>
      <c r="C716" s="7"/>
      <c r="D716" s="7"/>
      <c r="E716" s="7"/>
      <c r="F716" s="7"/>
      <c r="G716" s="7"/>
      <c r="H716" s="7"/>
      <c r="I716" s="7"/>
      <c r="J716" s="7"/>
      <c r="K716" s="7"/>
      <c r="L716" s="7"/>
      <c r="M716" s="7"/>
      <c r="N716" s="7"/>
      <c r="O716" s="7"/>
      <c r="P716" s="7"/>
      <c r="Q716" s="7"/>
      <c r="R716" s="7"/>
      <c r="S716" s="7"/>
      <c r="T716" s="7"/>
      <c r="U716" s="7"/>
      <c r="V716" s="7"/>
      <c r="W716" s="7"/>
      <c r="X716" s="7"/>
      <c r="Y716" s="7"/>
    </row>
    <row r="717" spans="1:25" ht="19.5" customHeight="1">
      <c r="A717" s="23"/>
      <c r="B717" s="23"/>
      <c r="C717" s="7"/>
      <c r="D717" s="7"/>
      <c r="E717" s="7"/>
      <c r="F717" s="7"/>
      <c r="G717" s="7"/>
      <c r="H717" s="7"/>
      <c r="I717" s="7"/>
      <c r="J717" s="7"/>
      <c r="K717" s="7"/>
      <c r="L717" s="7"/>
      <c r="M717" s="7"/>
      <c r="N717" s="7"/>
      <c r="O717" s="7"/>
      <c r="P717" s="7"/>
      <c r="Q717" s="7"/>
      <c r="R717" s="7"/>
      <c r="S717" s="7"/>
      <c r="T717" s="7"/>
      <c r="U717" s="7"/>
      <c r="V717" s="7"/>
      <c r="W717" s="7"/>
      <c r="X717" s="7"/>
      <c r="Y717" s="7"/>
    </row>
    <row r="718" spans="1:25" ht="19.5" customHeight="1">
      <c r="A718" s="23"/>
      <c r="B718" s="23"/>
      <c r="C718" s="7"/>
      <c r="D718" s="7"/>
      <c r="E718" s="7"/>
      <c r="F718" s="7"/>
      <c r="G718" s="7"/>
      <c r="H718" s="7"/>
      <c r="I718" s="7"/>
      <c r="J718" s="7"/>
      <c r="K718" s="7"/>
      <c r="L718" s="7"/>
      <c r="M718" s="7"/>
      <c r="N718" s="7"/>
      <c r="O718" s="7"/>
      <c r="P718" s="7"/>
      <c r="Q718" s="7"/>
      <c r="R718" s="7"/>
      <c r="S718" s="7"/>
      <c r="T718" s="7"/>
      <c r="U718" s="7"/>
      <c r="V718" s="7"/>
      <c r="W718" s="7"/>
      <c r="X718" s="7"/>
      <c r="Y718" s="7"/>
    </row>
    <row r="719" spans="1:25" ht="19.5" customHeight="1">
      <c r="A719" s="23"/>
      <c r="B719" s="23"/>
      <c r="C719" s="7"/>
      <c r="D719" s="7"/>
      <c r="E719" s="7"/>
      <c r="F719" s="7"/>
      <c r="G719" s="7"/>
      <c r="H719" s="7"/>
      <c r="I719" s="7"/>
      <c r="J719" s="7"/>
      <c r="K719" s="7"/>
      <c r="L719" s="7"/>
      <c r="M719" s="7"/>
      <c r="N719" s="7"/>
      <c r="O719" s="7"/>
      <c r="P719" s="7"/>
      <c r="Q719" s="7"/>
      <c r="R719" s="7"/>
      <c r="S719" s="7"/>
      <c r="T719" s="7"/>
      <c r="U719" s="7"/>
      <c r="V719" s="7"/>
      <c r="W719" s="7"/>
      <c r="X719" s="7"/>
      <c r="Y719" s="7"/>
    </row>
    <row r="720" spans="1:25" ht="19.5" customHeight="1">
      <c r="A720" s="23"/>
      <c r="B720" s="23"/>
      <c r="C720" s="7"/>
      <c r="D720" s="7"/>
      <c r="E720" s="7"/>
      <c r="F720" s="7"/>
      <c r="G720" s="7"/>
      <c r="H720" s="7"/>
      <c r="I720" s="7"/>
      <c r="J720" s="7"/>
      <c r="K720" s="7"/>
      <c r="L720" s="7"/>
      <c r="M720" s="7"/>
      <c r="N720" s="7"/>
      <c r="O720" s="7"/>
      <c r="P720" s="7"/>
      <c r="Q720" s="7"/>
      <c r="R720" s="7"/>
      <c r="S720" s="7"/>
      <c r="T720" s="7"/>
      <c r="U720" s="7"/>
      <c r="V720" s="7"/>
      <c r="W720" s="7"/>
      <c r="X720" s="7"/>
      <c r="Y720" s="7"/>
    </row>
    <row r="721" spans="1:25" ht="19.5" customHeight="1">
      <c r="A721" s="23"/>
      <c r="B721" s="23"/>
      <c r="C721" s="7"/>
      <c r="D721" s="7"/>
      <c r="E721" s="7"/>
      <c r="F721" s="7"/>
      <c r="G721" s="7"/>
      <c r="H721" s="7"/>
      <c r="I721" s="7"/>
      <c r="J721" s="7"/>
      <c r="K721" s="7"/>
      <c r="L721" s="7"/>
      <c r="M721" s="7"/>
      <c r="N721" s="7"/>
      <c r="O721" s="7"/>
      <c r="P721" s="7"/>
      <c r="Q721" s="7"/>
      <c r="R721" s="7"/>
      <c r="S721" s="7"/>
      <c r="T721" s="7"/>
      <c r="U721" s="7"/>
      <c r="V721" s="7"/>
      <c r="W721" s="7"/>
      <c r="X721" s="7"/>
      <c r="Y721" s="7"/>
    </row>
    <row r="722" spans="1:25" ht="19.5" customHeight="1">
      <c r="A722" s="23"/>
      <c r="B722" s="23"/>
      <c r="C722" s="7"/>
      <c r="D722" s="7"/>
      <c r="E722" s="7"/>
      <c r="F722" s="7"/>
      <c r="G722" s="7"/>
      <c r="H722" s="7"/>
      <c r="I722" s="7"/>
      <c r="J722" s="7"/>
      <c r="K722" s="7"/>
      <c r="L722" s="7"/>
      <c r="M722" s="7"/>
      <c r="N722" s="7"/>
      <c r="O722" s="7"/>
      <c r="P722" s="7"/>
      <c r="Q722" s="7"/>
      <c r="R722" s="7"/>
      <c r="S722" s="7"/>
      <c r="T722" s="7"/>
      <c r="U722" s="7"/>
      <c r="V722" s="7"/>
      <c r="W722" s="7"/>
      <c r="X722" s="7"/>
      <c r="Y722" s="7"/>
    </row>
    <row r="723" spans="1:25" ht="19.5" customHeight="1">
      <c r="A723" s="23"/>
      <c r="B723" s="23"/>
      <c r="C723" s="7"/>
      <c r="D723" s="7"/>
      <c r="E723" s="7"/>
      <c r="F723" s="7"/>
      <c r="G723" s="7"/>
      <c r="H723" s="7"/>
      <c r="I723" s="7"/>
      <c r="J723" s="7"/>
      <c r="K723" s="7"/>
      <c r="L723" s="7"/>
      <c r="M723" s="7"/>
      <c r="N723" s="7"/>
      <c r="O723" s="7"/>
      <c r="P723" s="7"/>
      <c r="Q723" s="7"/>
      <c r="R723" s="7"/>
      <c r="S723" s="7"/>
      <c r="T723" s="7"/>
      <c r="U723" s="7"/>
      <c r="V723" s="7"/>
      <c r="W723" s="7"/>
      <c r="X723" s="7"/>
      <c r="Y723" s="7"/>
    </row>
    <row r="724" spans="1:25" ht="19.5" customHeight="1">
      <c r="A724" s="23"/>
      <c r="B724" s="23"/>
      <c r="C724" s="7"/>
      <c r="D724" s="7"/>
      <c r="E724" s="7"/>
      <c r="F724" s="7"/>
      <c r="G724" s="7"/>
      <c r="H724" s="7"/>
      <c r="I724" s="7"/>
      <c r="J724" s="7"/>
      <c r="K724" s="7"/>
      <c r="L724" s="7"/>
      <c r="M724" s="7"/>
      <c r="N724" s="7"/>
      <c r="O724" s="7"/>
      <c r="P724" s="7"/>
      <c r="Q724" s="7"/>
      <c r="R724" s="7"/>
      <c r="S724" s="7"/>
      <c r="T724" s="7"/>
      <c r="U724" s="7"/>
      <c r="V724" s="7"/>
      <c r="W724" s="7"/>
      <c r="X724" s="7"/>
      <c r="Y724" s="7"/>
    </row>
    <row r="725" spans="1:25" ht="19.5" customHeight="1">
      <c r="A725" s="23"/>
      <c r="B725" s="23"/>
      <c r="C725" s="7"/>
      <c r="D725" s="7"/>
      <c r="E725" s="7"/>
      <c r="F725" s="7"/>
      <c r="G725" s="7"/>
      <c r="H725" s="7"/>
      <c r="I725" s="7"/>
      <c r="J725" s="7"/>
      <c r="K725" s="7"/>
      <c r="L725" s="7"/>
      <c r="M725" s="7"/>
      <c r="N725" s="7"/>
      <c r="O725" s="7"/>
      <c r="P725" s="7"/>
      <c r="Q725" s="7"/>
      <c r="R725" s="7"/>
      <c r="S725" s="7"/>
      <c r="T725" s="7"/>
      <c r="U725" s="7"/>
      <c r="V725" s="7"/>
      <c r="W725" s="7"/>
      <c r="X725" s="7"/>
      <c r="Y725" s="7"/>
    </row>
    <row r="726" spans="1:25" ht="19.5" customHeight="1">
      <c r="A726" s="23"/>
      <c r="B726" s="23"/>
      <c r="C726" s="7"/>
      <c r="D726" s="7"/>
      <c r="E726" s="7"/>
      <c r="F726" s="7"/>
      <c r="G726" s="7"/>
      <c r="H726" s="7"/>
      <c r="I726" s="7"/>
      <c r="J726" s="7"/>
      <c r="K726" s="7"/>
      <c r="L726" s="7"/>
      <c r="M726" s="7"/>
      <c r="N726" s="7"/>
      <c r="O726" s="7"/>
      <c r="P726" s="7"/>
      <c r="Q726" s="7"/>
      <c r="R726" s="7"/>
      <c r="S726" s="7"/>
      <c r="T726" s="7"/>
      <c r="U726" s="7"/>
      <c r="V726" s="7"/>
      <c r="W726" s="7"/>
      <c r="X726" s="7"/>
      <c r="Y726" s="7"/>
    </row>
    <row r="727" spans="1:25" ht="19.5" customHeight="1">
      <c r="A727" s="23"/>
      <c r="B727" s="23"/>
      <c r="C727" s="7"/>
      <c r="D727" s="7"/>
      <c r="E727" s="7"/>
      <c r="F727" s="7"/>
      <c r="G727" s="7"/>
      <c r="H727" s="7"/>
      <c r="I727" s="7"/>
      <c r="J727" s="7"/>
      <c r="K727" s="7"/>
      <c r="L727" s="7"/>
      <c r="M727" s="7"/>
      <c r="N727" s="7"/>
      <c r="O727" s="7"/>
      <c r="P727" s="7"/>
      <c r="Q727" s="7"/>
      <c r="R727" s="7"/>
      <c r="S727" s="7"/>
      <c r="T727" s="7"/>
      <c r="U727" s="7"/>
      <c r="V727" s="7"/>
      <c r="W727" s="7"/>
      <c r="X727" s="7"/>
      <c r="Y727" s="7"/>
    </row>
    <row r="728" spans="1:25" ht="19.5" customHeight="1">
      <c r="A728" s="23"/>
      <c r="B728" s="23"/>
      <c r="C728" s="7"/>
      <c r="D728" s="7"/>
      <c r="E728" s="7"/>
      <c r="F728" s="7"/>
      <c r="G728" s="7"/>
      <c r="H728" s="7"/>
      <c r="I728" s="7"/>
      <c r="J728" s="7"/>
      <c r="K728" s="7"/>
      <c r="L728" s="7"/>
      <c r="M728" s="7"/>
      <c r="N728" s="7"/>
      <c r="O728" s="7"/>
      <c r="P728" s="7"/>
      <c r="Q728" s="7"/>
      <c r="R728" s="7"/>
      <c r="S728" s="7"/>
      <c r="T728" s="7"/>
      <c r="U728" s="7"/>
      <c r="V728" s="7"/>
      <c r="W728" s="7"/>
      <c r="X728" s="7"/>
      <c r="Y728" s="7"/>
    </row>
    <row r="729" spans="1:25" ht="19.5" customHeight="1">
      <c r="A729" s="23"/>
      <c r="B729" s="23"/>
      <c r="C729" s="7"/>
      <c r="D729" s="7"/>
      <c r="E729" s="7"/>
      <c r="F729" s="7"/>
      <c r="G729" s="7"/>
      <c r="H729" s="7"/>
      <c r="I729" s="7"/>
      <c r="J729" s="7"/>
      <c r="K729" s="7"/>
      <c r="L729" s="7"/>
      <c r="M729" s="7"/>
      <c r="N729" s="7"/>
      <c r="O729" s="7"/>
      <c r="P729" s="7"/>
      <c r="Q729" s="7"/>
      <c r="R729" s="7"/>
      <c r="S729" s="7"/>
      <c r="T729" s="7"/>
      <c r="U729" s="7"/>
      <c r="V729" s="7"/>
      <c r="W729" s="7"/>
      <c r="X729" s="7"/>
      <c r="Y729" s="7"/>
    </row>
    <row r="730" spans="1:25" ht="19.5" customHeight="1">
      <c r="A730" s="23"/>
      <c r="B730" s="23"/>
      <c r="C730" s="7"/>
      <c r="D730" s="7"/>
      <c r="E730" s="7"/>
      <c r="F730" s="7"/>
      <c r="G730" s="7"/>
      <c r="H730" s="7"/>
      <c r="I730" s="7"/>
      <c r="J730" s="7"/>
      <c r="K730" s="7"/>
      <c r="L730" s="7"/>
      <c r="M730" s="7"/>
      <c r="N730" s="7"/>
      <c r="O730" s="7"/>
      <c r="P730" s="7"/>
      <c r="Q730" s="7"/>
      <c r="R730" s="7"/>
      <c r="S730" s="7"/>
      <c r="T730" s="7"/>
      <c r="U730" s="7"/>
      <c r="V730" s="7"/>
      <c r="W730" s="7"/>
      <c r="X730" s="7"/>
      <c r="Y730" s="7"/>
    </row>
    <row r="731" spans="1:25" ht="19.5" customHeight="1">
      <c r="A731" s="23"/>
      <c r="B731" s="23"/>
      <c r="C731" s="7"/>
      <c r="D731" s="7"/>
      <c r="E731" s="7"/>
      <c r="F731" s="7"/>
      <c r="G731" s="7"/>
      <c r="H731" s="7"/>
      <c r="I731" s="7"/>
      <c r="J731" s="7"/>
      <c r="K731" s="7"/>
      <c r="L731" s="7"/>
      <c r="M731" s="7"/>
      <c r="N731" s="7"/>
      <c r="O731" s="7"/>
      <c r="P731" s="7"/>
      <c r="Q731" s="7"/>
      <c r="R731" s="7"/>
      <c r="S731" s="7"/>
      <c r="T731" s="7"/>
      <c r="U731" s="7"/>
      <c r="V731" s="7"/>
      <c r="W731" s="7"/>
      <c r="X731" s="7"/>
      <c r="Y731" s="7"/>
    </row>
    <row r="732" spans="1:25" ht="19.5" customHeight="1">
      <c r="A732" s="23"/>
      <c r="B732" s="23"/>
      <c r="C732" s="7"/>
      <c r="D732" s="7"/>
      <c r="E732" s="7"/>
      <c r="F732" s="7"/>
      <c r="G732" s="7"/>
      <c r="H732" s="7"/>
      <c r="I732" s="7"/>
      <c r="J732" s="7"/>
      <c r="K732" s="7"/>
      <c r="L732" s="7"/>
      <c r="M732" s="7"/>
      <c r="N732" s="7"/>
      <c r="O732" s="7"/>
      <c r="P732" s="7"/>
      <c r="Q732" s="7"/>
      <c r="R732" s="7"/>
      <c r="S732" s="7"/>
      <c r="T732" s="7"/>
      <c r="U732" s="7"/>
      <c r="V732" s="7"/>
      <c r="W732" s="7"/>
      <c r="X732" s="7"/>
      <c r="Y732" s="7"/>
    </row>
    <row r="733" spans="1:25" ht="19.5" customHeight="1">
      <c r="A733" s="23"/>
      <c r="B733" s="23"/>
      <c r="C733" s="7"/>
      <c r="D733" s="7"/>
      <c r="E733" s="7"/>
      <c r="F733" s="7"/>
      <c r="G733" s="7"/>
      <c r="H733" s="7"/>
      <c r="I733" s="7"/>
      <c r="J733" s="7"/>
      <c r="K733" s="7"/>
      <c r="L733" s="7"/>
      <c r="M733" s="7"/>
      <c r="N733" s="7"/>
      <c r="O733" s="7"/>
      <c r="P733" s="7"/>
      <c r="Q733" s="7"/>
      <c r="R733" s="7"/>
      <c r="S733" s="7"/>
      <c r="T733" s="7"/>
      <c r="U733" s="7"/>
      <c r="V733" s="7"/>
      <c r="W733" s="7"/>
      <c r="X733" s="7"/>
      <c r="Y733" s="7"/>
    </row>
    <row r="734" spans="1:25" ht="19.5" customHeight="1">
      <c r="A734" s="23"/>
      <c r="B734" s="23"/>
      <c r="C734" s="7"/>
      <c r="D734" s="7"/>
      <c r="E734" s="7"/>
      <c r="F734" s="7"/>
      <c r="G734" s="7"/>
      <c r="H734" s="7"/>
      <c r="I734" s="7"/>
      <c r="J734" s="7"/>
      <c r="K734" s="7"/>
      <c r="L734" s="7"/>
      <c r="M734" s="7"/>
      <c r="N734" s="7"/>
      <c r="O734" s="7"/>
      <c r="P734" s="7"/>
      <c r="Q734" s="7"/>
      <c r="R734" s="7"/>
      <c r="S734" s="7"/>
      <c r="T734" s="7"/>
      <c r="U734" s="7"/>
      <c r="V734" s="7"/>
      <c r="W734" s="7"/>
      <c r="X734" s="7"/>
      <c r="Y734" s="7"/>
    </row>
    <row r="735" spans="1:25" ht="19.5" customHeight="1">
      <c r="A735" s="23"/>
      <c r="B735" s="23"/>
      <c r="C735" s="7"/>
      <c r="D735" s="7"/>
      <c r="E735" s="7"/>
      <c r="F735" s="7"/>
      <c r="G735" s="7"/>
      <c r="H735" s="7"/>
      <c r="I735" s="7"/>
      <c r="J735" s="7"/>
      <c r="K735" s="7"/>
      <c r="L735" s="7"/>
      <c r="M735" s="7"/>
      <c r="N735" s="7"/>
      <c r="O735" s="7"/>
      <c r="P735" s="7"/>
      <c r="Q735" s="7"/>
      <c r="R735" s="7"/>
      <c r="S735" s="7"/>
      <c r="T735" s="7"/>
      <c r="U735" s="7"/>
      <c r="V735" s="7"/>
      <c r="W735" s="7"/>
      <c r="X735" s="7"/>
      <c r="Y735" s="7"/>
    </row>
    <row r="736" spans="1:25" ht="19.5" customHeight="1">
      <c r="A736" s="23"/>
      <c r="B736" s="23"/>
      <c r="C736" s="7"/>
      <c r="D736" s="7"/>
      <c r="E736" s="7"/>
      <c r="F736" s="7"/>
      <c r="G736" s="7"/>
      <c r="H736" s="7"/>
      <c r="I736" s="7"/>
      <c r="J736" s="7"/>
      <c r="K736" s="7"/>
      <c r="L736" s="7"/>
      <c r="M736" s="7"/>
      <c r="N736" s="7"/>
      <c r="O736" s="7"/>
      <c r="P736" s="7"/>
      <c r="Q736" s="7"/>
      <c r="R736" s="7"/>
      <c r="S736" s="7"/>
      <c r="T736" s="7"/>
      <c r="U736" s="7"/>
      <c r="V736" s="7"/>
      <c r="W736" s="7"/>
      <c r="X736" s="7"/>
      <c r="Y736" s="7"/>
    </row>
    <row r="737" spans="1:25" ht="19.5" customHeight="1">
      <c r="A737" s="23"/>
      <c r="B737" s="23"/>
      <c r="C737" s="7"/>
      <c r="D737" s="7"/>
      <c r="E737" s="7"/>
      <c r="F737" s="7"/>
      <c r="G737" s="7"/>
      <c r="H737" s="7"/>
      <c r="I737" s="7"/>
      <c r="J737" s="7"/>
      <c r="K737" s="7"/>
      <c r="L737" s="7"/>
      <c r="M737" s="7"/>
      <c r="N737" s="7"/>
      <c r="O737" s="7"/>
      <c r="P737" s="7"/>
      <c r="Q737" s="7"/>
      <c r="R737" s="7"/>
      <c r="S737" s="7"/>
      <c r="T737" s="7"/>
      <c r="U737" s="7"/>
      <c r="V737" s="7"/>
      <c r="W737" s="7"/>
      <c r="X737" s="7"/>
      <c r="Y737" s="7"/>
    </row>
    <row r="738" spans="1:25" ht="19.5" customHeight="1">
      <c r="A738" s="23"/>
      <c r="B738" s="23"/>
      <c r="C738" s="7"/>
      <c r="D738" s="7"/>
      <c r="E738" s="7"/>
      <c r="F738" s="7"/>
      <c r="G738" s="7"/>
      <c r="H738" s="7"/>
      <c r="I738" s="7"/>
      <c r="J738" s="7"/>
      <c r="K738" s="7"/>
      <c r="L738" s="7"/>
      <c r="M738" s="7"/>
      <c r="N738" s="7"/>
      <c r="O738" s="7"/>
      <c r="P738" s="7"/>
      <c r="Q738" s="7"/>
      <c r="R738" s="7"/>
      <c r="S738" s="7"/>
      <c r="T738" s="7"/>
      <c r="U738" s="7"/>
      <c r="V738" s="7"/>
      <c r="W738" s="7"/>
      <c r="X738" s="7"/>
      <c r="Y738" s="7"/>
    </row>
    <row r="739" spans="1:25" ht="19.5" customHeight="1">
      <c r="A739" s="23"/>
      <c r="B739" s="23"/>
      <c r="C739" s="7"/>
      <c r="D739" s="7"/>
      <c r="E739" s="7"/>
      <c r="F739" s="7"/>
      <c r="G739" s="7"/>
      <c r="H739" s="7"/>
      <c r="I739" s="7"/>
      <c r="J739" s="7"/>
      <c r="K739" s="7"/>
      <c r="L739" s="7"/>
      <c r="M739" s="7"/>
      <c r="N739" s="7"/>
      <c r="O739" s="7"/>
      <c r="P739" s="7"/>
      <c r="Q739" s="7"/>
      <c r="R739" s="7"/>
      <c r="S739" s="7"/>
      <c r="T739" s="7"/>
      <c r="U739" s="7"/>
      <c r="V739" s="7"/>
      <c r="W739" s="7"/>
      <c r="X739" s="7"/>
      <c r="Y739" s="7"/>
    </row>
    <row r="740" spans="1:25" ht="19.5" customHeight="1">
      <c r="A740" s="23"/>
      <c r="B740" s="23"/>
      <c r="C740" s="7"/>
      <c r="D740" s="7"/>
      <c r="E740" s="7"/>
      <c r="F740" s="7"/>
      <c r="G740" s="7"/>
      <c r="H740" s="7"/>
      <c r="I740" s="7"/>
      <c r="J740" s="7"/>
      <c r="K740" s="7"/>
      <c r="L740" s="7"/>
      <c r="M740" s="7"/>
      <c r="N740" s="7"/>
      <c r="O740" s="7"/>
      <c r="P740" s="7"/>
      <c r="Q740" s="7"/>
      <c r="R740" s="7"/>
      <c r="S740" s="7"/>
      <c r="T740" s="7"/>
      <c r="U740" s="7"/>
      <c r="V740" s="7"/>
      <c r="W740" s="7"/>
      <c r="X740" s="7"/>
      <c r="Y740" s="7"/>
    </row>
    <row r="741" spans="1:25" ht="19.5" customHeight="1">
      <c r="A741" s="23"/>
      <c r="B741" s="23"/>
      <c r="C741" s="7"/>
      <c r="D741" s="7"/>
      <c r="E741" s="7"/>
      <c r="F741" s="7"/>
      <c r="G741" s="7"/>
      <c r="H741" s="7"/>
      <c r="I741" s="7"/>
      <c r="J741" s="7"/>
      <c r="K741" s="7"/>
      <c r="L741" s="7"/>
      <c r="M741" s="7"/>
      <c r="N741" s="7"/>
      <c r="O741" s="7"/>
      <c r="P741" s="7"/>
      <c r="Q741" s="7"/>
      <c r="R741" s="7"/>
      <c r="S741" s="7"/>
      <c r="T741" s="7"/>
      <c r="U741" s="7"/>
      <c r="V741" s="7"/>
      <c r="W741" s="7"/>
      <c r="X741" s="7"/>
      <c r="Y741" s="7"/>
    </row>
    <row r="742" spans="1:25" ht="19.5" customHeight="1">
      <c r="A742" s="23"/>
      <c r="B742" s="23"/>
      <c r="C742" s="7"/>
      <c r="D742" s="7"/>
      <c r="E742" s="7"/>
      <c r="F742" s="7"/>
      <c r="G742" s="7"/>
      <c r="H742" s="7"/>
      <c r="I742" s="7"/>
      <c r="J742" s="7"/>
      <c r="K742" s="7"/>
      <c r="L742" s="7"/>
      <c r="M742" s="7"/>
      <c r="N742" s="7"/>
      <c r="O742" s="7"/>
      <c r="P742" s="7"/>
      <c r="Q742" s="7"/>
      <c r="R742" s="7"/>
      <c r="S742" s="7"/>
      <c r="T742" s="7"/>
      <c r="U742" s="7"/>
      <c r="V742" s="7"/>
      <c r="W742" s="7"/>
      <c r="X742" s="7"/>
      <c r="Y742" s="7"/>
    </row>
    <row r="743" spans="1:25" ht="19.5" customHeight="1">
      <c r="A743" s="23"/>
      <c r="B743" s="23"/>
      <c r="C743" s="7"/>
      <c r="D743" s="7"/>
      <c r="E743" s="7"/>
      <c r="F743" s="7"/>
      <c r="G743" s="7"/>
      <c r="H743" s="7"/>
      <c r="I743" s="7"/>
      <c r="J743" s="7"/>
      <c r="K743" s="7"/>
      <c r="L743" s="7"/>
      <c r="M743" s="7"/>
      <c r="N743" s="7"/>
      <c r="O743" s="7"/>
      <c r="P743" s="7"/>
      <c r="Q743" s="7"/>
      <c r="R743" s="7"/>
      <c r="S743" s="7"/>
      <c r="T743" s="7"/>
      <c r="U743" s="7"/>
      <c r="V743" s="7"/>
      <c r="W743" s="7"/>
      <c r="X743" s="7"/>
      <c r="Y743" s="7"/>
    </row>
    <row r="744" spans="1:25" ht="19.5" customHeight="1">
      <c r="A744" s="23"/>
      <c r="B744" s="23"/>
      <c r="C744" s="7"/>
      <c r="D744" s="7"/>
      <c r="E744" s="7"/>
      <c r="F744" s="7"/>
      <c r="G744" s="7"/>
      <c r="H744" s="7"/>
      <c r="I744" s="7"/>
      <c r="J744" s="7"/>
      <c r="K744" s="7"/>
      <c r="L744" s="7"/>
      <c r="M744" s="7"/>
      <c r="N744" s="7"/>
      <c r="O744" s="7"/>
      <c r="P744" s="7"/>
      <c r="Q744" s="7"/>
      <c r="R744" s="7"/>
      <c r="S744" s="7"/>
      <c r="T744" s="7"/>
      <c r="U744" s="7"/>
      <c r="V744" s="7"/>
      <c r="W744" s="7"/>
      <c r="X744" s="7"/>
      <c r="Y744" s="7"/>
    </row>
    <row r="745" spans="1:25" ht="19.5" customHeight="1">
      <c r="A745" s="23"/>
      <c r="B745" s="23"/>
      <c r="C745" s="7"/>
      <c r="D745" s="7"/>
      <c r="E745" s="7"/>
      <c r="F745" s="7"/>
      <c r="G745" s="7"/>
      <c r="H745" s="7"/>
      <c r="I745" s="7"/>
      <c r="J745" s="7"/>
      <c r="K745" s="7"/>
      <c r="L745" s="7"/>
      <c r="M745" s="7"/>
      <c r="N745" s="7"/>
      <c r="O745" s="7"/>
      <c r="P745" s="7"/>
      <c r="Q745" s="7"/>
      <c r="R745" s="7"/>
      <c r="S745" s="7"/>
      <c r="T745" s="7"/>
      <c r="U745" s="7"/>
      <c r="V745" s="7"/>
      <c r="W745" s="7"/>
      <c r="X745" s="7"/>
      <c r="Y745" s="7"/>
    </row>
    <row r="746" spans="1:25" ht="19.5" customHeight="1">
      <c r="A746" s="23"/>
      <c r="B746" s="23"/>
      <c r="C746" s="7"/>
      <c r="D746" s="7"/>
      <c r="E746" s="7"/>
      <c r="F746" s="7"/>
      <c r="G746" s="7"/>
      <c r="H746" s="7"/>
      <c r="I746" s="7"/>
      <c r="J746" s="7"/>
      <c r="K746" s="7"/>
      <c r="L746" s="7"/>
      <c r="M746" s="7"/>
      <c r="N746" s="7"/>
      <c r="O746" s="7"/>
      <c r="P746" s="7"/>
      <c r="Q746" s="7"/>
      <c r="R746" s="7"/>
      <c r="S746" s="7"/>
      <c r="T746" s="7"/>
      <c r="U746" s="7"/>
      <c r="V746" s="7"/>
      <c r="W746" s="7"/>
      <c r="X746" s="7"/>
      <c r="Y746" s="7"/>
    </row>
    <row r="747" spans="1:25" ht="19.5" customHeight="1">
      <c r="A747" s="23"/>
      <c r="B747" s="23"/>
      <c r="C747" s="7"/>
      <c r="D747" s="7"/>
      <c r="E747" s="7"/>
      <c r="F747" s="7"/>
      <c r="G747" s="7"/>
      <c r="H747" s="7"/>
      <c r="I747" s="7"/>
      <c r="J747" s="7"/>
      <c r="K747" s="7"/>
      <c r="L747" s="7"/>
      <c r="M747" s="7"/>
      <c r="N747" s="7"/>
      <c r="O747" s="7"/>
      <c r="P747" s="7"/>
      <c r="Q747" s="7"/>
      <c r="R747" s="7"/>
      <c r="S747" s="7"/>
      <c r="T747" s="7"/>
      <c r="U747" s="7"/>
      <c r="V747" s="7"/>
      <c r="W747" s="7"/>
      <c r="X747" s="7"/>
      <c r="Y747" s="7"/>
    </row>
    <row r="748" spans="1:25" ht="19.5" customHeight="1">
      <c r="A748" s="23"/>
      <c r="B748" s="23"/>
      <c r="C748" s="7"/>
      <c r="D748" s="7"/>
      <c r="E748" s="7"/>
      <c r="F748" s="7"/>
      <c r="G748" s="7"/>
      <c r="H748" s="7"/>
      <c r="I748" s="7"/>
      <c r="J748" s="7"/>
      <c r="K748" s="7"/>
      <c r="L748" s="7"/>
      <c r="M748" s="7"/>
      <c r="N748" s="7"/>
      <c r="O748" s="7"/>
      <c r="P748" s="7"/>
      <c r="Q748" s="7"/>
      <c r="R748" s="7"/>
      <c r="S748" s="7"/>
      <c r="T748" s="7"/>
      <c r="U748" s="7"/>
      <c r="V748" s="7"/>
      <c r="W748" s="7"/>
      <c r="X748" s="7"/>
      <c r="Y748" s="7"/>
    </row>
    <row r="749" spans="1:25" ht="19.5" customHeight="1">
      <c r="A749" s="23"/>
      <c r="B749" s="23"/>
      <c r="C749" s="7"/>
      <c r="D749" s="7"/>
      <c r="E749" s="7"/>
      <c r="F749" s="7"/>
      <c r="G749" s="7"/>
      <c r="H749" s="7"/>
      <c r="I749" s="7"/>
      <c r="J749" s="7"/>
      <c r="K749" s="7"/>
      <c r="L749" s="7"/>
      <c r="M749" s="7"/>
      <c r="N749" s="7"/>
      <c r="O749" s="7"/>
      <c r="P749" s="7"/>
      <c r="Q749" s="7"/>
      <c r="R749" s="7"/>
      <c r="S749" s="7"/>
      <c r="T749" s="7"/>
      <c r="U749" s="7"/>
      <c r="V749" s="7"/>
      <c r="W749" s="7"/>
      <c r="X749" s="7"/>
      <c r="Y749" s="7"/>
    </row>
    <row r="750" spans="1:25" ht="19.5" customHeight="1">
      <c r="A750" s="23"/>
      <c r="B750" s="23"/>
      <c r="C750" s="7"/>
      <c r="D750" s="7"/>
      <c r="E750" s="7"/>
      <c r="F750" s="7"/>
      <c r="G750" s="7"/>
      <c r="H750" s="7"/>
      <c r="I750" s="7"/>
      <c r="J750" s="7"/>
      <c r="K750" s="7"/>
      <c r="L750" s="7"/>
      <c r="M750" s="7"/>
      <c r="N750" s="7"/>
      <c r="O750" s="7"/>
      <c r="P750" s="7"/>
      <c r="Q750" s="7"/>
      <c r="R750" s="7"/>
      <c r="S750" s="7"/>
      <c r="T750" s="7"/>
      <c r="U750" s="7"/>
      <c r="V750" s="7"/>
      <c r="W750" s="7"/>
      <c r="X750" s="7"/>
      <c r="Y750" s="7"/>
    </row>
    <row r="751" spans="1:25" ht="19.5" customHeight="1">
      <c r="A751" s="23"/>
      <c r="B751" s="23"/>
      <c r="C751" s="7"/>
      <c r="D751" s="7"/>
      <c r="E751" s="7"/>
      <c r="F751" s="7"/>
      <c r="G751" s="7"/>
      <c r="H751" s="7"/>
      <c r="I751" s="7"/>
      <c r="J751" s="7"/>
      <c r="K751" s="7"/>
      <c r="L751" s="7"/>
      <c r="M751" s="7"/>
      <c r="N751" s="7"/>
      <c r="O751" s="7"/>
      <c r="P751" s="7"/>
      <c r="Q751" s="7"/>
      <c r="R751" s="7"/>
      <c r="S751" s="7"/>
      <c r="T751" s="7"/>
      <c r="U751" s="7"/>
      <c r="V751" s="7"/>
      <c r="W751" s="7"/>
      <c r="X751" s="7"/>
      <c r="Y751" s="7"/>
    </row>
    <row r="752" spans="1:25" ht="19.5" customHeight="1">
      <c r="A752" s="23"/>
      <c r="B752" s="23"/>
      <c r="C752" s="7"/>
      <c r="D752" s="7"/>
      <c r="E752" s="7"/>
      <c r="F752" s="7"/>
      <c r="G752" s="7"/>
      <c r="H752" s="7"/>
      <c r="I752" s="7"/>
      <c r="J752" s="7"/>
      <c r="K752" s="7"/>
      <c r="L752" s="7"/>
      <c r="M752" s="7"/>
      <c r="N752" s="7"/>
      <c r="O752" s="7"/>
      <c r="P752" s="7"/>
      <c r="Q752" s="7"/>
      <c r="R752" s="7"/>
      <c r="S752" s="7"/>
      <c r="T752" s="7"/>
      <c r="U752" s="7"/>
      <c r="V752" s="7"/>
      <c r="W752" s="7"/>
      <c r="X752" s="7"/>
      <c r="Y752" s="7"/>
    </row>
    <row r="753" spans="1:25" ht="19.5" customHeight="1">
      <c r="A753" s="23"/>
      <c r="B753" s="23"/>
      <c r="C753" s="7"/>
      <c r="D753" s="7"/>
      <c r="E753" s="7"/>
      <c r="F753" s="7"/>
      <c r="G753" s="7"/>
      <c r="H753" s="7"/>
      <c r="I753" s="7"/>
      <c r="J753" s="7"/>
      <c r="K753" s="7"/>
      <c r="L753" s="7"/>
      <c r="M753" s="7"/>
      <c r="N753" s="7"/>
      <c r="O753" s="7"/>
      <c r="P753" s="7"/>
      <c r="Q753" s="7"/>
      <c r="R753" s="7"/>
      <c r="S753" s="7"/>
      <c r="T753" s="7"/>
      <c r="U753" s="7"/>
      <c r="V753" s="7"/>
      <c r="W753" s="7"/>
      <c r="X753" s="7"/>
      <c r="Y753" s="7"/>
    </row>
    <row r="754" spans="1:25" ht="19.5" customHeight="1">
      <c r="A754" s="23"/>
      <c r="B754" s="23"/>
      <c r="C754" s="7"/>
      <c r="D754" s="7"/>
      <c r="E754" s="7"/>
      <c r="F754" s="7"/>
      <c r="G754" s="7"/>
      <c r="H754" s="7"/>
      <c r="I754" s="7"/>
      <c r="J754" s="7"/>
      <c r="K754" s="7"/>
      <c r="L754" s="7"/>
      <c r="M754" s="7"/>
      <c r="N754" s="7"/>
      <c r="O754" s="7"/>
      <c r="P754" s="7"/>
      <c r="Q754" s="7"/>
      <c r="R754" s="7"/>
      <c r="S754" s="7"/>
      <c r="T754" s="7"/>
      <c r="U754" s="7"/>
      <c r="V754" s="7"/>
      <c r="W754" s="7"/>
      <c r="X754" s="7"/>
      <c r="Y754" s="7"/>
    </row>
    <row r="755" spans="1:25" ht="19.5" customHeight="1">
      <c r="A755" s="23"/>
      <c r="B755" s="23"/>
      <c r="C755" s="7"/>
      <c r="D755" s="7"/>
      <c r="E755" s="7"/>
      <c r="F755" s="7"/>
      <c r="G755" s="7"/>
      <c r="H755" s="7"/>
      <c r="I755" s="7"/>
      <c r="J755" s="7"/>
      <c r="K755" s="7"/>
      <c r="L755" s="7"/>
      <c r="M755" s="7"/>
      <c r="N755" s="7"/>
      <c r="O755" s="7"/>
      <c r="P755" s="7"/>
      <c r="Q755" s="7"/>
      <c r="R755" s="7"/>
      <c r="S755" s="7"/>
      <c r="T755" s="7"/>
      <c r="U755" s="7"/>
      <c r="V755" s="7"/>
      <c r="W755" s="7"/>
      <c r="X755" s="7"/>
      <c r="Y755" s="7"/>
    </row>
    <row r="756" spans="1:25" ht="19.5" customHeight="1">
      <c r="A756" s="23"/>
      <c r="B756" s="23"/>
      <c r="C756" s="7"/>
      <c r="D756" s="7"/>
      <c r="E756" s="7"/>
      <c r="F756" s="7"/>
      <c r="G756" s="7"/>
      <c r="H756" s="7"/>
      <c r="I756" s="7"/>
      <c r="J756" s="7"/>
      <c r="K756" s="7"/>
      <c r="L756" s="7"/>
      <c r="M756" s="7"/>
      <c r="N756" s="7"/>
      <c r="O756" s="7"/>
      <c r="P756" s="7"/>
      <c r="Q756" s="7"/>
      <c r="R756" s="7"/>
      <c r="S756" s="7"/>
      <c r="T756" s="7"/>
      <c r="U756" s="7"/>
      <c r="V756" s="7"/>
      <c r="W756" s="7"/>
      <c r="X756" s="7"/>
      <c r="Y756" s="7"/>
    </row>
    <row r="757" spans="1:25" ht="19.5" customHeight="1">
      <c r="A757" s="23"/>
      <c r="B757" s="23"/>
      <c r="C757" s="7"/>
      <c r="D757" s="7"/>
      <c r="E757" s="7"/>
      <c r="F757" s="7"/>
      <c r="G757" s="7"/>
      <c r="H757" s="7"/>
      <c r="I757" s="7"/>
      <c r="J757" s="7"/>
      <c r="K757" s="7"/>
      <c r="L757" s="7"/>
      <c r="M757" s="7"/>
      <c r="N757" s="7"/>
      <c r="O757" s="7"/>
      <c r="P757" s="7"/>
      <c r="Q757" s="7"/>
      <c r="R757" s="7"/>
      <c r="S757" s="7"/>
      <c r="T757" s="7"/>
      <c r="U757" s="7"/>
      <c r="V757" s="7"/>
      <c r="W757" s="7"/>
      <c r="X757" s="7"/>
      <c r="Y757" s="7"/>
    </row>
    <row r="758" spans="1:25" ht="19.5" customHeight="1">
      <c r="A758" s="23"/>
      <c r="B758" s="23"/>
      <c r="C758" s="7"/>
      <c r="D758" s="7"/>
      <c r="E758" s="7"/>
      <c r="F758" s="7"/>
      <c r="G758" s="7"/>
      <c r="H758" s="7"/>
      <c r="I758" s="7"/>
      <c r="J758" s="7"/>
      <c r="K758" s="7"/>
      <c r="L758" s="7"/>
      <c r="M758" s="7"/>
      <c r="N758" s="7"/>
      <c r="O758" s="7"/>
      <c r="P758" s="7"/>
      <c r="Q758" s="7"/>
      <c r="R758" s="7"/>
      <c r="S758" s="7"/>
      <c r="T758" s="7"/>
      <c r="U758" s="7"/>
      <c r="V758" s="7"/>
      <c r="W758" s="7"/>
      <c r="X758" s="7"/>
      <c r="Y758" s="7"/>
    </row>
    <row r="759" spans="1:25" ht="19.5" customHeight="1">
      <c r="A759" s="23"/>
      <c r="B759" s="23"/>
      <c r="C759" s="7"/>
      <c r="D759" s="7"/>
      <c r="E759" s="7"/>
      <c r="F759" s="7"/>
      <c r="G759" s="7"/>
      <c r="H759" s="7"/>
      <c r="I759" s="7"/>
      <c r="J759" s="7"/>
      <c r="K759" s="7"/>
      <c r="L759" s="7"/>
      <c r="M759" s="7"/>
      <c r="N759" s="7"/>
      <c r="O759" s="7"/>
      <c r="P759" s="7"/>
      <c r="Q759" s="7"/>
      <c r="R759" s="7"/>
      <c r="S759" s="7"/>
      <c r="T759" s="7"/>
      <c r="U759" s="7"/>
      <c r="V759" s="7"/>
      <c r="W759" s="7"/>
      <c r="X759" s="7"/>
      <c r="Y759" s="7"/>
    </row>
    <row r="760" spans="1:25" ht="19.5" customHeight="1">
      <c r="A760" s="23"/>
      <c r="B760" s="23"/>
      <c r="C760" s="7"/>
      <c r="D760" s="7"/>
      <c r="E760" s="7"/>
      <c r="F760" s="7"/>
      <c r="G760" s="7"/>
      <c r="H760" s="7"/>
      <c r="I760" s="7"/>
      <c r="J760" s="7"/>
      <c r="K760" s="7"/>
      <c r="L760" s="7"/>
      <c r="M760" s="7"/>
      <c r="N760" s="7"/>
      <c r="O760" s="7"/>
      <c r="P760" s="7"/>
      <c r="Q760" s="7"/>
      <c r="R760" s="7"/>
      <c r="S760" s="7"/>
      <c r="T760" s="7"/>
      <c r="U760" s="7"/>
      <c r="V760" s="7"/>
      <c r="W760" s="7"/>
      <c r="X760" s="7"/>
      <c r="Y760" s="7"/>
    </row>
    <row r="761" spans="1:25" ht="19.5" customHeight="1">
      <c r="A761" s="23"/>
      <c r="B761" s="23"/>
      <c r="C761" s="7"/>
      <c r="D761" s="7"/>
      <c r="E761" s="7"/>
      <c r="F761" s="7"/>
      <c r="G761" s="7"/>
      <c r="H761" s="7"/>
      <c r="I761" s="7"/>
      <c r="J761" s="7"/>
      <c r="K761" s="7"/>
      <c r="L761" s="7"/>
      <c r="M761" s="7"/>
      <c r="N761" s="7"/>
      <c r="O761" s="7"/>
      <c r="P761" s="7"/>
      <c r="Q761" s="7"/>
      <c r="R761" s="7"/>
      <c r="S761" s="7"/>
      <c r="T761" s="7"/>
      <c r="U761" s="7"/>
      <c r="V761" s="7"/>
      <c r="W761" s="7"/>
      <c r="X761" s="7"/>
      <c r="Y761" s="7"/>
    </row>
    <row r="762" spans="1:25" ht="19.5" customHeight="1">
      <c r="A762" s="23"/>
      <c r="B762" s="23"/>
      <c r="C762" s="7"/>
      <c r="D762" s="7"/>
      <c r="E762" s="7"/>
      <c r="F762" s="7"/>
      <c r="G762" s="7"/>
      <c r="H762" s="7"/>
      <c r="I762" s="7"/>
      <c r="J762" s="7"/>
      <c r="K762" s="7"/>
      <c r="L762" s="7"/>
      <c r="M762" s="7"/>
      <c r="N762" s="7"/>
      <c r="O762" s="7"/>
      <c r="P762" s="7"/>
      <c r="Q762" s="7"/>
      <c r="R762" s="7"/>
      <c r="S762" s="7"/>
      <c r="T762" s="7"/>
      <c r="U762" s="7"/>
      <c r="V762" s="7"/>
      <c r="W762" s="7"/>
      <c r="X762" s="7"/>
      <c r="Y762" s="7"/>
    </row>
    <row r="763" spans="1:25" ht="19.5" customHeight="1">
      <c r="A763" s="23"/>
      <c r="B763" s="23"/>
      <c r="C763" s="7"/>
      <c r="D763" s="7"/>
      <c r="E763" s="7"/>
      <c r="F763" s="7"/>
      <c r="G763" s="7"/>
      <c r="H763" s="7"/>
      <c r="I763" s="7"/>
      <c r="J763" s="7"/>
      <c r="K763" s="7"/>
      <c r="L763" s="7"/>
      <c r="M763" s="7"/>
      <c r="N763" s="7"/>
      <c r="O763" s="7"/>
      <c r="P763" s="7"/>
      <c r="Q763" s="7"/>
      <c r="R763" s="7"/>
      <c r="S763" s="7"/>
      <c r="T763" s="7"/>
      <c r="U763" s="7"/>
      <c r="V763" s="7"/>
      <c r="W763" s="7"/>
      <c r="X763" s="7"/>
      <c r="Y763" s="7"/>
    </row>
    <row r="764" spans="1:25" ht="19.5" customHeight="1">
      <c r="A764" s="23"/>
      <c r="B764" s="23"/>
      <c r="C764" s="7"/>
      <c r="D764" s="7"/>
      <c r="E764" s="7"/>
      <c r="F764" s="7"/>
      <c r="G764" s="7"/>
      <c r="H764" s="7"/>
      <c r="I764" s="7"/>
      <c r="J764" s="7"/>
      <c r="K764" s="7"/>
      <c r="L764" s="7"/>
      <c r="M764" s="7"/>
      <c r="N764" s="7"/>
      <c r="O764" s="7"/>
      <c r="P764" s="7"/>
      <c r="Q764" s="7"/>
      <c r="R764" s="7"/>
      <c r="S764" s="7"/>
      <c r="T764" s="7"/>
      <c r="U764" s="7"/>
      <c r="V764" s="7"/>
      <c r="W764" s="7"/>
      <c r="X764" s="7"/>
      <c r="Y764" s="7"/>
    </row>
    <row r="765" spans="1:25" ht="19.5" customHeight="1">
      <c r="A765" s="23"/>
      <c r="B765" s="23"/>
      <c r="C765" s="7"/>
      <c r="D765" s="7"/>
      <c r="E765" s="7"/>
      <c r="F765" s="7"/>
      <c r="G765" s="7"/>
      <c r="H765" s="7"/>
      <c r="I765" s="7"/>
      <c r="J765" s="7"/>
      <c r="K765" s="7"/>
      <c r="L765" s="7"/>
      <c r="M765" s="7"/>
      <c r="N765" s="7"/>
      <c r="O765" s="7"/>
      <c r="P765" s="7"/>
      <c r="Q765" s="7"/>
      <c r="R765" s="7"/>
      <c r="S765" s="7"/>
      <c r="T765" s="7"/>
      <c r="U765" s="7"/>
      <c r="V765" s="7"/>
      <c r="W765" s="7"/>
      <c r="X765" s="7"/>
      <c r="Y765" s="7"/>
    </row>
    <row r="766" spans="1:25" ht="19.5" customHeight="1">
      <c r="A766" s="23"/>
      <c r="B766" s="23"/>
      <c r="C766" s="7"/>
      <c r="D766" s="7"/>
      <c r="E766" s="7"/>
      <c r="F766" s="7"/>
      <c r="G766" s="7"/>
      <c r="H766" s="7"/>
      <c r="I766" s="7"/>
      <c r="J766" s="7"/>
      <c r="K766" s="7"/>
      <c r="L766" s="7"/>
      <c r="M766" s="7"/>
      <c r="N766" s="7"/>
      <c r="O766" s="7"/>
      <c r="P766" s="7"/>
      <c r="Q766" s="7"/>
      <c r="R766" s="7"/>
      <c r="S766" s="7"/>
      <c r="T766" s="7"/>
      <c r="U766" s="7"/>
      <c r="V766" s="7"/>
      <c r="W766" s="7"/>
      <c r="X766" s="7"/>
      <c r="Y766" s="7"/>
    </row>
    <row r="767" spans="1:25" ht="19.5" customHeight="1">
      <c r="A767" s="23"/>
      <c r="B767" s="23"/>
      <c r="C767" s="7"/>
      <c r="D767" s="7"/>
      <c r="E767" s="7"/>
      <c r="F767" s="7"/>
      <c r="G767" s="7"/>
      <c r="H767" s="7"/>
      <c r="I767" s="7"/>
      <c r="J767" s="7"/>
      <c r="K767" s="7"/>
      <c r="L767" s="7"/>
      <c r="M767" s="7"/>
      <c r="N767" s="7"/>
      <c r="O767" s="7"/>
      <c r="P767" s="7"/>
      <c r="Q767" s="7"/>
      <c r="R767" s="7"/>
      <c r="S767" s="7"/>
      <c r="T767" s="7"/>
      <c r="U767" s="7"/>
      <c r="V767" s="7"/>
      <c r="W767" s="7"/>
      <c r="X767" s="7"/>
      <c r="Y767" s="7"/>
    </row>
    <row r="768" spans="1:25" ht="19.5" customHeight="1">
      <c r="A768" s="23"/>
      <c r="B768" s="23"/>
      <c r="C768" s="7"/>
      <c r="D768" s="7"/>
      <c r="E768" s="7"/>
      <c r="F768" s="7"/>
      <c r="G768" s="7"/>
      <c r="H768" s="7"/>
      <c r="I768" s="7"/>
      <c r="J768" s="7"/>
      <c r="K768" s="7"/>
      <c r="L768" s="7"/>
      <c r="M768" s="7"/>
      <c r="N768" s="7"/>
      <c r="O768" s="7"/>
      <c r="P768" s="7"/>
      <c r="Q768" s="7"/>
      <c r="R768" s="7"/>
      <c r="S768" s="7"/>
      <c r="T768" s="7"/>
      <c r="U768" s="7"/>
      <c r="V768" s="7"/>
      <c r="W768" s="7"/>
      <c r="X768" s="7"/>
      <c r="Y768" s="7"/>
    </row>
    <row r="769" spans="1:25" ht="19.5" customHeight="1">
      <c r="A769" s="23"/>
      <c r="B769" s="23"/>
      <c r="C769" s="7"/>
      <c r="D769" s="7"/>
      <c r="E769" s="7"/>
      <c r="F769" s="7"/>
      <c r="G769" s="7"/>
      <c r="H769" s="7"/>
      <c r="I769" s="7"/>
      <c r="J769" s="7"/>
      <c r="K769" s="7"/>
      <c r="L769" s="7"/>
      <c r="M769" s="7"/>
      <c r="N769" s="7"/>
      <c r="O769" s="7"/>
      <c r="P769" s="7"/>
      <c r="Q769" s="7"/>
      <c r="R769" s="7"/>
      <c r="S769" s="7"/>
      <c r="T769" s="7"/>
      <c r="U769" s="7"/>
      <c r="V769" s="7"/>
      <c r="W769" s="7"/>
      <c r="X769" s="7"/>
      <c r="Y769" s="7"/>
    </row>
    <row r="770" spans="1:25" ht="19.5" customHeight="1">
      <c r="A770" s="23"/>
      <c r="B770" s="23"/>
      <c r="C770" s="7"/>
      <c r="D770" s="7"/>
      <c r="E770" s="7"/>
      <c r="F770" s="7"/>
      <c r="G770" s="7"/>
      <c r="H770" s="7"/>
      <c r="I770" s="7"/>
      <c r="J770" s="7"/>
      <c r="K770" s="7"/>
      <c r="L770" s="7"/>
      <c r="M770" s="7"/>
      <c r="N770" s="7"/>
      <c r="O770" s="7"/>
      <c r="P770" s="7"/>
      <c r="Q770" s="7"/>
      <c r="R770" s="7"/>
      <c r="S770" s="7"/>
      <c r="T770" s="7"/>
      <c r="U770" s="7"/>
      <c r="V770" s="7"/>
      <c r="W770" s="7"/>
      <c r="X770" s="7"/>
      <c r="Y770" s="7"/>
    </row>
    <row r="771" spans="1:25" ht="19.5" customHeight="1">
      <c r="A771" s="23"/>
      <c r="B771" s="23"/>
      <c r="C771" s="7"/>
      <c r="D771" s="7"/>
      <c r="E771" s="7"/>
      <c r="F771" s="7"/>
      <c r="G771" s="7"/>
      <c r="H771" s="7"/>
      <c r="I771" s="7"/>
      <c r="J771" s="7"/>
      <c r="K771" s="7"/>
      <c r="L771" s="7"/>
      <c r="M771" s="7"/>
      <c r="N771" s="7"/>
      <c r="O771" s="7"/>
      <c r="P771" s="7"/>
      <c r="Q771" s="7"/>
      <c r="R771" s="7"/>
      <c r="S771" s="7"/>
      <c r="T771" s="7"/>
      <c r="U771" s="7"/>
      <c r="V771" s="7"/>
      <c r="W771" s="7"/>
      <c r="X771" s="7"/>
      <c r="Y771" s="7"/>
    </row>
    <row r="772" spans="1:25" ht="19.5" customHeight="1">
      <c r="A772" s="23"/>
      <c r="B772" s="23"/>
      <c r="C772" s="7"/>
      <c r="D772" s="7"/>
      <c r="E772" s="7"/>
      <c r="F772" s="7"/>
      <c r="G772" s="7"/>
      <c r="H772" s="7"/>
      <c r="I772" s="7"/>
      <c r="J772" s="7"/>
      <c r="K772" s="7"/>
      <c r="L772" s="7"/>
      <c r="M772" s="7"/>
      <c r="N772" s="7"/>
      <c r="O772" s="7"/>
      <c r="P772" s="7"/>
      <c r="Q772" s="7"/>
      <c r="R772" s="7"/>
      <c r="S772" s="7"/>
      <c r="T772" s="7"/>
      <c r="U772" s="7"/>
      <c r="V772" s="7"/>
      <c r="W772" s="7"/>
      <c r="X772" s="7"/>
      <c r="Y772" s="7"/>
    </row>
    <row r="773" spans="1:25" ht="19.5" customHeight="1">
      <c r="A773" s="23"/>
      <c r="B773" s="23"/>
      <c r="C773" s="7"/>
      <c r="D773" s="7"/>
      <c r="E773" s="7"/>
      <c r="F773" s="7"/>
      <c r="G773" s="7"/>
      <c r="H773" s="7"/>
      <c r="I773" s="7"/>
      <c r="J773" s="7"/>
      <c r="K773" s="7"/>
      <c r="L773" s="7"/>
      <c r="M773" s="7"/>
      <c r="N773" s="7"/>
      <c r="O773" s="7"/>
      <c r="P773" s="7"/>
      <c r="Q773" s="7"/>
      <c r="R773" s="7"/>
      <c r="S773" s="7"/>
      <c r="T773" s="7"/>
      <c r="U773" s="7"/>
      <c r="V773" s="7"/>
      <c r="W773" s="7"/>
      <c r="X773" s="7"/>
      <c r="Y773" s="7"/>
    </row>
    <row r="774" spans="1:25" ht="19.5" customHeight="1">
      <c r="A774" s="23"/>
      <c r="B774" s="23"/>
      <c r="C774" s="7"/>
      <c r="D774" s="7"/>
      <c r="E774" s="7"/>
      <c r="F774" s="7"/>
      <c r="G774" s="7"/>
      <c r="H774" s="7"/>
      <c r="I774" s="7"/>
      <c r="J774" s="7"/>
      <c r="K774" s="7"/>
      <c r="L774" s="7"/>
      <c r="M774" s="7"/>
      <c r="N774" s="7"/>
      <c r="O774" s="7"/>
      <c r="P774" s="7"/>
      <c r="Q774" s="7"/>
      <c r="R774" s="7"/>
      <c r="S774" s="7"/>
      <c r="T774" s="7"/>
      <c r="U774" s="7"/>
      <c r="V774" s="7"/>
      <c r="W774" s="7"/>
      <c r="X774" s="7"/>
      <c r="Y774" s="7"/>
    </row>
    <row r="775" spans="1:25" ht="19.5" customHeight="1">
      <c r="A775" s="23"/>
      <c r="B775" s="23"/>
      <c r="C775" s="7"/>
      <c r="D775" s="7"/>
      <c r="E775" s="7"/>
      <c r="F775" s="7"/>
      <c r="G775" s="7"/>
      <c r="H775" s="7"/>
      <c r="I775" s="7"/>
      <c r="J775" s="7"/>
      <c r="K775" s="7"/>
      <c r="L775" s="7"/>
      <c r="M775" s="7"/>
      <c r="N775" s="7"/>
      <c r="O775" s="7"/>
      <c r="P775" s="7"/>
      <c r="Q775" s="7"/>
      <c r="R775" s="7"/>
      <c r="S775" s="7"/>
      <c r="T775" s="7"/>
      <c r="U775" s="7"/>
      <c r="V775" s="7"/>
      <c r="W775" s="7"/>
      <c r="X775" s="7"/>
      <c r="Y775" s="7"/>
    </row>
    <row r="776" spans="1:25" ht="19.5" customHeight="1">
      <c r="A776" s="23"/>
      <c r="B776" s="23"/>
      <c r="C776" s="7"/>
      <c r="D776" s="7"/>
      <c r="E776" s="7"/>
      <c r="F776" s="7"/>
      <c r="G776" s="7"/>
      <c r="H776" s="7"/>
      <c r="I776" s="7"/>
      <c r="J776" s="7"/>
      <c r="K776" s="7"/>
      <c r="L776" s="7"/>
      <c r="M776" s="7"/>
      <c r="N776" s="7"/>
      <c r="O776" s="7"/>
      <c r="P776" s="7"/>
      <c r="Q776" s="7"/>
      <c r="R776" s="7"/>
      <c r="S776" s="7"/>
      <c r="T776" s="7"/>
      <c r="U776" s="7"/>
      <c r="V776" s="7"/>
      <c r="W776" s="7"/>
      <c r="X776" s="7"/>
      <c r="Y776" s="7"/>
    </row>
    <row r="777" spans="1:25" ht="19.5" customHeight="1">
      <c r="A777" s="23"/>
      <c r="B777" s="23"/>
      <c r="C777" s="7"/>
      <c r="D777" s="7"/>
      <c r="E777" s="7"/>
      <c r="F777" s="7"/>
      <c r="G777" s="7"/>
      <c r="H777" s="7"/>
      <c r="I777" s="7"/>
      <c r="J777" s="7"/>
      <c r="K777" s="7"/>
      <c r="L777" s="7"/>
      <c r="M777" s="7"/>
      <c r="N777" s="7"/>
      <c r="O777" s="7"/>
      <c r="P777" s="7"/>
      <c r="Q777" s="7"/>
      <c r="R777" s="7"/>
      <c r="S777" s="7"/>
      <c r="T777" s="7"/>
      <c r="U777" s="7"/>
      <c r="V777" s="7"/>
      <c r="W777" s="7"/>
      <c r="X777" s="7"/>
      <c r="Y777" s="7"/>
    </row>
    <row r="778" spans="1:25" ht="19.5" customHeight="1">
      <c r="A778" s="23"/>
      <c r="B778" s="23"/>
      <c r="C778" s="7"/>
      <c r="D778" s="7"/>
      <c r="E778" s="7"/>
      <c r="F778" s="7"/>
      <c r="G778" s="7"/>
      <c r="H778" s="7"/>
      <c r="I778" s="7"/>
      <c r="J778" s="7"/>
      <c r="K778" s="7"/>
      <c r="L778" s="7"/>
      <c r="M778" s="7"/>
      <c r="N778" s="7"/>
      <c r="O778" s="7"/>
      <c r="P778" s="7"/>
      <c r="Q778" s="7"/>
      <c r="R778" s="7"/>
      <c r="S778" s="7"/>
      <c r="T778" s="7"/>
      <c r="U778" s="7"/>
      <c r="V778" s="7"/>
      <c r="W778" s="7"/>
      <c r="X778" s="7"/>
      <c r="Y778" s="7"/>
    </row>
    <row r="779" spans="1:25" ht="19.5" customHeight="1">
      <c r="A779" s="23"/>
      <c r="B779" s="23"/>
      <c r="C779" s="7"/>
      <c r="D779" s="7"/>
      <c r="E779" s="7"/>
      <c r="F779" s="7"/>
      <c r="G779" s="7"/>
      <c r="H779" s="7"/>
      <c r="I779" s="7"/>
      <c r="J779" s="7"/>
      <c r="K779" s="7"/>
      <c r="L779" s="7"/>
      <c r="M779" s="7"/>
      <c r="N779" s="7"/>
      <c r="O779" s="7"/>
      <c r="P779" s="7"/>
      <c r="Q779" s="7"/>
      <c r="R779" s="7"/>
      <c r="S779" s="7"/>
      <c r="T779" s="7"/>
      <c r="U779" s="7"/>
      <c r="V779" s="7"/>
      <c r="W779" s="7"/>
      <c r="X779" s="7"/>
      <c r="Y779" s="7"/>
    </row>
    <row r="780" spans="1:25" ht="19.5" customHeight="1">
      <c r="A780" s="23"/>
      <c r="B780" s="23"/>
      <c r="C780" s="7"/>
      <c r="D780" s="7"/>
      <c r="E780" s="7"/>
      <c r="F780" s="7"/>
      <c r="G780" s="7"/>
      <c r="H780" s="7"/>
      <c r="I780" s="7"/>
      <c r="J780" s="7"/>
      <c r="K780" s="7"/>
      <c r="L780" s="7"/>
      <c r="M780" s="7"/>
      <c r="N780" s="7"/>
      <c r="O780" s="7"/>
      <c r="P780" s="7"/>
      <c r="Q780" s="7"/>
      <c r="R780" s="7"/>
      <c r="S780" s="7"/>
      <c r="T780" s="7"/>
      <c r="U780" s="7"/>
      <c r="V780" s="7"/>
      <c r="W780" s="7"/>
      <c r="X780" s="7"/>
      <c r="Y780" s="7"/>
    </row>
    <row r="781" spans="1:25" ht="19.5" customHeight="1">
      <c r="A781" s="23"/>
      <c r="B781" s="23"/>
      <c r="C781" s="7"/>
      <c r="D781" s="7"/>
      <c r="E781" s="7"/>
      <c r="F781" s="7"/>
      <c r="G781" s="7"/>
      <c r="H781" s="7"/>
      <c r="I781" s="7"/>
      <c r="J781" s="7"/>
      <c r="K781" s="7"/>
      <c r="L781" s="7"/>
      <c r="M781" s="7"/>
      <c r="N781" s="7"/>
      <c r="O781" s="7"/>
      <c r="P781" s="7"/>
      <c r="Q781" s="7"/>
      <c r="R781" s="7"/>
      <c r="S781" s="7"/>
      <c r="T781" s="7"/>
      <c r="U781" s="7"/>
      <c r="V781" s="7"/>
      <c r="W781" s="7"/>
      <c r="X781" s="7"/>
      <c r="Y781" s="7"/>
    </row>
    <row r="782" spans="1:25" ht="19.5" customHeight="1">
      <c r="A782" s="23"/>
      <c r="B782" s="23"/>
      <c r="C782" s="7"/>
      <c r="D782" s="7"/>
      <c r="E782" s="7"/>
      <c r="F782" s="7"/>
      <c r="G782" s="7"/>
      <c r="H782" s="7"/>
      <c r="I782" s="7"/>
      <c r="J782" s="7"/>
      <c r="K782" s="7"/>
      <c r="L782" s="7"/>
      <c r="M782" s="7"/>
      <c r="N782" s="7"/>
      <c r="O782" s="7"/>
      <c r="P782" s="7"/>
      <c r="Q782" s="7"/>
      <c r="R782" s="7"/>
      <c r="S782" s="7"/>
      <c r="T782" s="7"/>
      <c r="U782" s="7"/>
      <c r="V782" s="7"/>
      <c r="W782" s="7"/>
      <c r="X782" s="7"/>
      <c r="Y782" s="7"/>
    </row>
    <row r="783" spans="1:25" ht="19.5" customHeight="1">
      <c r="A783" s="23"/>
      <c r="B783" s="23"/>
      <c r="C783" s="7"/>
      <c r="D783" s="7"/>
      <c r="E783" s="7"/>
      <c r="F783" s="7"/>
      <c r="G783" s="7"/>
      <c r="H783" s="7"/>
      <c r="I783" s="7"/>
      <c r="J783" s="7"/>
      <c r="K783" s="7"/>
      <c r="L783" s="7"/>
      <c r="M783" s="7"/>
      <c r="N783" s="7"/>
      <c r="O783" s="7"/>
      <c r="P783" s="7"/>
      <c r="Q783" s="7"/>
      <c r="R783" s="7"/>
      <c r="S783" s="7"/>
      <c r="T783" s="7"/>
      <c r="U783" s="7"/>
      <c r="V783" s="7"/>
      <c r="W783" s="7"/>
      <c r="X783" s="7"/>
      <c r="Y783" s="7"/>
    </row>
    <row r="784" spans="1:25" ht="19.5" customHeight="1">
      <c r="A784" s="23"/>
      <c r="B784" s="23"/>
      <c r="C784" s="7"/>
      <c r="D784" s="7"/>
      <c r="E784" s="7"/>
      <c r="F784" s="7"/>
      <c r="G784" s="7"/>
      <c r="H784" s="7"/>
      <c r="I784" s="7"/>
      <c r="J784" s="7"/>
      <c r="K784" s="7"/>
      <c r="L784" s="7"/>
      <c r="M784" s="7"/>
      <c r="N784" s="7"/>
      <c r="O784" s="7"/>
      <c r="P784" s="7"/>
      <c r="Q784" s="7"/>
      <c r="R784" s="7"/>
      <c r="S784" s="7"/>
      <c r="T784" s="7"/>
      <c r="U784" s="7"/>
      <c r="V784" s="7"/>
      <c r="W784" s="7"/>
      <c r="X784" s="7"/>
      <c r="Y784" s="7"/>
    </row>
    <row r="785" spans="1:25" ht="19.5" customHeight="1">
      <c r="A785" s="23"/>
      <c r="B785" s="23"/>
      <c r="C785" s="7"/>
      <c r="D785" s="7"/>
      <c r="E785" s="7"/>
      <c r="F785" s="7"/>
      <c r="G785" s="7"/>
      <c r="H785" s="7"/>
      <c r="I785" s="7"/>
      <c r="J785" s="7"/>
      <c r="K785" s="7"/>
      <c r="L785" s="7"/>
      <c r="M785" s="7"/>
      <c r="N785" s="7"/>
      <c r="O785" s="7"/>
      <c r="P785" s="7"/>
      <c r="Q785" s="7"/>
      <c r="R785" s="7"/>
      <c r="S785" s="7"/>
      <c r="T785" s="7"/>
      <c r="U785" s="7"/>
      <c r="V785" s="7"/>
      <c r="W785" s="7"/>
      <c r="X785" s="7"/>
      <c r="Y785" s="7"/>
    </row>
    <row r="786" spans="1:25" ht="19.5" customHeight="1">
      <c r="A786" s="23"/>
      <c r="B786" s="23"/>
      <c r="C786" s="7"/>
      <c r="D786" s="7"/>
      <c r="E786" s="7"/>
      <c r="F786" s="7"/>
      <c r="G786" s="7"/>
      <c r="H786" s="7"/>
      <c r="I786" s="7"/>
      <c r="J786" s="7"/>
      <c r="K786" s="7"/>
      <c r="L786" s="7"/>
      <c r="M786" s="7"/>
      <c r="N786" s="7"/>
      <c r="O786" s="7"/>
      <c r="P786" s="7"/>
      <c r="Q786" s="7"/>
      <c r="R786" s="7"/>
      <c r="S786" s="7"/>
      <c r="T786" s="7"/>
      <c r="U786" s="7"/>
      <c r="V786" s="7"/>
      <c r="W786" s="7"/>
      <c r="X786" s="7"/>
      <c r="Y786" s="7"/>
    </row>
    <row r="787" spans="1:25" ht="19.5" customHeight="1">
      <c r="A787" s="23"/>
      <c r="B787" s="23"/>
      <c r="C787" s="7"/>
      <c r="D787" s="7"/>
      <c r="E787" s="7"/>
      <c r="F787" s="7"/>
      <c r="G787" s="7"/>
      <c r="H787" s="7"/>
      <c r="I787" s="7"/>
      <c r="J787" s="7"/>
      <c r="K787" s="7"/>
      <c r="L787" s="7"/>
      <c r="M787" s="7"/>
      <c r="N787" s="7"/>
      <c r="O787" s="7"/>
      <c r="P787" s="7"/>
      <c r="Q787" s="7"/>
      <c r="R787" s="7"/>
      <c r="S787" s="7"/>
      <c r="T787" s="7"/>
      <c r="U787" s="7"/>
      <c r="V787" s="7"/>
      <c r="W787" s="7"/>
      <c r="X787" s="7"/>
      <c r="Y787" s="7"/>
    </row>
    <row r="788" spans="1:25" ht="19.5" customHeight="1">
      <c r="A788" s="23"/>
      <c r="B788" s="23"/>
      <c r="C788" s="7"/>
      <c r="D788" s="7"/>
      <c r="E788" s="7"/>
      <c r="F788" s="7"/>
      <c r="G788" s="7"/>
      <c r="H788" s="7"/>
      <c r="I788" s="7"/>
      <c r="J788" s="7"/>
      <c r="K788" s="7"/>
      <c r="L788" s="7"/>
      <c r="M788" s="7"/>
      <c r="N788" s="7"/>
      <c r="O788" s="7"/>
      <c r="P788" s="7"/>
      <c r="Q788" s="7"/>
      <c r="R788" s="7"/>
      <c r="S788" s="7"/>
      <c r="T788" s="7"/>
      <c r="U788" s="7"/>
      <c r="V788" s="7"/>
      <c r="W788" s="7"/>
      <c r="X788" s="7"/>
      <c r="Y788" s="7"/>
    </row>
    <row r="789" spans="1:25" ht="19.5" customHeight="1">
      <c r="A789" s="23"/>
      <c r="B789" s="23"/>
      <c r="C789" s="7"/>
      <c r="D789" s="7"/>
      <c r="E789" s="7"/>
      <c r="F789" s="7"/>
      <c r="G789" s="7"/>
      <c r="H789" s="7"/>
      <c r="I789" s="7"/>
      <c r="J789" s="7"/>
      <c r="K789" s="7"/>
      <c r="L789" s="7"/>
      <c r="M789" s="7"/>
      <c r="N789" s="7"/>
      <c r="O789" s="7"/>
      <c r="P789" s="7"/>
      <c r="Q789" s="7"/>
      <c r="R789" s="7"/>
      <c r="S789" s="7"/>
      <c r="T789" s="7"/>
      <c r="U789" s="7"/>
      <c r="V789" s="7"/>
      <c r="W789" s="7"/>
      <c r="X789" s="7"/>
      <c r="Y789" s="7"/>
    </row>
    <row r="790" spans="1:25" ht="19.5" customHeight="1">
      <c r="A790" s="23"/>
      <c r="B790" s="23"/>
      <c r="C790" s="7"/>
      <c r="D790" s="7"/>
      <c r="E790" s="7"/>
      <c r="F790" s="7"/>
      <c r="G790" s="7"/>
      <c r="H790" s="7"/>
      <c r="I790" s="7"/>
      <c r="J790" s="7"/>
      <c r="K790" s="7"/>
      <c r="L790" s="7"/>
      <c r="M790" s="7"/>
      <c r="N790" s="7"/>
      <c r="O790" s="7"/>
      <c r="P790" s="7"/>
      <c r="Q790" s="7"/>
      <c r="R790" s="7"/>
      <c r="S790" s="7"/>
      <c r="T790" s="7"/>
      <c r="U790" s="7"/>
      <c r="V790" s="7"/>
      <c r="W790" s="7"/>
      <c r="X790" s="7"/>
      <c r="Y790" s="7"/>
    </row>
    <row r="791" spans="1:25" ht="19.5" customHeight="1">
      <c r="A791" s="23"/>
      <c r="B791" s="23"/>
      <c r="C791" s="7"/>
      <c r="D791" s="7"/>
      <c r="E791" s="7"/>
      <c r="F791" s="7"/>
      <c r="G791" s="7"/>
      <c r="H791" s="7"/>
      <c r="I791" s="7"/>
      <c r="J791" s="7"/>
      <c r="K791" s="7"/>
      <c r="L791" s="7"/>
      <c r="M791" s="7"/>
      <c r="N791" s="7"/>
      <c r="O791" s="7"/>
      <c r="P791" s="7"/>
      <c r="Q791" s="7"/>
      <c r="R791" s="7"/>
      <c r="S791" s="7"/>
      <c r="T791" s="7"/>
      <c r="U791" s="7"/>
      <c r="V791" s="7"/>
      <c r="W791" s="7"/>
      <c r="X791" s="7"/>
      <c r="Y791" s="7"/>
    </row>
    <row r="792" spans="1:25" ht="19.5" customHeight="1">
      <c r="A792" s="23"/>
      <c r="B792" s="23"/>
      <c r="C792" s="7"/>
      <c r="D792" s="7"/>
      <c r="E792" s="7"/>
      <c r="F792" s="7"/>
      <c r="G792" s="7"/>
      <c r="H792" s="7"/>
      <c r="I792" s="7"/>
      <c r="J792" s="7"/>
      <c r="K792" s="7"/>
      <c r="L792" s="7"/>
      <c r="M792" s="7"/>
      <c r="N792" s="7"/>
      <c r="O792" s="7"/>
      <c r="P792" s="7"/>
      <c r="Q792" s="7"/>
      <c r="R792" s="7"/>
      <c r="S792" s="7"/>
      <c r="T792" s="7"/>
      <c r="U792" s="7"/>
      <c r="V792" s="7"/>
      <c r="W792" s="7"/>
      <c r="X792" s="7"/>
      <c r="Y792" s="7"/>
    </row>
    <row r="793" spans="1:25" ht="19.5" customHeight="1">
      <c r="A793" s="23"/>
      <c r="B793" s="23"/>
      <c r="C793" s="7"/>
      <c r="D793" s="7"/>
      <c r="E793" s="7"/>
      <c r="F793" s="7"/>
      <c r="G793" s="7"/>
      <c r="H793" s="7"/>
      <c r="I793" s="7"/>
      <c r="J793" s="7"/>
      <c r="K793" s="7"/>
      <c r="L793" s="7"/>
      <c r="M793" s="7"/>
      <c r="N793" s="7"/>
      <c r="O793" s="7"/>
      <c r="P793" s="7"/>
      <c r="Q793" s="7"/>
      <c r="R793" s="7"/>
      <c r="S793" s="7"/>
      <c r="T793" s="7"/>
      <c r="U793" s="7"/>
      <c r="V793" s="7"/>
      <c r="W793" s="7"/>
      <c r="X793" s="7"/>
      <c r="Y793" s="7"/>
    </row>
    <row r="794" spans="1:25" ht="19.5" customHeight="1">
      <c r="A794" s="23"/>
      <c r="B794" s="23"/>
      <c r="C794" s="7"/>
      <c r="D794" s="7"/>
      <c r="E794" s="7"/>
      <c r="F794" s="7"/>
      <c r="G794" s="7"/>
      <c r="H794" s="7"/>
      <c r="I794" s="7"/>
      <c r="J794" s="7"/>
      <c r="K794" s="7"/>
      <c r="L794" s="7"/>
      <c r="M794" s="7"/>
      <c r="N794" s="7"/>
      <c r="O794" s="7"/>
      <c r="P794" s="7"/>
      <c r="Q794" s="7"/>
      <c r="R794" s="7"/>
      <c r="S794" s="7"/>
      <c r="T794" s="7"/>
      <c r="U794" s="7"/>
      <c r="V794" s="7"/>
      <c r="W794" s="7"/>
      <c r="X794" s="7"/>
      <c r="Y794" s="7"/>
    </row>
    <row r="795" spans="1:25" ht="19.5" customHeight="1">
      <c r="A795" s="23"/>
      <c r="B795" s="23"/>
      <c r="C795" s="7"/>
      <c r="D795" s="7"/>
      <c r="E795" s="7"/>
      <c r="F795" s="7"/>
      <c r="G795" s="7"/>
      <c r="H795" s="7"/>
      <c r="I795" s="7"/>
      <c r="J795" s="7"/>
      <c r="K795" s="7"/>
      <c r="L795" s="7"/>
      <c r="M795" s="7"/>
      <c r="N795" s="7"/>
      <c r="O795" s="7"/>
      <c r="P795" s="7"/>
      <c r="Q795" s="7"/>
      <c r="R795" s="7"/>
      <c r="S795" s="7"/>
      <c r="T795" s="7"/>
      <c r="U795" s="7"/>
      <c r="V795" s="7"/>
      <c r="W795" s="7"/>
      <c r="X795" s="7"/>
      <c r="Y795" s="7"/>
    </row>
    <row r="796" spans="1:25" ht="19.5" customHeight="1">
      <c r="A796" s="23"/>
      <c r="B796" s="23"/>
      <c r="C796" s="7"/>
      <c r="D796" s="7"/>
      <c r="E796" s="7"/>
      <c r="F796" s="7"/>
      <c r="G796" s="7"/>
      <c r="H796" s="7"/>
      <c r="I796" s="7"/>
      <c r="J796" s="7"/>
      <c r="K796" s="7"/>
      <c r="L796" s="7"/>
      <c r="M796" s="7"/>
      <c r="N796" s="7"/>
      <c r="O796" s="7"/>
      <c r="P796" s="7"/>
      <c r="Q796" s="7"/>
      <c r="R796" s="7"/>
      <c r="S796" s="7"/>
      <c r="T796" s="7"/>
      <c r="U796" s="7"/>
      <c r="V796" s="7"/>
      <c r="W796" s="7"/>
      <c r="X796" s="7"/>
      <c r="Y796" s="7"/>
    </row>
    <row r="797" spans="1:25" ht="19.5" customHeight="1">
      <c r="A797" s="23"/>
      <c r="B797" s="23"/>
      <c r="C797" s="7"/>
      <c r="D797" s="7"/>
      <c r="E797" s="7"/>
      <c r="F797" s="7"/>
      <c r="G797" s="7"/>
      <c r="H797" s="7"/>
      <c r="I797" s="7"/>
      <c r="J797" s="7"/>
      <c r="K797" s="7"/>
      <c r="L797" s="7"/>
      <c r="M797" s="7"/>
      <c r="N797" s="7"/>
      <c r="O797" s="7"/>
      <c r="P797" s="7"/>
      <c r="Q797" s="7"/>
      <c r="R797" s="7"/>
      <c r="S797" s="7"/>
      <c r="T797" s="7"/>
      <c r="U797" s="7"/>
      <c r="V797" s="7"/>
      <c r="W797" s="7"/>
      <c r="X797" s="7"/>
      <c r="Y797" s="7"/>
    </row>
    <row r="798" spans="1:25" ht="19.5" customHeight="1">
      <c r="A798" s="23"/>
      <c r="B798" s="23"/>
      <c r="C798" s="7"/>
      <c r="D798" s="7"/>
      <c r="E798" s="7"/>
      <c r="F798" s="7"/>
      <c r="G798" s="7"/>
      <c r="H798" s="7"/>
      <c r="I798" s="7"/>
      <c r="J798" s="7"/>
      <c r="K798" s="7"/>
      <c r="L798" s="7"/>
      <c r="M798" s="7"/>
      <c r="N798" s="7"/>
      <c r="O798" s="7"/>
      <c r="P798" s="7"/>
      <c r="Q798" s="7"/>
      <c r="R798" s="7"/>
      <c r="S798" s="7"/>
      <c r="T798" s="7"/>
      <c r="U798" s="7"/>
      <c r="V798" s="7"/>
      <c r="W798" s="7"/>
      <c r="X798" s="7"/>
      <c r="Y798" s="7"/>
    </row>
    <row r="799" spans="1:25" ht="19.5" customHeight="1">
      <c r="A799" s="23"/>
      <c r="B799" s="23"/>
      <c r="C799" s="7"/>
      <c r="D799" s="7"/>
      <c r="E799" s="7"/>
      <c r="F799" s="7"/>
      <c r="G799" s="7"/>
      <c r="H799" s="7"/>
      <c r="I799" s="7"/>
      <c r="J799" s="7"/>
      <c r="K799" s="7"/>
      <c r="L799" s="7"/>
      <c r="M799" s="7"/>
      <c r="N799" s="7"/>
      <c r="O799" s="7"/>
      <c r="P799" s="7"/>
      <c r="Q799" s="7"/>
      <c r="R799" s="7"/>
      <c r="S799" s="7"/>
      <c r="T799" s="7"/>
      <c r="U799" s="7"/>
      <c r="V799" s="7"/>
      <c r="W799" s="7"/>
      <c r="X799" s="7"/>
      <c r="Y799" s="7"/>
    </row>
    <row r="800" spans="1:25" ht="19.5" customHeight="1">
      <c r="A800" s="23"/>
      <c r="B800" s="23"/>
      <c r="C800" s="7"/>
      <c r="D800" s="7"/>
      <c r="E800" s="7"/>
      <c r="F800" s="7"/>
      <c r="G800" s="7"/>
      <c r="H800" s="7"/>
      <c r="I800" s="7"/>
      <c r="J800" s="7"/>
      <c r="K800" s="7"/>
      <c r="L800" s="7"/>
      <c r="M800" s="7"/>
      <c r="N800" s="7"/>
      <c r="O800" s="7"/>
      <c r="P800" s="7"/>
      <c r="Q800" s="7"/>
      <c r="R800" s="7"/>
      <c r="S800" s="7"/>
      <c r="T800" s="7"/>
      <c r="U800" s="7"/>
      <c r="V800" s="7"/>
      <c r="W800" s="7"/>
      <c r="X800" s="7"/>
      <c r="Y800" s="7"/>
    </row>
    <row r="801" spans="1:25" ht="19.5" customHeight="1">
      <c r="A801" s="23"/>
      <c r="B801" s="23"/>
      <c r="C801" s="7"/>
      <c r="D801" s="7"/>
      <c r="E801" s="7"/>
      <c r="F801" s="7"/>
      <c r="G801" s="7"/>
      <c r="H801" s="7"/>
      <c r="I801" s="7"/>
      <c r="J801" s="7"/>
      <c r="K801" s="7"/>
      <c r="L801" s="7"/>
      <c r="M801" s="7"/>
      <c r="N801" s="7"/>
      <c r="O801" s="7"/>
      <c r="P801" s="7"/>
      <c r="Q801" s="7"/>
      <c r="R801" s="7"/>
      <c r="S801" s="7"/>
      <c r="T801" s="7"/>
      <c r="U801" s="7"/>
      <c r="V801" s="7"/>
      <c r="W801" s="7"/>
      <c r="X801" s="7"/>
      <c r="Y801" s="7"/>
    </row>
    <row r="802" spans="1:25" ht="19.5" customHeight="1">
      <c r="A802" s="23"/>
      <c r="B802" s="23"/>
      <c r="C802" s="7"/>
      <c r="D802" s="7"/>
      <c r="E802" s="7"/>
      <c r="F802" s="7"/>
      <c r="G802" s="7"/>
      <c r="H802" s="7"/>
      <c r="I802" s="7"/>
      <c r="J802" s="7"/>
      <c r="K802" s="7"/>
      <c r="L802" s="7"/>
      <c r="M802" s="7"/>
      <c r="N802" s="7"/>
      <c r="O802" s="7"/>
      <c r="P802" s="7"/>
      <c r="Q802" s="7"/>
      <c r="R802" s="7"/>
      <c r="S802" s="7"/>
      <c r="T802" s="7"/>
      <c r="U802" s="7"/>
      <c r="V802" s="7"/>
      <c r="W802" s="7"/>
      <c r="X802" s="7"/>
      <c r="Y802" s="7"/>
    </row>
    <row r="803" spans="1:25" ht="19.5" customHeight="1">
      <c r="A803" s="23"/>
      <c r="B803" s="23"/>
      <c r="C803" s="7"/>
      <c r="D803" s="7"/>
      <c r="E803" s="7"/>
      <c r="F803" s="7"/>
      <c r="G803" s="7"/>
      <c r="H803" s="7"/>
      <c r="I803" s="7"/>
      <c r="J803" s="7"/>
      <c r="K803" s="7"/>
      <c r="L803" s="7"/>
      <c r="M803" s="7"/>
      <c r="N803" s="7"/>
      <c r="O803" s="7"/>
      <c r="P803" s="7"/>
      <c r="Q803" s="7"/>
      <c r="R803" s="7"/>
      <c r="S803" s="7"/>
      <c r="T803" s="7"/>
      <c r="U803" s="7"/>
      <c r="V803" s="7"/>
      <c r="W803" s="7"/>
      <c r="X803" s="7"/>
      <c r="Y803" s="7"/>
    </row>
    <row r="804" spans="1:25" ht="19.5" customHeight="1">
      <c r="A804" s="23"/>
      <c r="B804" s="23"/>
      <c r="C804" s="7"/>
      <c r="D804" s="7"/>
      <c r="E804" s="7"/>
      <c r="F804" s="7"/>
      <c r="G804" s="7"/>
      <c r="H804" s="7"/>
      <c r="I804" s="7"/>
      <c r="J804" s="7"/>
      <c r="K804" s="7"/>
      <c r="L804" s="7"/>
      <c r="M804" s="7"/>
      <c r="N804" s="7"/>
      <c r="O804" s="7"/>
      <c r="P804" s="7"/>
      <c r="Q804" s="7"/>
      <c r="R804" s="7"/>
      <c r="S804" s="7"/>
      <c r="T804" s="7"/>
      <c r="U804" s="7"/>
      <c r="V804" s="7"/>
      <c r="W804" s="7"/>
      <c r="X804" s="7"/>
      <c r="Y804" s="7"/>
    </row>
    <row r="805" spans="1:25" ht="19.5" customHeight="1">
      <c r="A805" s="23"/>
      <c r="B805" s="23"/>
      <c r="C805" s="7"/>
      <c r="D805" s="7"/>
      <c r="E805" s="7"/>
      <c r="F805" s="7"/>
      <c r="G805" s="7"/>
      <c r="H805" s="7"/>
      <c r="I805" s="7"/>
      <c r="J805" s="7"/>
      <c r="K805" s="7"/>
      <c r="L805" s="7"/>
      <c r="M805" s="7"/>
      <c r="N805" s="7"/>
      <c r="O805" s="7"/>
      <c r="P805" s="7"/>
      <c r="Q805" s="7"/>
      <c r="R805" s="7"/>
      <c r="S805" s="7"/>
      <c r="T805" s="7"/>
      <c r="U805" s="7"/>
      <c r="V805" s="7"/>
      <c r="W805" s="7"/>
      <c r="X805" s="7"/>
      <c r="Y805" s="7"/>
    </row>
    <row r="806" spans="1:25" ht="19.5" customHeight="1">
      <c r="A806" s="23"/>
      <c r="B806" s="23"/>
      <c r="C806" s="7"/>
      <c r="D806" s="7"/>
      <c r="E806" s="7"/>
      <c r="F806" s="7"/>
      <c r="G806" s="7"/>
      <c r="H806" s="7"/>
      <c r="I806" s="7"/>
      <c r="J806" s="7"/>
      <c r="K806" s="7"/>
      <c r="L806" s="7"/>
      <c r="M806" s="7"/>
      <c r="N806" s="7"/>
      <c r="O806" s="7"/>
      <c r="P806" s="7"/>
      <c r="Q806" s="7"/>
      <c r="R806" s="7"/>
      <c r="S806" s="7"/>
      <c r="T806" s="7"/>
      <c r="U806" s="7"/>
      <c r="V806" s="7"/>
      <c r="W806" s="7"/>
      <c r="X806" s="7"/>
      <c r="Y806" s="7"/>
    </row>
    <row r="807" spans="1:25" ht="19.5" customHeight="1">
      <c r="A807" s="23"/>
      <c r="B807" s="23"/>
      <c r="C807" s="7"/>
      <c r="D807" s="7"/>
      <c r="E807" s="7"/>
      <c r="F807" s="7"/>
      <c r="G807" s="7"/>
      <c r="H807" s="7"/>
      <c r="I807" s="7"/>
      <c r="J807" s="7"/>
      <c r="K807" s="7"/>
      <c r="L807" s="7"/>
      <c r="M807" s="7"/>
      <c r="N807" s="7"/>
      <c r="O807" s="7"/>
      <c r="P807" s="7"/>
      <c r="Q807" s="7"/>
      <c r="R807" s="7"/>
      <c r="S807" s="7"/>
      <c r="T807" s="7"/>
      <c r="U807" s="7"/>
      <c r="V807" s="7"/>
      <c r="W807" s="7"/>
      <c r="X807" s="7"/>
      <c r="Y807" s="7"/>
    </row>
    <row r="808" spans="1:25" ht="19.5" customHeight="1">
      <c r="A808" s="23"/>
      <c r="B808" s="23"/>
      <c r="C808" s="7"/>
      <c r="D808" s="7"/>
      <c r="E808" s="7"/>
      <c r="F808" s="7"/>
      <c r="G808" s="7"/>
      <c r="H808" s="7"/>
      <c r="I808" s="7"/>
      <c r="J808" s="7"/>
      <c r="K808" s="7"/>
      <c r="L808" s="7"/>
      <c r="M808" s="7"/>
      <c r="N808" s="7"/>
      <c r="O808" s="7"/>
      <c r="P808" s="7"/>
      <c r="Q808" s="7"/>
      <c r="R808" s="7"/>
      <c r="S808" s="7"/>
      <c r="T808" s="7"/>
      <c r="U808" s="7"/>
      <c r="V808" s="7"/>
      <c r="W808" s="7"/>
      <c r="X808" s="7"/>
      <c r="Y808" s="7"/>
    </row>
    <row r="809" spans="1:25" ht="19.5" customHeight="1">
      <c r="A809" s="23"/>
      <c r="B809" s="23"/>
      <c r="C809" s="7"/>
      <c r="D809" s="7"/>
      <c r="E809" s="7"/>
      <c r="F809" s="7"/>
      <c r="G809" s="7"/>
      <c r="H809" s="7"/>
      <c r="I809" s="7"/>
      <c r="J809" s="7"/>
      <c r="K809" s="7"/>
      <c r="L809" s="7"/>
      <c r="M809" s="7"/>
      <c r="N809" s="7"/>
      <c r="O809" s="7"/>
      <c r="P809" s="7"/>
      <c r="Q809" s="7"/>
      <c r="R809" s="7"/>
      <c r="S809" s="7"/>
      <c r="T809" s="7"/>
      <c r="U809" s="7"/>
      <c r="V809" s="7"/>
      <c r="W809" s="7"/>
      <c r="X809" s="7"/>
      <c r="Y809" s="7"/>
    </row>
    <row r="810" spans="1:25" ht="19.5" customHeight="1">
      <c r="A810" s="23"/>
      <c r="B810" s="23"/>
      <c r="C810" s="7"/>
      <c r="D810" s="7"/>
      <c r="E810" s="7"/>
      <c r="F810" s="7"/>
      <c r="G810" s="7"/>
      <c r="H810" s="7"/>
      <c r="I810" s="7"/>
      <c r="J810" s="7"/>
      <c r="K810" s="7"/>
      <c r="L810" s="7"/>
      <c r="M810" s="7"/>
      <c r="N810" s="7"/>
      <c r="O810" s="7"/>
      <c r="P810" s="7"/>
      <c r="Q810" s="7"/>
      <c r="R810" s="7"/>
      <c r="S810" s="7"/>
      <c r="T810" s="7"/>
      <c r="U810" s="7"/>
      <c r="V810" s="7"/>
      <c r="W810" s="7"/>
      <c r="X810" s="7"/>
      <c r="Y810" s="7"/>
    </row>
    <row r="811" spans="1:25" ht="19.5" customHeight="1">
      <c r="A811" s="23"/>
      <c r="B811" s="23"/>
      <c r="C811" s="7"/>
      <c r="D811" s="7"/>
      <c r="E811" s="7"/>
      <c r="F811" s="7"/>
      <c r="G811" s="7"/>
      <c r="H811" s="7"/>
      <c r="I811" s="7"/>
      <c r="J811" s="7"/>
      <c r="K811" s="7"/>
      <c r="L811" s="7"/>
      <c r="M811" s="7"/>
      <c r="N811" s="7"/>
      <c r="O811" s="7"/>
      <c r="P811" s="7"/>
      <c r="Q811" s="7"/>
      <c r="R811" s="7"/>
      <c r="S811" s="7"/>
      <c r="T811" s="7"/>
      <c r="U811" s="7"/>
      <c r="V811" s="7"/>
      <c r="W811" s="7"/>
      <c r="X811" s="7"/>
      <c r="Y811" s="7"/>
    </row>
    <row r="812" spans="1:25" ht="19.5" customHeight="1">
      <c r="A812" s="23"/>
      <c r="B812" s="23"/>
      <c r="C812" s="7"/>
      <c r="D812" s="7"/>
      <c r="E812" s="7"/>
      <c r="F812" s="7"/>
      <c r="G812" s="7"/>
      <c r="H812" s="7"/>
      <c r="I812" s="7"/>
      <c r="J812" s="7"/>
      <c r="K812" s="7"/>
      <c r="L812" s="7"/>
      <c r="M812" s="7"/>
      <c r="N812" s="7"/>
      <c r="O812" s="7"/>
      <c r="P812" s="7"/>
      <c r="Q812" s="7"/>
      <c r="R812" s="7"/>
      <c r="S812" s="7"/>
      <c r="T812" s="7"/>
      <c r="U812" s="7"/>
      <c r="V812" s="7"/>
      <c r="W812" s="7"/>
      <c r="X812" s="7"/>
      <c r="Y812" s="7"/>
    </row>
    <row r="813" spans="1:25" ht="19.5" customHeight="1">
      <c r="A813" s="23"/>
      <c r="B813" s="23"/>
      <c r="C813" s="7"/>
      <c r="D813" s="7"/>
      <c r="E813" s="7"/>
      <c r="F813" s="7"/>
      <c r="G813" s="7"/>
      <c r="H813" s="7"/>
      <c r="I813" s="7"/>
      <c r="J813" s="7"/>
      <c r="K813" s="7"/>
      <c r="L813" s="7"/>
      <c r="M813" s="7"/>
      <c r="N813" s="7"/>
      <c r="O813" s="7"/>
      <c r="P813" s="7"/>
      <c r="Q813" s="7"/>
      <c r="R813" s="7"/>
      <c r="S813" s="7"/>
      <c r="T813" s="7"/>
      <c r="U813" s="7"/>
      <c r="V813" s="7"/>
      <c r="W813" s="7"/>
      <c r="X813" s="7"/>
      <c r="Y813" s="7"/>
    </row>
    <row r="814" spans="1:25" ht="19.5" customHeight="1">
      <c r="A814" s="23"/>
      <c r="B814" s="23"/>
      <c r="C814" s="7"/>
      <c r="D814" s="7"/>
      <c r="E814" s="7"/>
      <c r="F814" s="7"/>
      <c r="G814" s="7"/>
      <c r="H814" s="7"/>
      <c r="I814" s="7"/>
      <c r="J814" s="7"/>
      <c r="K814" s="7"/>
      <c r="L814" s="7"/>
      <c r="M814" s="7"/>
      <c r="N814" s="7"/>
      <c r="O814" s="7"/>
      <c r="P814" s="7"/>
      <c r="Q814" s="7"/>
      <c r="R814" s="7"/>
      <c r="S814" s="7"/>
      <c r="T814" s="7"/>
      <c r="U814" s="7"/>
      <c r="V814" s="7"/>
      <c r="W814" s="7"/>
      <c r="X814" s="7"/>
      <c r="Y814" s="7"/>
    </row>
    <row r="815" spans="1:25" ht="19.5" customHeight="1">
      <c r="A815" s="23"/>
      <c r="B815" s="23"/>
      <c r="C815" s="7"/>
      <c r="D815" s="7"/>
      <c r="E815" s="7"/>
      <c r="F815" s="7"/>
      <c r="G815" s="7"/>
      <c r="H815" s="7"/>
      <c r="I815" s="7"/>
      <c r="J815" s="7"/>
      <c r="K815" s="7"/>
      <c r="L815" s="7"/>
      <c r="M815" s="7"/>
      <c r="N815" s="7"/>
      <c r="O815" s="7"/>
      <c r="P815" s="7"/>
      <c r="Q815" s="7"/>
      <c r="R815" s="7"/>
      <c r="S815" s="7"/>
      <c r="T815" s="7"/>
      <c r="U815" s="7"/>
      <c r="V815" s="7"/>
      <c r="W815" s="7"/>
      <c r="X815" s="7"/>
      <c r="Y815" s="7"/>
    </row>
    <row r="816" spans="1:25" ht="19.5" customHeight="1">
      <c r="A816" s="23"/>
      <c r="B816" s="23"/>
      <c r="C816" s="7"/>
      <c r="D816" s="7"/>
      <c r="E816" s="7"/>
      <c r="F816" s="7"/>
      <c r="G816" s="7"/>
      <c r="H816" s="7"/>
      <c r="I816" s="7"/>
      <c r="J816" s="7"/>
      <c r="K816" s="7"/>
      <c r="L816" s="7"/>
      <c r="M816" s="7"/>
      <c r="N816" s="7"/>
      <c r="O816" s="7"/>
      <c r="P816" s="7"/>
      <c r="Q816" s="7"/>
      <c r="R816" s="7"/>
      <c r="S816" s="7"/>
      <c r="T816" s="7"/>
      <c r="U816" s="7"/>
      <c r="V816" s="7"/>
      <c r="W816" s="7"/>
      <c r="X816" s="7"/>
      <c r="Y816" s="7"/>
    </row>
    <row r="817" spans="1:25" ht="19.5" customHeight="1">
      <c r="A817" s="23"/>
      <c r="B817" s="23"/>
      <c r="C817" s="7"/>
      <c r="D817" s="7"/>
      <c r="E817" s="7"/>
      <c r="F817" s="7"/>
      <c r="G817" s="7"/>
      <c r="H817" s="7"/>
      <c r="I817" s="7"/>
      <c r="J817" s="7"/>
      <c r="K817" s="7"/>
      <c r="L817" s="7"/>
      <c r="M817" s="7"/>
      <c r="N817" s="7"/>
      <c r="O817" s="7"/>
      <c r="P817" s="7"/>
      <c r="Q817" s="7"/>
      <c r="R817" s="7"/>
      <c r="S817" s="7"/>
      <c r="T817" s="7"/>
      <c r="U817" s="7"/>
      <c r="V817" s="7"/>
      <c r="W817" s="7"/>
      <c r="X817" s="7"/>
      <c r="Y817" s="7"/>
    </row>
    <row r="818" spans="1:25" ht="19.5" customHeight="1">
      <c r="A818" s="23"/>
      <c r="B818" s="23"/>
      <c r="C818" s="7"/>
      <c r="D818" s="7"/>
      <c r="E818" s="7"/>
      <c r="F818" s="7"/>
      <c r="G818" s="7"/>
      <c r="H818" s="7"/>
      <c r="I818" s="7"/>
      <c r="J818" s="7"/>
      <c r="K818" s="7"/>
      <c r="L818" s="7"/>
      <c r="M818" s="7"/>
      <c r="N818" s="7"/>
      <c r="O818" s="7"/>
      <c r="P818" s="7"/>
      <c r="Q818" s="7"/>
      <c r="R818" s="7"/>
      <c r="S818" s="7"/>
      <c r="T818" s="7"/>
      <c r="U818" s="7"/>
      <c r="V818" s="7"/>
      <c r="W818" s="7"/>
      <c r="X818" s="7"/>
      <c r="Y818" s="7"/>
    </row>
    <row r="819" spans="1:25" ht="19.5" customHeight="1">
      <c r="A819" s="23"/>
      <c r="B819" s="23"/>
      <c r="C819" s="7"/>
      <c r="D819" s="7"/>
      <c r="E819" s="7"/>
      <c r="F819" s="7"/>
      <c r="G819" s="7"/>
      <c r="H819" s="7"/>
      <c r="I819" s="7"/>
      <c r="J819" s="7"/>
      <c r="K819" s="7"/>
      <c r="L819" s="7"/>
      <c r="M819" s="7"/>
      <c r="N819" s="7"/>
      <c r="O819" s="7"/>
      <c r="P819" s="7"/>
      <c r="Q819" s="7"/>
      <c r="R819" s="7"/>
      <c r="S819" s="7"/>
      <c r="T819" s="7"/>
      <c r="U819" s="7"/>
      <c r="V819" s="7"/>
      <c r="W819" s="7"/>
      <c r="X819" s="7"/>
      <c r="Y819" s="7"/>
    </row>
    <row r="820" spans="1:25" ht="19.5" customHeight="1">
      <c r="A820" s="23"/>
      <c r="B820" s="23"/>
      <c r="C820" s="7"/>
      <c r="D820" s="7"/>
      <c r="E820" s="7"/>
      <c r="F820" s="7"/>
      <c r="G820" s="7"/>
      <c r="H820" s="7"/>
      <c r="I820" s="7"/>
      <c r="J820" s="7"/>
      <c r="K820" s="7"/>
      <c r="L820" s="7"/>
      <c r="M820" s="7"/>
      <c r="N820" s="7"/>
      <c r="O820" s="7"/>
      <c r="P820" s="7"/>
      <c r="Q820" s="7"/>
      <c r="R820" s="7"/>
      <c r="S820" s="7"/>
      <c r="T820" s="7"/>
      <c r="U820" s="7"/>
      <c r="V820" s="7"/>
      <c r="W820" s="7"/>
      <c r="X820" s="7"/>
      <c r="Y820" s="7"/>
    </row>
    <row r="821" spans="1:25" ht="19.5" customHeight="1">
      <c r="A821" s="23"/>
      <c r="B821" s="23"/>
      <c r="C821" s="7"/>
      <c r="D821" s="7"/>
      <c r="E821" s="7"/>
      <c r="F821" s="7"/>
      <c r="G821" s="7"/>
      <c r="H821" s="7"/>
      <c r="I821" s="7"/>
      <c r="J821" s="7"/>
      <c r="K821" s="7"/>
      <c r="L821" s="7"/>
      <c r="M821" s="7"/>
      <c r="N821" s="7"/>
      <c r="O821" s="7"/>
      <c r="P821" s="7"/>
      <c r="Q821" s="7"/>
      <c r="R821" s="7"/>
      <c r="S821" s="7"/>
      <c r="T821" s="7"/>
      <c r="U821" s="7"/>
      <c r="V821" s="7"/>
      <c r="W821" s="7"/>
      <c r="X821" s="7"/>
      <c r="Y821" s="7"/>
    </row>
    <row r="822" spans="1:25" ht="19.5" customHeight="1">
      <c r="A822" s="23"/>
      <c r="B822" s="23"/>
      <c r="C822" s="7"/>
      <c r="D822" s="7"/>
      <c r="E822" s="7"/>
      <c r="F822" s="7"/>
      <c r="G822" s="7"/>
      <c r="H822" s="7"/>
      <c r="I822" s="7"/>
      <c r="J822" s="7"/>
      <c r="K822" s="7"/>
      <c r="L822" s="7"/>
      <c r="M822" s="7"/>
      <c r="N822" s="7"/>
      <c r="O822" s="7"/>
      <c r="P822" s="7"/>
      <c r="Q822" s="7"/>
      <c r="R822" s="7"/>
      <c r="S822" s="7"/>
      <c r="T822" s="7"/>
      <c r="U822" s="7"/>
      <c r="V822" s="7"/>
      <c r="W822" s="7"/>
      <c r="X822" s="7"/>
      <c r="Y822" s="7"/>
    </row>
    <row r="823" spans="1:25" ht="19.5" customHeight="1">
      <c r="A823" s="23"/>
      <c r="B823" s="23"/>
      <c r="C823" s="7"/>
      <c r="D823" s="7"/>
      <c r="E823" s="7"/>
      <c r="F823" s="7"/>
      <c r="G823" s="7"/>
      <c r="H823" s="7"/>
      <c r="I823" s="7"/>
      <c r="J823" s="7"/>
      <c r="K823" s="7"/>
      <c r="L823" s="7"/>
      <c r="M823" s="7"/>
      <c r="N823" s="7"/>
      <c r="O823" s="7"/>
      <c r="P823" s="7"/>
      <c r="Q823" s="7"/>
      <c r="R823" s="7"/>
      <c r="S823" s="7"/>
      <c r="T823" s="7"/>
      <c r="U823" s="7"/>
      <c r="V823" s="7"/>
      <c r="W823" s="7"/>
      <c r="X823" s="7"/>
      <c r="Y823" s="7"/>
    </row>
    <row r="824" spans="1:25" ht="19.5" customHeight="1">
      <c r="A824" s="23"/>
      <c r="B824" s="23"/>
      <c r="C824" s="7"/>
      <c r="D824" s="7"/>
      <c r="E824" s="7"/>
      <c r="F824" s="7"/>
      <c r="G824" s="7"/>
      <c r="H824" s="7"/>
      <c r="I824" s="7"/>
      <c r="J824" s="7"/>
      <c r="K824" s="7"/>
      <c r="L824" s="7"/>
      <c r="M824" s="7"/>
      <c r="N824" s="7"/>
      <c r="O824" s="7"/>
      <c r="P824" s="7"/>
      <c r="Q824" s="7"/>
      <c r="R824" s="7"/>
      <c r="S824" s="7"/>
      <c r="T824" s="7"/>
      <c r="U824" s="7"/>
      <c r="V824" s="7"/>
      <c r="W824" s="7"/>
      <c r="X824" s="7"/>
      <c r="Y824" s="7"/>
    </row>
    <row r="825" spans="1:25" ht="19.5" customHeight="1">
      <c r="A825" s="23"/>
      <c r="B825" s="23"/>
      <c r="C825" s="7"/>
      <c r="D825" s="7"/>
      <c r="E825" s="7"/>
      <c r="F825" s="7"/>
      <c r="G825" s="7"/>
      <c r="H825" s="7"/>
      <c r="I825" s="7"/>
      <c r="J825" s="7"/>
      <c r="K825" s="7"/>
      <c r="L825" s="7"/>
      <c r="M825" s="7"/>
      <c r="N825" s="7"/>
      <c r="O825" s="7"/>
      <c r="P825" s="7"/>
      <c r="Q825" s="7"/>
      <c r="R825" s="7"/>
      <c r="S825" s="7"/>
      <c r="T825" s="7"/>
      <c r="U825" s="7"/>
      <c r="V825" s="7"/>
      <c r="W825" s="7"/>
      <c r="X825" s="7"/>
      <c r="Y825" s="7"/>
    </row>
    <row r="826" spans="1:25" ht="19.5" customHeight="1">
      <c r="A826" s="23"/>
      <c r="B826" s="23"/>
      <c r="C826" s="7"/>
      <c r="D826" s="7"/>
      <c r="E826" s="7"/>
      <c r="F826" s="7"/>
      <c r="G826" s="7"/>
      <c r="H826" s="7"/>
      <c r="I826" s="7"/>
      <c r="J826" s="7"/>
      <c r="K826" s="7"/>
      <c r="L826" s="7"/>
      <c r="M826" s="7"/>
      <c r="N826" s="7"/>
      <c r="O826" s="7"/>
      <c r="P826" s="7"/>
      <c r="Q826" s="7"/>
      <c r="R826" s="7"/>
      <c r="S826" s="7"/>
      <c r="T826" s="7"/>
      <c r="U826" s="7"/>
      <c r="V826" s="7"/>
      <c r="W826" s="7"/>
      <c r="X826" s="7"/>
      <c r="Y826" s="7"/>
    </row>
    <row r="827" spans="1:25" ht="19.5" customHeight="1">
      <c r="A827" s="23"/>
      <c r="B827" s="23"/>
      <c r="C827" s="7"/>
      <c r="D827" s="7"/>
      <c r="E827" s="7"/>
      <c r="F827" s="7"/>
      <c r="G827" s="7"/>
      <c r="H827" s="7"/>
      <c r="I827" s="7"/>
      <c r="J827" s="7"/>
      <c r="K827" s="7"/>
      <c r="L827" s="7"/>
      <c r="M827" s="7"/>
      <c r="N827" s="7"/>
      <c r="O827" s="7"/>
      <c r="P827" s="7"/>
      <c r="Q827" s="7"/>
      <c r="R827" s="7"/>
      <c r="S827" s="7"/>
      <c r="T827" s="7"/>
      <c r="U827" s="7"/>
      <c r="V827" s="7"/>
      <c r="W827" s="7"/>
      <c r="X827" s="7"/>
      <c r="Y827" s="7"/>
    </row>
    <row r="828" spans="1:25" ht="19.5" customHeight="1">
      <c r="A828" s="23"/>
      <c r="B828" s="23"/>
      <c r="C828" s="7"/>
      <c r="D828" s="7"/>
      <c r="E828" s="7"/>
      <c r="F828" s="7"/>
      <c r="G828" s="7"/>
      <c r="H828" s="7"/>
      <c r="I828" s="7"/>
      <c r="J828" s="7"/>
      <c r="K828" s="7"/>
      <c r="L828" s="7"/>
      <c r="M828" s="7"/>
      <c r="N828" s="7"/>
      <c r="O828" s="7"/>
      <c r="P828" s="7"/>
      <c r="Q828" s="7"/>
      <c r="R828" s="7"/>
      <c r="S828" s="7"/>
      <c r="T828" s="7"/>
      <c r="U828" s="7"/>
      <c r="V828" s="7"/>
      <c r="W828" s="7"/>
      <c r="X828" s="7"/>
      <c r="Y828" s="7"/>
    </row>
    <row r="829" spans="1:25" ht="19.5" customHeight="1">
      <c r="A829" s="23"/>
      <c r="B829" s="23"/>
      <c r="C829" s="7"/>
      <c r="D829" s="7"/>
      <c r="E829" s="7"/>
      <c r="F829" s="7"/>
      <c r="G829" s="7"/>
      <c r="H829" s="7"/>
      <c r="I829" s="7"/>
      <c r="J829" s="7"/>
      <c r="K829" s="7"/>
      <c r="L829" s="7"/>
      <c r="M829" s="7"/>
      <c r="N829" s="7"/>
      <c r="O829" s="7"/>
      <c r="P829" s="7"/>
      <c r="Q829" s="7"/>
      <c r="R829" s="7"/>
      <c r="S829" s="7"/>
      <c r="T829" s="7"/>
      <c r="U829" s="7"/>
      <c r="V829" s="7"/>
      <c r="W829" s="7"/>
      <c r="X829" s="7"/>
      <c r="Y829" s="7"/>
    </row>
    <row r="830" spans="1:25" ht="19.5" customHeight="1">
      <c r="A830" s="23"/>
      <c r="B830" s="23"/>
      <c r="C830" s="7"/>
      <c r="D830" s="7"/>
      <c r="E830" s="7"/>
      <c r="F830" s="7"/>
      <c r="G830" s="7"/>
      <c r="H830" s="7"/>
      <c r="I830" s="7"/>
      <c r="J830" s="7"/>
      <c r="K830" s="7"/>
      <c r="L830" s="7"/>
      <c r="M830" s="7"/>
      <c r="N830" s="7"/>
      <c r="O830" s="7"/>
      <c r="P830" s="7"/>
      <c r="Q830" s="7"/>
      <c r="R830" s="7"/>
      <c r="S830" s="7"/>
      <c r="T830" s="7"/>
      <c r="U830" s="7"/>
      <c r="V830" s="7"/>
      <c r="W830" s="7"/>
      <c r="X830" s="7"/>
      <c r="Y830" s="7"/>
    </row>
    <row r="831" spans="1:25" ht="19.5" customHeight="1">
      <c r="A831" s="23"/>
      <c r="B831" s="23"/>
      <c r="C831" s="7"/>
      <c r="D831" s="7"/>
      <c r="E831" s="7"/>
      <c r="F831" s="7"/>
      <c r="G831" s="7"/>
      <c r="H831" s="7"/>
      <c r="I831" s="7"/>
      <c r="J831" s="7"/>
      <c r="K831" s="7"/>
      <c r="L831" s="7"/>
      <c r="M831" s="7"/>
      <c r="N831" s="7"/>
      <c r="O831" s="7"/>
      <c r="P831" s="7"/>
      <c r="Q831" s="7"/>
      <c r="R831" s="7"/>
      <c r="S831" s="7"/>
      <c r="T831" s="7"/>
      <c r="U831" s="7"/>
      <c r="V831" s="7"/>
      <c r="W831" s="7"/>
      <c r="X831" s="7"/>
      <c r="Y831" s="7"/>
    </row>
    <row r="832" spans="1:25" ht="19.5" customHeight="1">
      <c r="A832" s="23"/>
      <c r="B832" s="23"/>
      <c r="C832" s="7"/>
      <c r="D832" s="7"/>
      <c r="E832" s="7"/>
      <c r="F832" s="7"/>
      <c r="G832" s="7"/>
      <c r="H832" s="7"/>
      <c r="I832" s="7"/>
      <c r="J832" s="7"/>
      <c r="K832" s="7"/>
      <c r="L832" s="7"/>
      <c r="M832" s="7"/>
      <c r="N832" s="7"/>
      <c r="O832" s="7"/>
      <c r="P832" s="7"/>
      <c r="Q832" s="7"/>
      <c r="R832" s="7"/>
      <c r="S832" s="7"/>
      <c r="T832" s="7"/>
      <c r="U832" s="7"/>
      <c r="V832" s="7"/>
      <c r="W832" s="7"/>
      <c r="X832" s="7"/>
      <c r="Y832" s="7"/>
    </row>
    <row r="833" spans="1:25" ht="19.5" customHeight="1">
      <c r="A833" s="23"/>
      <c r="B833" s="23"/>
      <c r="C833" s="7"/>
      <c r="D833" s="7"/>
      <c r="E833" s="7"/>
      <c r="F833" s="7"/>
      <c r="G833" s="7"/>
      <c r="H833" s="7"/>
      <c r="I833" s="7"/>
      <c r="J833" s="7"/>
      <c r="K833" s="7"/>
      <c r="L833" s="7"/>
      <c r="M833" s="7"/>
      <c r="N833" s="7"/>
      <c r="O833" s="7"/>
      <c r="P833" s="7"/>
      <c r="Q833" s="7"/>
      <c r="R833" s="7"/>
      <c r="S833" s="7"/>
      <c r="T833" s="7"/>
      <c r="U833" s="7"/>
      <c r="V833" s="7"/>
      <c r="W833" s="7"/>
      <c r="X833" s="7"/>
      <c r="Y833" s="7"/>
    </row>
    <row r="834" spans="1:25" ht="12.75"/>
    <row r="835" spans="1:25" ht="12.75"/>
    <row r="836" spans="1:25" ht="12.75"/>
    <row r="837" spans="1:25" ht="12.75"/>
    <row r="838" spans="1:25" ht="12.75"/>
    <row r="839" spans="1:25" ht="12.75"/>
    <row r="840" spans="1:25" ht="12.75"/>
    <row r="841" spans="1:25" ht="12.75"/>
    <row r="842" spans="1:25" ht="12.75"/>
    <row r="843" spans="1:25" ht="12.75"/>
    <row r="844" spans="1:25" ht="12.75"/>
    <row r="845" spans="1:25" ht="12.75"/>
    <row r="846" spans="1:25" ht="12.75"/>
    <row r="847" spans="1:25" ht="12.75"/>
    <row r="848" spans="1:25" ht="12.75">
      <c r="A848"/>
      <c r="B848"/>
    </row>
    <row r="849" spans="1:2" ht="12.75">
      <c r="A849"/>
      <c r="B849"/>
    </row>
    <row r="850" spans="1:2" ht="12.75">
      <c r="A850"/>
      <c r="B850"/>
    </row>
    <row r="851" spans="1:2" ht="12.75">
      <c r="A851"/>
      <c r="B851"/>
    </row>
    <row r="852" spans="1:2" ht="12.75">
      <c r="A852"/>
      <c r="B852"/>
    </row>
    <row r="853" spans="1:2" ht="12.75">
      <c r="A853"/>
      <c r="B853"/>
    </row>
    <row r="854" spans="1:2" ht="12.75">
      <c r="A854"/>
      <c r="B854"/>
    </row>
    <row r="855" spans="1:2" ht="12.75">
      <c r="A855"/>
      <c r="B855"/>
    </row>
    <row r="856" spans="1:2" ht="12.75">
      <c r="A856"/>
      <c r="B856"/>
    </row>
    <row r="857" spans="1:2" ht="12.75">
      <c r="A857"/>
      <c r="B857"/>
    </row>
    <row r="858" spans="1:2" ht="12.75">
      <c r="A858"/>
      <c r="B858"/>
    </row>
    <row r="859" spans="1:2" ht="12.75">
      <c r="A859"/>
      <c r="B859"/>
    </row>
    <row r="860" spans="1:2" ht="12.75">
      <c r="A860"/>
      <c r="B860"/>
    </row>
    <row r="861" spans="1:2" ht="12.75">
      <c r="A861"/>
      <c r="B861"/>
    </row>
    <row r="862" spans="1:2" ht="12.75">
      <c r="A862"/>
      <c r="B862"/>
    </row>
    <row r="863" spans="1:2" ht="12.75">
      <c r="A863"/>
      <c r="B863"/>
    </row>
    <row r="864" spans="1:2" ht="12.75">
      <c r="A864"/>
      <c r="B864"/>
    </row>
    <row r="865" spans="1:2" ht="12.75">
      <c r="A865"/>
      <c r="B865"/>
    </row>
    <row r="866" spans="1:2" ht="12.75">
      <c r="A866"/>
      <c r="B866"/>
    </row>
    <row r="867" spans="1:2" ht="12.75">
      <c r="A867"/>
      <c r="B867"/>
    </row>
    <row r="868" spans="1:2" ht="12.75">
      <c r="A868"/>
      <c r="B868"/>
    </row>
    <row r="869" spans="1:2" ht="12.75">
      <c r="A869"/>
      <c r="B869"/>
    </row>
    <row r="870" spans="1:2" ht="12.75">
      <c r="A870"/>
      <c r="B870"/>
    </row>
    <row r="871" spans="1:2" ht="12.75">
      <c r="A871"/>
      <c r="B871"/>
    </row>
    <row r="872" spans="1:2" ht="12.75">
      <c r="A872"/>
      <c r="B872"/>
    </row>
    <row r="873" spans="1:2" ht="12.75">
      <c r="A873"/>
      <c r="B873"/>
    </row>
    <row r="874" spans="1:2" ht="12.75">
      <c r="A874"/>
      <c r="B874"/>
    </row>
    <row r="875" spans="1:2" ht="12.75">
      <c r="A875"/>
      <c r="B875"/>
    </row>
    <row r="876" spans="1:2" ht="12.75">
      <c r="A876"/>
      <c r="B876"/>
    </row>
    <row r="877" spans="1:2" ht="12.75">
      <c r="A877"/>
      <c r="B877"/>
    </row>
    <row r="878" spans="1:2" ht="12.75">
      <c r="A878"/>
      <c r="B878"/>
    </row>
    <row r="879" spans="1:2" ht="12.75">
      <c r="A879"/>
      <c r="B879"/>
    </row>
    <row r="880" spans="1:2" ht="12.75">
      <c r="A880"/>
      <c r="B880"/>
    </row>
    <row r="881" spans="1:2" ht="12.75">
      <c r="A881"/>
      <c r="B881"/>
    </row>
    <row r="882" spans="1:2" ht="12.75">
      <c r="A882"/>
      <c r="B882"/>
    </row>
    <row r="884" spans="1:2" ht="12.75">
      <c r="A884"/>
      <c r="B884"/>
    </row>
    <row r="885" spans="1:2" ht="12.75">
      <c r="A885"/>
      <c r="B885"/>
    </row>
    <row r="889" spans="1:2" ht="12.75">
      <c r="A889"/>
      <c r="B889"/>
    </row>
    <row r="890" spans="1:2" ht="12.75">
      <c r="A890"/>
      <c r="B890"/>
    </row>
    <row r="891" spans="1:2" ht="12.75">
      <c r="A891"/>
      <c r="B891"/>
    </row>
    <row r="893" spans="1:2" ht="12.75">
      <c r="A893"/>
      <c r="B893"/>
    </row>
    <row r="894" spans="1:2" ht="12.75">
      <c r="A894"/>
      <c r="B894"/>
    </row>
    <row r="895" spans="1:2" ht="12.75">
      <c r="A895"/>
      <c r="B895"/>
    </row>
    <row r="896" spans="1:2" ht="12.75">
      <c r="A896"/>
      <c r="B896"/>
    </row>
    <row r="897" spans="1:2" ht="12.75">
      <c r="A897"/>
      <c r="B897"/>
    </row>
    <row r="902" spans="1:2" ht="12.75">
      <c r="A902"/>
      <c r="B902"/>
    </row>
    <row r="903" spans="1:2" ht="12.75">
      <c r="A903"/>
      <c r="B903"/>
    </row>
    <row r="906" spans="1:2" ht="12.75">
      <c r="A906"/>
      <c r="B906"/>
    </row>
  </sheetData>
  <mergeCells count="76">
    <mergeCell ref="Y16:Y18"/>
    <mergeCell ref="Y11:Y13"/>
    <mergeCell ref="Z11:Z13"/>
    <mergeCell ref="R7:R9"/>
    <mergeCell ref="W24:W26"/>
    <mergeCell ref="P93:T94"/>
    <mergeCell ref="A3:G4"/>
    <mergeCell ref="O11:Q11"/>
    <mergeCell ref="K10:M10"/>
    <mergeCell ref="S11:U11"/>
    <mergeCell ref="K44:M44"/>
    <mergeCell ref="G10:I10"/>
    <mergeCell ref="C11:E11"/>
    <mergeCell ref="S10:U10"/>
    <mergeCell ref="O10:Q10"/>
    <mergeCell ref="S87:T87"/>
    <mergeCell ref="S88:T88"/>
    <mergeCell ref="G44:I44"/>
    <mergeCell ref="G70:U71"/>
    <mergeCell ref="S84:T84"/>
    <mergeCell ref="S85:T85"/>
    <mergeCell ref="S86:T86"/>
    <mergeCell ref="G82:U83"/>
    <mergeCell ref="S66:U66"/>
    <mergeCell ref="O66:Q66"/>
    <mergeCell ref="K66:M66"/>
    <mergeCell ref="G66:I66"/>
    <mergeCell ref="S80:U80"/>
    <mergeCell ref="S79:U79"/>
    <mergeCell ref="B75:B76"/>
    <mergeCell ref="G54:I54"/>
    <mergeCell ref="E77:E81"/>
    <mergeCell ref="S73:U73"/>
    <mergeCell ref="S74:U74"/>
    <mergeCell ref="S75:U75"/>
    <mergeCell ref="S76:U76"/>
    <mergeCell ref="S77:U77"/>
    <mergeCell ref="S72:U72"/>
    <mergeCell ref="K54:M54"/>
    <mergeCell ref="C66:E66"/>
    <mergeCell ref="B67:C67"/>
    <mergeCell ref="S54:U54"/>
    <mergeCell ref="O54:Q54"/>
    <mergeCell ref="C54:E54"/>
    <mergeCell ref="V3:Y4"/>
    <mergeCell ref="C10:E10"/>
    <mergeCell ref="G11:I11"/>
    <mergeCell ref="K11:M11"/>
    <mergeCell ref="D7:D9"/>
    <mergeCell ref="Y7:Y8"/>
    <mergeCell ref="Q3:T4"/>
    <mergeCell ref="K3:N4"/>
    <mergeCell ref="O3:O4"/>
    <mergeCell ref="P7:P9"/>
    <mergeCell ref="T7:T9"/>
    <mergeCell ref="H7:H9"/>
    <mergeCell ref="L7:L9"/>
    <mergeCell ref="C13:E13"/>
    <mergeCell ref="G13:I13"/>
    <mergeCell ref="K13:M13"/>
    <mergeCell ref="V7:X8"/>
    <mergeCell ref="S13:U13"/>
    <mergeCell ref="O13:Q13"/>
    <mergeCell ref="C44:E44"/>
    <mergeCell ref="O24:Q24"/>
    <mergeCell ref="S24:U24"/>
    <mergeCell ref="C24:E24"/>
    <mergeCell ref="C32:E32"/>
    <mergeCell ref="O44:Q44"/>
    <mergeCell ref="G24:I24"/>
    <mergeCell ref="K24:M24"/>
    <mergeCell ref="G32:I32"/>
    <mergeCell ref="K32:M32"/>
    <mergeCell ref="O32:Q32"/>
    <mergeCell ref="S32:U32"/>
    <mergeCell ref="S44:U44"/>
  </mergeCells>
  <phoneticPr fontId="126" type="noConversion"/>
  <conditionalFormatting sqref="F15:F68">
    <cfRule type="expression" dxfId="738" priority="695">
      <formula>IF($F15&lt;&gt;"",TRUE,FALSE)</formula>
    </cfRule>
  </conditionalFormatting>
  <conditionalFormatting sqref="J20:J68 J15:J18">
    <cfRule type="expression" dxfId="737" priority="694">
      <formula>IF($J15&lt;&gt;"",TRUE,FALSE)</formula>
    </cfRule>
  </conditionalFormatting>
  <conditionalFormatting sqref="N15:N68">
    <cfRule type="expression" dxfId="736" priority="693">
      <formula>IF($N15&lt;&gt;"",TRUE,FALSE)</formula>
    </cfRule>
  </conditionalFormatting>
  <conditionalFormatting sqref="R15:R68">
    <cfRule type="expression" dxfId="735" priority="692">
      <formula>IF($R15&lt;&gt;"",TRUE,FALSE)</formula>
    </cfRule>
  </conditionalFormatting>
  <conditionalFormatting sqref="U97:U98">
    <cfRule type="expression" dxfId="734" priority="691">
      <formula>IF($T97&lt;&gt;"",FALSE,TRUE)</formula>
    </cfRule>
  </conditionalFormatting>
  <conditionalFormatting sqref="U97:U98">
    <cfRule type="expression" dxfId="733" priority="688">
      <formula>IF($T97&lt;0.1,TRUE,FALSE)</formula>
    </cfRule>
  </conditionalFormatting>
  <conditionalFormatting sqref="U97:U98">
    <cfRule type="expression" dxfId="732" priority="687">
      <formula>IF($T97&gt;1.2,TRUE,FALSE)</formula>
    </cfRule>
  </conditionalFormatting>
  <conditionalFormatting sqref="V97:V98">
    <cfRule type="expression" dxfId="731" priority="686">
      <formula>IF($T97&lt;&gt;"",FALSE,TRUE)</formula>
    </cfRule>
  </conditionalFormatting>
  <conditionalFormatting sqref="V96">
    <cfRule type="expression" dxfId="730" priority="685">
      <formula>IF($T97&lt;&gt;"",FALSE,TRUE)</formula>
    </cfRule>
  </conditionalFormatting>
  <conditionalFormatting sqref="A13">
    <cfRule type="expression" dxfId="729" priority="659">
      <formula>IF(OR($A13="OK 1",A13="OK 2",A13="OK 3",A13="OK",A13="PUSH",A13="PUSH 1",A13="PUSH 2",A13="PUSH 3"),TRUE,FALSE)</formula>
    </cfRule>
  </conditionalFormatting>
  <conditionalFormatting sqref="A13">
    <cfRule type="expression" dxfId="728" priority="655">
      <formula>IF(OR($A13="GK",A13="GK 1",A13="GK 2",A13="GK 3",A13="GK 4"),TRUE,FALSE)</formula>
    </cfRule>
    <cfRule type="expression" dxfId="727" priority="656">
      <formula>IF(OR($A13="OK 2+",A13="OK 3+",),TRUE,FALSE)</formula>
    </cfRule>
    <cfRule type="expression" dxfId="726" priority="657">
      <formula>IF(OR($A13="PULL",A13="PULL 1",A13="PULL 2"),TRUE,FALSE)</formula>
    </cfRule>
    <cfRule type="expression" dxfId="725" priority="658">
      <formula>IF(OR($A13="UK 1",A13="UK 2",A13="OK",A13="UK 3",A13="Beine",A13="BEINE 1",A13="BEINE 2",A13="BEINE 1"),TRUE,FALSE)</formula>
    </cfRule>
  </conditionalFormatting>
  <conditionalFormatting sqref="A13">
    <cfRule type="expression" dxfId="724" priority="653">
      <formula>IF($A13="Keine Zeit",TRUE,FALSE)</formula>
    </cfRule>
    <cfRule type="expression" dxfId="723" priority="654">
      <formula>IF($A13="Skip",TRUE,FALSE)</formula>
    </cfRule>
  </conditionalFormatting>
  <conditionalFormatting sqref="B67">
    <cfRule type="expression" dxfId="722" priority="562">
      <formula>IF(MONTH(B67)=MONTH($C$5),FALSE,TRUE)</formula>
    </cfRule>
  </conditionalFormatting>
  <conditionalFormatting sqref="B67">
    <cfRule type="expression" dxfId="721" priority="561">
      <formula>IF(B67=TODAY(),TRUE,FALSE)</formula>
    </cfRule>
  </conditionalFormatting>
  <conditionalFormatting sqref="B67">
    <cfRule type="expression" dxfId="720" priority="560">
      <formula>IF(B67="Frei",TRUE,FALSE)</formula>
    </cfRule>
  </conditionalFormatting>
  <conditionalFormatting sqref="B67">
    <cfRule type="expression" dxfId="719" priority="559">
      <formula>IF(OR(B67="OK 1",B67="OK 2",B67="OK 3",B67="OK",B67="PUSH",B67="PUSH 1",B67="PUSH 2",B67="PUSH 3"),TRUE,FALSE)</formula>
    </cfRule>
  </conditionalFormatting>
  <conditionalFormatting sqref="B67">
    <cfRule type="expression" dxfId="718" priority="555">
      <formula>IF(OR(B67="GK",B67="GK 1",B67="GK 2",B67="GK 3",B67="GK 4"),TRUE,FALSE)</formula>
    </cfRule>
    <cfRule type="expression" dxfId="717" priority="556">
      <formula>IF(OR(B67="OK 2+",B67="OK 3+",),TRUE,FALSE)</formula>
    </cfRule>
    <cfRule type="expression" dxfId="716" priority="557">
      <formula>IF(OR(B67="PULL",B67="PULL 1",B67="PULL 2"),TRUE,FALSE)</formula>
    </cfRule>
    <cfRule type="expression" dxfId="715" priority="558">
      <formula>IF(OR(B67="UK 1",B67="UK 2",B67="OK",B67="UK 3",B67="Beine",B67="BEINE 1",B67="BEINE 2",B67="BEINE 1"),TRUE,FALSE)</formula>
    </cfRule>
  </conditionalFormatting>
  <conditionalFormatting sqref="B67">
    <cfRule type="expression" dxfId="714" priority="553">
      <formula>IF(B67="Keine Zeit",TRUE,FALSE)</formula>
    </cfRule>
    <cfRule type="expression" dxfId="713" priority="554">
      <formula>IF(B67="Skip",TRUE,FALSE)</formula>
    </cfRule>
  </conditionalFormatting>
  <conditionalFormatting sqref="A66 A54 A44 A32 A24">
    <cfRule type="expression" dxfId="712" priority="532">
      <formula>IF(MONTH(A24)=MONTH($C$5),FALSE,TRUE)</formula>
    </cfRule>
  </conditionalFormatting>
  <conditionalFormatting sqref="A66 A54 A44 A32 A24">
    <cfRule type="expression" dxfId="711" priority="531">
      <formula>IF(A24=TODAY(),TRUE,FALSE)</formula>
    </cfRule>
  </conditionalFormatting>
  <conditionalFormatting sqref="A66 A54 A44 A32 A24">
    <cfRule type="expression" dxfId="710" priority="530">
      <formula>IF(A24="Frei",TRUE,FALSE)</formula>
    </cfRule>
  </conditionalFormatting>
  <conditionalFormatting sqref="A66 A54 A44 A32 A24">
    <cfRule type="expression" dxfId="709" priority="529">
      <formula>IF(OR(A24="OK 1",A24="OK 2",A24="OK 3",A24="OK",A24="PUSH",A24="PUSH 1",A24="PUSH 2",A24="PUSH 3"),TRUE,FALSE)</formula>
    </cfRule>
  </conditionalFormatting>
  <conditionalFormatting sqref="A66 A54 A44 A32 A24">
    <cfRule type="expression" dxfId="708" priority="525">
      <formula>IF(OR(A24="GK",A24="GK 1",A24="GK 2",A24="GK 3",A24="GK 4"),TRUE,FALSE)</formula>
    </cfRule>
    <cfRule type="expression" dxfId="707" priority="526">
      <formula>IF(OR(A24="OK 2+",A24="OK 3+",),TRUE,FALSE)</formula>
    </cfRule>
    <cfRule type="expression" dxfId="706" priority="527">
      <formula>IF(OR(A24="PULL",A24="PULL 1",A24="PULL 2"),TRUE,FALSE)</formula>
    </cfRule>
    <cfRule type="expression" dxfId="705" priority="528">
      <formula>IF(OR(A24="UK 1",A24="UK 2",A24="OK",A24="UK 3",A24="Beine",A24="BEINE 1",A24="BEINE 2",A24="BEINE 1"),TRUE,FALSE)</formula>
    </cfRule>
  </conditionalFormatting>
  <conditionalFormatting sqref="A66 A54 A44 A32 A24">
    <cfRule type="expression" dxfId="704" priority="523">
      <formula>IF(A24="Keine Zeit",TRUE,FALSE)</formula>
    </cfRule>
    <cfRule type="expression" dxfId="703" priority="524">
      <formula>IF(A24="Skip",TRUE,FALSE)</formula>
    </cfRule>
  </conditionalFormatting>
  <conditionalFormatting sqref="Y36">
    <cfRule type="iconSet" priority="520">
      <iconSet iconSet="3Arrows">
        <cfvo type="percent" val="0"/>
        <cfvo type="percent" val="33"/>
        <cfvo type="percent" val="67"/>
      </iconSet>
    </cfRule>
  </conditionalFormatting>
  <conditionalFormatting sqref="C13">
    <cfRule type="expression" dxfId="702" priority="478">
      <formula>IF(AND($C$13=$O$3,(OR($A13="OK 1",$A13="OK 2",$A13="OK 3",$A13="OK",$A13="PUSH",$A13="PUSH 1",$A13="PUSH 2",$A13="PUSH 3"))),TRUE,FALSE)</formula>
    </cfRule>
  </conditionalFormatting>
  <conditionalFormatting sqref="B13">
    <cfRule type="expression" dxfId="701" priority="290">
      <formula>IF(OR($A13="UK 1",A13="UK 2",A13="OK",A13="UK 3",A13="Beine",A13="BEINE 1",A13="BEINE 2",A13="BEINE 1"),TRUE,FALSE)</formula>
    </cfRule>
    <cfRule type="expression" dxfId="700" priority="291">
      <formula>IF(OR($A13="PULL",A13="PULL 1",A13="PULL 2"),TRUE,FALSE)</formula>
    </cfRule>
    <cfRule type="expression" dxfId="699" priority="292">
      <formula>IF(OR($A13="OK 2+",A13="OK 3+",),TRUE,FALSE)</formula>
    </cfRule>
    <cfRule type="expression" dxfId="698" priority="293">
      <formula>IF(OR($A13="GK",A13="GK 1",A13="GK 2",A13="GK 3",A13="GK 4"),TRUE,FALSE)</formula>
    </cfRule>
    <cfRule type="expression" dxfId="697" priority="294">
      <formula>IF(OR($A13="OK 1",A13="OK 2",A13="OK 3",A13="OK",A13="PUSH",A13="PUSH 1",A13="PUSH 2",A13="PUSH 3"),TRUE,FALSE)</formula>
    </cfRule>
  </conditionalFormatting>
  <conditionalFormatting sqref="B66">
    <cfRule type="expression" dxfId="696" priority="260">
      <formula>IF(OR($A66="UK 1",A66="UK 2",A66="OK",A66="UK 3",A66="Beine",A66="BEINE 1",A66="BEINE 2",A66="BEINE 1"),TRUE,FALSE)</formula>
    </cfRule>
    <cfRule type="expression" dxfId="695" priority="261">
      <formula>IF(OR($A66="PULL",A66="PULL 1",A66="PULL 2"),TRUE,FALSE)</formula>
    </cfRule>
    <cfRule type="expression" dxfId="694" priority="262">
      <formula>IF(OR($A66="OK 2+",A66="OK 3+",),TRUE,FALSE)</formula>
    </cfRule>
    <cfRule type="expression" dxfId="693" priority="263">
      <formula>IF(OR($A66="GK",A66="GK 1",A66="GK 2",A66="GK 3",A66="GK 4"),TRUE,FALSE)</formula>
    </cfRule>
    <cfRule type="expression" dxfId="692" priority="264">
      <formula>IF(OR($A66="OK 1",A66="OK 2",A66="OK 3",A66="OK",A66="PUSH",A66="PUSH 1",A66="PUSH 2",A66="PUSH 3"),TRUE,FALSE)</formula>
    </cfRule>
  </conditionalFormatting>
  <conditionalFormatting sqref="B24">
    <cfRule type="expression" dxfId="691" priority="280">
      <formula>IF(OR($A24="UK 1",A24="UK 2",A24="OK",A24="UK 3",A24="Beine",A24="BEINE 1",A24="BEINE 2",A24="BEINE 1"),TRUE,FALSE)</formula>
    </cfRule>
    <cfRule type="expression" dxfId="690" priority="281">
      <formula>IF(OR($A24="PULL",A24="PULL 1",A24="PULL 2"),TRUE,FALSE)</formula>
    </cfRule>
    <cfRule type="expression" dxfId="689" priority="282">
      <formula>IF(OR($A24="OK 2+",A24="OK 3+",),TRUE,FALSE)</formula>
    </cfRule>
    <cfRule type="expression" dxfId="688" priority="283">
      <formula>IF(OR($A24="GK",A24="GK 1",A24="GK 2",A24="GK 3",A24="GK 4"),TRUE,FALSE)</formula>
    </cfRule>
    <cfRule type="expression" dxfId="687" priority="284">
      <formula>IF(OR($A24="OK 1",A24="OK 2",A24="OK 3",A24="OK",A24="PUSH",A24="PUSH 1",A24="PUSH 2",A24="PUSH 3"),TRUE,FALSE)</formula>
    </cfRule>
  </conditionalFormatting>
  <conditionalFormatting sqref="B32">
    <cfRule type="expression" dxfId="686" priority="275">
      <formula>IF(OR($A32="UK 1",A32="UK 2",A32="OK",A32="UK 3",A32="Beine",A32="BEINE 1",A32="BEINE 2",A32="BEINE 1"),TRUE,FALSE)</formula>
    </cfRule>
    <cfRule type="expression" dxfId="685" priority="276">
      <formula>IF(OR($A32="PULL",A32="PULL 1",A32="PULL 2"),TRUE,FALSE)</formula>
    </cfRule>
    <cfRule type="expression" dxfId="684" priority="277">
      <formula>IF(OR($A32="OK 2+",A32="OK 3+",),TRUE,FALSE)</formula>
    </cfRule>
    <cfRule type="expression" dxfId="683" priority="278">
      <formula>IF(OR($A32="GK",A32="GK 1",A32="GK 2",A32="GK 3",A32="GK 4"),TRUE,FALSE)</formula>
    </cfRule>
    <cfRule type="expression" dxfId="682" priority="279">
      <formula>IF(OR($A32="OK 1",A32="OK 2",A32="OK 3",A32="OK",A32="PUSH",A32="PUSH 1",A32="PUSH 2",A32="PUSH 3"),TRUE,FALSE)</formula>
    </cfRule>
  </conditionalFormatting>
  <conditionalFormatting sqref="B44">
    <cfRule type="expression" dxfId="681" priority="270">
      <formula>IF(OR($A44="UK 1",A44="UK 2",A44="OK",A44="UK 3",A44="Beine",A44="BEINE 1",A44="BEINE 2",A44="BEINE 1"),TRUE,FALSE)</formula>
    </cfRule>
    <cfRule type="expression" dxfId="680" priority="271">
      <formula>IF(OR($A44="PULL",A44="PULL 1",A44="PULL 2"),TRUE,FALSE)</formula>
    </cfRule>
    <cfRule type="expression" dxfId="679" priority="272">
      <formula>IF(OR($A44="OK 2+",A44="OK 3+",),TRUE,FALSE)</formula>
    </cfRule>
    <cfRule type="expression" dxfId="678" priority="273">
      <formula>IF(OR($A44="GK",A44="GK 1",A44="GK 2",A44="GK 3",A44="GK 4"),TRUE,FALSE)</formula>
    </cfRule>
    <cfRule type="expression" dxfId="677" priority="274">
      <formula>IF(OR($A44="OK 1",A44="OK 2",A44="OK 3",A44="OK",A44="PUSH",A44="PUSH 1",A44="PUSH 2",A44="PUSH 3"),TRUE,FALSE)</formula>
    </cfRule>
  </conditionalFormatting>
  <conditionalFormatting sqref="B54">
    <cfRule type="expression" dxfId="676" priority="265">
      <formula>IF(OR($A54="UK 1",A54="UK 2",A54="OK",A54="UK 3",A54="Beine",A54="BEINE 1",A54="BEINE 2",A54="BEINE 1"),TRUE,FALSE)</formula>
    </cfRule>
    <cfRule type="expression" dxfId="675" priority="266">
      <formula>IF(OR($A54="PULL",A54="PULL 1",A54="PULL 2"),TRUE,FALSE)</formula>
    </cfRule>
    <cfRule type="expression" dxfId="674" priority="267">
      <formula>IF(OR($A54="OK 2+",A54="OK 3+",),TRUE,FALSE)</formula>
    </cfRule>
    <cfRule type="expression" dxfId="673" priority="268">
      <formula>IF(OR($A54="GK",A54="GK 1",A54="GK 2",A54="GK 3",A54="GK 4"),TRUE,FALSE)</formula>
    </cfRule>
    <cfRule type="expression" dxfId="672" priority="269">
      <formula>IF(OR($A54="OK 1",A54="OK 2",A54="OK 3",A54="OK",A54="PUSH",A54="PUSH 1",A54="PUSH 2",A54="PUSH 3"),TRUE,FALSE)</formula>
    </cfRule>
  </conditionalFormatting>
  <conditionalFormatting sqref="C13">
    <cfRule type="expression" dxfId="671" priority="474">
      <formula>IF(AND($C$13=$O$3,(OR($A13="GK",$A3="GK 1",$A13="GK 2",$A13="GK 3",$A13="GK 4"))),TRUE,FALSE)</formula>
    </cfRule>
    <cfRule type="expression" dxfId="670" priority="475">
      <formula>IF(AND($C$13=$O$3,(OR($A13="OK 2+",$A13="OK 3+"))),TRUE,FALSE)</formula>
    </cfRule>
    <cfRule type="expression" dxfId="669" priority="476">
      <formula>IF(AND($C$13=$O$3,(OR($A13="PULL",$A13="PULL 1",$A13="PULL 2"))),TRUE,FALSE)</formula>
    </cfRule>
    <cfRule type="expression" dxfId="668" priority="477">
      <formula>IF(AND($C$13=$O$3,(OR($A13="UK 1",$A13="UK 2",$A13="OK",$A13="UK 3",G13="Beine",$A13="BEINE 1",$A13="BEINE 2",$A13="BEINE 1"))),TRUE,FALSE)</formula>
    </cfRule>
  </conditionalFormatting>
  <conditionalFormatting sqref="G13">
    <cfRule type="expression" dxfId="667" priority="207">
      <formula>IF(AND($G$13=$O$3,(OR($A13="OK 1",$A13="OK 2",$A13="OK 3",$A13="OK",$A13="PUSH",$A13="PUSH 1",$A13="PUSH 2",$A13="PUSH 3"))),TRUE,FALSE)</formula>
    </cfRule>
  </conditionalFormatting>
  <conditionalFormatting sqref="G13">
    <cfRule type="expression" dxfId="666" priority="203">
      <formula>IF(AND($G$13=$O$3,(OR($A13="GK",$A3="GK 1",$A13="GK 2",$A13="GK 3",$A13="GK 4"))),TRUE,FALSE)</formula>
    </cfRule>
    <cfRule type="expression" dxfId="665" priority="204">
      <formula>IF(AND($G$13=$O$3,(OR($A13="OK 2+",$A13="OK 3+"))),TRUE,FALSE)</formula>
    </cfRule>
    <cfRule type="expression" dxfId="664" priority="205">
      <formula>IF(AND($G$13=$O$3,(OR($A13="PULL",$A13="PULL 1",$A13="PULL 2"))),TRUE,FALSE)</formula>
    </cfRule>
    <cfRule type="expression" dxfId="663" priority="206">
      <formula>IF(AND($G$13=$O$3,(OR($A13="UK 1",$A13="UK 2",$A13="OK",$A13="UK 3",K13="Beine",$A13="BEINE 1",$A13="BEINE 2",$A13="BEINE 1"))),TRUE,FALSE)</formula>
    </cfRule>
  </conditionalFormatting>
  <conditionalFormatting sqref="K13">
    <cfRule type="expression" dxfId="662" priority="201">
      <formula>IF(AND($K$13=$O$3,(OR($A13="OK 1",$A13="OK 2",$A13="OK 3",$A13="OK",$A13="PUSH",$A13="PUSH 1",$A13="PUSH 2",$A13="PUSH 3"))),TRUE,FALSE)</formula>
    </cfRule>
  </conditionalFormatting>
  <conditionalFormatting sqref="K13">
    <cfRule type="expression" dxfId="661" priority="197">
      <formula>IF(AND($K$13=$O$3,(OR($A13="GK",$A3="GK 1",$A13="GK 2",$A13="GK 3",$A13="GK 4"))),TRUE,FALSE)</formula>
    </cfRule>
    <cfRule type="expression" dxfId="660" priority="198">
      <formula>IF(AND($K$13=$O$3,(OR($A13="OK 2+",$A13="OK 3+"))),TRUE,FALSE)</formula>
    </cfRule>
    <cfRule type="expression" dxfId="659" priority="199">
      <formula>IF(AND($K$13=$O$3,(OR($A13="PULL",$A13="PULL 1",$A13="PULL 2"))),TRUE,FALSE)</formula>
    </cfRule>
    <cfRule type="expression" dxfId="658" priority="200">
      <formula>IF(AND($K$13=$O$3,(OR($A13="UK 1",$A13="UK 2",$A13="OK",$A13="UK 3",O13="Beine",$A13="BEINE 1",$A13="BEINE 2",$A13="BEINE 1"))),TRUE,FALSE)</formula>
    </cfRule>
  </conditionalFormatting>
  <conditionalFormatting sqref="O13">
    <cfRule type="expression" dxfId="657" priority="195">
      <formula>IF(AND($O$13=$O$3,(OR($A13="OK 1",$A13="OK 2",$A13="OK 3",$A13="OK",$A13="PUSH",$A13="PUSH 1",$A13="PUSH 2",$A13="PUSH 3"))),TRUE,FALSE)</formula>
    </cfRule>
  </conditionalFormatting>
  <conditionalFormatting sqref="O13">
    <cfRule type="expression" dxfId="656" priority="191">
      <formula>IF(AND($O$13=$O$3,(OR($A13="GK",$A3="GK 1",$A13="GK 2",$A13="GK 3",$A13="GK 4"))),TRUE,FALSE)</formula>
    </cfRule>
    <cfRule type="expression" dxfId="655" priority="192">
      <formula>IF(AND($O$13=$O$3,(OR($A13="OK 2+",$A13="OK 3+"))),TRUE,FALSE)</formula>
    </cfRule>
    <cfRule type="expression" dxfId="654" priority="193">
      <formula>IF(AND($O$13=$O$3,(OR($A13="PULL",$A13="PULL 1",$A13="PULL 2"))),TRUE,FALSE)</formula>
    </cfRule>
    <cfRule type="expression" dxfId="653" priority="194">
      <formula>IF(AND($O$13=$O$3,(OR($A13="UK 1",$A13="UK 2",$A13="OK",$A13="UK 3",S13="Beine",$A13="BEINE 1",$A13="BEINE 2",$A13="BEINE 1"))),TRUE,FALSE)</formula>
    </cfRule>
  </conditionalFormatting>
  <conditionalFormatting sqref="S13">
    <cfRule type="expression" dxfId="652" priority="189">
      <formula>IF(AND($S$13=$O$3,(OR($A13="OK 1",$A13="OK 2",$A13="OK 3",$A13="OK",$A13="PUSH",$A13="PUSH 1",$A13="PUSH 2",$A13="PUSH 3"))),TRUE,FALSE)</formula>
    </cfRule>
  </conditionalFormatting>
  <conditionalFormatting sqref="S13">
    <cfRule type="expression" dxfId="651" priority="185">
      <formula>IF(AND($S$13=$O$3,(OR($A13="GK",$A3="GK 1",$A13="GK 2",$A13="GK 3",$A13="GK 4"))),TRUE,FALSE)</formula>
    </cfRule>
    <cfRule type="expression" dxfId="650" priority="186">
      <formula>IF(AND($S$13=$O$3,(OR($A13="OK 2+",$A13="OK 3+"))),TRUE,FALSE)</formula>
    </cfRule>
    <cfRule type="expression" dxfId="649" priority="187">
      <formula>IF(AND($S$13=$O$3,(OR($A13="PULL",$A13="PULL 1",$A13="PULL 2"))),TRUE,FALSE)</formula>
    </cfRule>
    <cfRule type="expression" dxfId="648" priority="188">
      <formula>IF(AND($S$13=$O$3,(OR($A13="UK 1",$A13="UK 2",$A13="OK",$A13="UK 3",W13="Beine",$A13="BEINE 1",$A13="BEINE 2",$A13="BEINE 1"))),TRUE,FALSE)</formula>
    </cfRule>
  </conditionalFormatting>
  <conditionalFormatting sqref="C24">
    <cfRule type="expression" dxfId="647" priority="696">
      <formula>IF(AND($C$24=$O$3,(OR($A24="OK 1",$A24="OK 2",$A24="OK 3",$A24="OK",$A24="PUSH",$A24="PUSH 1",$A24="PUSH 2",$A24="PUSH 3"))),TRUE,FALSE)</formula>
    </cfRule>
  </conditionalFormatting>
  <conditionalFormatting sqref="C24">
    <cfRule type="expression" dxfId="646" priority="698">
      <formula>IF(AND($C$24=$O$3,(OR($A24="GK",$A14="GK 1",$A24="GK 2",$A24="GK 3",$A24="GK 4"))),TRUE,FALSE)</formula>
    </cfRule>
    <cfRule type="expression" dxfId="645" priority="699">
      <formula>IF(AND($C$24=$O$3,(OR($A24="OK 2+",$A24="OK 3+"))),TRUE,FALSE)</formula>
    </cfRule>
    <cfRule type="expression" dxfId="644" priority="700">
      <formula>IF(AND($C$24=$O$3,(OR($A24="PULL",$A24="PULL 1",$A24="PULL 2"))),TRUE,FALSE)</formula>
    </cfRule>
    <cfRule type="expression" dxfId="643" priority="701">
      <formula>IF(AND($C$24=$O$3,(OR($A24="UK 1",$A24="UK 2",$A24="OK",$A24="UK 3",G24="Beine",$A24="BEINE 1",$A24="BEINE 2",$A24="BEINE 1"))),TRUE,FALSE)</formula>
    </cfRule>
  </conditionalFormatting>
  <conditionalFormatting sqref="G24">
    <cfRule type="expression" dxfId="642" priority="702">
      <formula>IF(AND($G$24=$O$3,(OR($A24="OK 1",$A24="OK 2",$A24="OK 3",$A24="OK",$A24="PUSH",$A24="PUSH 1",$A24="PUSH 2",$A24="PUSH 3"))),TRUE,FALSE)</formula>
    </cfRule>
  </conditionalFormatting>
  <conditionalFormatting sqref="G24">
    <cfRule type="expression" dxfId="641" priority="704">
      <formula>IF(AND($G$24=$O$3,(OR($A24="GK",$A14="GK 1",$A24="GK 2",$A24="GK 3",$A24="GK 4"))),TRUE,FALSE)</formula>
    </cfRule>
    <cfRule type="expression" dxfId="640" priority="705">
      <formula>IF(AND($G$24=$O$3,(OR($A24="OK 2+",$A24="OK 3+"))),TRUE,FALSE)</formula>
    </cfRule>
    <cfRule type="expression" dxfId="639" priority="706">
      <formula>IF(AND($G$24=$O$3,(OR($A24="PULL",$A24="PULL 1",$A24="PULL 2"))),TRUE,FALSE)</formula>
    </cfRule>
    <cfRule type="expression" dxfId="638" priority="707">
      <formula>IF(AND($G$24=$O$3,(OR($A24="UK 1",$A24="UK 2",$A24="OK",$A24="UK 3",K24="Beine",$A24="BEINE 1",$A24="BEINE 2",$A24="BEINE 1"))),TRUE,FALSE)</formula>
    </cfRule>
  </conditionalFormatting>
  <conditionalFormatting sqref="K24">
    <cfRule type="expression" dxfId="637" priority="708">
      <formula>IF(AND($K$24=$O$3,(OR($A24="OK 1",$A24="OK 2",$A24="OK 3",$A24="OK",$A24="PUSH",$A24="PUSH 1",$A24="PUSH 2",$A24="PUSH 3"))),TRUE,FALSE)</formula>
    </cfRule>
  </conditionalFormatting>
  <conditionalFormatting sqref="K24">
    <cfRule type="expression" dxfId="636" priority="710">
      <formula>IF(AND($K$24=$O$3,(OR($A24="GK",$A14="GK 1",$A24="GK 2",$A24="GK 3",$A24="GK 4"))),TRUE,FALSE)</formula>
    </cfRule>
    <cfRule type="expression" dxfId="635" priority="711">
      <formula>IF(AND($K$24=$O$3,(OR($A24="OK 2+",$A24="OK 3+"))),TRUE,FALSE)</formula>
    </cfRule>
    <cfRule type="expression" dxfId="634" priority="712">
      <formula>IF(AND($K$24=$O$3,(OR($A24="PULL",$A24="PULL 1",$A24="PULL 2"))),TRUE,FALSE)</formula>
    </cfRule>
    <cfRule type="expression" dxfId="633" priority="713">
      <formula>IF(AND($K$24=$O$3,(OR($A24="UK 1",$A24="UK 2",$A24="OK",$A24="UK 3",O24="Beine",$A24="BEINE 1",$A24="BEINE 2",$A24="BEINE 1"))),TRUE,FALSE)</formula>
    </cfRule>
  </conditionalFormatting>
  <conditionalFormatting sqref="O24">
    <cfRule type="expression" dxfId="632" priority="714">
      <formula>IF(AND($O$24=$O$3,(OR($A24="OK 1",$A24="OK 2",$A24="OK 3",$A24="OK",$A24="PUSH",$A24="PUSH 1",$A24="PUSH 2",$A24="PUSH 3"))),TRUE,FALSE)</formula>
    </cfRule>
  </conditionalFormatting>
  <conditionalFormatting sqref="O24">
    <cfRule type="expression" dxfId="631" priority="716">
      <formula>IF(AND($O$24=$O$3,(OR($A24="GK",$A14="GK 1",$A24="GK 2",$A24="GK 3",$A24="GK 4"))),TRUE,FALSE)</formula>
    </cfRule>
    <cfRule type="expression" dxfId="630" priority="717">
      <formula>IF(AND($O$24=$O$3,(OR($A24="OK 2+",$A24="OK 3+"))),TRUE,FALSE)</formula>
    </cfRule>
    <cfRule type="expression" dxfId="629" priority="718">
      <formula>IF(AND($O$24=$O$3,(OR($A24="PULL",$A24="PULL 1",$A24="PULL 2"))),TRUE,FALSE)</formula>
    </cfRule>
    <cfRule type="expression" dxfId="628" priority="719">
      <formula>IF(AND($O$24=$O$3,(OR($A24="UK 1",$A24="UK 2",$A24="OK",$A24="UK 3",S24="Beine",$A24="BEINE 1",$A24="BEINE 2",$A24="BEINE 1"))),TRUE,FALSE)</formula>
    </cfRule>
  </conditionalFormatting>
  <conditionalFormatting sqref="S24">
    <cfRule type="expression" dxfId="627" priority="720">
      <formula>IF(AND($S$24=$O$3,(OR($A24="OK 1",$A24="OK 2",$A24="OK 3",$A24="OK",$A24="PUSH",$A24="PUSH 1",$A24="PUSH 2",$A24="PUSH 3"))),TRUE,FALSE)</formula>
    </cfRule>
  </conditionalFormatting>
  <conditionalFormatting sqref="S24">
    <cfRule type="expression" dxfId="626" priority="722">
      <formula>IF(AND($S$24=$O$3,(OR($A24="GK",$A14="GK 1",$A24="GK 2",$A24="GK 3",$A24="GK 4"))),TRUE,FALSE)</formula>
    </cfRule>
    <cfRule type="expression" dxfId="625" priority="723">
      <formula>IF(AND($S$24=$O$3,(OR($A24="OK 2+",$A24="OK 3+"))),TRUE,FALSE)</formula>
    </cfRule>
    <cfRule type="expression" dxfId="624" priority="724">
      <formula>IF(AND($S$24=$O$3,(OR($A24="PULL",$A24="PULL 1",$A24="PULL 2"))),TRUE,FALSE)</formula>
    </cfRule>
    <cfRule type="expression" dxfId="623" priority="725">
      <formula>IF(AND($S$24=$O$3,(OR($A24="UK 1",$A24="UK 2",$A24="OK",$A24="UK 3",W24="Beine",$A24="BEINE 1",$A24="BEINE 2",$A24="BEINE 1"))),TRUE,FALSE)</formula>
    </cfRule>
  </conditionalFormatting>
  <conditionalFormatting sqref="C32">
    <cfRule type="expression" dxfId="622" priority="726">
      <formula>IF(AND($C$32=$O$3,(OR($A32="OK 1",$A32="OK 2",$A32="OK 3",$A32="OK",$A32="PUSH",$A32="PUSH 1",$A32="PUSH 2",$A32="PUSH 3"))),TRUE,FALSE)</formula>
    </cfRule>
  </conditionalFormatting>
  <conditionalFormatting sqref="C32">
    <cfRule type="expression" dxfId="621" priority="728">
      <formula>IF(AND($C$32=$O$3,(OR($A32="GK",$A22="GK 1",$A32="GK 2",$A32="GK 3",$A32="GK 4"))),TRUE,FALSE)</formula>
    </cfRule>
    <cfRule type="expression" dxfId="620" priority="729">
      <formula>IF(AND($C$32=$O$3,(OR($A32="OK 2+",$A32="OK 3+"))),TRUE,FALSE)</formula>
    </cfRule>
    <cfRule type="expression" dxfId="619" priority="730">
      <formula>IF(AND($C$32=$O$3,(OR($A32="PULL",$A32="PULL 1",$A32="PULL 2"))),TRUE,FALSE)</formula>
    </cfRule>
    <cfRule type="expression" dxfId="618" priority="731">
      <formula>IF(AND($C$32=$O$3,(OR($A32="UK 1",$A32="UK 2",$A32="OK",$A32="UK 3",G32="Beine",$A32="BEINE 1",$A32="BEINE 2",$A32="BEINE 1"))),TRUE,FALSE)</formula>
    </cfRule>
  </conditionalFormatting>
  <conditionalFormatting sqref="G32">
    <cfRule type="expression" dxfId="617" priority="732">
      <formula>IF(AND($G$32=$O$3,(OR($A32="OK 1",$A32="OK 2",$A32="OK 3",$A32="OK",$A32="PUSH",$A32="PUSH 1",$A32="PUSH 2",$A32="PUSH 3"))),TRUE,FALSE)</formula>
    </cfRule>
  </conditionalFormatting>
  <conditionalFormatting sqref="G32">
    <cfRule type="expression" dxfId="616" priority="734">
      <formula>IF(AND($G$32=$O$3,(OR($A32="GK",$A22="GK 1",$A32="GK 2",$A32="GK 3",$A32="GK 4"))),TRUE,FALSE)</formula>
    </cfRule>
    <cfRule type="expression" dxfId="615" priority="735">
      <formula>IF(AND($G$32=$O$3,(OR($A32="OK 2+",$A32="OK 3+"))),TRUE,FALSE)</formula>
    </cfRule>
    <cfRule type="expression" dxfId="614" priority="736">
      <formula>IF(AND($G$32=$O$3,(OR($A32="PULL",$A32="PULL 1",$A32="PULL 2"))),TRUE,FALSE)</formula>
    </cfRule>
    <cfRule type="expression" dxfId="613" priority="737">
      <formula>IF(AND($G$32=$O$3,(OR($A32="UK 1",$A32="UK 2",$A32="OK",$A32="UK 3",K32="Beine",$A32="BEINE 1",$A32="BEINE 2",$A32="BEINE 1"))),TRUE,FALSE)</formula>
    </cfRule>
  </conditionalFormatting>
  <conditionalFormatting sqref="K32">
    <cfRule type="expression" dxfId="612" priority="738">
      <formula>IF(AND($K$32=$O$3,(OR($A32="OK 1",$A32="OK 2",$A32="OK 3",$A32="OK",$A32="PUSH",$A32="PUSH 1",$A32="PUSH 2",$A32="PUSH 3"))),TRUE,FALSE)</formula>
    </cfRule>
  </conditionalFormatting>
  <conditionalFormatting sqref="K32">
    <cfRule type="expression" dxfId="611" priority="740">
      <formula>IF(AND($K$32=$O$3,(OR($A32="GK",$A22="GK 1",$A32="GK 2",$A32="GK 3",$A32="GK 4"))),TRUE,FALSE)</formula>
    </cfRule>
    <cfRule type="expression" dxfId="610" priority="741">
      <formula>IF(AND($K$32=$O$3,(OR($A32="OK 2+",$A32="OK 3+"))),TRUE,FALSE)</formula>
    </cfRule>
    <cfRule type="expression" dxfId="609" priority="742">
      <formula>IF(AND($K$32=$O$3,(OR($A32="PULL",$A32="PULL 1",$A32="PULL 2"))),TRUE,FALSE)</formula>
    </cfRule>
    <cfRule type="expression" dxfId="608" priority="743">
      <formula>IF(AND($K$32=$O$3,(OR($A32="UK 1",$A32="UK 2",$A32="OK",$A32="UK 3",O32="Beine",$A32="BEINE 1",$A32="BEINE 2",$A32="BEINE 1"))),TRUE,FALSE)</formula>
    </cfRule>
  </conditionalFormatting>
  <conditionalFormatting sqref="O32">
    <cfRule type="expression" dxfId="607" priority="744">
      <formula>IF(AND($O$32=$O$3,(OR($A32="OK 1",$A32="OK 2",$A32="OK 3",$A32="OK",$A32="PUSH",$A32="PUSH 1",$A32="PUSH 2",$A32="PUSH 3"))),TRUE,FALSE)</formula>
    </cfRule>
  </conditionalFormatting>
  <conditionalFormatting sqref="O32">
    <cfRule type="expression" dxfId="606" priority="746">
      <formula>IF(AND($O$32=$O$3,(OR($A32="GK",$A22="GK 1",$A32="GK 2",$A32="GK 3",$A32="GK 4"))),TRUE,FALSE)</formula>
    </cfRule>
    <cfRule type="expression" dxfId="605" priority="747">
      <formula>IF(AND($O$32=$O$3,(OR($A32="OK 2+",$A32="OK 3+"))),TRUE,FALSE)</formula>
    </cfRule>
    <cfRule type="expression" dxfId="604" priority="748">
      <formula>IF(AND($O$32=$O$3,(OR($A32="PULL",$A32="PULL 1",$A32="PULL 2"))),TRUE,FALSE)</formula>
    </cfRule>
    <cfRule type="expression" dxfId="603" priority="749">
      <formula>IF(AND($O$32=$O$3,(OR($A32="UK 1",$A32="UK 2",$A32="OK",$A32="UK 3",S32="Beine",$A32="BEINE 1",$A32="BEINE 2",$A32="BEINE 1"))),TRUE,FALSE)</formula>
    </cfRule>
  </conditionalFormatting>
  <conditionalFormatting sqref="S32">
    <cfRule type="expression" dxfId="602" priority="750">
      <formula>IF(AND($S$32=$O$3,(OR($A32="OK 1",$A32="OK 2",$A32="OK 3",$A32="OK",$A32="PUSH",$A32="PUSH 1",$A32="PUSH 2",$A32="PUSH 3"))),TRUE,FALSE)</formula>
    </cfRule>
  </conditionalFormatting>
  <conditionalFormatting sqref="S32">
    <cfRule type="expression" dxfId="601" priority="752">
      <formula>IF(AND($S$32=$O$3,(OR($A32="GK",$A22="GK 1",$A32="GK 2",$A32="GK 3",$A32="GK 4"))),TRUE,FALSE)</formula>
    </cfRule>
    <cfRule type="expression" dxfId="600" priority="753">
      <formula>IF(AND($S$32=$O$3,(OR($A32="OK 2+",$A32="OK 3+"))),TRUE,FALSE)</formula>
    </cfRule>
    <cfRule type="expression" dxfId="599" priority="754">
      <formula>IF(AND($S$32=$O$3,(OR($A32="PULL",$A32="PULL 1",$A32="PULL 2"))),TRUE,FALSE)</formula>
    </cfRule>
    <cfRule type="expression" dxfId="598" priority="755">
      <formula>IF(AND($S$32=$O$3,(OR($A32="UK 1",$A32="UK 2",$A32="OK",$A32="UK 3",W32="Beine",$A32="BEINE 1",$A32="BEINE 2",$A32="BEINE 1"))),TRUE,FALSE)</formula>
    </cfRule>
  </conditionalFormatting>
  <conditionalFormatting sqref="C44">
    <cfRule type="expression" dxfId="597" priority="756">
      <formula>IF(AND($C$44=$O$3,(OR($A44="OK 1",$A44="OK 2",$A44="OK 3",$A44="OK",$A44="PUSH",$A44="PUSH 1",$A44="PUSH 2",$A44="PUSH 3"))),TRUE,FALSE)</formula>
    </cfRule>
  </conditionalFormatting>
  <conditionalFormatting sqref="C44">
    <cfRule type="expression" dxfId="596" priority="758">
      <formula>IF(AND($C$44=$O$3,(OR($A44="GK",$A34="GK 1",$A44="GK 2",$A44="GK 3",$A44="GK 4"))),TRUE,FALSE)</formula>
    </cfRule>
    <cfRule type="expression" dxfId="595" priority="759">
      <formula>IF(AND($C$44=$O$3,(OR($A44="OK 2+",$A44="OK 3+"))),TRUE,FALSE)</formula>
    </cfRule>
    <cfRule type="expression" dxfId="594" priority="760">
      <formula>IF(AND($C$44=$O$3,(OR($A44="PULL",$A44="PULL 1",$A44="PULL 2"))),TRUE,FALSE)</formula>
    </cfRule>
    <cfRule type="expression" dxfId="593" priority="761">
      <formula>IF(AND($C$44=$O$3,(OR($A44="UK 1",$A44="UK 2",$A44="OK",$A44="UK 3",G44="Beine",$A44="BEINE 1",$A44="BEINE 2",$A44="BEINE 1"))),TRUE,FALSE)</formula>
    </cfRule>
  </conditionalFormatting>
  <conditionalFormatting sqref="G44">
    <cfRule type="expression" dxfId="592" priority="762">
      <formula>IF(AND($G$44=$O$3,(OR($A44="OK 1",$A44="OK 2",$A44="OK 3",$A44="OK",$A44="PUSH",$A44="PUSH 1",$A44="PUSH 2",$A44="PUSH 3"))),TRUE,FALSE)</formula>
    </cfRule>
  </conditionalFormatting>
  <conditionalFormatting sqref="G44">
    <cfRule type="expression" dxfId="591" priority="764">
      <formula>IF(AND($G$44=$O$3,(OR($A44="GK",$A34="GK 1",$A44="GK 2",$A44="GK 3",$A44="GK 4"))),TRUE,FALSE)</formula>
    </cfRule>
    <cfRule type="expression" dxfId="590" priority="765">
      <formula>IF(AND($G$44=$O$3,(OR($A44="OK 2+",$A44="OK 3+"))),TRUE,FALSE)</formula>
    </cfRule>
    <cfRule type="expression" dxfId="589" priority="766">
      <formula>IF(AND($G$44=$O$3,(OR($A44="PULL",$A44="PULL 1",$A44="PULL 2"))),TRUE,FALSE)</formula>
    </cfRule>
    <cfRule type="expression" dxfId="588" priority="767">
      <formula>IF(AND($G$44=$O$3,(OR($A44="UK 1",$A44="UK 2",$A44="OK",$A44="UK 3",K44="Beine",$A44="BEINE 1",$A44="BEINE 2",$A44="BEINE 1"))),TRUE,FALSE)</formula>
    </cfRule>
  </conditionalFormatting>
  <conditionalFormatting sqref="K44">
    <cfRule type="expression" dxfId="587" priority="768">
      <formula>IF(AND($K$44=$O$3,(OR($A44="OK 1",$A44="OK 2",$A44="OK 3",$A44="OK",$A44="PUSH",$A44="PUSH 1",$A44="PUSH 2",$A44="PUSH 3"))),TRUE,FALSE)</formula>
    </cfRule>
  </conditionalFormatting>
  <conditionalFormatting sqref="K44">
    <cfRule type="expression" dxfId="586" priority="770">
      <formula>IF(AND($K$44=$O$3,(OR($A44="GK",$A34="GK 1",$A44="GK 2",$A44="GK 3",$A44="GK 4"))),TRUE,FALSE)</formula>
    </cfRule>
    <cfRule type="expression" dxfId="585" priority="771">
      <formula>IF(AND($K$44=$O$3,(OR($A44="OK 2+",$A44="OK 3+"))),TRUE,FALSE)</formula>
    </cfRule>
    <cfRule type="expression" dxfId="584" priority="772">
      <formula>IF(AND($K$44=$O$3,(OR($A44="PULL",$A44="PULL 1",$A44="PULL 2"))),TRUE,FALSE)</formula>
    </cfRule>
    <cfRule type="expression" dxfId="583" priority="773">
      <formula>IF(AND($K$44=$O$3,(OR($A44="UK 1",$A44="UK 2",$A44="OK",$A44="UK 3",O44="Beine",$A44="BEINE 1",$A44="BEINE 2",$A44="BEINE 1"))),TRUE,FALSE)</formula>
    </cfRule>
  </conditionalFormatting>
  <conditionalFormatting sqref="O44">
    <cfRule type="expression" dxfId="582" priority="774">
      <formula>IF(AND($O$44=$O$3,(OR($A44="OK 1",$A44="OK 2",$A44="OK 3",$A44="OK",$A44="PUSH",$A44="PUSH 1",$A44="PUSH 2",$A44="PUSH 3"))),TRUE,FALSE)</formula>
    </cfRule>
  </conditionalFormatting>
  <conditionalFormatting sqref="O44">
    <cfRule type="expression" dxfId="581" priority="776">
      <formula>IF(AND($O$44=$O$3,(OR($A44="GK",$A34="GK 1",$A44="GK 2",$A44="GK 3",$A44="GK 4"))),TRUE,FALSE)</formula>
    </cfRule>
    <cfRule type="expression" dxfId="580" priority="777">
      <formula>IF(AND($O$44=$O$3,(OR($A44="OK 2+",$A44="OK 3+"))),TRUE,FALSE)</formula>
    </cfRule>
    <cfRule type="expression" dxfId="579" priority="778">
      <formula>IF(AND($O$44=$O$3,(OR($A44="PULL",$A44="PULL 1",$A44="PULL 2"))),TRUE,FALSE)</formula>
    </cfRule>
    <cfRule type="expression" dxfId="578" priority="779">
      <formula>IF(AND($O$44=$O$3,(OR($A44="UK 1",$A44="UK 2",$A44="OK",$A44="UK 3",S44="Beine",$A44="BEINE 1",$A44="BEINE 2",$A44="BEINE 1"))),TRUE,FALSE)</formula>
    </cfRule>
  </conditionalFormatting>
  <conditionalFormatting sqref="S44">
    <cfRule type="expression" dxfId="577" priority="780">
      <formula>IF(AND($S$44=$O$3,(OR($A44="OK 1",$A44="OK 2",$A44="OK 3",$A44="OK",$A44="PUSH",$A44="PUSH 1",$A44="PUSH 2",$A44="PUSH 3"))),TRUE,FALSE)</formula>
    </cfRule>
  </conditionalFormatting>
  <conditionalFormatting sqref="S44">
    <cfRule type="expression" dxfId="576" priority="782">
      <formula>IF(AND($S$44=$O$3,(OR($A44="GK",$A34="GK 1",$A44="GK 2",$A44="GK 3",$A44="GK 4"))),TRUE,FALSE)</formula>
    </cfRule>
    <cfRule type="expression" dxfId="575" priority="783">
      <formula>IF(AND($S$44=$O$3,(OR($A44="OK 2+",$A44="OK 3+"))),TRUE,FALSE)</formula>
    </cfRule>
    <cfRule type="expression" dxfId="574" priority="784">
      <formula>IF(AND($S$44=$O$3,(OR($A44="PULL",$A44="PULL 1",$A44="PULL 2"))),TRUE,FALSE)</formula>
    </cfRule>
    <cfRule type="expression" dxfId="573" priority="785">
      <formula>IF(AND($S$44=$O$3,(OR($A44="UK 1",$A44="UK 2",$A44="OK",$A44="UK 3",W44="Beine",$A44="BEINE 1",$A44="BEINE 2",$A44="BEINE 1"))),TRUE,FALSE)</formula>
    </cfRule>
  </conditionalFormatting>
  <conditionalFormatting sqref="C54">
    <cfRule type="expression" dxfId="572" priority="786">
      <formula>IF(AND($C$54=$O$3,(OR($A54="OK 1",$A54="OK 2",$A54="OK 3",$A54="OK",$A54="PUSH",$A54="PUSH 1",$A54="PUSH 2",$A54="PUSH 3"))),TRUE,FALSE)</formula>
    </cfRule>
  </conditionalFormatting>
  <conditionalFormatting sqref="C54">
    <cfRule type="expression" dxfId="571" priority="788">
      <formula>IF(AND($C$54=$O$3,(OR($A54="GK",$A44="GK 1",$A54="GK 2",$A54="GK 3",$A54="GK 4"))),TRUE,FALSE)</formula>
    </cfRule>
    <cfRule type="expression" dxfId="570" priority="789">
      <formula>IF(AND($C$54=$O$3,(OR($A54="OK 2+",$A54="OK 3+"))),TRUE,FALSE)</formula>
    </cfRule>
    <cfRule type="expression" dxfId="569" priority="790">
      <formula>IF(AND($C$54=$O$3,(OR($A54="PULL",$A54="PULL 1",$A54="PULL 2"))),TRUE,FALSE)</formula>
    </cfRule>
    <cfRule type="expression" dxfId="568" priority="791">
      <formula>IF(AND($C$54=$O$3,(OR($A54="UK 1",$A54="UK 2",$A54="OK",$A54="UK 3",G54="Beine",$A54="BEINE 1",$A54="BEINE 2",$A54="BEINE 1"))),TRUE,FALSE)</formula>
    </cfRule>
  </conditionalFormatting>
  <conditionalFormatting sqref="G54">
    <cfRule type="expression" dxfId="567" priority="792">
      <formula>IF(AND($G$54=$O$3,(OR($A54="OK 1",$A54="OK 2",$A54="OK 3",$A54="OK",$A54="PUSH",$A54="PUSH 1",$A54="PUSH 2",$A54="PUSH 3"))),TRUE,FALSE)</formula>
    </cfRule>
  </conditionalFormatting>
  <conditionalFormatting sqref="G54">
    <cfRule type="expression" dxfId="566" priority="794">
      <formula>IF(AND($G$54=$O$3,(OR($A54="GK",$A44="GK 1",$A54="GK 2",$A54="GK 3",$A54="GK 4"))),TRUE,FALSE)</formula>
    </cfRule>
    <cfRule type="expression" dxfId="565" priority="795">
      <formula>IF(AND($G$54=$O$3,(OR($A54="OK 2+",$A54="OK 3+"))),TRUE,FALSE)</formula>
    </cfRule>
    <cfRule type="expression" dxfId="564" priority="796">
      <formula>IF(AND($G$54=$O$3,(OR($A54="PULL",$A54="PULL 1",$A54="PULL 2"))),TRUE,FALSE)</formula>
    </cfRule>
    <cfRule type="expression" dxfId="563" priority="797">
      <formula>IF(AND($G$54=$O$3,(OR($A54="UK 1",$A54="UK 2",$A54="OK",$A54="UK 3",K54="Beine",$A54="BEINE 1",$A54="BEINE 2",$A54="BEINE 1"))),TRUE,FALSE)</formula>
    </cfRule>
  </conditionalFormatting>
  <conditionalFormatting sqref="K54">
    <cfRule type="expression" dxfId="562" priority="798">
      <formula>IF(AND($K$54=$O$3,(OR($A54="OK 1",$A54="OK 2",$A54="OK 3",$A54="OK",$A54="PUSH",$A54="PUSH 1",$A54="PUSH 2",$A54="PUSH 3"))),TRUE,FALSE)</formula>
    </cfRule>
  </conditionalFormatting>
  <conditionalFormatting sqref="K54">
    <cfRule type="expression" dxfId="561" priority="800">
      <formula>IF(AND($K$54=$O$3,(OR($A54="GK",$A44="GK 1",$A54="GK 2",$A54="GK 3",$A54="GK 4"))),TRUE,FALSE)</formula>
    </cfRule>
    <cfRule type="expression" dxfId="560" priority="801">
      <formula>IF(AND($K$54=$O$3,(OR($A54="OK 2+",$A54="OK 3+"))),TRUE,FALSE)</formula>
    </cfRule>
    <cfRule type="expression" dxfId="559" priority="802">
      <formula>IF(AND($K$54=$O$3,(OR($A54="PULL",$A54="PULL 1",$A54="PULL 2"))),TRUE,FALSE)</formula>
    </cfRule>
    <cfRule type="expression" dxfId="558" priority="803">
      <formula>IF(AND($K$54=$O$3,(OR($A54="UK 1",$A54="UK 2",$A54="OK",$A54="UK 3",O54="Beine",$A54="BEINE 1",$A54="BEINE 2",$A54="BEINE 1"))),TRUE,FALSE)</formula>
    </cfRule>
  </conditionalFormatting>
  <conditionalFormatting sqref="O54">
    <cfRule type="expression" dxfId="557" priority="804">
      <formula>IF(AND($O$54=$O$3,(OR($A54="OK 1",$A54="OK 2",$A54="OK 3",$A54="OK",$A54="PUSH",$A54="PUSH 1",$A54="PUSH 2",$A54="PUSH 3"))),TRUE,FALSE)</formula>
    </cfRule>
  </conditionalFormatting>
  <conditionalFormatting sqref="O54">
    <cfRule type="expression" dxfId="556" priority="806">
      <formula>IF(AND($O$54=$O$3,(OR($A54="GK",$A44="GK 1",$A54="GK 2",$A54="GK 3",$A54="GK 4"))),TRUE,FALSE)</formula>
    </cfRule>
    <cfRule type="expression" dxfId="555" priority="807">
      <formula>IF(AND($O$54=$O$3,(OR($A54="OK 2+",$A54="OK 3+"))),TRUE,FALSE)</formula>
    </cfRule>
    <cfRule type="expression" dxfId="554" priority="808">
      <formula>IF(AND($O$54=$O$3,(OR($A54="PULL",$A54="PULL 1",$A54="PULL 2"))),TRUE,FALSE)</formula>
    </cfRule>
    <cfRule type="expression" dxfId="553" priority="809">
      <formula>IF(AND($O$54=$O$3,(OR($A54="UK 1",$A54="UK 2",$A54="OK",$A54="UK 3",S54="Beine",$A54="BEINE 1",$A54="BEINE 2",$A54="BEINE 1"))),TRUE,FALSE)</formula>
    </cfRule>
  </conditionalFormatting>
  <conditionalFormatting sqref="S54">
    <cfRule type="expression" dxfId="552" priority="810">
      <formula>IF(AND($S$54=$O$3,(OR($A54="OK 1",$A54="OK 2",$A54="OK 3",$A54="OK",$A54="PUSH",$A54="PUSH 1",$A54="PUSH 2",$A54="PUSH 3"))),TRUE,FALSE)</formula>
    </cfRule>
  </conditionalFormatting>
  <conditionalFormatting sqref="S54">
    <cfRule type="expression" dxfId="551" priority="812">
      <formula>IF(AND($S$54=$O$3,(OR($A54="GK",$A44="GK 1",$A54="GK 2",$A54="GK 3",$A54="GK 4"))),TRUE,FALSE)</formula>
    </cfRule>
    <cfRule type="expression" dxfId="550" priority="813">
      <formula>IF(AND($S$54=$O$3,(OR($A54="OK 2+",$A54="OK 3+"))),TRUE,FALSE)</formula>
    </cfRule>
    <cfRule type="expression" dxfId="549" priority="814">
      <formula>IF(AND($S$54=$O$3,(OR($A54="PULL",$A54="PULL 1",$A54="PULL 2"))),TRUE,FALSE)</formula>
    </cfRule>
    <cfRule type="expression" dxfId="548" priority="815">
      <formula>IF(AND($S$54=$O$3,(OR($A54="UK 1",$A54="UK 2",$A54="OK",$A54="UK 3",W54="Beine",$A54="BEINE 1",$A54="BEINE 2",$A54="BEINE 1"))),TRUE,FALSE)</formula>
    </cfRule>
  </conditionalFormatting>
  <conditionalFormatting sqref="C66">
    <cfRule type="expression" dxfId="547" priority="816">
      <formula>IF(AND($C$66=$O$3,(OR($A66="OK 1",$A66="OK 2",$A66="OK 3",$A66="OK",$A66="PUSH",$A66="PUSH 1",$A66="PUSH 2",$A66="PUSH 3"))),TRUE,FALSE)</formula>
    </cfRule>
  </conditionalFormatting>
  <conditionalFormatting sqref="C66">
    <cfRule type="expression" dxfId="546" priority="818">
      <formula>IF(AND($C$66=$O$3,(OR($A66="GK",$A56="GK 1",$A66="GK 2",$A66="GK 3",$A66="GK 4"))),TRUE,FALSE)</formula>
    </cfRule>
    <cfRule type="expression" dxfId="545" priority="819">
      <formula>IF(AND($C$66=$O$3,(OR($A66="OK 2+",$A66="OK 3+"))),TRUE,FALSE)</formula>
    </cfRule>
    <cfRule type="expression" dxfId="544" priority="820">
      <formula>IF(AND($C$66=$O$3,(OR($A66="PULL",$A66="PULL 1",$A66="PULL 2"))),TRUE,FALSE)</formula>
    </cfRule>
    <cfRule type="expression" dxfId="543" priority="821">
      <formula>IF(AND($C$66=$O$3,(OR($A66="UK 1",$A66="UK 2",$A66="OK",$A66="UK 3",G66="Beine",$A66="BEINE 1",$A66="BEINE 2",$A66="BEINE 1"))),TRUE,FALSE)</formula>
    </cfRule>
  </conditionalFormatting>
  <conditionalFormatting sqref="G66">
    <cfRule type="expression" dxfId="542" priority="822">
      <formula>IF(AND($G$66=$O$3,(OR($A66="OK 1",$A66="OK 2",$A66="OK 3",$A66="OK",$A66="PUSH",$A66="PUSH 1",$A66="PUSH 2",$A66="PUSH 3"))),TRUE,FALSE)</formula>
    </cfRule>
  </conditionalFormatting>
  <conditionalFormatting sqref="G66">
    <cfRule type="expression" dxfId="541" priority="824">
      <formula>IF(AND($G$66=$O$3,(OR($A66="GK",$A56="GK 1",$A66="GK 2",$A66="GK 3",$A66="GK 4"))),TRUE,FALSE)</formula>
    </cfRule>
    <cfRule type="expression" dxfId="540" priority="825">
      <formula>IF(AND($G$66=$O$3,(OR($A66="OK 2+",$A66="OK 3+"))),TRUE,FALSE)</formula>
    </cfRule>
    <cfRule type="expression" dxfId="539" priority="826">
      <formula>IF(AND($G$66=$O$3,(OR($A66="PULL",$A66="PULL 1",$A66="PULL 2"))),TRUE,FALSE)</formula>
    </cfRule>
    <cfRule type="expression" dxfId="538" priority="827">
      <formula>IF(AND($G$66=$O$3,(OR($A66="UK 1",$A66="UK 2",$A66="OK",$A66="UK 3",K66="Beine",$A66="BEINE 1",$A66="BEINE 2",$A66="BEINE 1"))),TRUE,FALSE)</formula>
    </cfRule>
  </conditionalFormatting>
  <conditionalFormatting sqref="K66">
    <cfRule type="expression" dxfId="537" priority="828">
      <formula>IF(AND($K$66=$O$3,(OR($A66="OK 1",$A66="OK 2",$A66="OK 3",$A66="OK",$A66="PUSH",$A66="PUSH 1",$A66="PUSH 2",$A66="PUSH 3"))),TRUE,FALSE)</formula>
    </cfRule>
  </conditionalFormatting>
  <conditionalFormatting sqref="K66">
    <cfRule type="expression" dxfId="536" priority="830">
      <formula>IF(AND($K$66=$O$3,(OR($A66="GK",$A56="GK 1",$A66="GK 2",$A66="GK 3",$A66="GK 4"))),TRUE,FALSE)</formula>
    </cfRule>
    <cfRule type="expression" dxfId="535" priority="831">
      <formula>IF(AND($K$66=$O$3,(OR($A66="OK 2+",$A66="OK 3+"))),TRUE,FALSE)</formula>
    </cfRule>
    <cfRule type="expression" dxfId="534" priority="832">
      <formula>IF(AND($K$66=$O$3,(OR($A66="PULL",$A66="PULL 1",$A66="PULL 2"))),TRUE,FALSE)</formula>
    </cfRule>
    <cfRule type="expression" dxfId="533" priority="833">
      <formula>IF(AND($K$66=$O$3,(OR($A66="UK 1",$A66="UK 2",$A66="OK",$A66="UK 3",O66="Beine",$A66="BEINE 1",$A66="BEINE 2",$A66="BEINE 1"))),TRUE,FALSE)</formula>
    </cfRule>
  </conditionalFormatting>
  <conditionalFormatting sqref="O66">
    <cfRule type="expression" dxfId="532" priority="834">
      <formula>IF(AND($O$66=$O$3,(OR($A66="OK 1",$A66="OK 2",$A66="OK 3",$A66="OK",$A66="PUSH",$A66="PUSH 1",$A66="PUSH 2",$A66="PUSH 3"))),TRUE,FALSE)</formula>
    </cfRule>
  </conditionalFormatting>
  <conditionalFormatting sqref="O66">
    <cfRule type="expression" dxfId="531" priority="836">
      <formula>IF(AND($O$66=$O$3,(OR($A66="GK",$A56="GK 1",$A66="GK 2",$A66="GK 3",$A66="GK 4"))),TRUE,FALSE)</formula>
    </cfRule>
    <cfRule type="expression" dxfId="530" priority="837">
      <formula>IF(AND($O$66=$O$3,(OR($A66="OK 2+",$A66="OK 3+"))),TRUE,FALSE)</formula>
    </cfRule>
    <cfRule type="expression" dxfId="529" priority="838">
      <formula>IF(AND($O$66=$O$3,(OR($A66="PULL",$A66="PULL 1",$A66="PULL 2"))),TRUE,FALSE)</formula>
    </cfRule>
    <cfRule type="expression" dxfId="528" priority="839">
      <formula>IF(AND($O$66=$O$3,(OR($A66="UK 1",$A66="UK 2",$A66="OK",$A66="UK 3",S66="Beine",$A66="BEINE 1",$A66="BEINE 2",$A66="BEINE 1"))),TRUE,FALSE)</formula>
    </cfRule>
  </conditionalFormatting>
  <conditionalFormatting sqref="S66">
    <cfRule type="expression" dxfId="527" priority="840">
      <formula>IF(AND($S$66=$O$3,(OR($A66="OK 1",$A66="OK 2",$A66="OK 3",$A66="OK",$A66="PUSH",$A66="PUSH 1",$A66="PUSH 2",$A66="PUSH 3"))),TRUE,FALSE)</formula>
    </cfRule>
  </conditionalFormatting>
  <conditionalFormatting sqref="S66">
    <cfRule type="expression" dxfId="526" priority="842">
      <formula>IF(AND($S$66=$O$3,(OR($A66="GK",$A56="GK 1",$A66="GK 2",$A66="GK 3",$A66="GK 4"))),TRUE,FALSE)</formula>
    </cfRule>
    <cfRule type="expression" dxfId="525" priority="843">
      <formula>IF(AND($S$66=$O$3,(OR($A66="OK 2+",$A66="OK 3+"))),TRUE,FALSE)</formula>
    </cfRule>
    <cfRule type="expression" dxfId="524" priority="844">
      <formula>IF(AND($S$66=$O$3,(OR($A66="PULL",$A66="PULL 1",$A66="PULL 2"))),TRUE,FALSE)</formula>
    </cfRule>
    <cfRule type="expression" dxfId="523" priority="845">
      <formula>IF(AND($S$66=$O$3,(OR($A66="UK 1",$A66="UK 2",$A66="OK",$A66="UK 3",W66="Beine",$A66="BEINE 1",$A66="BEINE 2",$A66="BEINE 1"))),TRUE,FALSE)</formula>
    </cfRule>
  </conditionalFormatting>
  <conditionalFormatting sqref="O24:Q24">
    <cfRule type="expression" priority="2">
      <formula>IF($O$24=$O$3,TRUE,FALSE)</formula>
    </cfRule>
  </conditionalFormatting>
  <conditionalFormatting sqref="S24:U24">
    <cfRule type="expression" priority="1">
      <formula>IF($S$24=$O$3,TRUE,FALSE)</formula>
    </cfRule>
  </conditionalFormatting>
  <conditionalFormatting sqref="Y14">
    <cfRule type="expression" dxfId="513" priority="862">
      <formula>IF(AB23=5,TRUE,FALSE)</formula>
    </cfRule>
  </conditionalFormatting>
  <conditionalFormatting sqref="Z11:Z13">
    <cfRule type="expression" dxfId="512" priority="863">
      <formula>IF(AB23=5,TRUE,FALSE)</formula>
    </cfRule>
  </conditionalFormatting>
  <pageMargins left="0.5" right="0.5" top="0.75" bottom="0.75" header="0" footer="0"/>
  <pageSetup paperSize="9" orientation="portrait" r:id="rId1"/>
  <headerFooter>
    <oddFooter>&amp;C000000&amp;P</oddFooter>
  </headerFooter>
  <ignoredErrors>
    <ignoredError sqref="N86:Q86 L86 H86" twoDigitTextYear="1"/>
  </ignoredErrors>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846" id="{100FF0EF-2D7C-42F6-A964-BCDEB07D4F7F}">
            <xm:f>IF(AND(Dashboard!$C$31="5 Wochen",$AB$23=2),TRUE,IF(AND(Dashboard!$C$31="6 Wochen",$AB$23=2),TRUE,IF(AND(Dashboard!$C$31="7 Wochen",OR($AB$23=2,$AB$23=3)),TRUE,IF(AND(Dashboard!$C$31="8 Wochen",OR($AB$23=2,$AB$23=3)),TRUE,FALSE))))</xm:f>
            <x14:dxf>
              <font>
                <color rgb="FF9148C8"/>
              </font>
            </x14:dxf>
          </x14:cfRule>
          <xm:sqref>G10 G11:I11 H7:H9</xm:sqref>
        </x14:conditionalFormatting>
        <x14:conditionalFormatting xmlns:xm="http://schemas.microsoft.com/office/excel/2006/main">
          <x14:cfRule type="expression" priority="847" id="{25B97727-9C6D-4E9D-A608-2214FD6077A0}">
            <xm:f>IF(AND(Dashboard!$C$31="4 Wochen",$AB$23=1),TRUE,IF(AND(Dashboard!$C$31="5 Wochen",$AB$23=1),TRUE,IF(AND(Dashboard!$C$31="6 Wochen",$AB$23=1),TRUE,IF(AND(Dashboard!$C$31="7 Wochen",$AB$23=1),TRUE,IF(AND(Dashboard!$C$31="8 Wochen",$AB$23=1),TRUE,FALSE)))))</xm:f>
            <x14:dxf>
              <font>
                <b/>
                <i val="0"/>
                <color rgb="FF9148C8"/>
              </font>
            </x14:dxf>
          </x14:cfRule>
          <xm:sqref>C10</xm:sqref>
        </x14:conditionalFormatting>
        <x14:conditionalFormatting xmlns:xm="http://schemas.microsoft.com/office/excel/2006/main">
          <x14:cfRule type="expression" priority="848" id="{98BACA77-2B3D-4B5B-AA96-C0DA945963DE}">
            <xm:f>IF(AND(Dashboard!$C$31="4 Wochen",$AB$23=2),TRUE,IF(AND(Dashboard!$C$31="5 Wochen",$AB$23=3),TRUE,IF(AND(Dashboard!$C$31="6 Wochen",OR($AB$23=3,$AB$23=4)),TRUE,IF(AND(Dashboard!$C$31="7 Wochen",OR($AB$23=4,$AB$23=5)),TRUE,IF(AND(Dashboard!$C$31="8 Wochen",OR($AB$23=4,$AB$23=5,$AB$23=6)),TRUE,FALSE)))))</xm:f>
            <x14:dxf>
              <font>
                <color rgb="FF9148C8"/>
              </font>
            </x14:dxf>
          </x14:cfRule>
          <xm:sqref>K10 K11:M11</xm:sqref>
        </x14:conditionalFormatting>
        <x14:conditionalFormatting xmlns:xm="http://schemas.microsoft.com/office/excel/2006/main">
          <x14:cfRule type="expression" priority="849" id="{032EF9D0-6CA6-45CF-B7CD-7DD29921EE80}">
            <xm:f>IF(AND(Dashboard!$C$31="4 Wochen",$AB$23=3),TRUE,IF(AND(Dashboard!$C$31="5 Wochen",$AB$23=4),TRUE,IF(AND(Dashboard!$C$31="6 Wochen",$AB$23=5),TRUE,IF(AND(Dashboard!$C$31="7 Wochen",$AB$23=6),TRUE,IF(AND(Dashboard!$C$31="8 Wochen",$AB$23=7),TRUE,FALSE)))))</xm:f>
            <x14:dxf>
              <font>
                <color rgb="FF9148C8"/>
              </font>
            </x14:dxf>
          </x14:cfRule>
          <xm:sqref>O10 O11:Q11</xm:sqref>
        </x14:conditionalFormatting>
        <x14:conditionalFormatting xmlns:xm="http://schemas.microsoft.com/office/excel/2006/main">
          <x14:cfRule type="expression" priority="850" id="{C2DAE489-7552-4756-95CF-FC9D7210B070}">
            <xm:f>IF(AND(Dashboard!$C$31="4 Wochen",$AB$23=4),TRUE,IF(AND(Dashboard!$C$31="5 Wochen",$AB$23=5),TRUE,IF(AND(Dashboard!$C$31="6 Wochen",$AB$23=6),TRUE,IF(AND(Dashboard!$C$31="7 Wochen",$AB$23=7),TRUE,IF(AND(Dashboard!$C$31="8 Wochen",$AB$23=8),TRUE,FALSE)))))</xm:f>
            <x14:dxf>
              <font>
                <color rgb="FF9148C8"/>
              </font>
            </x14:dxf>
          </x14:cfRule>
          <xm:sqref>S10 S11:U11 T7:T9</xm:sqref>
        </x14:conditionalFormatting>
        <x14:conditionalFormatting xmlns:xm="http://schemas.microsoft.com/office/excel/2006/main">
          <x14:cfRule type="expression" priority="851" id="{BE68FA16-B561-4EBB-AF98-913192283559}">
            <xm:f>IF(AND(Dashboard!$C$31="4 Wochen",$AB$23=3),TRUE,IF(AND(Dashboard!$C$31="5 Wochen",$AB$23=4),TRUE,IF(AND(Dashboard!$C$31="6 Wochen",$AB$23=5),TRUE,IF(AND(Dashboard!$C$31="7 Wochen",$AB$23=6),TRUE,IF(AND(Dashboard!$C$31="8 Wochen",$AB$23=7),TRUE,FALSE)))))</xm:f>
            <x14:dxf>
              <font>
                <color rgb="FF9148C8"/>
              </font>
            </x14:dxf>
          </x14:cfRule>
          <x14:cfRule type="expression" priority="852" id="{F3F66DEB-CE67-455F-B360-9C8E371F457E}">
            <xm:f>IF(AND(Dashboard!$C$31="4 Wochen",$AB$23=3),TRUE,IF(AND(Dashboard!$C$31="5 Wochen",$AB$23=4),TRUE,IF(AND(Dashboard!$C$31="6 Wochen",$AB$23=5),TRUE,IF(AND(Dashboard!$C$31="7 Wochen",$AB$23=6),TRUE,IF(AND(Dashboard!$C$31="8 Wochen",$AB$23=7),TRUE,FALSE)))))</xm:f>
            <x14:dxf>
              <font>
                <color rgb="FF9148C8"/>
              </font>
            </x14:dxf>
          </x14:cfRule>
          <xm:sqref>P7:P9</xm:sqref>
        </x14:conditionalFormatting>
        <x14:conditionalFormatting xmlns:xm="http://schemas.microsoft.com/office/excel/2006/main">
          <x14:cfRule type="expression" priority="853" id="{8E078D6B-1642-4CAC-AB47-EE2227F78800}">
            <xm:f>IF(AND(Dashboard!$C$31="4 Wochen",$AB$23=1),TRUE,IF(AND(Dashboard!$C$31="5 Wochen",$AB$23=1),TRUE,IF(AND(Dashboard!$C$31="6 Wochen",$AB$23=1),TRUE,IF(AND(Dashboard!$C$31="7 Wochen",$AB$23=1),TRUE,IF(AND(Dashboard!$C$31="8 Wochen",$AB$23=1),TRUE,FALSE)))))</xm:f>
            <x14:dxf>
              <font>
                <color rgb="FF9148C8"/>
              </font>
            </x14:dxf>
          </x14:cfRule>
          <xm:sqref>C11</xm:sqref>
        </x14:conditionalFormatting>
        <x14:conditionalFormatting xmlns:xm="http://schemas.microsoft.com/office/excel/2006/main">
          <x14:cfRule type="expression" priority="854" id="{44631F8F-8EBB-4A20-ABA6-7648F1800865}">
            <xm:f>IF(AND(Dashboard!$C$31="4 Wochen",$AB$23=1),TRUE,IF(AND(Dashboard!$C$31="5 Wochen",$AB$23=1),TRUE,IF(AND(Dashboard!$C$31="6 Wochen",$AB$23=1),TRUE,IF(AND(Dashboard!$C$31="7 Wochen",$AB$23=1),TRUE,IF(AND(Dashboard!$C$31="8 Wochen",$AB$23=1),TRUE,FALSE)))))</xm:f>
            <x14:dxf>
              <font>
                <b/>
                <i val="0"/>
                <color rgb="FF9148C8"/>
              </font>
            </x14:dxf>
          </x14:cfRule>
          <xm:sqref>D7:D9</xm:sqref>
        </x14:conditionalFormatting>
        <x14:conditionalFormatting xmlns:xm="http://schemas.microsoft.com/office/excel/2006/main">
          <x14:cfRule type="expression" priority="858" id="{C4228B44-3A7B-4D6D-9367-50E14F18E6E4}">
            <xm:f>IF(AND(Dashboard!$C$31="4 Wochen",$AB$23=2),TRUE,IF(AND(Dashboard!$C$31="5 Wochen",$AB$23=3),TRUE,IF(AND(Dashboard!$C$31="6 Wochen",OR($AB$23=3,$AB$23=4)),TRUE,IF(AND(Dashboard!$C$31="7 Wochen",OR($AB$23=4,$AB$23=5)),TRUE,IF(AND(Dashboard!$C$31="8 Wochen",OR($AB$23=4,$AB$23=5,$AB$23=6)),TRUE,FALSE)))))</xm:f>
            <x14:dxf>
              <font>
                <b/>
                <i val="0"/>
                <color rgb="FF9148C8"/>
              </font>
            </x14:dxf>
          </x14:cfRule>
          <xm:sqref>L7:L9</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5BFDB8BC-7825-4970-B21D-6F52730F8D4F}">
          <x14:formula1>
            <xm:f>'Funktions-Tabelle'!$S$60:$S$65</xm:f>
          </x14:formula1>
          <xm:sqref>A24 A32 A13 A44</xm:sqref>
        </x14:dataValidation>
        <x14:dataValidation type="list" allowBlank="1" showInputMessage="1" showErrorMessage="1" xr:uid="{C91BE4A9-6DF3-4845-8692-64D9BB829369}">
          <x14:formula1>
            <xm:f>'Funktions-Tabelle'!$S$60:$S$66</xm:f>
          </x14:formula1>
          <xm:sqref>A54 A66</xm:sqref>
        </x14:dataValidation>
        <x14:dataValidation type="list" allowBlank="1" showInputMessage="1" showErrorMessage="1" xr:uid="{D93011F0-451B-48AC-9579-7DC657B41923}">
          <x14:formula1>
            <xm:f>'Funktions-Tabelle'!$AP57:$AV57</xm:f>
          </x14:formula1>
          <xm:sqref>M68</xm:sqref>
        </x14:dataValidation>
        <x14:dataValidation type="list" allowBlank="1" showInputMessage="1" showErrorMessage="1" xr:uid="{EC90ECD0-9701-4DC5-A81D-DA8747F16CA2}">
          <x14:formula1>
            <xm:f>'Funktions-Tabelle'!$BC5:$BI5</xm:f>
          </x14:formula1>
          <xm:sqref>Q34:Q42 Q68 Q56:Q63 Q46:Q51 Q15:Q22 Q26:Q30</xm:sqref>
        </x14:dataValidation>
        <x14:dataValidation type="list" allowBlank="1" showInputMessage="1" showErrorMessage="1" xr:uid="{44E17A87-CABA-4761-9179-CB6873AEEF86}">
          <x14:formula1>
            <xm:f>'Funktions-Tabelle'!AP5:AV5</xm:f>
          </x14:formula1>
          <xm:sqref>M15:M22</xm:sqref>
        </x14:dataValidation>
        <x14:dataValidation type="list" allowBlank="1" showInputMessage="1" showErrorMessage="1" xr:uid="{D2563BCA-2562-422C-81BA-EBE559C0E116}">
          <x14:formula1>
            <xm:f>'Funktions-Tabelle'!$AP16:$AV16</xm:f>
          </x14:formula1>
          <xm:sqref>M26:M30 M56:M63 M46:M51 M34:M42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AA6E8-E6D3-4C59-8B87-4D1788A5FAE3}">
  <dimension ref="B2:K233"/>
  <sheetViews>
    <sheetView showGridLines="0" topLeftCell="A7" zoomScale="98" zoomScaleNormal="98" workbookViewId="0">
      <selection activeCell="K19" sqref="K19"/>
    </sheetView>
  </sheetViews>
  <sheetFormatPr baseColWidth="10" defaultRowHeight="12.75"/>
  <cols>
    <col min="1" max="1" width="3" customWidth="1"/>
    <col min="2" max="8" width="20.7109375" customWidth="1"/>
    <col min="9" max="9" width="14" customWidth="1"/>
    <col min="10" max="10" width="32" customWidth="1"/>
    <col min="11" max="19" width="25.7109375" customWidth="1"/>
  </cols>
  <sheetData>
    <row r="2" spans="2:11" ht="50.1" customHeight="1"/>
    <row r="3" spans="2:11" ht="50.1" customHeight="1"/>
    <row r="4" spans="2:11" ht="50.1" customHeight="1"/>
    <row r="5" spans="2:11" ht="69.95" customHeight="1" thickBot="1">
      <c r="B5" s="866">
        <f ca="1">YEAR(TODAY())</f>
        <v>2020</v>
      </c>
      <c r="C5" s="860">
        <f ca="1">TODAY()</f>
        <v>43951</v>
      </c>
      <c r="I5" s="245"/>
      <c r="J5" s="245"/>
      <c r="K5" s="245"/>
    </row>
    <row r="6" spans="2:11" ht="18" customHeight="1" thickTop="1">
      <c r="B6" s="861" t="s">
        <v>417</v>
      </c>
      <c r="C6" s="864" t="s">
        <v>418</v>
      </c>
      <c r="D6" s="862" t="s">
        <v>419</v>
      </c>
      <c r="E6" s="865" t="s">
        <v>420</v>
      </c>
      <c r="F6" s="862" t="s">
        <v>421</v>
      </c>
      <c r="G6" s="865" t="s">
        <v>422</v>
      </c>
      <c r="H6" s="863" t="s">
        <v>423</v>
      </c>
      <c r="I6" s="245"/>
      <c r="J6" s="245"/>
      <c r="K6" s="245"/>
    </row>
    <row r="7" spans="2:11" ht="18" customHeight="1">
      <c r="B7" s="867">
        <f ca="1">EOMONTH($C$5,-1)-(WEEKDAY(EOMONTH($C$5,-1),2)-1)</f>
        <v>43920</v>
      </c>
      <c r="C7" s="867">
        <f ca="1">B7+1</f>
        <v>43921</v>
      </c>
      <c r="D7" s="867">
        <f t="shared" ref="D7:H7" ca="1" si="0">C7+1</f>
        <v>43922</v>
      </c>
      <c r="E7" s="867">
        <f t="shared" ca="1" si="0"/>
        <v>43923</v>
      </c>
      <c r="F7" s="867">
        <f t="shared" ca="1" si="0"/>
        <v>43924</v>
      </c>
      <c r="G7" s="867">
        <f t="shared" ca="1" si="0"/>
        <v>43925</v>
      </c>
      <c r="H7" s="867">
        <f t="shared" ca="1" si="0"/>
        <v>43926</v>
      </c>
      <c r="I7" s="875"/>
      <c r="J7" s="245"/>
      <c r="K7" s="245"/>
    </row>
    <row r="8" spans="2:11" ht="69.95" customHeight="1">
      <c r="B8" s="874" t="s">
        <v>424</v>
      </c>
      <c r="C8" s="874" t="s">
        <v>49</v>
      </c>
      <c r="D8" s="874" t="s">
        <v>58</v>
      </c>
      <c r="E8" s="874" t="s">
        <v>424</v>
      </c>
      <c r="F8" s="874" t="s">
        <v>49</v>
      </c>
      <c r="G8" s="874" t="s">
        <v>65</v>
      </c>
      <c r="H8" s="874" t="s">
        <v>75</v>
      </c>
      <c r="I8" s="245"/>
      <c r="J8" s="245"/>
      <c r="K8" s="245"/>
    </row>
    <row r="9" spans="2:11" ht="18" customHeight="1">
      <c r="B9" s="867">
        <f ca="1">H7+1</f>
        <v>43927</v>
      </c>
      <c r="C9" s="867">
        <f ca="1">B9+1</f>
        <v>43928</v>
      </c>
      <c r="D9" s="867">
        <f t="shared" ref="D9:H9" ca="1" si="1">C9+1</f>
        <v>43929</v>
      </c>
      <c r="E9" s="867">
        <f t="shared" ca="1" si="1"/>
        <v>43930</v>
      </c>
      <c r="F9" s="867">
        <f t="shared" ca="1" si="1"/>
        <v>43931</v>
      </c>
      <c r="G9" s="867">
        <f t="shared" ca="1" si="1"/>
        <v>43932</v>
      </c>
      <c r="H9" s="867">
        <f t="shared" ca="1" si="1"/>
        <v>43933</v>
      </c>
      <c r="I9" s="917"/>
      <c r="J9" s="883"/>
      <c r="K9" s="245"/>
    </row>
    <row r="10" spans="2:11" ht="69.95" customHeight="1">
      <c r="B10" s="874" t="s">
        <v>424</v>
      </c>
      <c r="C10" s="874" t="s">
        <v>49</v>
      </c>
      <c r="D10" s="874" t="s">
        <v>58</v>
      </c>
      <c r="E10" s="874" t="s">
        <v>424</v>
      </c>
      <c r="F10" s="874" t="s">
        <v>49</v>
      </c>
      <c r="G10" s="874" t="s">
        <v>65</v>
      </c>
      <c r="H10" s="874" t="s">
        <v>75</v>
      </c>
      <c r="I10" s="245"/>
      <c r="J10" s="1045" t="str">
        <f>IF(AND(B8=C8,B8&lt;&gt;"Frei",C8&lt;&gt;"Frei",B8&lt;&gt;"Skip",C8&lt;&gt;"Skip",B8&lt;&gt;"Keine Zeit",C8&lt;&gt;"Keine Zeit"),"Achtung kein gleiches Training hintereinander!",IF(AND(C8=D8,C8&lt;&gt;"Frei",D8&lt;&gt;"Frei",C8&lt;&gt;"Skip",D8&lt;&gt;"Skip",C8&lt;&gt;"Keine Zeit",D8&lt;&gt;"Keine Zeit"),"Achtung kein gleiches Training hintereinander!",IF(AND(D8=E8,D8&lt;&gt;"Frei",E8&lt;&gt;"Frei",D8&lt;&gt;"Skip",E8&lt;&gt;"Skip",D8&lt;&gt;"Keine Zeit",E8&lt;&gt;"Keine Zeit"),"Achtung kein gleiches Training hintereinander!",IF(AND(E8=F8,E8&lt;&gt;"Frei",F8&lt;&gt;"Frei",E8&lt;&gt;"Skip",F8&lt;&gt;"Skip",E8&lt;&gt;"Keine Zeit",F8&lt;&gt;"Keine Zeit"),"Achtung kein gleiches Training hintereinander!",IF(AND(F8=G8,F8&lt;&gt;"Frei",G8&lt;&gt;"Frei",F8&lt;&gt;"Skip",G8&lt;&gt;"Skip",F8&lt;&gt;"Keine Zeit",G8&lt;&gt;"Keine Zeit"),"Achtung kein gleiches Training hintereinander!",IF(AND(G8=H8,G8&lt;&gt;"Frei",H8&lt;&gt;"Frei",G8&lt;&gt;"Skip",H8&lt;&gt;"Skip",G8&lt;&gt;"Keine Zeit",H8&lt;&gt;"Keine Zeit"),"Achtung kein gleiches Training hintereinander!",IF(AND(B10=C10,B10&lt;&gt;"Frei",C10&lt;&gt;"Frei",B10&lt;&gt;"Skip",C10&lt;&gt;"Skip",B10&lt;&gt;"Keine Zeit",C10&lt;&gt;"Keine Zeit"),"Achtung kein gleiches Training hintereinander!",IF(AND(C10=D10,C10&lt;&gt;"Frei",D10&lt;&gt;"Frei",C10&lt;&gt;"Skip",D10&lt;&gt;"Skip",C10&lt;&gt;"Keine Zeit",D10&lt;&gt;"Keine Zeit"),"Achtung kein gleiches Training hintereinander!",IF(AND(D10=E10,D10&lt;&gt;"Frei",E10&lt;&gt;"Frei",D10&lt;&gt;"Skip",E10&lt;&gt;"Skip",D10&lt;&gt;"Keine Zeit",E10&lt;&gt;"Keine Zeit"),"Achtung kein gleiches Training hintereinander!",IF(AND(E10=F10,E10&lt;&gt;"Frei",F10&lt;&gt;"Frei",E10&lt;&gt;"Skip",F10&lt;&gt;"Skip",E10&lt;&gt;"Keine Zeit",F10&lt;&gt;"Keine Zeit"),"Achtung kein gleiches Training hintereinander!",IF(AND(F10=G10,F10&lt;&gt;"Frei",G10&lt;&gt;"Frei",F10&lt;&gt;"Skip",G10&lt;&gt;"Skip",F10&lt;&gt;"Keine Zeit",G10&lt;&gt;"Keine Zeit"),"Achtung kein gleiches Training hintereinander!",IF(AND(G10=H10,G10&lt;&gt;"Frei",H10&lt;&gt;"Frei",G10&lt;&gt;"Skip",H10&lt;&gt;"Skip",G10&lt;&gt;"Keine Zeit",H10&lt;&gt;"Keine Zeit"),"Achtung kein gleiches Training hintereinander!",IF(AND(B12=C12,B12&lt;&gt;"Frei",C12&lt;&gt;"Frei",B12&lt;&gt;"Skip",C12&lt;&gt;"Skip",B12&lt;&gt;"Keine Zeit",C12&lt;&gt;"Keine Zeit"),"Achtung kein gleiches Training hintereinander!",IF(AND(C12=D12,C12&lt;&gt;"Frei",D12&lt;&gt;"Frei",C12&lt;&gt;"Skip",D12&lt;&gt;"Skip",C12&lt;&gt;"Keine Zeit",D12&lt;&gt;"Keine Zeit"),"Achtung kein gleiches Training hintereinander!",IF(AND(D12=E12,D12&lt;&gt;"Frei",E12&lt;&gt;"Frei",D12&lt;&gt;"Skip",E12&lt;&gt;"Skip",D12&lt;&gt;"Keine Zeit",E12&lt;&gt;"Keine Zeit"),"Achtung kein gleiches Training hintereinander!",IF(AND(E12=F12,E12&lt;&gt;"Frei",F12&lt;&gt;"Frei",E12&lt;&gt;"Skip",F12&lt;&gt;"Skip",E12&lt;&gt;"Keine Zeit",F12&lt;&gt;"Keine Zeit"),"Achtung kein gleiches Training hintereinander!",IF(AND(F12=G12,F12&lt;&gt;"Frei",G12&lt;&gt;"Frei",F12&lt;&gt;"Skip",G12&lt;&gt;"Skip",F12&lt;&gt;"Keine Zeit",G12&lt;&gt;"Keine Zeit"),"Achtung kein gleiches Training hintereinander!",IF(AND(G12=H12,G12&lt;&gt;"Frei",H12&lt;&gt;"Frei",G12&lt;&gt;"Skip",H12&lt;&gt;"Skip",G12&lt;&gt;"Keine Zeit",H12&lt;&gt;"Keine Zeit"),"Achtung kein gleiches Training hintereinander!",IF(AND(B14=C14,B14&lt;&gt;"Frei",C14&lt;&gt;"Frei",B14&lt;&gt;"Skip",C14&lt;&gt;"Skip",B14&lt;&gt;"Keine Zeit",C14&lt;&gt;"Keine Zeit"),"Achtung kein gleiches Training hintereinander!",IF(AND(C14=D14,C14&lt;&gt;"Frei",D14&lt;&gt;"Frei",C14&lt;&gt;"Skip",D14&lt;&gt;"Skip",C14&lt;&gt;"Keine Zeit",D14&lt;&gt;"Keine Zeit"),"Achtung kein gleiches Training hintereinander!",IF(AND(D14=E14,D14&lt;&gt;"Frei",E14&lt;&gt;"Frei",D14&lt;&gt;"Skip",E14&lt;&gt;"Skip",D14&lt;&gt;"Keine Zeit",E14&lt;&gt;"Keine Zeit"),"Achtung kein gleiches Training hintereinander!",IF(AND(E14=F14,E14&lt;&gt;"Frei",F14&lt;&gt;"Frei",E14&lt;&gt;"Skip",F14&lt;&gt;"Skip",E14&lt;&gt;"Keine Zeit",F14&lt;&gt;"Keine Zeit"),"Achtung kein gleiches Training hintereinander!",IF(AND(F14=G14,F14&lt;&gt;"Frei",G14&lt;&gt;"Frei",F14&lt;&gt;"Skip",G14&lt;&gt;"Skip",F14&lt;&gt;"Keine Zeit",G14&lt;&gt;"Keine Zeit"),"Achtung kein gleiches Training hintereinander!",IF(AND(G14=H14,G14&lt;&gt;"Frei",H14&lt;&gt;"Frei",G14&lt;&gt;"Skip",H14&lt;&gt;"Skip",G14&lt;&gt;"Keine Zeit",H14&lt;&gt;"Keine Zeit"),"Achtung kein gleiches Training hintereinander!",IF(AND(B16=C16,B16&lt;&gt;"Frei",C16&lt;&gt;"Frei",B16&lt;&gt;"Skip",C16&lt;&gt;"Skip",B16&lt;&gt;"Keine Zeit",C16&lt;&gt;"Keine Zeit"),"Achtung kein gleiches Training hintereinander!",IF(AND(C16=D16,C16&lt;&gt;"Frei",D16&lt;&gt;"Frei",C16&lt;&gt;"Skip",D16&lt;&gt;"Skip",C16&lt;&gt;"Keine Zeit",D16&lt;&gt;"Keine Zeit"),"Achtung kein gleiches Training hintereinander!",IF(AND(E16=F16,E16&lt;&gt;"Frei",F16&lt;&gt;"Frei",E16&lt;&gt;"Skip",F16&lt;&gt;"Skip",E16&lt;&gt;"Keine Zeit",F16&lt;&gt;"Keine Zeit"),"Achtung kein gleiches Training hintereinander!",IF(AND(F16=G16,F16&lt;&gt;"Frei",G16&lt;&gt;"Frei",F16&lt;&gt;"Skip",G16&lt;&gt;"Skip",F16&lt;&gt;"Keine Zeit",G16&lt;&gt;"Keine Zeit"),"Achtung kein gleiches Training hintereinander!",IF(AND(G16=H16,G16&lt;&gt;"Frei",H16&lt;&gt;"Frei",G16&lt;&gt;"Skip",H16&lt;&gt;"Skip",G16&lt;&gt;"Keine Zeit",H16&lt;&gt;"Keine Zeit"),"Achtung kein gleiches Training hintereinander!",IF(AND(B18=C18,B18&lt;&gt;"Frei",C18&lt;&gt;"Frei",B18&lt;&gt;"Skip",C18&lt;&gt;"Skip",B18&lt;&gt;"Keine Zeit",C18&lt;&gt;"Keine Zeit"),"Achtung kein gleiches Training hintereinander!",IF(AND(C18=D18,C18&lt;&gt;"Frei",D18&lt;&gt;"Frei",C18&lt;&gt;"Skip",D18&lt;&gt;"Skip",C18&lt;&gt;"Keine Zeit",D18&lt;&gt;"Keine Zeit"),"Achtung kein gleiches Training hintereinander!",IF(AND(D18=E18,D18&lt;&gt;"Frei",E18&lt;&gt;"Frei",D18&lt;&gt;"Skip",E18&lt;&gt;"Skip",D18&lt;&gt;"Keine Zeit",E18&lt;&gt;"Keine Zeit"),"Achtung kein gleiches Training hintereinander!",IF(AND(E18=F18,E18&lt;&gt;"Frei",F18&lt;&gt;"Frei",E18&lt;&gt;"Skip",F18&lt;&gt;"Skip",E18&lt;&gt;"Keine Zeit",F18&lt;&gt;"Keine Zeit"),"Achtung kein gleiches Training hintereinander!",IF(AND(F18=G18,F18&lt;&gt;"Frei",G18&lt;&gt;"Frei",F18&lt;&gt;"Skip",G18&lt;&gt;"Skip",F18&lt;&gt;"Keine Zeit",G18&lt;&gt;"Keine Zeit"),"Achtung kein gleiches Training hintereinander!",IF(AND(G18=H18,G18&lt;&gt;"Frei",H18&lt;&gt;"Frei",G18&lt;&gt;"Skip",H18&lt;&gt;"Skip",G18&lt;&gt;"Keine Zeit",H18&lt;&gt;"Keine Zeit"),"Achtung kein gleiches Training hintereinander!","")))))))))))))))))))))))))))))))))))</f>
        <v/>
      </c>
      <c r="K10" s="1045"/>
    </row>
    <row r="11" spans="2:11" ht="18" customHeight="1">
      <c r="B11" s="867">
        <f ca="1">H9+1</f>
        <v>43934</v>
      </c>
      <c r="C11" s="867">
        <f ca="1">B11+1</f>
        <v>43935</v>
      </c>
      <c r="D11" s="867">
        <f t="shared" ref="D11:H11" ca="1" si="2">C11+1</f>
        <v>43936</v>
      </c>
      <c r="E11" s="867">
        <f t="shared" ca="1" si="2"/>
        <v>43937</v>
      </c>
      <c r="F11" s="867">
        <f t="shared" ca="1" si="2"/>
        <v>43938</v>
      </c>
      <c r="G11" s="867">
        <f t="shared" ca="1" si="2"/>
        <v>43939</v>
      </c>
      <c r="H11" s="867">
        <f t="shared" ca="1" si="2"/>
        <v>43940</v>
      </c>
    </row>
    <row r="12" spans="2:11" ht="69.95" customHeight="1">
      <c r="B12" s="874" t="s">
        <v>424</v>
      </c>
      <c r="C12" s="874" t="s">
        <v>49</v>
      </c>
      <c r="D12" s="874" t="s">
        <v>58</v>
      </c>
      <c r="E12" s="874" t="s">
        <v>424</v>
      </c>
      <c r="F12" s="874" t="s">
        <v>59</v>
      </c>
      <c r="G12" s="874" t="s">
        <v>65</v>
      </c>
      <c r="H12" s="874" t="s">
        <v>75</v>
      </c>
    </row>
    <row r="13" spans="2:11" ht="18" customHeight="1">
      <c r="B13" s="867">
        <f ca="1">H11+1</f>
        <v>43941</v>
      </c>
      <c r="C13" s="867">
        <f ca="1">B13+1</f>
        <v>43942</v>
      </c>
      <c r="D13" s="867">
        <f t="shared" ref="D13:H13" ca="1" si="3">C13+1</f>
        <v>43943</v>
      </c>
      <c r="E13" s="867">
        <f t="shared" ca="1" si="3"/>
        <v>43944</v>
      </c>
      <c r="F13" s="867">
        <f t="shared" ca="1" si="3"/>
        <v>43945</v>
      </c>
      <c r="G13" s="867">
        <f t="shared" ca="1" si="3"/>
        <v>43946</v>
      </c>
      <c r="H13" s="867">
        <f t="shared" ca="1" si="3"/>
        <v>43947</v>
      </c>
    </row>
    <row r="14" spans="2:11" ht="69.95" customHeight="1">
      <c r="B14" s="874" t="s">
        <v>424</v>
      </c>
      <c r="C14" s="874" t="s">
        <v>49</v>
      </c>
      <c r="D14" s="874" t="s">
        <v>58</v>
      </c>
      <c r="E14" s="874" t="s">
        <v>424</v>
      </c>
      <c r="F14" s="874" t="s">
        <v>59</v>
      </c>
      <c r="G14" s="874" t="s">
        <v>65</v>
      </c>
      <c r="H14" s="874" t="s">
        <v>75</v>
      </c>
    </row>
    <row r="15" spans="2:11" ht="18" customHeight="1">
      <c r="B15" s="867">
        <f ca="1">IF(ISERROR(IF(MONTH((H13+1))=MONTH($C$5),H13+1,"")),"",IF(MONTH((H13+1))=MONTH($C$5),H13+1,""))</f>
        <v>43948</v>
      </c>
      <c r="C15" s="867">
        <f ca="1">IF(ISERROR(IF(MONTH((B15+1))=MONTH($C$5),B15+1,IF(OR($B$15=TODAY()),$B$15+1,""))),"",IF(MONTH((B15+1))=MONTH($C$5),B15+1,IF(OR($B$15=TODAY()),$B$15+1,"")))</f>
        <v>43949</v>
      </c>
      <c r="D15" s="867">
        <f ca="1">IF(ISERROR(IF(MONTH((C15+1))=MONTH($C$5),C15+1,IF(OR($B$15=TODAY(),$C$15=TODAY()),C15+1,""))),"",IF(MONTH((C15+1))=MONTH($C$5),C15+1,IF(OR($B$15=TODAY(),$C$15=TODAY()),C15+1,"")))</f>
        <v>43950</v>
      </c>
      <c r="E15" s="867">
        <f ca="1">IF(ISERROR(IF(MONTH((D15+1))=MONTH($C$5),D15+1,IF(OR($B$15=TODAY(),$C$15=TODAY(),$D$15=TODAY()),D15+1,""))),"",IF(MONTH((D15+1))=MONTH($C$5),D15+1,IF(OR($B$15=TODAY(),$C$15=TODAY(),$D$15=TODAY()),D15+1,"")))</f>
        <v>43951</v>
      </c>
      <c r="F15" s="867">
        <f ca="1">IF(ISERROR(IF(MONTH((E15+1))=MONTH($C$5),E15+1,IF(OR($B$15=TODAY(),$C$15=TODAY(),$D$15=TODAY(),$E$15=TODAY()),E15+1,""))),"",IF(MONTH((E15+1))=MONTH($C$5),E15+1,IF(OR($B$15=TODAY(),$C$15=TODAY(),$D$15=TODAY(),$E$15=TODAY()),E15+1,"")))</f>
        <v>43952</v>
      </c>
      <c r="G15" s="867">
        <f ca="1">IF(ISERROR(IF(MONTH((F15+1))=MONTH($C$5),F15+1,IF(OR($B$15=TODAY(),$C$15=TODAY(),$D$15=TODAY(),$E$15=TODAY(),$F$15=TODAY()),F15+1,""))),"",IF(MONTH((F15+1))=MONTH($C$5),F15+1,IF(OR($B$15=TODAY(),$C$15=TODAY(),$D$15=TODAY(),$E$15=TODAY(),$F$15=TODAY()),F15+1,"")))</f>
        <v>43953</v>
      </c>
      <c r="H15" s="867">
        <f ca="1">IF(ISERROR(IF(MONTH((G15+1))=MONTH($C$5),G15+1,IF(OR($B$15=TODAY(),$C$15=TODAY(),$D$15=TODAY(),$E$15=TODAY(),$F$15=TODAY(),$G$15=TODAY()),G15+1,""))),"",IF(MONTH((G15+1))=MONTH($C$5),G15+1,IF(OR($B$15=TODAY(),$C$15=TODAY(),$D$15=TODAY(),$E$15=TODAY(),$F$15=TODAY(),$G$15=TODAY()),G15+1,"")))</f>
        <v>43954</v>
      </c>
      <c r="I15" s="916"/>
      <c r="J15" s="854"/>
    </row>
    <row r="16" spans="2:11" ht="69.95" customHeight="1">
      <c r="B16" s="911" t="s">
        <v>424</v>
      </c>
      <c r="C16" s="911" t="s">
        <v>49</v>
      </c>
      <c r="D16" s="911" t="s">
        <v>58</v>
      </c>
      <c r="E16" s="911" t="s">
        <v>424</v>
      </c>
      <c r="F16" s="911" t="s">
        <v>59</v>
      </c>
      <c r="G16" s="911" t="s">
        <v>65</v>
      </c>
      <c r="H16" s="911" t="s">
        <v>75</v>
      </c>
    </row>
    <row r="17" spans="2:11" ht="18" customHeight="1">
      <c r="B17" s="867" t="str">
        <f ca="1">IF(ISERROR(IF(MONTH((H15+1))=MONTH($C$5),H15+1,"")),"",IF(MONTH((H15+1))=MONTH($C$5),H15+1,""))</f>
        <v/>
      </c>
      <c r="C17" s="867" t="str">
        <f ca="1">IF(ISERROR(IF(MONTH((B17+1))=MONTH($C$5),B17+1,IF(OR($B$17=TODAY()),$B$17+1,""))),"",IF(MONTH((B17+1))=MONTH($C$5),B17+1,IF(OR($B$17=TODAY()),$B$17+1,"")))</f>
        <v/>
      </c>
      <c r="D17" s="867" t="str">
        <f ca="1">IF(ISERROR(IF(MONTH((C17+1))=MONTH($C$5),C17+1,IF(OR($B$17=TODAY(),$C$15=TODAY()),C17+1,""))),"",IF(MONTH((C17+1))=MONTH($C$5),C17+1,IF(OR($B$17=TODAY(),$C$17=TODAY()),C17+1,"")))</f>
        <v/>
      </c>
      <c r="E17" s="867" t="str">
        <f ca="1">IF(ISERROR(IF(MONTH((D17+1))=MONTH($C$5),D17+1,IF(OR($B$17=TODAY(),$C$17=TODAY(),$D$17=TODAY()),D17+1,""))),"",IF(MONTH((D17+1))=MONTH($C$5),D17+1,IF(OR($B$17=TODAY(),$C$17=TODAY(),$D$17=TODAY()),D17+1,"")))</f>
        <v/>
      </c>
      <c r="F17" s="867" t="str">
        <f ca="1">IF(ISERROR(IF(MONTH((E17+1))=MONTH($C$5),E17+1,IF(OR($B$17=TODAY(),$C$17=TODAY(),$D$17=TODAY(),$E$17=TODAY()),E17+1,""))),"",IF(MONTH((E17+1))=MONTH($C$5),E17+1,IF(OR($B$17=TODAY(),$C$17=TODAY(),$D$17=TODAY(),$E$17=TODAY()),E17+1,"")))</f>
        <v/>
      </c>
      <c r="G17" s="867" t="str">
        <f ca="1">IF(ISERROR(IF(MONTH((F17+1))=MONTH($C$5),F17+1,IF(OR($B$17=TODAY(),$C$17=TODAY(),$D$17=TODAY(),$E$17=TODAY(),$F$17=TODAY()),F17+1,""))),"",IF(MONTH((F17+1))=MONTH($C$5),F17+1,IF(OR($B$17=TODAY(),$C$17=TODAY(),$D$17=TODAY(),$E$17=TODAY(),$F$17=TODAY()),F17+1,"")))</f>
        <v/>
      </c>
      <c r="H17" s="867" t="str">
        <f ca="1">IF(ISERROR(IF(MONTH((G17+1))=MONTH($C$5),G17+1,IF(OR($B$17=TODAY(),$C$17=TODAY(),$D$17=TODAY(),$E$17=TODAY(),$F$17=TODAY(),$G$17=TODAY()),G17+1,""))),"",IF(MONTH((G17+1))=MONTH($C$5),G17+1,IF(OR($B$17=TODAY(),$C$17=TODAY(),$D$17=TODAY(),$E$17=TODAY(),$F$17=TODAY(),$G$17=TODAY()),G17+1,"")))</f>
        <v/>
      </c>
    </row>
    <row r="18" spans="2:11" ht="69.95" customHeight="1">
      <c r="B18" s="911" t="s">
        <v>424</v>
      </c>
      <c r="C18" s="911" t="s">
        <v>424</v>
      </c>
      <c r="D18" s="911" t="s">
        <v>424</v>
      </c>
      <c r="E18" s="911" t="s">
        <v>424</v>
      </c>
      <c r="F18" s="911" t="s">
        <v>424</v>
      </c>
      <c r="G18" s="911" t="s">
        <v>424</v>
      </c>
      <c r="H18" s="911" t="s">
        <v>424</v>
      </c>
    </row>
    <row r="19" spans="2:11" ht="50.1" customHeight="1"/>
    <row r="20" spans="2:11" ht="50.1" customHeight="1"/>
    <row r="21" spans="2:11" ht="50.1" customHeight="1" thickBot="1">
      <c r="B21" s="866">
        <f ca="1">YEAR(TODAY())</f>
        <v>2020</v>
      </c>
      <c r="C21" s="860">
        <f ca="1">EOMONTH(TODAY(),0)+1</f>
        <v>43952</v>
      </c>
    </row>
    <row r="22" spans="2:11" ht="18" customHeight="1" thickTop="1">
      <c r="B22" s="861" t="s">
        <v>417</v>
      </c>
      <c r="C22" s="864" t="s">
        <v>418</v>
      </c>
      <c r="D22" s="862" t="s">
        <v>419</v>
      </c>
      <c r="E22" s="865" t="s">
        <v>420</v>
      </c>
      <c r="F22" s="862" t="s">
        <v>421</v>
      </c>
      <c r="G22" s="865" t="s">
        <v>422</v>
      </c>
      <c r="H22" s="863" t="s">
        <v>423</v>
      </c>
    </row>
    <row r="23" spans="2:11" ht="18" customHeight="1">
      <c r="B23" s="867">
        <f ca="1">EOMONTH($C$21,-1)-(WEEKDAY(EOMONTH($C$21,-1),2)-1)</f>
        <v>43948</v>
      </c>
      <c r="C23" s="867">
        <f ca="1">B23+1</f>
        <v>43949</v>
      </c>
      <c r="D23" s="867">
        <f t="shared" ref="D23:H23" ca="1" si="4">C23+1</f>
        <v>43950</v>
      </c>
      <c r="E23" s="867">
        <f t="shared" ca="1" si="4"/>
        <v>43951</v>
      </c>
      <c r="F23" s="867">
        <f t="shared" ca="1" si="4"/>
        <v>43952</v>
      </c>
      <c r="G23" s="867">
        <f t="shared" ca="1" si="4"/>
        <v>43953</v>
      </c>
      <c r="H23" s="867">
        <f t="shared" ca="1" si="4"/>
        <v>43954</v>
      </c>
    </row>
    <row r="24" spans="2:11" ht="69.95" customHeight="1">
      <c r="B24" s="874" t="s">
        <v>424</v>
      </c>
      <c r="C24" s="874" t="s">
        <v>424</v>
      </c>
      <c r="D24" s="874" t="s">
        <v>424</v>
      </c>
      <c r="E24" s="874" t="s">
        <v>288</v>
      </c>
      <c r="F24" s="874" t="s">
        <v>424</v>
      </c>
      <c r="G24" s="874" t="s">
        <v>424</v>
      </c>
      <c r="H24" s="874" t="s">
        <v>424</v>
      </c>
    </row>
    <row r="25" spans="2:11" ht="18" customHeight="1">
      <c r="B25" s="867">
        <f ca="1">H23+1</f>
        <v>43955</v>
      </c>
      <c r="C25" s="867">
        <f ca="1">B25+1</f>
        <v>43956</v>
      </c>
      <c r="D25" s="867">
        <f t="shared" ref="D25:H25" ca="1" si="5">C25+1</f>
        <v>43957</v>
      </c>
      <c r="E25" s="867">
        <f t="shared" ca="1" si="5"/>
        <v>43958</v>
      </c>
      <c r="F25" s="867">
        <f t="shared" ca="1" si="5"/>
        <v>43959</v>
      </c>
      <c r="G25" s="867">
        <f t="shared" ca="1" si="5"/>
        <v>43960</v>
      </c>
      <c r="H25" s="867">
        <f t="shared" ca="1" si="5"/>
        <v>43961</v>
      </c>
    </row>
    <row r="26" spans="2:11" ht="69.95" customHeight="1">
      <c r="B26" s="874" t="s">
        <v>424</v>
      </c>
      <c r="C26" s="874" t="s">
        <v>424</v>
      </c>
      <c r="D26" s="874" t="s">
        <v>424</v>
      </c>
      <c r="E26" s="874" t="s">
        <v>424</v>
      </c>
      <c r="F26" s="874" t="s">
        <v>424</v>
      </c>
      <c r="G26" s="874" t="s">
        <v>424</v>
      </c>
      <c r="H26" s="874" t="s">
        <v>424</v>
      </c>
      <c r="J26" s="1045" t="str">
        <f>IF(AND(B24=C24,B24&lt;&gt;"Frei",C24&lt;&gt;"Frei",B24&lt;&gt;"Skip",C24&lt;&gt;"Skip",B24&lt;&gt;"Keine Zeit",C24&lt;&gt;"Keine Zeit"),"Achtung kein gleiches Training hintereinander!",IF(AND(C24=D24,C24&lt;&gt;"Frei",D24&lt;&gt;"Frei",C24&lt;&gt;"Skip",D24&lt;&gt;"Skip",C24&lt;&gt;"Keine Zeit",D24&lt;&gt;"Keine Zeit"),"Achtung kein gleiches Training hintereinander!",IF(AND(D24=E24,D24&lt;&gt;"Frei",E24&lt;&gt;"Frei",D24&lt;&gt;"Skip",E24&lt;&gt;"Skip",D24&lt;&gt;"Keine Zeit",E24&lt;&gt;"Keine Zeit"),"Achtung kein gleiches Training hintereinander!",IF(AND(E24=F24,E24&lt;&gt;"Frei",F24&lt;&gt;"Frei",E24&lt;&gt;"Skip",F24&lt;&gt;"Skip",E24&lt;&gt;"Keine Zeit",F24&lt;&gt;"Keine Zeit"),"Achtung kein gleiches Training hintereinander!",IF(AND(F24=G24,F24&lt;&gt;"Frei",G24&lt;&gt;"Frei",F24&lt;&gt;"Skip",G24&lt;&gt;"Skip",F24&lt;&gt;"Keine Zeit",G24&lt;&gt;"Keine Zeit"),"Achtung kein gleiches Training hintereinander!",IF(AND(G24=H24,G24&lt;&gt;"Frei",H24&lt;&gt;"Frei",G24&lt;&gt;"Skip",H24&lt;&gt;"Skip",G24&lt;&gt;"Keine Zeit",H24&lt;&gt;"Keine Zeit"),"Achtung kein gleiches Training hintereinander!",IF(AND(B26=C26,B26&lt;&gt;"Frei",C26&lt;&gt;"Frei",B26&lt;&gt;"Skip",C26&lt;&gt;"Skip",B26&lt;&gt;"Keine Zeit",C26&lt;&gt;"Keine Zeit"),"Achtung kein gleiches Training hintereinander!",IF(AND(C26=D26,C26&lt;&gt;"Frei",D26&lt;&gt;"Frei",C26&lt;&gt;"Skip",D26&lt;&gt;"Skip",C26&lt;&gt;"Keine Zeit",D26&lt;&gt;"Keine Zeit"),"Achtung kein gleiches Training hintereinander!",IF(AND(D26=E26,D26&lt;&gt;"Frei",E26&lt;&gt;"Frei",D26&lt;&gt;"Skip",E26&lt;&gt;"Skip",D26&lt;&gt;"Keine Zeit",E26&lt;&gt;"Keine Zeit"),"Achtung kein gleiches Training hintereinander!",IF(AND(E26=F26,E26&lt;&gt;"Frei",F26&lt;&gt;"Frei",E26&lt;&gt;"Skip",F26&lt;&gt;"Skip",E26&lt;&gt;"Keine Zeit",F26&lt;&gt;"Keine Zeit"),"Achtung kein gleiches Training hintereinander!",IF(AND(F26=G26,F26&lt;&gt;"Frei",G26&lt;&gt;"Frei",F26&lt;&gt;"Skip",G26&lt;&gt;"Skip",F26&lt;&gt;"Keine Zeit",G26&lt;&gt;"Keine Zeit"),"Achtung kein gleiches Training hintereinander!",IF(AND(G26=H26,G26&lt;&gt;"Frei",H26&lt;&gt;"Frei",G26&lt;&gt;"Skip",H26&lt;&gt;"Skip",G26&lt;&gt;"Keine Zeit",H26&lt;&gt;"Keine Zeit"),"Achtung kein gleiches Training hintereinander!",IF(AND(B28=C28,B28&lt;&gt;"Frei",C28&lt;&gt;"Frei",B28&lt;&gt;"Skip",C28&lt;&gt;"Skip",B28&lt;&gt;"Keine Zeit",C28&lt;&gt;"Keine Zeit"),"Achtung kein gleiches Training hintereinander!",IF(AND(C28=D28,C28&lt;&gt;"Frei",D28&lt;&gt;"Frei",C28&lt;&gt;"Skip",D28&lt;&gt;"Skip",C28&lt;&gt;"Keine Zeit",D28&lt;&gt;"Keine Zeit"),"Achtung kein gleiches Training hintereinander!",IF(AND(D28=E28,D28&lt;&gt;"Frei",E28&lt;&gt;"Frei",D28&lt;&gt;"Skip",E28&lt;&gt;"Skip",D28&lt;&gt;"Keine Zeit",E28&lt;&gt;"Keine Zeit"),"Achtung kein gleiches Training hintereinander!",IF(AND(E28=F28,E28&lt;&gt;"Frei",F28&lt;&gt;"Frei",E28&lt;&gt;"Skip",F28&lt;&gt;"Skip",E28&lt;&gt;"Keine Zeit",F28&lt;&gt;"Keine Zeit"),"Achtung kein gleiches Training hintereinander!",IF(AND(F28=G28,F28&lt;&gt;"Frei",G28&lt;&gt;"Frei",F28&lt;&gt;"Skip",G28&lt;&gt;"Skip",F28&lt;&gt;"Keine Zeit",G28&lt;&gt;"Keine Zeit"),"Achtung kein gleiches Training hintereinander!",IF(AND(G28=H28,G28&lt;&gt;"Frei",H28&lt;&gt;"Frei",G28&lt;&gt;"Skip",H28&lt;&gt;"Skip",G28&lt;&gt;"Keine Zeit",H28&lt;&gt;"Keine Zeit"),"Achtung kein gleiches Training hintereinander!",IF(AND(B30=C30,B30&lt;&gt;"Frei",C30&lt;&gt;"Frei",B30&lt;&gt;"Skip",C30&lt;&gt;"Skip",B30&lt;&gt;"Keine Zeit",C30&lt;&gt;"Keine Zeit"),"Achtung kein gleiches Training hintereinander!",IF(AND(C30=D30,C30&lt;&gt;"Frei",D30&lt;&gt;"Frei",C30&lt;&gt;"Skip",D30&lt;&gt;"Skip",C30&lt;&gt;"Keine Zeit",D30&lt;&gt;"Keine Zeit"),"Achtung kein gleiches Training hintereinander!",IF(AND(D30=E30,D30&lt;&gt;"Frei",E30&lt;&gt;"Frei",D30&lt;&gt;"Skip",E30&lt;&gt;"Skip",D30&lt;&gt;"Keine Zeit",E30&lt;&gt;"Keine Zeit"),"Achtung kein gleiches Training hintereinander!",IF(AND(E30=F30,E30&lt;&gt;"Frei",F30&lt;&gt;"Frei",E30&lt;&gt;"Skip",F30&lt;&gt;"Skip",E30&lt;&gt;"Keine Zeit",F30&lt;&gt;"Keine Zeit"),"Achtung kein gleiches Training hintereinander!",IF(AND(F30=G30,F30&lt;&gt;"Frei",G30&lt;&gt;"Frei",F30&lt;&gt;"Skip",G30&lt;&gt;"Skip",F30&lt;&gt;"Keine Zeit",G30&lt;&gt;"Keine Zeit"),"Achtung kein gleiches Training hintereinander!",IF(AND(G30=H30,G30&lt;&gt;"Frei",H30&lt;&gt;"Frei",G30&lt;&gt;"Skip",H30&lt;&gt;"Skip",G30&lt;&gt;"Keine Zeit",H30&lt;&gt;"Keine Zeit"),"Achtung kein gleiches Training hintereinander!",IF(AND(B32=C32,B32&lt;&gt;"Frei",C32&lt;&gt;"Frei",B32&lt;&gt;"Skip",C32&lt;&gt;"Skip",B32&lt;&gt;"Keine Zeit",C32&lt;&gt;"Keine Zeit"),"Achtung kein gleiches Training hintereinander!",IF(AND(C32=D32,C32&lt;&gt;"Frei",D32&lt;&gt;"Frei",C32&lt;&gt;"Skip",D32&lt;&gt;"Skip",C32&lt;&gt;"Keine Zeit",D32&lt;&gt;"Keine Zeit"),"Achtung kein gleiches Training hintereinander!",IF(AND(E32=F32,E32&lt;&gt;"Frei",F32&lt;&gt;"Frei",E32&lt;&gt;"Skip",F32&lt;&gt;"Skip",E32&lt;&gt;"Keine Zeit",F32&lt;&gt;"Keine Zeit"),"Achtung kein gleiches Training hintereinander!",IF(AND(F32=G32,F32&lt;&gt;"Frei",G32&lt;&gt;"Frei",F32&lt;&gt;"Skip",G32&lt;&gt;"Skip",F32&lt;&gt;"Keine Zeit",G32&lt;&gt;"Keine Zeit"),"Achtung kein gleiches Training hintereinander!",IF(AND(G32=H32,G32&lt;&gt;"Frei",H32&lt;&gt;"Frei",G32&lt;&gt;"Skip",H32&lt;&gt;"Skip",G32&lt;&gt;"Keine Zeit",H32&lt;&gt;"Keine Zeit"),"Achtung kein gleiches Training hintereinander!",IF(AND(B34=C34,B34&lt;&gt;"Frei",C34&lt;&gt;"Frei",B34&lt;&gt;"Skip",C34&lt;&gt;"Skip",B34&lt;&gt;"Keine Zeit",C34&lt;&gt;"Keine Zeit"),"Achtung kein gleiches Training hintereinander!",IF(AND(C34=D34,C34&lt;&gt;"Frei",D34&lt;&gt;"Frei",C34&lt;&gt;"Skip",D34&lt;&gt;"Skip",C34&lt;&gt;"Keine Zeit",D34&lt;&gt;"Keine Zeit"),"Achtung kein gleiches Training hintereinander!",IF(AND(D34=E34,D34&lt;&gt;"Frei",E34&lt;&gt;"Frei",D34&lt;&gt;"Skip",E34&lt;&gt;"Skip",D34&lt;&gt;"Keine Zeit",E34&lt;&gt;"Keine Zeit"),"Achtung kein gleiches Training hintereinander!",IF(AND(E34=F34,E34&lt;&gt;"Frei",F34&lt;&gt;"Frei",E34&lt;&gt;"Skip",F34&lt;&gt;"Skip",E34&lt;&gt;"Keine Zeit",F34&lt;&gt;"Keine Zeit"),"Achtung kein gleiches Training hintereinander!",IF(AND(F34=G34,F34&lt;&gt;"Frei",G34&lt;&gt;"Frei",F34&lt;&gt;"Skip",G34&lt;&gt;"Skip",F34&lt;&gt;"Keine Zeit",G34&lt;&gt;"Keine Zeit"),"Achtung kein gleiches Training hintereinander!",IF(AND(G34=H34,G34&lt;&gt;"Frei",H34&lt;&gt;"Frei",G34&lt;&gt;"Skip",H34&lt;&gt;"Skip",G34&lt;&gt;"Keine Zeit",H34&lt;&gt;"Keine Zeit"),"Achtung kein gleiches Training hintereinander!","")))))))))))))))))))))))))))))))))))</f>
        <v/>
      </c>
      <c r="K26" s="1045"/>
    </row>
    <row r="27" spans="2:11" ht="18" customHeight="1">
      <c r="B27" s="867">
        <f ca="1">H25+1</f>
        <v>43962</v>
      </c>
      <c r="C27" s="867">
        <f ca="1">B27+1</f>
        <v>43963</v>
      </c>
      <c r="D27" s="867">
        <f t="shared" ref="D27:H27" ca="1" si="6">C27+1</f>
        <v>43964</v>
      </c>
      <c r="E27" s="867">
        <f t="shared" ca="1" si="6"/>
        <v>43965</v>
      </c>
      <c r="F27" s="867">
        <f t="shared" ca="1" si="6"/>
        <v>43966</v>
      </c>
      <c r="G27" s="867">
        <f t="shared" ca="1" si="6"/>
        <v>43967</v>
      </c>
      <c r="H27" s="867">
        <f t="shared" ca="1" si="6"/>
        <v>43968</v>
      </c>
    </row>
    <row r="28" spans="2:11" ht="69.95" customHeight="1">
      <c r="B28" s="874" t="s">
        <v>424</v>
      </c>
      <c r="C28" s="874" t="s">
        <v>424</v>
      </c>
      <c r="D28" s="874" t="s">
        <v>424</v>
      </c>
      <c r="E28" s="874" t="s">
        <v>424</v>
      </c>
      <c r="F28" s="874" t="s">
        <v>424</v>
      </c>
      <c r="G28" s="874" t="s">
        <v>424</v>
      </c>
      <c r="H28" s="874" t="s">
        <v>424</v>
      </c>
    </row>
    <row r="29" spans="2:11" ht="18" customHeight="1">
      <c r="B29" s="867">
        <f ca="1">H27+1</f>
        <v>43969</v>
      </c>
      <c r="C29" s="867">
        <f ca="1">B29+1</f>
        <v>43970</v>
      </c>
      <c r="D29" s="867">
        <f t="shared" ref="D29:H29" ca="1" si="7">C29+1</f>
        <v>43971</v>
      </c>
      <c r="E29" s="867">
        <f t="shared" ca="1" si="7"/>
        <v>43972</v>
      </c>
      <c r="F29" s="867">
        <f t="shared" ca="1" si="7"/>
        <v>43973</v>
      </c>
      <c r="G29" s="867">
        <f t="shared" ca="1" si="7"/>
        <v>43974</v>
      </c>
      <c r="H29" s="867">
        <f t="shared" ca="1" si="7"/>
        <v>43975</v>
      </c>
    </row>
    <row r="30" spans="2:11" ht="69.95" customHeight="1">
      <c r="B30" s="874" t="s">
        <v>424</v>
      </c>
      <c r="C30" s="874" t="s">
        <v>424</v>
      </c>
      <c r="D30" s="874" t="s">
        <v>424</v>
      </c>
      <c r="E30" s="874" t="s">
        <v>424</v>
      </c>
      <c r="F30" s="874" t="s">
        <v>424</v>
      </c>
      <c r="G30" s="874" t="s">
        <v>424</v>
      </c>
      <c r="H30" s="874" t="s">
        <v>424</v>
      </c>
    </row>
    <row r="31" spans="2:11" ht="18" customHeight="1">
      <c r="B31" s="867">
        <f ca="1">IF(MONTH((H29+1))=MONTH($C$21),H29+1,"")</f>
        <v>43976</v>
      </c>
      <c r="C31" s="867">
        <f ca="1">IF(ISERROR(IF(MONTH((B31+1))=MONTH($C$21),B31+1,"")),"",IF(MONTH((B31+1))=MONTH($C$21),B31+1,""))</f>
        <v>43977</v>
      </c>
      <c r="D31" s="867">
        <f t="shared" ref="D31:H31" ca="1" si="8">IF(ISERROR(IF(MONTH((C31+1))=MONTH($C$21),C31+1,"")),"",IF(MONTH((C31+1))=MONTH($C$21),C31+1,""))</f>
        <v>43978</v>
      </c>
      <c r="E31" s="867">
        <f t="shared" ca="1" si="8"/>
        <v>43979</v>
      </c>
      <c r="F31" s="867">
        <f t="shared" ca="1" si="8"/>
        <v>43980</v>
      </c>
      <c r="G31" s="867">
        <f t="shared" ca="1" si="8"/>
        <v>43981</v>
      </c>
      <c r="H31" s="867">
        <f t="shared" ca="1" si="8"/>
        <v>43982</v>
      </c>
    </row>
    <row r="32" spans="2:11" ht="69.95" customHeight="1">
      <c r="B32" s="874" t="s">
        <v>424</v>
      </c>
      <c r="C32" s="874" t="s">
        <v>424</v>
      </c>
      <c r="D32" s="874" t="s">
        <v>424</v>
      </c>
      <c r="E32" s="874" t="s">
        <v>424</v>
      </c>
      <c r="F32" s="874" t="s">
        <v>424</v>
      </c>
      <c r="G32" s="874" t="s">
        <v>424</v>
      </c>
      <c r="H32" s="874" t="s">
        <v>424</v>
      </c>
    </row>
    <row r="33" spans="2:8" ht="18" customHeight="1">
      <c r="B33" s="867" t="str">
        <f ca="1">IF(ISERROR(IF(MONTH((H31+1))=MONTH($C$21),H31+1,"")),"",IF(MONTH((H31+1))=MONTH($C$21),H31+1,""))</f>
        <v/>
      </c>
      <c r="C33" s="867" t="str">
        <f ca="1">IF(ISERROR(IF(MONTH((B33+1))=MONTH($C$21),B33+1,"")),"",IF(MONTH((B33+1))=MONTH($C$21),B33+1,""))</f>
        <v/>
      </c>
      <c r="D33" s="867" t="str">
        <f t="shared" ref="D33:H33" ca="1" si="9">IF(ISERROR(IF(MONTH((C33+1))=MONTH($C$21),C33+1,"")),"",IF(MONTH((C33+1))=MONTH($C$21),C33+1,""))</f>
        <v/>
      </c>
      <c r="E33" s="867" t="str">
        <f t="shared" ca="1" si="9"/>
        <v/>
      </c>
      <c r="F33" s="867" t="str">
        <f t="shared" ca="1" si="9"/>
        <v/>
      </c>
      <c r="G33" s="867" t="str">
        <f t="shared" ca="1" si="9"/>
        <v/>
      </c>
      <c r="H33" s="867" t="str">
        <f t="shared" ca="1" si="9"/>
        <v/>
      </c>
    </row>
    <row r="34" spans="2:8" ht="69.95" customHeight="1">
      <c r="B34" s="874" t="s">
        <v>424</v>
      </c>
      <c r="C34" s="874" t="s">
        <v>424</v>
      </c>
      <c r="D34" s="874" t="s">
        <v>424</v>
      </c>
      <c r="E34" s="874" t="s">
        <v>424</v>
      </c>
      <c r="F34" s="874" t="s">
        <v>424</v>
      </c>
      <c r="G34" s="874" t="s">
        <v>424</v>
      </c>
      <c r="H34" s="874" t="s">
        <v>424</v>
      </c>
    </row>
    <row r="35" spans="2:8" ht="50.1" customHeight="1"/>
    <row r="36" spans="2:8" ht="50.1" customHeight="1"/>
    <row r="37" spans="2:8" ht="50.1" customHeight="1"/>
    <row r="38" spans="2:8" ht="50.1" customHeight="1"/>
    <row r="39" spans="2:8" ht="50.1" customHeight="1"/>
    <row r="40" spans="2:8" ht="50.1" customHeight="1"/>
    <row r="41" spans="2:8" ht="50.1" customHeight="1"/>
    <row r="42" spans="2:8" ht="50.1" customHeight="1"/>
    <row r="43" spans="2:8" ht="50.1" customHeight="1"/>
    <row r="44" spans="2:8" ht="50.1" customHeight="1"/>
    <row r="45" spans="2:8" ht="50.1" customHeight="1"/>
    <row r="46" spans="2:8" ht="50.1" customHeight="1"/>
    <row r="47" spans="2:8" ht="50.1" customHeight="1"/>
    <row r="48" spans="2:8" ht="50.1" customHeight="1"/>
    <row r="49" ht="50.1" customHeight="1"/>
    <row r="50" ht="50.1" customHeight="1"/>
    <row r="51" ht="50.1" customHeight="1"/>
    <row r="52" ht="50.1" customHeight="1"/>
    <row r="53" ht="50.1" customHeight="1"/>
    <row r="54" ht="50.1" customHeight="1"/>
    <row r="55" ht="50.1" customHeight="1"/>
    <row r="56" ht="50.1" customHeight="1"/>
    <row r="57" ht="50.1" customHeight="1"/>
    <row r="58" ht="50.1" customHeight="1"/>
    <row r="59" ht="50.1" customHeight="1"/>
    <row r="60" ht="50.1" customHeight="1"/>
    <row r="61" ht="50.1" customHeight="1"/>
    <row r="62" ht="50.1" customHeight="1"/>
    <row r="63" ht="50.1" customHeight="1"/>
    <row r="64" ht="50.1" customHeight="1"/>
    <row r="65" ht="50.1" customHeight="1"/>
    <row r="66" ht="50.1" customHeight="1"/>
    <row r="67" ht="50.1" customHeight="1"/>
    <row r="68" ht="50.1" customHeight="1"/>
    <row r="69" ht="50.1" customHeight="1"/>
    <row r="70" ht="50.1" customHeight="1"/>
    <row r="71" ht="50.1" customHeight="1"/>
    <row r="72" ht="50.1" customHeight="1"/>
    <row r="73" ht="50.1" customHeight="1"/>
    <row r="74" ht="50.1" customHeight="1"/>
    <row r="75" ht="50.1" customHeight="1"/>
    <row r="76" ht="50.1" customHeight="1"/>
    <row r="77" ht="50.1" customHeight="1"/>
    <row r="78" ht="50.1" customHeight="1"/>
    <row r="79" ht="50.1" customHeight="1"/>
    <row r="80" ht="50.1" customHeight="1"/>
    <row r="81" ht="50.1" customHeight="1"/>
    <row r="82" ht="50.1" customHeight="1"/>
    <row r="83" ht="50.1" customHeight="1"/>
    <row r="84" ht="50.1" customHeight="1"/>
    <row r="85" ht="50.1" customHeight="1"/>
    <row r="86" ht="50.1" customHeight="1"/>
    <row r="87" ht="50.1" customHeight="1"/>
    <row r="88" ht="50.1" customHeight="1"/>
    <row r="89" ht="50.1" customHeight="1"/>
    <row r="90" ht="50.1" customHeight="1"/>
    <row r="91" ht="50.1" customHeight="1"/>
    <row r="92" ht="50.1" customHeight="1"/>
    <row r="93" ht="50.1" customHeight="1"/>
    <row r="94" ht="50.1" customHeight="1"/>
    <row r="95" ht="50.1" customHeight="1"/>
    <row r="96" ht="50.1" customHeight="1"/>
    <row r="97" ht="50.1" customHeight="1"/>
    <row r="98" ht="50.1" customHeight="1"/>
    <row r="99" ht="50.1" customHeight="1"/>
    <row r="100" ht="50.1" customHeight="1"/>
    <row r="101" ht="50.1" customHeight="1"/>
    <row r="102" ht="50.1" customHeight="1"/>
    <row r="103" ht="50.1" customHeight="1"/>
    <row r="104" ht="50.1" customHeight="1"/>
    <row r="105" ht="50.1" customHeight="1"/>
    <row r="106" ht="50.1" customHeight="1"/>
    <row r="107" ht="50.1" customHeight="1"/>
    <row r="108" ht="50.1" customHeight="1"/>
    <row r="109" ht="50.1" customHeight="1"/>
    <row r="110" ht="50.1" customHeight="1"/>
    <row r="111" ht="50.1" customHeight="1"/>
    <row r="112" ht="50.1" customHeight="1"/>
    <row r="113" ht="50.1" customHeight="1"/>
    <row r="114" ht="50.1" customHeight="1"/>
    <row r="115" ht="50.1" customHeight="1"/>
    <row r="116" ht="50.1" customHeight="1"/>
    <row r="117" ht="50.1" customHeight="1"/>
    <row r="118" ht="50.1" customHeight="1"/>
    <row r="119" ht="50.1" customHeight="1"/>
    <row r="120" ht="50.1" customHeight="1"/>
    <row r="121" ht="50.1" customHeight="1"/>
    <row r="122" ht="50.1" customHeight="1"/>
    <row r="123" ht="50.1" customHeight="1"/>
    <row r="124" ht="50.1" customHeight="1"/>
    <row r="125" ht="50.1" customHeight="1"/>
    <row r="126" ht="50.1" customHeight="1"/>
    <row r="127" ht="50.1" customHeight="1"/>
    <row r="128" ht="50.1" customHeight="1"/>
    <row r="129" ht="50.1" customHeight="1"/>
    <row r="130" ht="50.1" customHeight="1"/>
    <row r="131" ht="50.1" customHeight="1"/>
    <row r="132" ht="50.1" customHeight="1"/>
    <row r="133" ht="50.1" customHeight="1"/>
    <row r="134" ht="50.1" customHeight="1"/>
    <row r="135" ht="50.1" customHeight="1"/>
    <row r="136" ht="50.1" customHeight="1"/>
    <row r="137" ht="50.1" customHeight="1"/>
    <row r="138" ht="50.1" customHeight="1"/>
    <row r="139" ht="50.1" customHeight="1"/>
    <row r="140" ht="50.1" customHeight="1"/>
    <row r="141" ht="50.1" customHeight="1"/>
    <row r="142" ht="50.1" customHeight="1"/>
    <row r="143" ht="50.1" customHeight="1"/>
    <row r="144" ht="50.1" customHeight="1"/>
    <row r="145" ht="50.1" customHeight="1"/>
    <row r="146" ht="50.1" customHeight="1"/>
    <row r="147" ht="50.1" customHeight="1"/>
    <row r="148" ht="50.1" customHeight="1"/>
    <row r="149" ht="50.1" customHeight="1"/>
    <row r="150" ht="50.1" customHeight="1"/>
    <row r="151" ht="50.1" customHeight="1"/>
    <row r="152" ht="50.1" customHeight="1"/>
    <row r="153" ht="50.1" customHeight="1"/>
    <row r="154" ht="50.1" customHeight="1"/>
    <row r="155" ht="50.1" customHeight="1"/>
    <row r="156" ht="50.1" customHeight="1"/>
    <row r="157" ht="50.1" customHeight="1"/>
    <row r="158" ht="50.1" customHeight="1"/>
    <row r="159" ht="50.1" customHeight="1"/>
    <row r="160" ht="50.1" customHeight="1"/>
    <row r="161" ht="50.1" customHeight="1"/>
    <row r="162" ht="50.1" customHeight="1"/>
    <row r="163" ht="50.1" customHeight="1"/>
    <row r="164" ht="50.1" customHeight="1"/>
    <row r="165" ht="50.1" customHeight="1"/>
    <row r="166" ht="50.1" customHeight="1"/>
    <row r="167" ht="50.1" customHeight="1"/>
    <row r="168" ht="50.1" customHeight="1"/>
    <row r="169" ht="50.1" customHeight="1"/>
    <row r="170" ht="50.1" customHeight="1"/>
    <row r="171" ht="50.1" customHeight="1"/>
    <row r="172" ht="50.1" customHeight="1"/>
    <row r="173" ht="50.1" customHeight="1"/>
    <row r="174" ht="50.1" customHeight="1"/>
    <row r="175" ht="50.1" customHeight="1"/>
    <row r="176" ht="50.1" customHeight="1"/>
    <row r="177" ht="50.1" customHeight="1"/>
    <row r="178" ht="50.1" customHeight="1"/>
    <row r="179" ht="50.1" customHeight="1"/>
    <row r="180" ht="50.1" customHeight="1"/>
    <row r="181" ht="50.1" customHeight="1"/>
    <row r="182" ht="50.1" customHeight="1"/>
    <row r="183" ht="50.1" customHeight="1"/>
    <row r="184" ht="50.1" customHeight="1"/>
    <row r="185" ht="50.1" customHeight="1"/>
    <row r="186" ht="50.1" customHeight="1"/>
    <row r="187" ht="50.1" customHeight="1"/>
    <row r="188" ht="50.1" customHeight="1"/>
    <row r="189" ht="50.1" customHeight="1"/>
    <row r="190" ht="50.1" customHeight="1"/>
    <row r="191" ht="50.1" customHeight="1"/>
    <row r="192" ht="50.1" customHeight="1"/>
    <row r="193" ht="50.1" customHeight="1"/>
    <row r="194" ht="50.1" customHeight="1"/>
    <row r="195" ht="50.1" customHeight="1"/>
    <row r="196" ht="50.1" customHeight="1"/>
    <row r="197" ht="50.1" customHeight="1"/>
    <row r="198" ht="50.1" customHeight="1"/>
    <row r="199" ht="50.1" customHeight="1"/>
    <row r="200" ht="50.1" customHeight="1"/>
    <row r="201" ht="50.1" customHeight="1"/>
    <row r="202" ht="50.1" customHeight="1"/>
    <row r="203" ht="50.1" customHeight="1"/>
    <row r="204" ht="50.1" customHeight="1"/>
    <row r="205" ht="50.1" customHeight="1"/>
    <row r="206" ht="50.1" customHeight="1"/>
    <row r="207" ht="50.1" customHeight="1"/>
    <row r="208" ht="50.1" customHeight="1"/>
    <row r="209" ht="50.1" customHeight="1"/>
    <row r="210" ht="50.1" customHeight="1"/>
    <row r="211" ht="50.1" customHeight="1"/>
    <row r="212" ht="50.1" customHeight="1"/>
    <row r="213" ht="50.1" customHeight="1"/>
    <row r="214" ht="50.1" customHeight="1"/>
    <row r="215" ht="50.1" customHeight="1"/>
    <row r="216" ht="50.1" customHeight="1"/>
    <row r="217" ht="50.1" customHeight="1"/>
    <row r="218" ht="50.1" customHeight="1"/>
    <row r="219" ht="50.1" customHeight="1"/>
    <row r="220" ht="50.1" customHeight="1"/>
    <row r="221" ht="50.1" customHeight="1"/>
    <row r="222" ht="50.1" customHeight="1"/>
    <row r="223" ht="50.1" customHeight="1"/>
    <row r="224" ht="50.1" customHeight="1"/>
    <row r="225" ht="50.1" customHeight="1"/>
    <row r="226" ht="50.1" customHeight="1"/>
    <row r="227" ht="50.1" customHeight="1"/>
    <row r="228" ht="50.1" customHeight="1"/>
    <row r="229" ht="50.1" customHeight="1"/>
    <row r="230" ht="50.1" customHeight="1"/>
    <row r="231" ht="50.1" customHeight="1"/>
    <row r="232" ht="50.1" customHeight="1"/>
    <row r="233" ht="50.1" customHeight="1"/>
  </sheetData>
  <mergeCells count="2">
    <mergeCell ref="J10:K10"/>
    <mergeCell ref="J26:K26"/>
  </mergeCells>
  <phoneticPr fontId="126" type="noConversion"/>
  <conditionalFormatting sqref="J9 I7 B7:H18">
    <cfRule type="expression" dxfId="102" priority="187">
      <formula>IF(MONTH(B7)=MONTH($C$5),FALSE,TRUE)</formula>
    </cfRule>
  </conditionalFormatting>
  <conditionalFormatting sqref="B8:H8">
    <cfRule type="expression" dxfId="101" priority="183">
      <formula>IF(B8="Frei",TRUE,FALSE)</formula>
    </cfRule>
  </conditionalFormatting>
  <conditionalFormatting sqref="B10:H10">
    <cfRule type="expression" dxfId="100" priority="182">
      <formula>IF(B10="Frei",TRUE,FALSE)</formula>
    </cfRule>
  </conditionalFormatting>
  <conditionalFormatting sqref="B12:H12">
    <cfRule type="expression" dxfId="99" priority="181">
      <formula>IF(B12="Frei",TRUE,FALSE)</formula>
    </cfRule>
  </conditionalFormatting>
  <conditionalFormatting sqref="B14:H14">
    <cfRule type="expression" dxfId="98" priority="180">
      <formula>IF(B14="Frei",TRUE,FALSE)</formula>
    </cfRule>
  </conditionalFormatting>
  <conditionalFormatting sqref="B16:H16">
    <cfRule type="expression" dxfId="97" priority="179">
      <formula>IF(B16="Frei",TRUE,FALSE)</formula>
    </cfRule>
  </conditionalFormatting>
  <conditionalFormatting sqref="B18:H18">
    <cfRule type="expression" dxfId="96" priority="178">
      <formula>IF(B18="Frei",TRUE,FALSE)</formula>
    </cfRule>
  </conditionalFormatting>
  <conditionalFormatting sqref="B10:H10">
    <cfRule type="expression" dxfId="95" priority="158">
      <formula>IF(B10="Frei",TRUE,FALSE)</formula>
    </cfRule>
  </conditionalFormatting>
  <conditionalFormatting sqref="B10:H10">
    <cfRule type="expression" dxfId="94" priority="157">
      <formula>"WENN(HEUTE();WAHR;FALSCH)"</formula>
    </cfRule>
  </conditionalFormatting>
  <conditionalFormatting sqref="B14:H14">
    <cfRule type="expression" dxfId="93" priority="156">
      <formula>IF(B14="Frei",TRUE,FALSE)</formula>
    </cfRule>
  </conditionalFormatting>
  <conditionalFormatting sqref="B14:H14">
    <cfRule type="expression" dxfId="92" priority="155">
      <formula>IF(B14="Frei",TRUE,FALSE)</formula>
    </cfRule>
  </conditionalFormatting>
  <conditionalFormatting sqref="B14:H14">
    <cfRule type="expression" dxfId="91" priority="154">
      <formula>"WENN(HEUTE();WAHR;FALSCH)"</formula>
    </cfRule>
  </conditionalFormatting>
  <conditionalFormatting sqref="B16:H16">
    <cfRule type="expression" dxfId="90" priority="153">
      <formula>IF(B16="Frei",TRUE,FALSE)</formula>
    </cfRule>
  </conditionalFormatting>
  <conditionalFormatting sqref="B16:H16">
    <cfRule type="expression" dxfId="89" priority="152">
      <formula>IF(B16="Frei",TRUE,FALSE)</formula>
    </cfRule>
  </conditionalFormatting>
  <conditionalFormatting sqref="B16:H16">
    <cfRule type="expression" dxfId="88" priority="151">
      <formula>IF(B16="Frei",TRUE,FALSE)</formula>
    </cfRule>
  </conditionalFormatting>
  <conditionalFormatting sqref="B16:H16">
    <cfRule type="expression" dxfId="87" priority="150">
      <formula>"WENN(HEUTE();WAHR;FALSCH)"</formula>
    </cfRule>
  </conditionalFormatting>
  <conditionalFormatting sqref="B18:H18">
    <cfRule type="expression" dxfId="86" priority="149">
      <formula>IF(B18="Frei",TRUE,FALSE)</formula>
    </cfRule>
  </conditionalFormatting>
  <conditionalFormatting sqref="B18:H18">
    <cfRule type="expression" dxfId="85" priority="148">
      <formula>IF(B18="Frei",TRUE,FALSE)</formula>
    </cfRule>
  </conditionalFormatting>
  <conditionalFormatting sqref="B18:H18">
    <cfRule type="expression" dxfId="84" priority="147">
      <formula>IF(B18="Frei",TRUE,FALSE)</formula>
    </cfRule>
  </conditionalFormatting>
  <conditionalFormatting sqref="B18:H18">
    <cfRule type="expression" dxfId="83" priority="146">
      <formula>"WENN(HEUTE();WAHR;FALSCH)"</formula>
    </cfRule>
  </conditionalFormatting>
  <conditionalFormatting sqref="B12:H12">
    <cfRule type="expression" dxfId="82" priority="145">
      <formula>IF(B12="Frei",TRUE,FALSE)</formula>
    </cfRule>
  </conditionalFormatting>
  <conditionalFormatting sqref="B12:H12">
    <cfRule type="expression" dxfId="81" priority="144">
      <formula>IF(B12="Frei",TRUE,FALSE)</formula>
    </cfRule>
  </conditionalFormatting>
  <conditionalFormatting sqref="B12:H12">
    <cfRule type="expression" dxfId="80" priority="143">
      <formula>"WENN(HEUTE();WAHR;FALSCH)"</formula>
    </cfRule>
  </conditionalFormatting>
  <conditionalFormatting sqref="B8:H8">
    <cfRule type="expression" dxfId="79" priority="99">
      <formula>IF(OR(B8="OK 1",B8="OK 2",B8="OK 3",B8="OK",B8="PUSH",B8="PUSH 1",B8="PUSH 2",B8="PUSH 3"),TRUE,FALSE)</formula>
    </cfRule>
  </conditionalFormatting>
  <conditionalFormatting sqref="B8:H8">
    <cfRule type="expression" dxfId="78" priority="95">
      <formula>IF(OR(B8="GK",B8="GK 1",B8="GK 2",B8="GK 3",B8="GK 4"),TRUE,FALSE)</formula>
    </cfRule>
    <cfRule type="expression" dxfId="77" priority="96">
      <formula>IF(OR(B8="OK 2+",B8="OK 3+",),TRUE,FALSE)</formula>
    </cfRule>
    <cfRule type="expression" dxfId="76" priority="97">
      <formula>IF(OR(B8="PULL",B8="PULL 1",B8="PULL 2"),TRUE,FALSE)</formula>
    </cfRule>
    <cfRule type="expression" dxfId="75" priority="98">
      <formula>IF(OR(B8="UK 1",B8="UK 2",B8="OK",B8="UK 3",B8="Beine",B8="BEINE 1",B8="BEINE 2",B8="BEINE 1"),TRUE,FALSE)</formula>
    </cfRule>
  </conditionalFormatting>
  <conditionalFormatting sqref="B8:H8">
    <cfRule type="expression" dxfId="74" priority="93">
      <formula>IF(B8="Keine Zeit",TRUE,FALSE)</formula>
    </cfRule>
    <cfRule type="expression" dxfId="73" priority="94">
      <formula>IF(B8="Skip",TRUE,FALSE)</formula>
    </cfRule>
  </conditionalFormatting>
  <conditionalFormatting sqref="B10:H10">
    <cfRule type="expression" dxfId="72" priority="92">
      <formula>IF(B10="Frei",TRUE,FALSE)</formula>
    </cfRule>
  </conditionalFormatting>
  <conditionalFormatting sqref="B10:H10">
    <cfRule type="expression" dxfId="71" priority="91">
      <formula>IF(OR(B10="OK 1",B10="OK 2",B10="OK 3",B10="OK",B10="PUSH",B10="PUSH 1",B10="PUSH 2",B10="PUSH 3"),TRUE,FALSE)</formula>
    </cfRule>
  </conditionalFormatting>
  <conditionalFormatting sqref="B10:H10">
    <cfRule type="expression" dxfId="70" priority="87">
      <formula>IF(OR(B10="GK",B10="GK 1",B10="GK 2",B10="GK 3",B10="GK 4"),TRUE,FALSE)</formula>
    </cfRule>
    <cfRule type="expression" dxfId="69" priority="88">
      <formula>IF(OR(B10="OK 2+",B10="OK 3+",),TRUE,FALSE)</formula>
    </cfRule>
    <cfRule type="expression" dxfId="68" priority="89">
      <formula>IF(OR(B10="PULL",B10="PULL 1",B10="PULL 2"),TRUE,FALSE)</formula>
    </cfRule>
    <cfRule type="expression" dxfId="67" priority="90">
      <formula>IF(OR(B10="UK 1",B10="UK 2",B10="OK",B10="UK 3",B10="Beine",B10="BEINE 1",B10="BEINE 2",B10="BEINE 1"),TRUE,FALSE)</formula>
    </cfRule>
  </conditionalFormatting>
  <conditionalFormatting sqref="B10:H10">
    <cfRule type="expression" dxfId="66" priority="85">
      <formula>IF(B10="Keine Zeit",TRUE,FALSE)</formula>
    </cfRule>
    <cfRule type="expression" dxfId="65" priority="86">
      <formula>IF(B10="Skip",TRUE,FALSE)</formula>
    </cfRule>
  </conditionalFormatting>
  <conditionalFormatting sqref="B12:H12">
    <cfRule type="expression" dxfId="64" priority="84">
      <formula>IF(B12="Frei",TRUE,FALSE)</formula>
    </cfRule>
  </conditionalFormatting>
  <conditionalFormatting sqref="B12:H12">
    <cfRule type="expression" dxfId="63" priority="83">
      <formula>IF(OR(B12="OK 1",B12="OK 2",B12="OK 3",B12="OK",B12="PUSH",B12="PUSH 1",B12="PUSH 2",B12="PUSH 3"),TRUE,FALSE)</formula>
    </cfRule>
  </conditionalFormatting>
  <conditionalFormatting sqref="B12:H12">
    <cfRule type="expression" dxfId="62" priority="79">
      <formula>IF(OR(B12="GK",B12="GK 1",B12="GK 2",B12="GK 3",B12="GK 4"),TRUE,FALSE)</formula>
    </cfRule>
    <cfRule type="expression" dxfId="61" priority="80">
      <formula>IF(OR(B12="OK 2+",B12="OK 3+",),TRUE,FALSE)</formula>
    </cfRule>
    <cfRule type="expression" dxfId="60" priority="81">
      <formula>IF(OR(B12="PULL",B12="PULL 1",B12="PULL 2"),TRUE,FALSE)</formula>
    </cfRule>
    <cfRule type="expression" dxfId="59" priority="82">
      <formula>IF(OR(B12="UK 1",B12="UK 2",B12="OK",B12="UK 3",B12="Beine",B12="BEINE 1",B12="BEINE 2",B12="BEINE 1"),TRUE,FALSE)</formula>
    </cfRule>
  </conditionalFormatting>
  <conditionalFormatting sqref="B12:H12">
    <cfRule type="expression" dxfId="58" priority="77">
      <formula>IF(B12="Keine Zeit",TRUE,FALSE)</formula>
    </cfRule>
    <cfRule type="expression" dxfId="57" priority="78">
      <formula>IF(B12="Skip",TRUE,FALSE)</formula>
    </cfRule>
  </conditionalFormatting>
  <conditionalFormatting sqref="B18:H18 B16:H16 B14:H14">
    <cfRule type="expression" dxfId="56" priority="76">
      <formula>IF(B14="Frei",TRUE,FALSE)</formula>
    </cfRule>
  </conditionalFormatting>
  <conditionalFormatting sqref="B18:H18 B16:H16 B14:H14">
    <cfRule type="expression" dxfId="55" priority="75">
      <formula>IF(OR(B14="OK 1",B14="OK 2",B14="OK 3",B14="OK",B14="PUSH",B14="PUSH 1",B14="PUSH 2",B14="PUSH 3"),TRUE,FALSE)</formula>
    </cfRule>
  </conditionalFormatting>
  <conditionalFormatting sqref="B18:H18 B16:H16 B14:H14">
    <cfRule type="expression" dxfId="54" priority="71">
      <formula>IF(OR(B14="GK",B14="GK 1",B14="GK 2",B14="GK 3",B14="GK 4"),TRUE,FALSE)</formula>
    </cfRule>
    <cfRule type="expression" dxfId="53" priority="72">
      <formula>IF(OR(B14="OK 2+",B14="OK 3+",),TRUE,FALSE)</formula>
    </cfRule>
    <cfRule type="expression" dxfId="52" priority="73">
      <formula>IF(OR(B14="PULL",B14="PULL 1",B14="PULL 2"),TRUE,FALSE)</formula>
    </cfRule>
    <cfRule type="expression" dxfId="51" priority="74">
      <formula>IF(OR(B14="UK 1",B14="UK 2",B14="OK",B14="UK 3",B14="Beine",B14="BEINE 1",B14="BEINE 2",B14="BEINE 1"),TRUE,FALSE)</formula>
    </cfRule>
  </conditionalFormatting>
  <conditionalFormatting sqref="B18:H18 B16:H16 B14:H14">
    <cfRule type="expression" dxfId="50" priority="69">
      <formula>IF(B14="Keine Zeit",TRUE,FALSE)</formula>
    </cfRule>
    <cfRule type="expression" dxfId="49" priority="70">
      <formula>IF(B14="Skip",TRUE,FALSE)</formula>
    </cfRule>
  </conditionalFormatting>
  <conditionalFormatting sqref="B18:H18 B16:H16 B14:H14 B12:H12 B10:H10">
    <cfRule type="expression" dxfId="48" priority="58">
      <formula>IF(B10="Frei",TRUE,FALSE)</formula>
    </cfRule>
  </conditionalFormatting>
  <conditionalFormatting sqref="B18:H18 B16:H16 B14:H14 B12:H12 B10:H10">
    <cfRule type="expression" dxfId="47" priority="57">
      <formula>IF(OR(B10="OK 1",B10="OK 2",B10="OK 3",B10="OK",B10="PUSH",B10="PUSH 1",B10="PUSH 2",B10="PUSH 3"),TRUE,FALSE)</formula>
    </cfRule>
  </conditionalFormatting>
  <conditionalFormatting sqref="B18:H18 B16:H16 B14:H14 B12:H12 B10:H10">
    <cfRule type="expression" dxfId="46" priority="53">
      <formula>IF(OR(B10="GK",B10="GK 1",B10="GK 2",B10="GK 3",B10="GK 4"),TRUE,FALSE)</formula>
    </cfRule>
    <cfRule type="expression" dxfId="45" priority="54">
      <formula>IF(OR(B10="OK 2+",B10="OK 3+",),TRUE,FALSE)</formula>
    </cfRule>
    <cfRule type="expression" dxfId="44" priority="55">
      <formula>IF(OR(B10="PULL",B10="PULL 1",B10="PULL 2"),TRUE,FALSE)</formula>
    </cfRule>
    <cfRule type="expression" dxfId="43" priority="56">
      <formula>IF(OR(B10="UK 1",B10="UK 2",B10="OK",B10="UK 3",B10="Beine",B10="BEINE 1",B10="BEINE 2",B10="BEINE 1"),TRUE,FALSE)</formula>
    </cfRule>
  </conditionalFormatting>
  <conditionalFormatting sqref="B18:H18 B16:H16 B14:H14 B12:H12 B10:H10">
    <cfRule type="expression" dxfId="42" priority="51">
      <formula>IF(B10="Keine Zeit",TRUE,FALSE)</formula>
    </cfRule>
    <cfRule type="expression" dxfId="41" priority="52">
      <formula>IF(B10="Skip",TRUE,FALSE)</formula>
    </cfRule>
  </conditionalFormatting>
  <conditionalFormatting sqref="B18:H18 B14:H14 B12:H12 B10:H10 B16:H16">
    <cfRule type="expression" dxfId="40" priority="48">
      <formula>IF(B10="Frei",TRUE,FALSE)</formula>
    </cfRule>
  </conditionalFormatting>
  <conditionalFormatting sqref="B18:H18 B14:H14 B12:H12 B10:H10 B16:H16">
    <cfRule type="expression" dxfId="39" priority="47">
      <formula>IF(OR(B10="OK 1",B10="OK 2",B10="OK 3",B10="OK",B10="PUSH",B10="PUSH 1",B10="PUSH 2",B10="PUSH 3"),TRUE,FALSE)</formula>
    </cfRule>
  </conditionalFormatting>
  <conditionalFormatting sqref="B18:H18 B14:H14 B12:H12 B10:H10 B16:H16">
    <cfRule type="expression" dxfId="38" priority="43">
      <formula>IF(OR(B10="GK",B10="GK 1",B10="GK 2",B10="GK 3",B10="GK 4"),TRUE,FALSE)</formula>
    </cfRule>
    <cfRule type="expression" dxfId="37" priority="44">
      <formula>IF(OR(B10="OK 2+",B10="OK 3+",),TRUE,FALSE)</formula>
    </cfRule>
    <cfRule type="expression" dxfId="36" priority="45">
      <formula>IF(OR(B10="PULL",B10="PULL 1",B10="PULL 2"),TRUE,FALSE)</formula>
    </cfRule>
    <cfRule type="expression" dxfId="35" priority="46">
      <formula>IF(OR(B10="UK 1",B10="UK 2",B10="OK",B10="UK 3",B10="Beine",B10="BEINE 1",B10="BEINE 2",B10="BEINE 1"),TRUE,FALSE)</formula>
    </cfRule>
  </conditionalFormatting>
  <conditionalFormatting sqref="B18:H18 B14:H14 B12:H12 B10:H10 B16:H16">
    <cfRule type="expression" dxfId="34" priority="41">
      <formula>IF(B10="Keine Zeit",TRUE,FALSE)</formula>
    </cfRule>
    <cfRule type="expression" dxfId="33" priority="42">
      <formula>IF(B10="Skip",TRUE,FALSE)</formula>
    </cfRule>
  </conditionalFormatting>
  <conditionalFormatting sqref="B18:H18 B16:H16 B14:H14 B12:H12 B10:H10">
    <cfRule type="expression" dxfId="32" priority="38">
      <formula>IF(B10="Frei",TRUE,FALSE)</formula>
    </cfRule>
  </conditionalFormatting>
  <conditionalFormatting sqref="B18:H18 B16:H16 B14:H14 B12:H12 B10:H10">
    <cfRule type="expression" dxfId="31" priority="37">
      <formula>IF(OR(B10="OK 1",B10="OK 2",B10="OK 3",B10="OK",B10="PUSH",B10="PUSH 1",B10="PUSH 2",B10="PUSH 3"),TRUE,FALSE)</formula>
    </cfRule>
  </conditionalFormatting>
  <conditionalFormatting sqref="B18:H18 B16:H16 B14:H14 B12:H12 B10:H10">
    <cfRule type="expression" dxfId="30" priority="33">
      <formula>IF(OR(B10="GK",B10="GK1",B10="GK2",B10="GK3",B10="GK4"),TRUE,FALSE)</formula>
    </cfRule>
    <cfRule type="expression" dxfId="29" priority="34">
      <formula>IF(OR(B10="OK 2+",B10="OK 3+",),TRUE,FALSE)</formula>
    </cfRule>
    <cfRule type="expression" dxfId="28" priority="35">
      <formula>IF(OR(B10="PULL",B10="PULL 1",B10="PULL 2"),TRUE,FALSE)</formula>
    </cfRule>
    <cfRule type="expression" dxfId="27" priority="36">
      <formula>IF(OR(B10="UK 1",B10="UK 2",B10="OK",B10="UK 3",B10="Beine",B10="BEINE 1",B10="BEINE 2",B10="BEINE 1"),TRUE,FALSE)</formula>
    </cfRule>
  </conditionalFormatting>
  <conditionalFormatting sqref="B18:H18 B16:H16 B14:H14 B12:H12 B10:H10">
    <cfRule type="expression" dxfId="26" priority="31">
      <formula>IF(B10="Keine Zeit",TRUE,FALSE)</formula>
    </cfRule>
    <cfRule type="expression" dxfId="25" priority="32">
      <formula>IF(B10="Skip",TRUE,FALSE)</formula>
    </cfRule>
  </conditionalFormatting>
  <conditionalFormatting sqref="B34:H34 B32:H32 B30:H30 B28:H28 B26:H26 B24:H24 B18:H18 B16:H16 B14:H14 B12:H12 B10:H10">
    <cfRule type="expression" dxfId="24" priority="28">
      <formula>IF(B10="Frei",TRUE,FALSE)</formula>
    </cfRule>
  </conditionalFormatting>
  <conditionalFormatting sqref="B34:H34 B32:H32 B30:H30 B28:H28 B26:H26 B24:H24 B18:H18 B16:H16 B14:H14 B12:H12 B10:H10">
    <cfRule type="expression" dxfId="23" priority="27">
      <formula>IF(OR(B10="OK 1",B10="OK 2",B10="OK 3",B10="OK",B10="PUSH",B10="PUSH 1",B10="PUSH 2",B10="PUSH 3"),TRUE,FALSE)</formula>
    </cfRule>
  </conditionalFormatting>
  <conditionalFormatting sqref="B34:H34 B32:H32 B30:H30 B28:H28 B26:H26 B24:H24 B18:H18 B16:H16 B14:H14 B12:H12 B10:H10">
    <cfRule type="expression" dxfId="22" priority="23">
      <formula>IF(OR(B10="GK",B10="GK 1",B10="GK 2",B10="GK 3",B10="GK 4"),TRUE,FALSE)</formula>
    </cfRule>
    <cfRule type="expression" dxfId="21" priority="24">
      <formula>IF(OR(B10="OK 2+",B10="OK 3+",),TRUE,FALSE)</formula>
    </cfRule>
    <cfRule type="expression" dxfId="20" priority="25">
      <formula>IF(OR(B10="PULL",B10="PULL 1",B10="PULL 2"),TRUE,FALSE)</formula>
    </cfRule>
    <cfRule type="expression" dxfId="19" priority="26">
      <formula>IF(OR(B10="UK 1",B10="UK 2",B10="OK",B10="UK 3",B10="Beine",B10="BEINE 1",B10="BEINE 2",B10="BEINE 1"),TRUE,FALSE)</formula>
    </cfRule>
  </conditionalFormatting>
  <conditionalFormatting sqref="B34:H34 B32:H32 B30:H30 B28:H28 B26:H26 B24:H24 B18:H18 B16:H16 B14:H14 B12:H12 B10:H10">
    <cfRule type="expression" dxfId="18" priority="21">
      <formula>IF(B10="Keine Zeit",TRUE,FALSE)</formula>
    </cfRule>
    <cfRule type="expression" dxfId="17" priority="22">
      <formula>IF(B10="Skip",TRUE,FALSE)</formula>
    </cfRule>
  </conditionalFormatting>
  <conditionalFormatting sqref="B34:H34 B32:H32 B30:H30 B28:H28 B26:H26 B24:H24">
    <cfRule type="expression" dxfId="16" priority="20">
      <formula>IF(MONTH(B24)=MONTH($C$5),FALSE,TRUE)</formula>
    </cfRule>
  </conditionalFormatting>
  <conditionalFormatting sqref="B34:H34 B32:H32 B30:H30 B28:H28 B26:H26 B24:H24">
    <cfRule type="expression" dxfId="15" priority="19">
      <formula>IF(B24=TODAY(),TRUE,FALSE)</formula>
    </cfRule>
  </conditionalFormatting>
  <conditionalFormatting sqref="B23:H23 B25:H25 B27:H27 B29:H29 B31:H31 B33:H33">
    <cfRule type="expression" dxfId="14" priority="18">
      <formula>IF(MONTH(B23)=MONTH($C$5),FALSE,TRUE)</formula>
    </cfRule>
  </conditionalFormatting>
  <conditionalFormatting sqref="J5">
    <cfRule type="iconSet" priority="16">
      <iconSet iconSet="3Symbols2">
        <cfvo type="percent" val="0"/>
        <cfvo type="percent" val="33"/>
        <cfvo type="percent" val="67"/>
      </iconSet>
    </cfRule>
  </conditionalFormatting>
  <conditionalFormatting sqref="J10:K10">
    <cfRule type="expression" dxfId="13" priority="14">
      <formula>IF($J$10&lt;&gt;"",TRUE,FALSE)</formula>
    </cfRule>
  </conditionalFormatting>
  <conditionalFormatting sqref="J26:K26">
    <cfRule type="expression" dxfId="12" priority="13">
      <formula>IF($J$26&lt;&gt;"",TRUE,FALSE)</formula>
    </cfRule>
  </conditionalFormatting>
  <conditionalFormatting sqref="B7:H7">
    <cfRule type="expression" dxfId="11" priority="12">
      <formula>IF(B7=TODAY(),TRUE,FALSE)</formula>
    </cfRule>
  </conditionalFormatting>
  <conditionalFormatting sqref="B9:H9">
    <cfRule type="expression" dxfId="10" priority="11">
      <formula>IF(B9=TODAY(),TRUE,FALSE)</formula>
    </cfRule>
  </conditionalFormatting>
  <conditionalFormatting sqref="B11:H11">
    <cfRule type="expression" dxfId="9" priority="10">
      <formula>IF(B11=TODAY(),TRUE,FALSE)</formula>
    </cfRule>
  </conditionalFormatting>
  <conditionalFormatting sqref="B13:H13">
    <cfRule type="expression" dxfId="8" priority="9">
      <formula>IF(B13=TODAY(),TRUE,FALSE)</formula>
    </cfRule>
  </conditionalFormatting>
  <conditionalFormatting sqref="B15:H15">
    <cfRule type="expression" dxfId="7" priority="8">
      <formula>IF(B15=TODAY(),TRUE,FALSE)</formula>
    </cfRule>
  </conditionalFormatting>
  <conditionalFormatting sqref="B17:H17">
    <cfRule type="expression" dxfId="6" priority="7">
      <formula>IF(B17=TODAY(),TRUE,FALSE)</formula>
    </cfRule>
  </conditionalFormatting>
  <conditionalFormatting sqref="B23:H23">
    <cfRule type="expression" dxfId="5" priority="6">
      <formula>IF(B23=TODAY(),TRUE,FALSE)</formula>
    </cfRule>
  </conditionalFormatting>
  <conditionalFormatting sqref="B25:H25">
    <cfRule type="expression" dxfId="4" priority="5">
      <formula>IF(B25=TODAY(),TRUE,FALSE)</formula>
    </cfRule>
  </conditionalFormatting>
  <conditionalFormatting sqref="B27:H27">
    <cfRule type="expression" dxfId="3" priority="4">
      <formula>IF(B27=TODAY(),TRUE,FALSE)</formula>
    </cfRule>
  </conditionalFormatting>
  <conditionalFormatting sqref="B29:H29">
    <cfRule type="expression" dxfId="2" priority="3">
      <formula>IF(B29=TODAY(),TRUE,FALSE)</formula>
    </cfRule>
  </conditionalFormatting>
  <conditionalFormatting sqref="B31:H31">
    <cfRule type="expression" dxfId="1" priority="2">
      <formula>IF(B31=TODAY(),TRUE,FALSE)</formula>
    </cfRule>
  </conditionalFormatting>
  <conditionalFormatting sqref="B33:H33">
    <cfRule type="expression" dxfId="0" priority="1">
      <formula>IF(B33=TODAY(),TRUE,FALSE)</formula>
    </cfRule>
  </conditionalFormatting>
  <pageMargins left="0.7" right="0.7" top="0.78740157499999996" bottom="0.78740157499999996"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81FDBB4-BDA8-47C1-BD4B-2A6AEEFBE803}">
          <x14:formula1>
            <xm:f>'Funktions-Tabelle'!$S$68:$S$76</xm:f>
          </x14:formula1>
          <xm:sqref>B8:H8 B10:H10 B14:H14 B16:H16 B18:H18 B12:H12 B24:H24 B26:H26 B28:H28 B30:H30 B32:H32 B34:H34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Z853"/>
  <sheetViews>
    <sheetView showGridLines="0" zoomScale="87" zoomScaleNormal="87" workbookViewId="0">
      <selection activeCell="H17" sqref="H17"/>
    </sheetView>
  </sheetViews>
  <sheetFormatPr baseColWidth="10" defaultColWidth="9" defaultRowHeight="15" customHeight="1"/>
  <cols>
    <col min="1" max="12" width="22.7109375" style="16" customWidth="1"/>
    <col min="13" max="13" width="4" style="239" customWidth="1"/>
    <col min="14" max="17" width="22.7109375" style="16" customWidth="1"/>
    <col min="18" max="18" width="4.85546875" style="16" customWidth="1"/>
    <col min="19" max="26" width="22.7109375" style="16" customWidth="1"/>
    <col min="27" max="27" width="4.7109375" style="239" customWidth="1"/>
    <col min="28" max="30" width="22.7109375" style="16" customWidth="1"/>
    <col min="31" max="31" width="20.7109375" style="16" customWidth="1"/>
    <col min="32" max="32" width="3.42578125" style="239" customWidth="1"/>
    <col min="33" max="255" width="14" style="16" customWidth="1"/>
    <col min="256" max="260" width="9" style="16" customWidth="1"/>
  </cols>
  <sheetData>
    <row r="1" spans="1:260" ht="31.5" customHeight="1">
      <c r="A1" s="475"/>
      <c r="B1" s="475"/>
      <c r="C1" s="475"/>
      <c r="D1" s="475"/>
      <c r="E1" s="475"/>
      <c r="F1" s="475"/>
      <c r="G1" s="475"/>
      <c r="H1" s="475"/>
      <c r="I1" s="475"/>
      <c r="J1" s="475"/>
      <c r="K1" s="475"/>
      <c r="L1" s="475"/>
      <c r="N1" s="475"/>
      <c r="O1" s="475"/>
      <c r="P1" s="475"/>
      <c r="Q1" s="475"/>
      <c r="R1" s="475"/>
      <c r="S1" s="475"/>
      <c r="T1" s="475"/>
      <c r="U1" s="475"/>
      <c r="V1" s="475"/>
      <c r="W1" s="475"/>
      <c r="X1" s="475"/>
      <c r="Y1" s="475"/>
      <c r="Z1" s="475"/>
      <c r="AB1" s="475"/>
      <c r="AC1" s="475"/>
      <c r="AD1" s="475"/>
      <c r="AE1" s="475"/>
      <c r="AG1" s="475"/>
      <c r="AH1" s="475"/>
      <c r="AI1" s="475"/>
      <c r="AJ1" s="475"/>
      <c r="AK1" s="475"/>
      <c r="AL1" s="475"/>
      <c r="AM1" s="475"/>
      <c r="AN1" s="475"/>
      <c r="AO1" s="475"/>
      <c r="AP1" s="475"/>
      <c r="AQ1" s="475"/>
      <c r="AR1" s="475"/>
      <c r="AS1" s="475"/>
      <c r="AT1" s="475"/>
      <c r="AU1" s="475"/>
      <c r="AV1" s="475"/>
      <c r="AW1" s="475"/>
      <c r="AX1" s="475"/>
      <c r="AY1" s="475"/>
      <c r="AZ1" s="475"/>
      <c r="BA1" s="475"/>
      <c r="BB1" s="475"/>
      <c r="BC1" s="475"/>
      <c r="BD1" s="475"/>
      <c r="BE1" s="475"/>
      <c r="BF1" s="475"/>
      <c r="BG1" s="475"/>
      <c r="BH1" s="475"/>
      <c r="BI1" s="475"/>
      <c r="BJ1" s="475"/>
      <c r="BK1" s="475"/>
      <c r="BL1" s="475"/>
      <c r="BM1" s="475"/>
      <c r="BN1" s="475"/>
      <c r="BO1" s="475"/>
      <c r="BP1" s="475"/>
      <c r="BQ1" s="475"/>
      <c r="BR1" s="475"/>
      <c r="BS1" s="475"/>
      <c r="BT1" s="475"/>
      <c r="BU1" s="475"/>
      <c r="BV1" s="475"/>
      <c r="BW1" s="475"/>
      <c r="BX1" s="475"/>
      <c r="BY1" s="475"/>
      <c r="BZ1" s="475"/>
      <c r="CA1" s="475"/>
      <c r="CB1" s="475"/>
      <c r="CC1" s="475"/>
      <c r="CD1" s="475"/>
      <c r="CE1" s="475"/>
      <c r="CF1" s="475"/>
      <c r="CG1" s="475"/>
      <c r="CH1" s="475"/>
      <c r="CI1" s="475"/>
      <c r="CJ1" s="475"/>
      <c r="CK1" s="475"/>
      <c r="CL1" s="475"/>
      <c r="CM1" s="475"/>
      <c r="CN1" s="475"/>
      <c r="CO1" s="475"/>
      <c r="CP1" s="475"/>
      <c r="CQ1" s="475"/>
      <c r="CR1" s="475"/>
      <c r="CS1" s="475"/>
      <c r="CT1" s="475"/>
      <c r="CU1" s="475"/>
      <c r="CV1" s="475"/>
      <c r="CW1" s="475"/>
      <c r="CX1" s="475"/>
      <c r="CY1" s="475"/>
      <c r="CZ1" s="475"/>
      <c r="DA1" s="475"/>
      <c r="DB1" s="475"/>
      <c r="DC1" s="475"/>
      <c r="DD1" s="475"/>
      <c r="DE1" s="475"/>
      <c r="DF1" s="475"/>
      <c r="DG1" s="475"/>
      <c r="DH1" s="475"/>
      <c r="DI1" s="475"/>
      <c r="DJ1" s="475"/>
      <c r="DK1" s="475"/>
      <c r="DL1" s="475"/>
      <c r="DM1" s="475"/>
      <c r="DN1" s="475"/>
      <c r="DO1" s="475"/>
      <c r="DP1" s="475"/>
      <c r="DQ1" s="475"/>
      <c r="DR1" s="475"/>
      <c r="DS1" s="475"/>
      <c r="DT1" s="475"/>
      <c r="DU1" s="475"/>
      <c r="DV1" s="475"/>
      <c r="DW1" s="475"/>
      <c r="DX1" s="475"/>
      <c r="DY1" s="475"/>
      <c r="DZ1" s="475"/>
      <c r="EA1" s="475"/>
      <c r="EB1" s="475"/>
      <c r="EC1" s="475"/>
      <c r="ED1" s="475"/>
      <c r="EE1" s="475"/>
      <c r="EF1" s="475"/>
      <c r="EG1" s="475"/>
      <c r="EH1" s="475"/>
      <c r="EI1" s="475"/>
      <c r="EJ1" s="475"/>
      <c r="EK1" s="475"/>
      <c r="EL1" s="475"/>
      <c r="EM1" s="475"/>
      <c r="EN1" s="475"/>
      <c r="EO1" s="475"/>
      <c r="EP1" s="475"/>
      <c r="EQ1" s="475"/>
      <c r="ER1" s="475"/>
      <c r="ES1" s="475"/>
      <c r="ET1" s="475"/>
      <c r="EU1" s="475"/>
      <c r="EV1" s="475"/>
      <c r="EW1" s="475"/>
      <c r="EX1" s="475"/>
      <c r="EY1" s="475"/>
      <c r="EZ1" s="475"/>
      <c r="FA1" s="475"/>
      <c r="FB1" s="475"/>
      <c r="FC1" s="475"/>
      <c r="FD1" s="475"/>
      <c r="FE1" s="475"/>
      <c r="FF1" s="475"/>
      <c r="FG1" s="475"/>
      <c r="FH1" s="475"/>
      <c r="FI1" s="475"/>
      <c r="FJ1" s="475"/>
      <c r="FK1" s="475"/>
      <c r="FL1" s="475"/>
      <c r="FM1" s="475"/>
      <c r="FN1" s="475"/>
      <c r="FO1" s="475"/>
      <c r="FP1" s="475"/>
      <c r="FQ1" s="475"/>
      <c r="FR1" s="475"/>
      <c r="FS1" s="475"/>
      <c r="FT1" s="475"/>
      <c r="FU1" s="475"/>
      <c r="FV1" s="475"/>
      <c r="FW1" s="475"/>
      <c r="FX1" s="475"/>
      <c r="FY1" s="475"/>
      <c r="FZ1" s="475"/>
      <c r="GA1" s="475"/>
      <c r="GB1" s="475"/>
      <c r="GC1" s="475"/>
      <c r="GD1" s="475"/>
      <c r="GE1" s="475"/>
      <c r="GF1" s="475"/>
      <c r="GG1" s="475"/>
      <c r="GH1" s="475"/>
      <c r="GI1" s="475"/>
      <c r="GJ1" s="475"/>
      <c r="GK1" s="475"/>
      <c r="GL1" s="475"/>
      <c r="GM1" s="475"/>
      <c r="GN1" s="475"/>
      <c r="GO1" s="475"/>
      <c r="GP1" s="475"/>
      <c r="GQ1" s="475"/>
      <c r="GR1" s="475"/>
      <c r="GS1" s="475"/>
      <c r="GT1" s="475"/>
      <c r="GU1" s="475"/>
      <c r="GV1" s="475"/>
      <c r="GW1" s="475"/>
      <c r="GX1" s="475"/>
      <c r="GY1" s="475"/>
      <c r="GZ1" s="475"/>
      <c r="HA1" s="475"/>
      <c r="HB1" s="475"/>
      <c r="HC1" s="475"/>
      <c r="HD1" s="475"/>
      <c r="HE1" s="475"/>
      <c r="HF1" s="475"/>
      <c r="HG1" s="475"/>
      <c r="HH1" s="475"/>
      <c r="HI1" s="475"/>
      <c r="HJ1" s="475"/>
      <c r="HK1" s="475"/>
      <c r="HL1" s="475"/>
      <c r="HM1" s="475"/>
      <c r="HN1" s="475"/>
      <c r="HO1" s="475"/>
      <c r="HP1" s="475"/>
      <c r="HQ1" s="475"/>
      <c r="HR1" s="475"/>
      <c r="HS1" s="475"/>
      <c r="HT1" s="475"/>
      <c r="HU1" s="475"/>
      <c r="HV1" s="475"/>
      <c r="HW1" s="475"/>
      <c r="HX1" s="475"/>
      <c r="HY1" s="475"/>
      <c r="HZ1" s="475"/>
      <c r="IA1" s="475"/>
      <c r="IB1" s="475"/>
      <c r="IC1" s="475"/>
      <c r="ID1" s="475"/>
      <c r="IE1" s="475"/>
      <c r="IF1" s="475"/>
      <c r="IG1" s="475"/>
      <c r="IH1" s="475"/>
      <c r="II1" s="475"/>
      <c r="IJ1" s="475"/>
      <c r="IK1" s="475"/>
      <c r="IL1" s="475"/>
      <c r="IM1" s="475"/>
      <c r="IN1" s="475"/>
      <c r="IO1" s="475"/>
      <c r="IP1" s="475"/>
      <c r="IQ1" s="475"/>
      <c r="IR1" s="475"/>
      <c r="IS1" s="475"/>
      <c r="IT1" s="475"/>
      <c r="IU1" s="475"/>
      <c r="IV1" s="475"/>
      <c r="IW1" s="475"/>
      <c r="IX1" s="475"/>
      <c r="IY1" s="475"/>
      <c r="IZ1" s="475"/>
    </row>
    <row r="2" spans="1:260" ht="35.1" customHeight="1"/>
    <row r="3" spans="1:260" ht="39.950000000000003" customHeight="1">
      <c r="A3" s="245"/>
      <c r="B3" s="1049"/>
      <c r="C3" s="1049"/>
      <c r="D3" s="1049"/>
      <c r="E3" s="257"/>
      <c r="F3" s="239"/>
    </row>
    <row r="4" spans="1:260" ht="39.950000000000003" customHeight="1">
      <c r="A4" s="245"/>
      <c r="B4" s="255"/>
      <c r="C4" s="255"/>
      <c r="D4" s="255"/>
      <c r="E4" s="255"/>
      <c r="F4" s="239"/>
    </row>
    <row r="5" spans="1:260" ht="39.950000000000003" customHeight="1">
      <c r="A5" s="7"/>
      <c r="K5" s="182" t="s">
        <v>207</v>
      </c>
      <c r="P5" s="182" t="s">
        <v>207</v>
      </c>
      <c r="R5" s="239"/>
      <c r="Y5" s="182" t="s">
        <v>207</v>
      </c>
    </row>
    <row r="6" spans="1:260" ht="39.950000000000003" customHeight="1">
      <c r="A6" s="7"/>
      <c r="B6" s="1050" t="s">
        <v>304</v>
      </c>
      <c r="C6" s="1050"/>
      <c r="D6" s="1050"/>
      <c r="E6" s="8"/>
      <c r="F6" s="1050" t="s">
        <v>306</v>
      </c>
      <c r="G6" s="1050"/>
      <c r="H6" s="1050"/>
      <c r="I6" s="8"/>
      <c r="J6" s="1046" t="s">
        <v>2</v>
      </c>
      <c r="K6" s="1047"/>
      <c r="L6" s="1047"/>
      <c r="M6" s="1048"/>
      <c r="N6" s="183" t="s">
        <v>210</v>
      </c>
      <c r="O6" s="1046" t="s">
        <v>177</v>
      </c>
      <c r="P6" s="1047"/>
      <c r="Q6" s="1047"/>
      <c r="R6" s="1048"/>
      <c r="S6" s="183" t="s">
        <v>208</v>
      </c>
      <c r="T6" s="1050" t="s">
        <v>305</v>
      </c>
      <c r="U6" s="1050"/>
      <c r="V6" s="1050"/>
      <c r="W6" s="7"/>
      <c r="X6" s="1046" t="s">
        <v>153</v>
      </c>
      <c r="Y6" s="1047"/>
      <c r="Z6" s="1047"/>
      <c r="AA6" s="1048"/>
      <c r="AB6" s="183" t="s">
        <v>209</v>
      </c>
      <c r="AC6" s="1046" t="s">
        <v>135</v>
      </c>
      <c r="AD6" s="1047"/>
      <c r="AE6" s="1047"/>
      <c r="AF6" s="1048"/>
      <c r="AG6" s="183" t="s">
        <v>209</v>
      </c>
    </row>
    <row r="7" spans="1:260" ht="39.950000000000003" customHeight="1">
      <c r="A7" s="7"/>
      <c r="B7" s="142" t="s">
        <v>204</v>
      </c>
      <c r="C7" s="184" t="s">
        <v>205</v>
      </c>
      <c r="D7" s="184" t="s">
        <v>206</v>
      </c>
      <c r="E7" s="7"/>
      <c r="F7" s="185" t="s">
        <v>96</v>
      </c>
      <c r="G7" s="186" t="s">
        <v>113</v>
      </c>
      <c r="H7" s="187" t="s">
        <v>114</v>
      </c>
      <c r="I7" s="7"/>
      <c r="J7" s="190" t="s">
        <v>96</v>
      </c>
      <c r="K7" s="84" t="s">
        <v>113</v>
      </c>
      <c r="L7" s="142" t="str">
        <f>(M7&amp;"x")&amp;MROUND(VLOOKUP($J$6,Zyklus!$A$14:$U$62,17,FALSE)*((LEFT(K7,2)/100)),$L$14)</f>
        <v>12x20</v>
      </c>
      <c r="M7" s="281">
        <v>12</v>
      </c>
      <c r="N7" s="7"/>
      <c r="O7" s="190" t="s">
        <v>96</v>
      </c>
      <c r="P7" s="84" t="s">
        <v>113</v>
      </c>
      <c r="Q7" s="142" t="str">
        <f>(R7&amp;"x")&amp;MROUND(VLOOKUP($O$6,Zyklus!$A$14:$U$62,17,FALSE)*((LEFT(P7,2)/100)),$Q$15)</f>
        <v>12x25</v>
      </c>
      <c r="R7" s="281">
        <v>12</v>
      </c>
      <c r="S7" s="7"/>
      <c r="T7" s="185" t="s">
        <v>96</v>
      </c>
      <c r="U7" s="186" t="s">
        <v>119</v>
      </c>
      <c r="V7" s="187" t="s">
        <v>114</v>
      </c>
      <c r="W7" s="7"/>
      <c r="X7" s="185" t="s">
        <v>96</v>
      </c>
      <c r="Y7" s="186" t="s">
        <v>119</v>
      </c>
      <c r="Z7" s="187" t="str">
        <f>(AA7&amp;"x")&amp;MROUND(VLOOKUP($X$6,Zyklus!$A$14:$U$62,17,FALSE)*((LEFT(Y7,2)/100)),$Z$12)</f>
        <v>10x25</v>
      </c>
      <c r="AA7" s="281">
        <v>10</v>
      </c>
      <c r="AC7" s="185" t="s">
        <v>96</v>
      </c>
      <c r="AD7" s="186" t="s">
        <v>119</v>
      </c>
      <c r="AE7" s="187" t="str">
        <f>(AF7&amp;"x")&amp;MROUND(VLOOKUP($X$6,Zyklus!$A$14:$U$62,17,FALSE)*((LEFT(AD7,2)/100)),$AE$12)</f>
        <v>10x25</v>
      </c>
      <c r="AF7" s="281">
        <v>10</v>
      </c>
    </row>
    <row r="8" spans="1:260" ht="39.950000000000003" customHeight="1">
      <c r="A8" s="7"/>
      <c r="B8" s="188" t="s">
        <v>96</v>
      </c>
      <c r="C8" s="99" t="s">
        <v>100</v>
      </c>
      <c r="D8" s="156" t="str">
        <f>"8x 50 "&amp;Dashboard!$C$24</f>
        <v>8x 50 [Kg]</v>
      </c>
      <c r="E8" s="7"/>
      <c r="F8" s="188" t="s">
        <v>106</v>
      </c>
      <c r="G8" s="99" t="s">
        <v>109</v>
      </c>
      <c r="H8" s="156" t="s">
        <v>115</v>
      </c>
      <c r="I8" s="7"/>
      <c r="J8" s="188" t="s">
        <v>106</v>
      </c>
      <c r="K8" s="99" t="s">
        <v>109</v>
      </c>
      <c r="L8" s="156" t="str">
        <f>(M8&amp;"x")&amp;MROUND(VLOOKUP($J$6,Zyklus!$A$14:$U$62,17,FALSE)*((LEFT(K8,2)/100)),$L$14)</f>
        <v>10x40</v>
      </c>
      <c r="M8" s="282">
        <v>10</v>
      </c>
      <c r="N8" s="7"/>
      <c r="O8" s="188" t="s">
        <v>106</v>
      </c>
      <c r="P8" s="99" t="s">
        <v>109</v>
      </c>
      <c r="Q8" s="156" t="str">
        <f>(R8&amp;"x")&amp;MROUND(VLOOKUP($O$6,Zyklus!$A$14:$U$62,17,FALSE)*((LEFT(P8,2)/100)),$Q$15)</f>
        <v>10x45</v>
      </c>
      <c r="R8" s="282">
        <v>10</v>
      </c>
      <c r="S8" s="7"/>
      <c r="T8" s="188" t="s">
        <v>97</v>
      </c>
      <c r="U8" s="99" t="s">
        <v>120</v>
      </c>
      <c r="V8" s="189" t="s">
        <v>121</v>
      </c>
      <c r="W8" s="7"/>
      <c r="X8" s="188" t="s">
        <v>97</v>
      </c>
      <c r="Y8" s="99" t="s">
        <v>120</v>
      </c>
      <c r="Z8" s="158" t="str">
        <f>(AA8&amp;"x")&amp;MROUND(VLOOKUP($X$6,Zyklus!$A$14:$U$62,17,FALSE)*((LEFT(Y8,2)/100)),$Z$12)</f>
        <v>7x45</v>
      </c>
      <c r="AA8" s="282">
        <v>7</v>
      </c>
      <c r="AC8" s="188" t="s">
        <v>97</v>
      </c>
      <c r="AD8" s="99" t="s">
        <v>120</v>
      </c>
      <c r="AE8" s="158" t="str">
        <f>(AF8&amp;"x")&amp;MROUND(VLOOKUP($X$6,Zyklus!$A$14:$U$62,17,FALSE)*((LEFT(AD8,2)/100)),$AE$12)</f>
        <v>7x45</v>
      </c>
      <c r="AF8" s="282">
        <v>7</v>
      </c>
    </row>
    <row r="9" spans="1:260" ht="39.950000000000003" customHeight="1">
      <c r="A9" s="7"/>
      <c r="B9" s="190" t="s">
        <v>97</v>
      </c>
      <c r="C9" s="191" t="s">
        <v>101</v>
      </c>
      <c r="D9" s="142" t="str">
        <f>"5x 70 "&amp;Dashboard!$C$24</f>
        <v>5x 70 [Kg]</v>
      </c>
      <c r="E9" s="7"/>
      <c r="F9" s="190" t="s">
        <v>107</v>
      </c>
      <c r="G9" s="84" t="s">
        <v>110</v>
      </c>
      <c r="H9" s="142" t="s">
        <v>116</v>
      </c>
      <c r="I9" s="7"/>
      <c r="J9" s="190" t="s">
        <v>107</v>
      </c>
      <c r="K9" s="84" t="s">
        <v>110</v>
      </c>
      <c r="L9" s="142" t="str">
        <f>(M9&amp;"x")&amp;MROUND(VLOOKUP($J$6,Zyklus!$A$14:$U$62,17,FALSE)*((LEFT(K9,2)/100)),$L$14)</f>
        <v>8x60</v>
      </c>
      <c r="M9" s="281">
        <v>8</v>
      </c>
      <c r="N9" s="7"/>
      <c r="O9" s="190" t="s">
        <v>107</v>
      </c>
      <c r="P9" s="84" t="s">
        <v>110</v>
      </c>
      <c r="Q9" s="142" t="str">
        <f>(R9&amp;"x")&amp;MROUND(VLOOKUP($O$6,Zyklus!$A$14:$U$62,17,FALSE)*((LEFT(P9,2)/100)),$Q$15)</f>
        <v>8x70</v>
      </c>
      <c r="R9" s="281">
        <v>8</v>
      </c>
      <c r="S9" s="7"/>
      <c r="T9" s="190" t="s">
        <v>98</v>
      </c>
      <c r="U9" s="84" t="s">
        <v>112</v>
      </c>
      <c r="V9" s="192" t="s">
        <v>122</v>
      </c>
      <c r="W9" s="7"/>
      <c r="X9" s="190" t="s">
        <v>98</v>
      </c>
      <c r="Y9" s="84" t="s">
        <v>112</v>
      </c>
      <c r="Z9" s="187" t="str">
        <f>(AA9&amp;"x")&amp;MROUND(VLOOKUP($X$6,Zyklus!$A$14:$U$62,17,FALSE)*((LEFT(Y9,2)/100)),$Z$12)</f>
        <v>3x70</v>
      </c>
      <c r="AA9" s="281">
        <v>3</v>
      </c>
      <c r="AC9" s="190" t="s">
        <v>98</v>
      </c>
      <c r="AD9" s="84" t="s">
        <v>112</v>
      </c>
      <c r="AE9" s="187" t="str">
        <f>(AF9&amp;"x")&amp;MROUND(VLOOKUP($X$6,Zyklus!$A$14:$U$62,17,FALSE)*((LEFT(AD9,2)/100)),$AE$12)</f>
        <v>3x70</v>
      </c>
      <c r="AF9" s="281">
        <v>3</v>
      </c>
    </row>
    <row r="10" spans="1:260" ht="39.950000000000003" customHeight="1">
      <c r="A10" s="7"/>
      <c r="B10" s="188" t="s">
        <v>98</v>
      </c>
      <c r="C10" s="99" t="s">
        <v>102</v>
      </c>
      <c r="D10" s="156" t="str">
        <f>"3x 80 "&amp;Dashboard!$C$24</f>
        <v>3x 80 [Kg]</v>
      </c>
      <c r="E10" s="7"/>
      <c r="F10" s="188" t="s">
        <v>99</v>
      </c>
      <c r="G10" s="99" t="s">
        <v>111</v>
      </c>
      <c r="H10" s="156" t="s">
        <v>117</v>
      </c>
      <c r="I10" s="7"/>
      <c r="J10" s="188" t="s">
        <v>99</v>
      </c>
      <c r="K10" s="99" t="s">
        <v>111</v>
      </c>
      <c r="L10" s="156" t="str">
        <f>(M10&amp;"x")&amp;MROUND(VLOOKUP($J$6,Zyklus!$A$14:$U$62,17,FALSE)*((LEFT(K10,2)/100)),$L$14)</f>
        <v>4x80</v>
      </c>
      <c r="M10" s="282">
        <v>4</v>
      </c>
      <c r="N10" s="7"/>
      <c r="O10" s="188" t="s">
        <v>99</v>
      </c>
      <c r="P10" s="99" t="s">
        <v>111</v>
      </c>
      <c r="Q10" s="156" t="str">
        <f>(R10&amp;"x")&amp;MROUND(VLOOKUP($O$6,Zyklus!$A$14:$U$62,17,FALSE)*((LEFT(P10,2)/100)),$Q$15)</f>
        <v>4x95</v>
      </c>
      <c r="R10" s="282">
        <v>4</v>
      </c>
      <c r="S10" s="7"/>
      <c r="T10" s="7"/>
      <c r="U10" s="7"/>
      <c r="V10" s="7"/>
      <c r="W10" s="7"/>
      <c r="X10" s="7"/>
      <c r="Z10" s="193" t="str">
        <f>"Aktuelles Arbeitsgewicht: "&amp;IF(VLOOKUP($X$6,Zyklus!$A$14:$U$65,17,FALSE)&gt;0,VLOOKUP($X$6,Zyklus!$A$14:$U$65,17,FALSE),"Not Found")&amp;" "&amp;Dashboard!$C$24</f>
        <v>Aktuelles Arbeitsgewicht: 75 [Kg]</v>
      </c>
      <c r="AA10" s="278"/>
      <c r="AE10" s="193" t="str">
        <f>"Aktuelles Arbeitsgewicht: "&amp;IF(VLOOKUP($AC$6,Zyklus!$A$14:$U$65,17,FALSE)&gt;0,VLOOKUP($AC$6,Zyklus!$A$14:$U$65,17,FALSE),"Not Found")&amp;" "&amp;Dashboard!$C$24</f>
        <v>Aktuelles Arbeitsgewicht: 95 [Kg]</v>
      </c>
      <c r="AF10" s="278"/>
    </row>
    <row r="11" spans="1:260" ht="39.950000000000003" customHeight="1">
      <c r="A11" s="7"/>
      <c r="B11" s="190" t="s">
        <v>99</v>
      </c>
      <c r="C11" s="84" t="s">
        <v>103</v>
      </c>
      <c r="D11" s="142" t="str">
        <f>"1x 90 "&amp;Dashboard!$C$24</f>
        <v>1x 90 [Kg]</v>
      </c>
      <c r="E11" s="7"/>
      <c r="F11" s="190" t="s">
        <v>108</v>
      </c>
      <c r="G11" s="84" t="s">
        <v>112</v>
      </c>
      <c r="H11" s="142" t="s">
        <v>118</v>
      </c>
      <c r="I11" s="7"/>
      <c r="J11" s="190" t="s">
        <v>108</v>
      </c>
      <c r="K11" s="84" t="s">
        <v>112</v>
      </c>
      <c r="L11" s="142" t="str">
        <f>(M11&amp;"x")&amp;MROUND(VLOOKUP($J$6,Zyklus!$A$14:$U$62,17,FALSE)*((LEFT(K11,2)/100)),$L$14)</f>
        <v>2x90</v>
      </c>
      <c r="M11" s="281">
        <v>2</v>
      </c>
      <c r="N11" s="7"/>
      <c r="O11" s="190" t="s">
        <v>108</v>
      </c>
      <c r="P11" s="84" t="s">
        <v>112</v>
      </c>
      <c r="Q11" s="142" t="str">
        <f>(R11&amp;"x")&amp;MROUND(VLOOKUP($O$6,Zyklus!$A$14:$U$62,17,FALSE)*((LEFT(P11,2)/100)),$Q$15)</f>
        <v>2x105</v>
      </c>
      <c r="R11" s="281">
        <v>2</v>
      </c>
      <c r="S11" s="7"/>
      <c r="T11" s="7"/>
      <c r="U11" s="7"/>
      <c r="V11" s="7"/>
      <c r="W11" s="7"/>
      <c r="X11" s="7"/>
    </row>
    <row r="12" spans="1:260" ht="39.950000000000003" customHeight="1">
      <c r="A12" s="7"/>
      <c r="B12" s="7"/>
      <c r="C12" s="7"/>
      <c r="D12" s="7"/>
      <c r="E12" s="7"/>
      <c r="F12" s="7"/>
      <c r="G12" s="7"/>
      <c r="H12" s="7"/>
      <c r="I12" s="7"/>
      <c r="J12" s="7"/>
      <c r="K12" s="7"/>
      <c r="L12" s="193" t="str">
        <f>"Aktuelles Arbeitsgewicht: "&amp;IF(VLOOKUP($J$6,Zyklus!$A$14:$U$65,17,FALSE)&gt;0,VLOOKUP($J$6,Zyklus!$A$14:$U$65,17,FALSE),"Not Found")&amp;" "&amp;Dashboard!$C$24</f>
        <v>Aktuelles Arbeitsgewicht: 100 [Kg]</v>
      </c>
      <c r="M12" s="278"/>
      <c r="N12" s="7"/>
      <c r="O12" s="188" t="s">
        <v>140</v>
      </c>
      <c r="P12" s="99" t="s">
        <v>141</v>
      </c>
      <c r="Q12" s="156" t="str">
        <f>(R12&amp;"x")&amp;MROUND(VLOOKUP($O$6,Zyklus!$A$14:$U$62,17,FALSE)*((LEFT(P12,2)/100)),$Q$15)</f>
        <v>1x110</v>
      </c>
      <c r="R12" s="281">
        <v>1</v>
      </c>
      <c r="S12" s="7"/>
      <c r="T12" s="7"/>
      <c r="U12" s="7"/>
      <c r="V12" s="7"/>
      <c r="W12" s="7"/>
      <c r="X12" s="8"/>
      <c r="Y12" s="194" t="s">
        <v>211</v>
      </c>
      <c r="Z12" s="195">
        <v>5</v>
      </c>
      <c r="AA12" s="280"/>
      <c r="AD12" s="194" t="s">
        <v>211</v>
      </c>
      <c r="AE12" s="195">
        <v>5</v>
      </c>
      <c r="AF12" s="280"/>
    </row>
    <row r="13" spans="1:260" ht="39.950000000000003" customHeight="1">
      <c r="A13" s="7"/>
      <c r="B13" s="7"/>
      <c r="C13" s="7"/>
      <c r="D13" s="7"/>
      <c r="E13" s="7"/>
      <c r="F13" s="7"/>
      <c r="G13" s="7"/>
      <c r="H13" s="7"/>
      <c r="I13" s="7"/>
      <c r="J13" s="7"/>
      <c r="K13" s="8"/>
      <c r="L13" s="8"/>
      <c r="M13" s="242"/>
      <c r="N13" s="7"/>
      <c r="O13" s="7"/>
      <c r="P13" s="7"/>
      <c r="Q13" s="193" t="str">
        <f>"Aktuelles Arbeitsgewicht: "&amp;IF(VLOOKUP($O$6,Zyklus!$A$14:$U$65,17,FALSE)&gt;0,VLOOKUP($O$6,Zyklus!$A$14:$U$65,17,FALSE),"Not Found")&amp;" "&amp;Dashboard!$C$24</f>
        <v>Aktuelles Arbeitsgewicht: 117,5 [Kg]</v>
      </c>
      <c r="R13" s="193"/>
      <c r="S13" s="7"/>
      <c r="T13" s="7"/>
      <c r="U13" s="7"/>
      <c r="V13" s="7"/>
      <c r="W13" s="7"/>
      <c r="X13" s="7"/>
    </row>
    <row r="14" spans="1:260" ht="39.950000000000003" customHeight="1">
      <c r="A14" s="7"/>
      <c r="B14" s="7"/>
      <c r="C14" s="7"/>
      <c r="D14" s="7"/>
      <c r="E14" s="7"/>
      <c r="F14" s="7"/>
      <c r="G14" s="7"/>
      <c r="H14" s="7"/>
      <c r="I14" s="7"/>
      <c r="J14" s="8"/>
      <c r="K14" s="194" t="s">
        <v>211</v>
      </c>
      <c r="L14" s="196">
        <v>5</v>
      </c>
      <c r="M14" s="279"/>
      <c r="N14" s="8"/>
      <c r="O14" s="7"/>
      <c r="P14" s="8"/>
      <c r="Q14" s="8"/>
      <c r="R14" s="210"/>
      <c r="S14" s="7"/>
      <c r="T14" s="7"/>
      <c r="U14" s="7"/>
      <c r="V14" s="7"/>
      <c r="W14" s="7"/>
      <c r="X14" s="7"/>
    </row>
    <row r="15" spans="1:260" ht="39.950000000000003" customHeight="1">
      <c r="A15" s="7"/>
      <c r="B15" s="7"/>
      <c r="C15" s="7"/>
      <c r="D15" s="7"/>
      <c r="E15" s="7"/>
      <c r="F15" s="7"/>
      <c r="G15" s="7"/>
      <c r="H15" s="7"/>
      <c r="I15" s="7"/>
      <c r="J15" s="7"/>
      <c r="K15" s="8"/>
      <c r="L15" s="8"/>
      <c r="M15" s="242"/>
      <c r="N15" s="7"/>
      <c r="O15" s="8"/>
      <c r="P15" s="194" t="s">
        <v>211</v>
      </c>
      <c r="Q15" s="196">
        <v>5</v>
      </c>
      <c r="R15" s="27"/>
      <c r="S15" s="8"/>
      <c r="T15" s="7"/>
      <c r="U15" s="7"/>
      <c r="V15" s="7"/>
      <c r="W15" s="7"/>
      <c r="X15" s="7"/>
    </row>
    <row r="16" spans="1:260" ht="39.950000000000003" customHeight="1">
      <c r="A16" s="7"/>
      <c r="B16" s="7"/>
      <c r="C16" s="7"/>
      <c r="D16" s="7"/>
      <c r="E16" s="7"/>
      <c r="F16" s="7"/>
      <c r="G16" s="7"/>
      <c r="H16" s="7"/>
      <c r="I16" s="7"/>
      <c r="J16" s="7"/>
      <c r="K16" s="7"/>
      <c r="L16" s="7"/>
      <c r="M16" s="246"/>
      <c r="N16" s="7"/>
      <c r="O16" s="7"/>
      <c r="P16" s="8"/>
      <c r="Q16" s="8"/>
      <c r="R16" s="210"/>
      <c r="S16" s="7"/>
      <c r="T16" s="7"/>
      <c r="U16" s="7"/>
      <c r="V16" s="7"/>
      <c r="W16" s="7"/>
      <c r="X16" s="7"/>
      <c r="Y16" s="197"/>
    </row>
    <row r="17" spans="1:24" ht="39.950000000000003" customHeight="1">
      <c r="A17" s="7"/>
      <c r="B17" s="7"/>
      <c r="C17" s="7"/>
      <c r="D17" s="7"/>
      <c r="E17" s="7"/>
      <c r="F17" s="7"/>
      <c r="G17" s="7"/>
      <c r="H17" s="7"/>
      <c r="I17" s="7"/>
      <c r="J17" s="7"/>
      <c r="K17" s="7"/>
      <c r="L17" s="7"/>
      <c r="M17" s="246"/>
      <c r="N17" s="7"/>
      <c r="O17" s="7"/>
      <c r="P17" s="7"/>
      <c r="Q17" s="7"/>
      <c r="R17" s="7"/>
      <c r="S17" s="7"/>
      <c r="T17" s="7"/>
      <c r="U17" s="7"/>
      <c r="V17" s="7"/>
      <c r="W17" s="7"/>
      <c r="X17" s="7"/>
    </row>
    <row r="18" spans="1:24" ht="39.950000000000003" customHeight="1">
      <c r="A18" s="7"/>
      <c r="B18" s="7"/>
      <c r="C18" s="7"/>
      <c r="D18" s="7"/>
      <c r="E18" s="7"/>
      <c r="F18" s="7"/>
      <c r="G18" s="7"/>
      <c r="H18" s="7"/>
      <c r="I18" s="7"/>
      <c r="J18" s="7"/>
      <c r="K18" s="7"/>
      <c r="L18" s="7"/>
      <c r="M18" s="246"/>
      <c r="N18" s="7"/>
      <c r="O18" s="7"/>
      <c r="P18" s="7"/>
      <c r="Q18" s="7"/>
      <c r="R18" s="7"/>
      <c r="S18" s="7"/>
      <c r="T18" s="7"/>
      <c r="U18" s="7"/>
      <c r="V18" s="7"/>
      <c r="W18" s="7"/>
      <c r="X18" s="7"/>
    </row>
    <row r="19" spans="1:24" ht="39.950000000000003" customHeight="1">
      <c r="A19" s="7"/>
      <c r="B19" s="7"/>
      <c r="C19" s="7"/>
      <c r="D19" s="7"/>
      <c r="E19" s="7"/>
      <c r="F19" s="7"/>
      <c r="G19" s="7"/>
      <c r="H19" s="7"/>
      <c r="I19" s="7"/>
      <c r="J19" s="7"/>
      <c r="K19" s="7"/>
      <c r="L19" s="7"/>
      <c r="M19" s="246"/>
      <c r="N19" s="7"/>
      <c r="O19" s="7"/>
      <c r="P19" s="7"/>
      <c r="Q19" s="7"/>
      <c r="R19" s="7"/>
      <c r="S19" s="7"/>
      <c r="T19" s="7"/>
      <c r="U19" s="7"/>
      <c r="V19" s="7"/>
      <c r="W19" s="7"/>
      <c r="X19" s="7"/>
    </row>
    <row r="20" spans="1:24" ht="39.950000000000003" customHeight="1">
      <c r="A20" s="7"/>
      <c r="B20" s="7"/>
      <c r="C20" s="7"/>
      <c r="D20" s="7"/>
      <c r="E20" s="7"/>
      <c r="F20" s="7"/>
      <c r="G20" s="7"/>
      <c r="H20" s="7"/>
      <c r="I20" s="7"/>
      <c r="J20" s="7"/>
      <c r="K20" s="7"/>
      <c r="L20" s="7"/>
      <c r="M20" s="246"/>
      <c r="N20" s="7"/>
      <c r="O20" s="7"/>
      <c r="P20" s="7"/>
      <c r="Q20" s="7"/>
      <c r="R20" s="7"/>
      <c r="S20" s="7"/>
      <c r="T20" s="7"/>
      <c r="U20" s="7"/>
      <c r="V20" s="7"/>
      <c r="W20" s="7"/>
      <c r="X20" s="7"/>
    </row>
    <row r="21" spans="1:24" ht="38.1" customHeight="1">
      <c r="A21" s="7"/>
      <c r="B21" s="7"/>
      <c r="C21" s="7"/>
      <c r="D21" s="7"/>
      <c r="E21" s="7"/>
      <c r="F21" s="7"/>
      <c r="G21" s="7"/>
      <c r="H21" s="7"/>
      <c r="I21" s="7"/>
      <c r="J21" s="7"/>
      <c r="K21" s="7"/>
      <c r="L21" s="7"/>
      <c r="M21" s="246"/>
      <c r="N21" s="7"/>
      <c r="O21" s="7"/>
      <c r="P21" s="7"/>
      <c r="Q21" s="7"/>
      <c r="R21" s="7"/>
      <c r="S21" s="7"/>
      <c r="T21" s="7"/>
      <c r="U21" s="7"/>
      <c r="V21" s="7"/>
      <c r="W21" s="7"/>
      <c r="X21" s="7"/>
    </row>
    <row r="22" spans="1:24" ht="38.1" customHeight="1">
      <c r="A22" s="7"/>
      <c r="B22" s="7"/>
      <c r="C22" s="7"/>
      <c r="D22" s="7"/>
      <c r="E22" s="7"/>
      <c r="F22" s="7"/>
      <c r="G22" s="7"/>
      <c r="H22" s="7"/>
      <c r="I22" s="7"/>
      <c r="J22" s="7"/>
      <c r="K22" s="7"/>
      <c r="L22" s="7"/>
      <c r="M22" s="246"/>
      <c r="N22" s="7"/>
      <c r="O22" s="7"/>
      <c r="P22" s="7"/>
      <c r="Q22" s="7"/>
      <c r="R22" s="7"/>
      <c r="S22" s="7"/>
      <c r="T22" s="7"/>
      <c r="U22" s="7"/>
      <c r="V22" s="7"/>
      <c r="W22" s="7"/>
      <c r="X22" s="7"/>
    </row>
    <row r="23" spans="1:24" ht="38.1" customHeight="1">
      <c r="A23" s="7"/>
      <c r="B23" s="7"/>
      <c r="C23" s="7"/>
      <c r="D23" s="7"/>
      <c r="E23" s="7"/>
      <c r="F23" s="7"/>
      <c r="G23" s="7"/>
      <c r="H23" s="7"/>
      <c r="I23" s="7"/>
      <c r="J23" s="7"/>
      <c r="K23" s="7"/>
      <c r="L23" s="7"/>
      <c r="M23" s="246"/>
      <c r="N23" s="7"/>
      <c r="O23" s="7"/>
      <c r="P23" s="7"/>
      <c r="Q23" s="7"/>
      <c r="R23" s="7"/>
      <c r="S23" s="7"/>
      <c r="T23" s="7"/>
      <c r="U23" s="7"/>
      <c r="V23" s="7"/>
      <c r="W23" s="7"/>
      <c r="X23" s="7"/>
    </row>
    <row r="24" spans="1:24" ht="38.1" customHeight="1">
      <c r="A24" s="7"/>
      <c r="B24" s="7"/>
      <c r="C24" s="7"/>
      <c r="D24" s="7"/>
      <c r="E24" s="7"/>
      <c r="F24" s="7"/>
      <c r="G24" s="7"/>
      <c r="H24" s="7"/>
      <c r="I24" s="7"/>
      <c r="J24" s="7"/>
      <c r="K24" s="7"/>
      <c r="L24" s="7"/>
      <c r="M24" s="246"/>
      <c r="N24" s="7"/>
      <c r="O24" s="7"/>
      <c r="P24" s="7"/>
      <c r="Q24" s="7"/>
      <c r="R24" s="7"/>
      <c r="S24" s="7"/>
      <c r="T24" s="7"/>
      <c r="U24" s="7"/>
      <c r="V24" s="7"/>
      <c r="W24" s="7"/>
      <c r="X24" s="7"/>
    </row>
    <row r="25" spans="1:24" ht="38.1" customHeight="1">
      <c r="A25" s="7"/>
      <c r="B25" s="7"/>
      <c r="C25" s="7"/>
      <c r="D25" s="7"/>
      <c r="E25" s="7"/>
      <c r="F25" s="7"/>
      <c r="G25" s="7"/>
      <c r="H25" s="7"/>
      <c r="I25" s="7"/>
      <c r="J25" s="7"/>
      <c r="K25" s="7"/>
      <c r="L25" s="7"/>
      <c r="M25" s="246"/>
      <c r="N25" s="7"/>
      <c r="O25" s="7"/>
      <c r="P25" s="7"/>
      <c r="Q25" s="7"/>
      <c r="R25" s="7"/>
      <c r="S25" s="7"/>
      <c r="T25" s="7"/>
      <c r="U25" s="7"/>
      <c r="V25" s="7"/>
      <c r="W25" s="7"/>
      <c r="X25" s="7"/>
    </row>
    <row r="26" spans="1:24" ht="38.1" customHeight="1">
      <c r="A26" s="7"/>
      <c r="B26" s="7"/>
      <c r="C26" s="7"/>
      <c r="D26" s="7"/>
      <c r="E26" s="7"/>
      <c r="F26" s="7"/>
      <c r="G26" s="7"/>
      <c r="H26" s="7"/>
      <c r="I26" s="7"/>
      <c r="J26" s="7"/>
      <c r="K26" s="7"/>
      <c r="L26" s="7"/>
      <c r="M26" s="246"/>
      <c r="N26" s="7"/>
      <c r="O26" s="7"/>
      <c r="P26" s="7"/>
      <c r="Q26" s="7"/>
      <c r="R26" s="7"/>
      <c r="S26" s="7"/>
      <c r="T26" s="7"/>
      <c r="U26" s="7"/>
      <c r="V26" s="7"/>
      <c r="W26" s="7"/>
      <c r="X26" s="7"/>
    </row>
    <row r="27" spans="1:24" ht="19.5" customHeight="1">
      <c r="A27" s="7"/>
      <c r="B27" s="7"/>
      <c r="C27" s="7"/>
      <c r="D27" s="7"/>
      <c r="E27" s="7"/>
      <c r="F27" s="7"/>
      <c r="G27" s="7"/>
      <c r="H27" s="7"/>
      <c r="I27" s="7"/>
      <c r="J27" s="7"/>
      <c r="K27" s="7"/>
      <c r="L27" s="7"/>
      <c r="M27" s="246"/>
      <c r="N27" s="7"/>
      <c r="O27" s="7"/>
      <c r="P27" s="7"/>
      <c r="Q27" s="7"/>
      <c r="R27" s="7"/>
      <c r="S27" s="7"/>
      <c r="T27" s="7"/>
      <c r="U27" s="7"/>
      <c r="V27" s="7"/>
      <c r="W27" s="7"/>
      <c r="X27" s="7"/>
    </row>
    <row r="28" spans="1:24" ht="19.5" customHeight="1">
      <c r="A28" s="7"/>
      <c r="B28" s="7"/>
      <c r="C28" s="7"/>
      <c r="D28" s="7"/>
      <c r="E28" s="7"/>
      <c r="F28" s="7"/>
      <c r="G28" s="7"/>
      <c r="H28" s="7"/>
      <c r="I28" s="7"/>
      <c r="J28" s="7"/>
      <c r="K28" s="7"/>
      <c r="L28" s="7"/>
      <c r="M28" s="246"/>
      <c r="N28" s="7"/>
      <c r="O28" s="7"/>
      <c r="P28" s="7"/>
      <c r="Q28" s="7"/>
      <c r="R28" s="7"/>
      <c r="S28" s="7"/>
      <c r="T28" s="7"/>
      <c r="U28" s="7"/>
      <c r="V28" s="7"/>
      <c r="W28" s="7"/>
      <c r="X28" s="7"/>
    </row>
    <row r="29" spans="1:24" ht="19.5" customHeight="1">
      <c r="A29" s="7"/>
      <c r="B29" s="7"/>
      <c r="C29" s="7"/>
      <c r="D29" s="7"/>
      <c r="E29" s="7"/>
      <c r="F29" s="7"/>
      <c r="G29" s="7"/>
      <c r="H29" s="7"/>
      <c r="I29" s="7"/>
      <c r="J29" s="7"/>
      <c r="K29" s="7"/>
      <c r="L29" s="7"/>
      <c r="M29" s="246"/>
      <c r="N29" s="7"/>
      <c r="O29" s="7"/>
      <c r="P29" s="7"/>
      <c r="Q29" s="7"/>
      <c r="R29" s="7"/>
      <c r="S29" s="7"/>
      <c r="T29" s="7"/>
      <c r="U29" s="7"/>
      <c r="V29" s="7"/>
      <c r="W29" s="7"/>
      <c r="X29" s="7"/>
    </row>
    <row r="30" spans="1:24" ht="19.5" customHeight="1">
      <c r="A30" s="7"/>
      <c r="B30" s="7"/>
      <c r="C30" s="7"/>
      <c r="D30" s="7"/>
      <c r="E30" s="7"/>
      <c r="F30" s="7"/>
      <c r="G30" s="7"/>
      <c r="H30" s="7"/>
      <c r="I30" s="7"/>
      <c r="J30" s="7"/>
      <c r="K30" s="7"/>
      <c r="L30" s="7"/>
      <c r="M30" s="246"/>
      <c r="N30" s="7"/>
      <c r="O30" s="7"/>
      <c r="P30" s="7"/>
      <c r="Q30" s="7"/>
      <c r="R30" s="7"/>
      <c r="S30" s="7"/>
      <c r="T30" s="7"/>
      <c r="U30" s="7"/>
      <c r="V30" s="7"/>
      <c r="W30" s="7"/>
      <c r="X30" s="7"/>
    </row>
    <row r="31" spans="1:24" ht="19.5" customHeight="1">
      <c r="A31" s="7"/>
      <c r="B31" s="7"/>
      <c r="C31" s="7"/>
      <c r="D31" s="7"/>
      <c r="E31" s="7"/>
      <c r="F31" s="7"/>
      <c r="G31" s="7"/>
      <c r="H31" s="7"/>
      <c r="I31" s="7"/>
      <c r="J31" s="7"/>
      <c r="K31" s="7"/>
      <c r="L31" s="7"/>
      <c r="M31" s="246"/>
      <c r="N31" s="7"/>
      <c r="O31" s="7"/>
      <c r="P31" s="7"/>
      <c r="Q31" s="7"/>
      <c r="R31" s="7"/>
      <c r="S31" s="7"/>
      <c r="T31" s="7"/>
      <c r="U31" s="7"/>
      <c r="V31" s="7"/>
      <c r="W31" s="7"/>
      <c r="X31" s="7"/>
    </row>
    <row r="32" spans="1:24" ht="19.5" customHeight="1">
      <c r="A32" s="7"/>
      <c r="B32" s="7"/>
      <c r="C32" s="7"/>
      <c r="D32" s="7"/>
      <c r="E32" s="7"/>
      <c r="F32" s="7"/>
      <c r="G32" s="7"/>
      <c r="H32" s="7"/>
      <c r="I32" s="7"/>
      <c r="J32" s="7"/>
      <c r="K32" s="7"/>
      <c r="L32" s="7"/>
      <c r="M32" s="246"/>
      <c r="N32" s="7"/>
      <c r="O32" s="7"/>
      <c r="P32" s="7"/>
      <c r="Q32" s="7"/>
      <c r="R32" s="7"/>
      <c r="S32" s="7"/>
      <c r="T32" s="7"/>
      <c r="U32" s="7"/>
      <c r="V32" s="7"/>
      <c r="W32" s="7"/>
      <c r="X32" s="7"/>
    </row>
    <row r="33" spans="1:24" ht="19.5" customHeight="1">
      <c r="A33" s="7"/>
      <c r="B33" s="7"/>
      <c r="C33" s="7"/>
      <c r="D33" s="7"/>
      <c r="E33" s="7"/>
      <c r="F33" s="7"/>
      <c r="G33" s="7"/>
      <c r="H33" s="7"/>
      <c r="I33" s="7"/>
      <c r="J33" s="7"/>
      <c r="K33" s="7"/>
      <c r="L33" s="7"/>
      <c r="M33" s="246"/>
      <c r="N33" s="7"/>
      <c r="O33" s="7"/>
      <c r="P33" s="7"/>
      <c r="Q33" s="7"/>
      <c r="R33" s="7"/>
      <c r="S33" s="7"/>
      <c r="T33" s="7"/>
      <c r="U33" s="7"/>
      <c r="V33" s="7"/>
      <c r="W33" s="7"/>
      <c r="X33" s="7"/>
    </row>
    <row r="34" spans="1:24" ht="19.5" customHeight="1">
      <c r="A34" s="7"/>
      <c r="B34" s="7"/>
      <c r="C34" s="7"/>
      <c r="D34" s="7"/>
      <c r="E34" s="7"/>
      <c r="F34" s="7"/>
      <c r="G34" s="7"/>
      <c r="H34" s="7"/>
      <c r="I34" s="7"/>
      <c r="J34" s="7"/>
      <c r="K34" s="7"/>
      <c r="L34" s="7"/>
      <c r="M34" s="246"/>
      <c r="N34" s="7"/>
      <c r="O34" s="7"/>
      <c r="P34" s="7"/>
      <c r="Q34" s="7"/>
      <c r="R34" s="7"/>
      <c r="S34" s="7"/>
      <c r="T34" s="7"/>
      <c r="U34" s="7"/>
      <c r="V34" s="7"/>
      <c r="W34" s="7"/>
      <c r="X34" s="7"/>
    </row>
    <row r="35" spans="1:24" ht="19.5" customHeight="1">
      <c r="A35" s="7"/>
      <c r="B35" s="7"/>
      <c r="C35" s="7"/>
      <c r="D35" s="7"/>
      <c r="E35" s="7"/>
      <c r="F35" s="7"/>
      <c r="G35" s="7"/>
      <c r="H35" s="7"/>
      <c r="I35" s="7"/>
      <c r="J35" s="7"/>
      <c r="K35" s="7"/>
      <c r="L35" s="7"/>
      <c r="M35" s="246"/>
      <c r="N35" s="7"/>
      <c r="O35" s="7"/>
      <c r="P35" s="7"/>
      <c r="Q35" s="7"/>
      <c r="R35" s="7"/>
      <c r="S35" s="7"/>
      <c r="T35" s="7"/>
      <c r="U35" s="7"/>
      <c r="V35" s="7"/>
      <c r="W35" s="7"/>
      <c r="X35" s="7"/>
    </row>
    <row r="36" spans="1:24" ht="19.5" customHeight="1">
      <c r="A36" s="7"/>
      <c r="B36" s="7"/>
      <c r="C36" s="7"/>
      <c r="D36" s="7"/>
      <c r="E36" s="7"/>
      <c r="F36" s="7"/>
      <c r="G36" s="7"/>
      <c r="H36" s="7"/>
      <c r="I36" s="7"/>
      <c r="J36" s="7"/>
      <c r="K36" s="7"/>
      <c r="L36" s="7"/>
      <c r="M36" s="246"/>
      <c r="N36" s="7"/>
      <c r="O36" s="7"/>
      <c r="P36" s="7"/>
      <c r="Q36" s="7"/>
      <c r="R36" s="7"/>
      <c r="S36" s="7"/>
      <c r="T36" s="7"/>
      <c r="U36" s="7"/>
      <c r="V36" s="7"/>
      <c r="W36" s="7"/>
      <c r="X36" s="7"/>
    </row>
    <row r="37" spans="1:24" ht="19.5" customHeight="1">
      <c r="A37" s="7"/>
      <c r="B37" s="7"/>
      <c r="C37" s="7"/>
      <c r="D37" s="7"/>
      <c r="E37" s="7"/>
      <c r="F37" s="7"/>
      <c r="G37" s="7"/>
      <c r="H37" s="7"/>
      <c r="I37" s="7"/>
      <c r="J37" s="7"/>
      <c r="K37" s="7"/>
      <c r="L37" s="7"/>
      <c r="M37" s="246"/>
      <c r="N37" s="7"/>
      <c r="O37" s="7"/>
      <c r="P37" s="7"/>
      <c r="Q37" s="7"/>
      <c r="R37" s="7"/>
      <c r="S37" s="7"/>
      <c r="T37" s="7"/>
      <c r="U37" s="7"/>
      <c r="V37" s="7"/>
      <c r="W37" s="7"/>
      <c r="X37" s="7"/>
    </row>
    <row r="38" spans="1:24" ht="19.5" customHeight="1">
      <c r="A38" s="7"/>
      <c r="B38" s="7"/>
      <c r="C38" s="7"/>
      <c r="D38" s="7"/>
      <c r="E38" s="7"/>
      <c r="F38" s="7"/>
      <c r="G38" s="7"/>
      <c r="H38" s="7"/>
      <c r="I38" s="7"/>
      <c r="J38" s="7"/>
      <c r="K38" s="7"/>
      <c r="L38" s="7"/>
      <c r="M38" s="246"/>
      <c r="N38" s="7"/>
      <c r="O38" s="7"/>
      <c r="P38" s="7"/>
      <c r="Q38" s="7"/>
      <c r="R38" s="7"/>
      <c r="S38" s="7"/>
      <c r="T38" s="7"/>
      <c r="U38" s="7"/>
      <c r="V38" s="7"/>
      <c r="W38" s="7"/>
      <c r="X38" s="7"/>
    </row>
    <row r="39" spans="1:24" ht="19.5" customHeight="1">
      <c r="A39" s="7"/>
      <c r="B39" s="7"/>
      <c r="C39" s="7"/>
      <c r="D39" s="7"/>
      <c r="E39" s="7"/>
      <c r="F39" s="7"/>
      <c r="G39" s="7"/>
      <c r="H39" s="7"/>
      <c r="I39" s="7"/>
      <c r="J39" s="7"/>
      <c r="K39" s="7"/>
      <c r="L39" s="7"/>
      <c r="M39" s="246"/>
      <c r="N39" s="7"/>
      <c r="O39" s="7"/>
      <c r="P39" s="7"/>
      <c r="Q39" s="7"/>
      <c r="R39" s="7"/>
      <c r="S39" s="7"/>
      <c r="T39" s="7"/>
      <c r="U39" s="7"/>
      <c r="V39" s="7"/>
      <c r="W39" s="7"/>
      <c r="X39" s="7"/>
    </row>
    <row r="40" spans="1:24" ht="19.5" customHeight="1">
      <c r="A40" s="7"/>
      <c r="B40" s="7"/>
      <c r="C40" s="7"/>
      <c r="D40" s="7"/>
      <c r="E40" s="7"/>
      <c r="F40" s="7"/>
      <c r="G40" s="7"/>
      <c r="H40" s="7"/>
      <c r="I40" s="7"/>
      <c r="J40" s="7"/>
      <c r="K40" s="7"/>
      <c r="L40" s="7"/>
      <c r="M40" s="246"/>
      <c r="N40" s="7"/>
      <c r="O40" s="7"/>
      <c r="P40" s="7"/>
      <c r="Q40" s="7"/>
      <c r="R40" s="7"/>
      <c r="S40" s="7"/>
      <c r="T40" s="7"/>
      <c r="U40" s="7"/>
      <c r="V40" s="7"/>
      <c r="W40" s="7"/>
      <c r="X40" s="7"/>
    </row>
    <row r="41" spans="1:24" ht="19.5" customHeight="1">
      <c r="A41" s="7"/>
      <c r="B41" s="7"/>
      <c r="C41" s="7"/>
      <c r="D41" s="7"/>
      <c r="E41" s="7"/>
      <c r="F41" s="7"/>
      <c r="G41" s="7"/>
      <c r="H41" s="7"/>
      <c r="I41" s="7"/>
      <c r="J41" s="7"/>
      <c r="K41" s="7"/>
      <c r="L41" s="7"/>
      <c r="M41" s="246"/>
      <c r="N41" s="7"/>
      <c r="O41" s="7"/>
      <c r="P41" s="7"/>
      <c r="Q41" s="7"/>
      <c r="R41" s="7"/>
      <c r="S41" s="7"/>
      <c r="T41" s="7"/>
      <c r="U41" s="7"/>
      <c r="V41" s="7"/>
      <c r="W41" s="7"/>
      <c r="X41" s="7"/>
    </row>
    <row r="42" spans="1:24" ht="19.5" customHeight="1">
      <c r="A42" s="7"/>
      <c r="B42" s="7"/>
      <c r="C42" s="7"/>
      <c r="D42" s="7"/>
      <c r="E42" s="7"/>
      <c r="F42" s="7"/>
      <c r="G42" s="7"/>
      <c r="H42" s="7"/>
      <c r="I42" s="7"/>
      <c r="J42" s="7"/>
      <c r="K42" s="7"/>
      <c r="L42" s="7"/>
      <c r="M42" s="246"/>
      <c r="N42" s="7"/>
      <c r="O42" s="7"/>
      <c r="P42" s="7"/>
      <c r="Q42" s="7"/>
      <c r="R42" s="7"/>
      <c r="S42" s="7"/>
      <c r="T42" s="7"/>
      <c r="U42" s="7"/>
      <c r="V42" s="7"/>
      <c r="W42" s="7"/>
      <c r="X42" s="7"/>
    </row>
    <row r="43" spans="1:24" ht="19.5" customHeight="1">
      <c r="A43" s="7"/>
      <c r="B43" s="7"/>
      <c r="C43" s="7"/>
      <c r="D43" s="7"/>
      <c r="E43" s="7"/>
      <c r="F43" s="7"/>
      <c r="G43" s="7"/>
      <c r="H43" s="7"/>
      <c r="I43" s="7"/>
      <c r="J43" s="7"/>
      <c r="K43" s="7"/>
      <c r="L43" s="7"/>
      <c r="M43" s="246"/>
      <c r="N43" s="7"/>
      <c r="O43" s="7"/>
      <c r="P43" s="7"/>
      <c r="Q43" s="7"/>
      <c r="R43" s="7"/>
      <c r="S43" s="7"/>
      <c r="T43" s="7"/>
      <c r="U43" s="7"/>
      <c r="V43" s="7"/>
      <c r="W43" s="7"/>
      <c r="X43" s="7"/>
    </row>
    <row r="44" spans="1:24" ht="19.5" customHeight="1">
      <c r="A44" s="7"/>
      <c r="B44" s="7"/>
      <c r="C44" s="7"/>
      <c r="D44" s="7"/>
      <c r="E44" s="7"/>
      <c r="F44" s="7"/>
      <c r="G44" s="7"/>
      <c r="H44" s="7"/>
      <c r="I44" s="7"/>
      <c r="J44" s="7"/>
      <c r="K44" s="7"/>
      <c r="L44" s="7"/>
      <c r="M44" s="246"/>
      <c r="N44" s="7"/>
      <c r="O44" s="7"/>
      <c r="P44" s="7"/>
      <c r="Q44" s="7"/>
      <c r="R44" s="7"/>
      <c r="S44" s="7"/>
      <c r="T44" s="7"/>
      <c r="U44" s="7"/>
      <c r="V44" s="7"/>
      <c r="W44" s="7"/>
      <c r="X44" s="7"/>
    </row>
    <row r="45" spans="1:24" ht="19.5" customHeight="1">
      <c r="A45" s="7"/>
      <c r="B45" s="7"/>
      <c r="C45" s="7"/>
      <c r="D45" s="7"/>
      <c r="E45" s="7"/>
      <c r="F45" s="7"/>
      <c r="G45" s="7"/>
      <c r="H45" s="7"/>
      <c r="I45" s="7"/>
      <c r="J45" s="7"/>
      <c r="K45" s="7"/>
      <c r="L45" s="7"/>
      <c r="M45" s="246"/>
      <c r="N45" s="7"/>
      <c r="O45" s="7"/>
      <c r="P45" s="7"/>
      <c r="Q45" s="7"/>
      <c r="R45" s="7"/>
      <c r="S45" s="7"/>
      <c r="T45" s="7"/>
      <c r="U45" s="7"/>
      <c r="V45" s="7"/>
      <c r="W45" s="7"/>
      <c r="X45" s="7"/>
    </row>
    <row r="46" spans="1:24" ht="19.5" customHeight="1">
      <c r="A46" s="7"/>
      <c r="B46" s="7"/>
      <c r="C46" s="7"/>
      <c r="D46" s="7"/>
      <c r="E46" s="7"/>
      <c r="F46" s="7"/>
      <c r="G46" s="7"/>
      <c r="H46" s="7"/>
      <c r="I46" s="7"/>
      <c r="J46" s="7"/>
      <c r="K46" s="7"/>
      <c r="L46" s="7"/>
      <c r="M46" s="246"/>
      <c r="N46" s="7"/>
      <c r="O46" s="7"/>
      <c r="P46" s="7"/>
      <c r="Q46" s="7"/>
      <c r="R46" s="7"/>
      <c r="S46" s="7"/>
      <c r="T46" s="7"/>
      <c r="U46" s="7"/>
      <c r="V46" s="7"/>
      <c r="W46" s="7"/>
      <c r="X46" s="7"/>
    </row>
    <row r="47" spans="1:24" ht="19.5" customHeight="1">
      <c r="A47" s="7"/>
      <c r="B47" s="7"/>
      <c r="C47" s="7"/>
      <c r="D47" s="7"/>
      <c r="E47" s="7"/>
      <c r="F47" s="7"/>
      <c r="G47" s="7"/>
      <c r="H47" s="7"/>
      <c r="I47" s="7"/>
      <c r="J47" s="7"/>
      <c r="K47" s="7"/>
      <c r="L47" s="7"/>
      <c r="M47" s="246"/>
      <c r="N47" s="7"/>
      <c r="O47" s="7"/>
      <c r="P47" s="7"/>
      <c r="Q47" s="7"/>
      <c r="R47" s="7"/>
      <c r="S47" s="7"/>
      <c r="T47" s="7"/>
      <c r="U47" s="7"/>
      <c r="V47" s="7"/>
      <c r="W47" s="7"/>
      <c r="X47" s="7"/>
    </row>
    <row r="48" spans="1:24" ht="19.5" customHeight="1">
      <c r="A48" s="7"/>
      <c r="B48" s="7"/>
      <c r="C48" s="7"/>
      <c r="D48" s="7"/>
      <c r="E48" s="7"/>
      <c r="F48" s="7"/>
      <c r="G48" s="7"/>
      <c r="H48" s="7"/>
      <c r="I48" s="7"/>
      <c r="J48" s="7"/>
      <c r="K48" s="7"/>
      <c r="L48" s="7"/>
      <c r="M48" s="246"/>
      <c r="N48" s="7"/>
      <c r="O48" s="7"/>
      <c r="P48" s="7"/>
      <c r="Q48" s="7"/>
      <c r="R48" s="7"/>
      <c r="S48" s="7"/>
      <c r="T48" s="7"/>
      <c r="U48" s="7"/>
      <c r="V48" s="7"/>
      <c r="W48" s="7"/>
      <c r="X48" s="7"/>
    </row>
    <row r="49" spans="1:24" ht="19.5" customHeight="1">
      <c r="A49" s="7"/>
      <c r="B49" s="7"/>
      <c r="C49" s="7"/>
      <c r="D49" s="7"/>
      <c r="E49" s="7"/>
      <c r="F49" s="7"/>
      <c r="G49" s="7"/>
      <c r="H49" s="7"/>
      <c r="I49" s="7"/>
      <c r="J49" s="7"/>
      <c r="K49" s="7"/>
      <c r="L49" s="7"/>
      <c r="M49" s="246"/>
      <c r="N49" s="7"/>
      <c r="O49" s="7"/>
      <c r="P49" s="7"/>
      <c r="Q49" s="7"/>
      <c r="R49" s="7"/>
      <c r="S49" s="7"/>
      <c r="T49" s="7"/>
      <c r="U49" s="7"/>
      <c r="V49" s="7"/>
      <c r="W49" s="7"/>
      <c r="X49" s="7"/>
    </row>
    <row r="50" spans="1:24" ht="19.5" customHeight="1">
      <c r="A50" s="7"/>
      <c r="B50" s="7"/>
      <c r="C50" s="7"/>
      <c r="D50" s="7"/>
      <c r="E50" s="7"/>
      <c r="F50" s="7"/>
      <c r="G50" s="7"/>
      <c r="H50" s="7"/>
      <c r="I50" s="7"/>
      <c r="J50" s="7"/>
      <c r="K50" s="7"/>
      <c r="L50" s="7"/>
      <c r="M50" s="246"/>
      <c r="N50" s="7"/>
      <c r="O50" s="7"/>
      <c r="P50" s="7"/>
      <c r="Q50" s="7"/>
      <c r="R50" s="7"/>
      <c r="S50" s="7"/>
      <c r="T50" s="7"/>
      <c r="U50" s="7"/>
      <c r="V50" s="7"/>
      <c r="W50" s="7"/>
      <c r="X50" s="7"/>
    </row>
    <row r="51" spans="1:24" ht="19.5" customHeight="1">
      <c r="A51" s="7"/>
      <c r="B51" s="7"/>
      <c r="C51" s="7"/>
      <c r="D51" s="7"/>
      <c r="E51" s="7"/>
      <c r="F51" s="7"/>
      <c r="G51" s="7"/>
      <c r="H51" s="7"/>
      <c r="I51" s="7"/>
      <c r="J51" s="7"/>
      <c r="K51" s="7"/>
      <c r="L51" s="7"/>
      <c r="M51" s="246"/>
      <c r="N51" s="7"/>
      <c r="O51" s="7"/>
      <c r="P51" s="7"/>
      <c r="Q51" s="7"/>
      <c r="R51" s="7"/>
      <c r="S51" s="7"/>
      <c r="T51" s="7"/>
      <c r="U51" s="7"/>
      <c r="V51" s="7"/>
      <c r="W51" s="7"/>
      <c r="X51" s="7"/>
    </row>
    <row r="52" spans="1:24" ht="19.5" customHeight="1">
      <c r="A52" s="7"/>
      <c r="B52" s="7"/>
      <c r="C52" s="7"/>
      <c r="D52" s="7"/>
      <c r="E52" s="7"/>
      <c r="F52" s="7"/>
      <c r="G52" s="7"/>
      <c r="H52" s="7"/>
      <c r="I52" s="7"/>
      <c r="J52" s="7"/>
      <c r="K52" s="7"/>
      <c r="L52" s="7"/>
      <c r="M52" s="246"/>
      <c r="N52" s="7"/>
      <c r="O52" s="7"/>
      <c r="P52" s="7"/>
      <c r="Q52" s="7"/>
      <c r="R52" s="7"/>
      <c r="S52" s="7"/>
      <c r="T52" s="7"/>
      <c r="U52" s="7"/>
      <c r="V52" s="7"/>
      <c r="W52" s="7"/>
      <c r="X52" s="7"/>
    </row>
    <row r="53" spans="1:24" ht="19.5" customHeight="1">
      <c r="A53" s="7"/>
      <c r="B53" s="7"/>
      <c r="C53" s="7"/>
      <c r="D53" s="7"/>
      <c r="E53" s="7"/>
      <c r="F53" s="7"/>
      <c r="G53" s="7"/>
      <c r="H53" s="7"/>
      <c r="I53" s="7"/>
      <c r="J53" s="7"/>
      <c r="K53" s="7"/>
      <c r="L53" s="7"/>
      <c r="M53" s="246"/>
      <c r="N53" s="7"/>
      <c r="O53" s="7"/>
      <c r="P53" s="7"/>
      <c r="Q53" s="7"/>
      <c r="R53" s="7"/>
      <c r="S53" s="7"/>
      <c r="T53" s="7"/>
      <c r="U53" s="7"/>
      <c r="V53" s="7"/>
      <c r="W53" s="7"/>
      <c r="X53" s="7"/>
    </row>
    <row r="54" spans="1:24" ht="19.5" customHeight="1">
      <c r="A54" s="7"/>
      <c r="B54" s="7"/>
      <c r="C54" s="7"/>
      <c r="D54" s="7"/>
      <c r="E54" s="7"/>
      <c r="F54" s="7"/>
      <c r="G54" s="7"/>
      <c r="H54" s="7"/>
      <c r="I54" s="7"/>
      <c r="J54" s="7"/>
      <c r="K54" s="7"/>
      <c r="L54" s="7"/>
      <c r="M54" s="246"/>
      <c r="N54" s="7"/>
      <c r="O54" s="7"/>
      <c r="P54" s="7"/>
      <c r="Q54" s="7"/>
      <c r="R54" s="7"/>
      <c r="S54" s="7"/>
      <c r="T54" s="7"/>
      <c r="U54" s="7"/>
      <c r="V54" s="7"/>
      <c r="W54" s="7"/>
      <c r="X54" s="7"/>
    </row>
    <row r="55" spans="1:24" ht="19.5" customHeight="1">
      <c r="A55" s="7"/>
      <c r="B55" s="7"/>
      <c r="C55" s="7"/>
      <c r="D55" s="7"/>
      <c r="E55" s="7"/>
      <c r="F55" s="7"/>
      <c r="G55" s="7"/>
      <c r="H55" s="7"/>
      <c r="I55" s="7"/>
      <c r="J55" s="7"/>
      <c r="K55" s="7"/>
      <c r="L55" s="7"/>
      <c r="M55" s="246"/>
      <c r="N55" s="7"/>
      <c r="O55" s="7"/>
      <c r="P55" s="7"/>
      <c r="Q55" s="7"/>
      <c r="R55" s="7"/>
      <c r="S55" s="7"/>
      <c r="T55" s="7"/>
      <c r="U55" s="7"/>
      <c r="V55" s="7"/>
      <c r="W55" s="7"/>
      <c r="X55" s="7"/>
    </row>
    <row r="56" spans="1:24" ht="19.5" customHeight="1">
      <c r="A56" s="7"/>
      <c r="B56" s="7"/>
      <c r="C56" s="7"/>
      <c r="D56" s="7"/>
      <c r="E56" s="7"/>
      <c r="F56" s="7"/>
      <c r="G56" s="7"/>
      <c r="H56" s="7"/>
      <c r="I56" s="7"/>
      <c r="J56" s="7"/>
      <c r="K56" s="7"/>
      <c r="L56" s="7"/>
      <c r="M56" s="246"/>
      <c r="N56" s="7"/>
      <c r="O56" s="7"/>
      <c r="P56" s="7"/>
      <c r="Q56" s="7"/>
      <c r="R56" s="7"/>
      <c r="S56" s="7"/>
      <c r="T56" s="7"/>
      <c r="U56" s="7"/>
      <c r="V56" s="7"/>
      <c r="W56" s="7"/>
      <c r="X56" s="7"/>
    </row>
    <row r="57" spans="1:24" ht="19.5" customHeight="1">
      <c r="A57" s="7"/>
      <c r="B57" s="7"/>
      <c r="C57" s="7"/>
      <c r="D57" s="7"/>
      <c r="E57" s="7"/>
      <c r="F57" s="7"/>
      <c r="G57" s="7"/>
      <c r="H57" s="7"/>
      <c r="I57" s="7"/>
      <c r="J57" s="7"/>
      <c r="K57" s="7"/>
      <c r="L57" s="7"/>
      <c r="M57" s="246"/>
      <c r="N57" s="7"/>
      <c r="O57" s="7"/>
      <c r="P57" s="7"/>
      <c r="Q57" s="7"/>
      <c r="R57" s="7"/>
      <c r="S57" s="7"/>
      <c r="T57" s="7"/>
      <c r="U57" s="7"/>
      <c r="V57" s="7"/>
      <c r="W57" s="7"/>
      <c r="X57" s="7"/>
    </row>
    <row r="58" spans="1:24" ht="19.5" customHeight="1">
      <c r="A58" s="7"/>
      <c r="B58" s="7"/>
      <c r="C58" s="7"/>
      <c r="D58" s="7"/>
      <c r="E58" s="7"/>
      <c r="F58" s="7"/>
      <c r="G58" s="7"/>
      <c r="H58" s="7"/>
      <c r="I58" s="7"/>
      <c r="J58" s="7"/>
      <c r="K58" s="7"/>
      <c r="L58" s="7"/>
      <c r="M58" s="246"/>
      <c r="N58" s="7"/>
      <c r="O58" s="7"/>
      <c r="P58" s="7"/>
      <c r="Q58" s="7"/>
      <c r="R58" s="7"/>
      <c r="S58" s="7"/>
      <c r="T58" s="7"/>
      <c r="U58" s="7"/>
      <c r="V58" s="7"/>
      <c r="W58" s="7"/>
      <c r="X58" s="7"/>
    </row>
    <row r="59" spans="1:24" ht="19.5" customHeight="1">
      <c r="A59" s="7"/>
      <c r="B59" s="7"/>
      <c r="C59" s="7"/>
      <c r="D59" s="7"/>
      <c r="E59" s="7"/>
      <c r="F59" s="7"/>
      <c r="G59" s="7"/>
      <c r="H59" s="7"/>
      <c r="I59" s="7"/>
      <c r="J59" s="7"/>
      <c r="K59" s="7"/>
      <c r="L59" s="7"/>
      <c r="M59" s="246"/>
      <c r="N59" s="7"/>
      <c r="O59" s="7"/>
      <c r="P59" s="7"/>
      <c r="Q59" s="7"/>
      <c r="R59" s="7"/>
      <c r="S59" s="7"/>
      <c r="T59" s="7"/>
      <c r="U59" s="7"/>
      <c r="V59" s="7"/>
      <c r="W59" s="7"/>
      <c r="X59" s="7"/>
    </row>
    <row r="60" spans="1:24" ht="19.5" customHeight="1">
      <c r="A60" s="7"/>
      <c r="B60" s="7"/>
      <c r="C60" s="7"/>
      <c r="D60" s="7"/>
      <c r="E60" s="7"/>
      <c r="F60" s="7"/>
      <c r="G60" s="7"/>
      <c r="H60" s="7"/>
      <c r="I60" s="7"/>
      <c r="J60" s="7"/>
      <c r="K60" s="7"/>
      <c r="L60" s="7"/>
      <c r="M60" s="246"/>
      <c r="N60" s="7"/>
      <c r="O60" s="7"/>
      <c r="P60" s="7"/>
      <c r="Q60" s="7"/>
      <c r="R60" s="7"/>
      <c r="S60" s="7"/>
      <c r="T60" s="7"/>
      <c r="U60" s="7"/>
      <c r="V60" s="7"/>
      <c r="W60" s="7"/>
      <c r="X60" s="7"/>
    </row>
    <row r="61" spans="1:24" ht="19.5" customHeight="1">
      <c r="A61" s="7"/>
      <c r="B61" s="7"/>
      <c r="C61" s="7"/>
      <c r="D61" s="7"/>
      <c r="E61" s="7"/>
      <c r="F61" s="7"/>
      <c r="G61" s="7"/>
      <c r="H61" s="7"/>
      <c r="I61" s="7"/>
      <c r="J61" s="7"/>
      <c r="K61" s="7"/>
      <c r="L61" s="7"/>
      <c r="M61" s="246"/>
      <c r="N61" s="7"/>
      <c r="O61" s="7"/>
      <c r="P61" s="7"/>
      <c r="Q61" s="7"/>
      <c r="R61" s="7"/>
      <c r="S61" s="7"/>
      <c r="T61" s="7"/>
      <c r="U61" s="7"/>
      <c r="V61" s="7"/>
      <c r="W61" s="7"/>
      <c r="X61" s="7"/>
    </row>
    <row r="62" spans="1:24" ht="19.5" customHeight="1">
      <c r="A62" s="7"/>
      <c r="B62" s="7"/>
      <c r="C62" s="7"/>
      <c r="D62" s="7"/>
      <c r="E62" s="7"/>
      <c r="F62" s="7"/>
      <c r="G62" s="7"/>
      <c r="H62" s="7"/>
      <c r="I62" s="7"/>
      <c r="J62" s="7"/>
      <c r="K62" s="7"/>
      <c r="L62" s="7"/>
      <c r="M62" s="246"/>
      <c r="N62" s="7"/>
      <c r="O62" s="7"/>
      <c r="P62" s="7"/>
      <c r="Q62" s="7"/>
      <c r="R62" s="7"/>
      <c r="S62" s="7"/>
      <c r="T62" s="7"/>
      <c r="U62" s="7"/>
      <c r="V62" s="7"/>
      <c r="W62" s="7"/>
      <c r="X62" s="7"/>
    </row>
    <row r="63" spans="1:24" ht="19.5" customHeight="1">
      <c r="A63" s="7"/>
      <c r="B63" s="7"/>
      <c r="C63" s="7"/>
      <c r="D63" s="7"/>
      <c r="E63" s="7"/>
      <c r="F63" s="7"/>
      <c r="G63" s="7"/>
      <c r="H63" s="7"/>
      <c r="I63" s="7"/>
      <c r="J63" s="7"/>
      <c r="K63" s="7"/>
      <c r="L63" s="7"/>
      <c r="M63" s="246"/>
      <c r="N63" s="7"/>
      <c r="O63" s="7"/>
      <c r="P63" s="7"/>
      <c r="Q63" s="7"/>
      <c r="R63" s="7"/>
      <c r="S63" s="7"/>
      <c r="T63" s="7"/>
      <c r="U63" s="7"/>
      <c r="V63" s="7"/>
      <c r="W63" s="7"/>
      <c r="X63" s="7"/>
    </row>
    <row r="64" spans="1:24" ht="19.5" customHeight="1">
      <c r="A64" s="7"/>
      <c r="B64" s="7"/>
      <c r="C64" s="7"/>
      <c r="D64" s="7"/>
      <c r="E64" s="7"/>
      <c r="F64" s="7"/>
      <c r="G64" s="7"/>
      <c r="H64" s="7"/>
      <c r="I64" s="7"/>
      <c r="J64" s="7"/>
      <c r="K64" s="7"/>
      <c r="L64" s="7"/>
      <c r="M64" s="246"/>
      <c r="N64" s="7"/>
      <c r="O64" s="7"/>
      <c r="P64" s="7"/>
      <c r="Q64" s="7"/>
      <c r="R64" s="7"/>
      <c r="S64" s="7"/>
      <c r="T64" s="7"/>
      <c r="U64" s="7"/>
      <c r="V64" s="7"/>
      <c r="W64" s="7"/>
      <c r="X64" s="7"/>
    </row>
    <row r="65" spans="1:24" ht="19.5" customHeight="1">
      <c r="A65" s="7"/>
      <c r="B65" s="7"/>
      <c r="C65" s="7"/>
      <c r="D65" s="7"/>
      <c r="E65" s="7"/>
      <c r="F65" s="7"/>
      <c r="G65" s="7"/>
      <c r="H65" s="7"/>
      <c r="I65" s="7"/>
      <c r="J65" s="7"/>
      <c r="K65" s="7"/>
      <c r="L65" s="7"/>
      <c r="M65" s="246"/>
      <c r="N65" s="7"/>
      <c r="O65" s="7"/>
      <c r="P65" s="7"/>
      <c r="Q65" s="7"/>
      <c r="R65" s="7"/>
      <c r="S65" s="7"/>
      <c r="T65" s="7"/>
      <c r="U65" s="7"/>
      <c r="V65" s="7"/>
      <c r="W65" s="7"/>
      <c r="X65" s="7"/>
    </row>
    <row r="66" spans="1:24" ht="19.5" customHeight="1">
      <c r="A66" s="7"/>
      <c r="B66" s="7"/>
      <c r="C66" s="7"/>
      <c r="D66" s="7"/>
      <c r="E66" s="7"/>
      <c r="F66" s="7"/>
      <c r="G66" s="7"/>
      <c r="H66" s="7"/>
      <c r="I66" s="7"/>
      <c r="J66" s="7"/>
      <c r="K66" s="7"/>
      <c r="L66" s="7"/>
      <c r="M66" s="246"/>
      <c r="N66" s="7"/>
      <c r="O66" s="7"/>
      <c r="P66" s="7"/>
      <c r="Q66" s="7"/>
      <c r="R66" s="7"/>
      <c r="S66" s="7"/>
      <c r="T66" s="7"/>
      <c r="U66" s="7"/>
      <c r="V66" s="7"/>
      <c r="W66" s="7"/>
      <c r="X66" s="7"/>
    </row>
    <row r="67" spans="1:24" ht="19.5" customHeight="1">
      <c r="A67" s="7"/>
      <c r="B67" s="7"/>
      <c r="C67" s="7"/>
      <c r="D67" s="7"/>
      <c r="E67" s="7"/>
      <c r="F67" s="7"/>
      <c r="G67" s="7"/>
      <c r="H67" s="7"/>
      <c r="I67" s="7"/>
      <c r="J67" s="7"/>
      <c r="K67" s="7"/>
      <c r="L67" s="7"/>
      <c r="M67" s="246"/>
      <c r="N67" s="7"/>
      <c r="O67" s="7"/>
      <c r="P67" s="7"/>
      <c r="Q67" s="7"/>
      <c r="R67" s="7"/>
      <c r="S67" s="7"/>
      <c r="T67" s="7"/>
      <c r="U67" s="7"/>
      <c r="V67" s="7"/>
      <c r="W67" s="7"/>
      <c r="X67" s="7"/>
    </row>
    <row r="68" spans="1:24" ht="19.5" customHeight="1">
      <c r="A68" s="7"/>
      <c r="B68" s="7"/>
      <c r="C68" s="7"/>
      <c r="D68" s="7"/>
      <c r="E68" s="7"/>
      <c r="F68" s="7"/>
      <c r="G68" s="7"/>
      <c r="H68" s="7"/>
      <c r="I68" s="7"/>
      <c r="J68" s="7"/>
      <c r="K68" s="7"/>
      <c r="L68" s="7"/>
      <c r="M68" s="246"/>
      <c r="N68" s="7"/>
      <c r="O68" s="7"/>
      <c r="P68" s="7"/>
      <c r="Q68" s="7"/>
      <c r="R68" s="7"/>
      <c r="S68" s="7"/>
      <c r="T68" s="7"/>
      <c r="U68" s="7"/>
      <c r="V68" s="7"/>
      <c r="W68" s="7"/>
      <c r="X68" s="7"/>
    </row>
    <row r="69" spans="1:24" ht="19.5" customHeight="1">
      <c r="A69" s="7"/>
      <c r="B69" s="7"/>
      <c r="C69" s="7"/>
      <c r="D69" s="7"/>
      <c r="E69" s="7"/>
      <c r="F69" s="7"/>
      <c r="G69" s="7"/>
      <c r="H69" s="7"/>
      <c r="I69" s="7"/>
      <c r="J69" s="7"/>
      <c r="K69" s="7"/>
      <c r="L69" s="7"/>
      <c r="M69" s="246"/>
      <c r="N69" s="7"/>
      <c r="O69" s="7"/>
      <c r="P69" s="7"/>
      <c r="Q69" s="7"/>
      <c r="R69" s="7"/>
      <c r="S69" s="7"/>
      <c r="T69" s="7"/>
      <c r="U69" s="7"/>
      <c r="V69" s="7"/>
      <c r="W69" s="7"/>
      <c r="X69" s="7"/>
    </row>
    <row r="70" spans="1:24" ht="19.5" customHeight="1">
      <c r="A70" s="7"/>
      <c r="B70" s="7"/>
      <c r="C70" s="7"/>
      <c r="D70" s="7"/>
      <c r="E70" s="7"/>
      <c r="F70" s="7"/>
      <c r="G70" s="7"/>
      <c r="H70" s="7"/>
      <c r="I70" s="7"/>
      <c r="J70" s="7"/>
      <c r="K70" s="7"/>
      <c r="L70" s="7"/>
      <c r="M70" s="246"/>
      <c r="N70" s="7"/>
      <c r="O70" s="7"/>
      <c r="P70" s="7"/>
      <c r="Q70" s="7"/>
      <c r="R70" s="7"/>
      <c r="S70" s="7"/>
      <c r="T70" s="7"/>
      <c r="U70" s="7"/>
      <c r="V70" s="7"/>
      <c r="W70" s="7"/>
      <c r="X70" s="7"/>
    </row>
    <row r="71" spans="1:24" ht="19.5" customHeight="1">
      <c r="A71" s="7"/>
      <c r="B71" s="7"/>
      <c r="C71" s="7"/>
      <c r="D71" s="7"/>
      <c r="E71" s="7"/>
      <c r="F71" s="7"/>
      <c r="G71" s="7"/>
      <c r="H71" s="7"/>
      <c r="I71" s="7"/>
      <c r="J71" s="7"/>
      <c r="K71" s="7"/>
      <c r="L71" s="7"/>
      <c r="M71" s="246"/>
      <c r="N71" s="7"/>
      <c r="O71" s="7"/>
      <c r="P71" s="7"/>
      <c r="Q71" s="7"/>
      <c r="R71" s="7"/>
      <c r="S71" s="7"/>
      <c r="T71" s="7"/>
      <c r="U71" s="7"/>
      <c r="V71" s="7"/>
      <c r="W71" s="7"/>
      <c r="X71" s="7"/>
    </row>
    <row r="72" spans="1:24" ht="19.5" customHeight="1">
      <c r="A72" s="7"/>
      <c r="B72" s="7"/>
      <c r="C72" s="7"/>
      <c r="D72" s="7"/>
      <c r="E72" s="7"/>
      <c r="F72" s="7"/>
      <c r="G72" s="7"/>
      <c r="H72" s="7"/>
      <c r="I72" s="7"/>
      <c r="J72" s="7"/>
      <c r="K72" s="7"/>
      <c r="L72" s="7"/>
      <c r="M72" s="246"/>
      <c r="N72" s="7"/>
      <c r="O72" s="7"/>
      <c r="P72" s="7"/>
      <c r="Q72" s="7"/>
      <c r="R72" s="7"/>
      <c r="S72" s="7"/>
      <c r="T72" s="7"/>
      <c r="U72" s="7"/>
      <c r="V72" s="7"/>
      <c r="W72" s="7"/>
      <c r="X72" s="7"/>
    </row>
    <row r="73" spans="1:24" ht="19.5" customHeight="1">
      <c r="A73" s="7"/>
      <c r="B73" s="7"/>
      <c r="C73" s="7"/>
      <c r="D73" s="7"/>
      <c r="E73" s="7"/>
      <c r="F73" s="7"/>
      <c r="G73" s="7"/>
      <c r="H73" s="7"/>
      <c r="I73" s="7"/>
      <c r="J73" s="7"/>
      <c r="K73" s="7"/>
      <c r="L73" s="7"/>
      <c r="M73" s="246"/>
      <c r="N73" s="7"/>
      <c r="O73" s="7"/>
      <c r="P73" s="7"/>
      <c r="Q73" s="7"/>
      <c r="R73" s="7"/>
      <c r="S73" s="7"/>
      <c r="T73" s="7"/>
      <c r="U73" s="7"/>
      <c r="V73" s="7"/>
      <c r="W73" s="7"/>
      <c r="X73" s="7"/>
    </row>
    <row r="74" spans="1:24" ht="19.5" customHeight="1">
      <c r="A74" s="7"/>
      <c r="B74" s="7"/>
      <c r="C74" s="7"/>
      <c r="D74" s="7"/>
      <c r="E74" s="7"/>
      <c r="F74" s="7"/>
      <c r="G74" s="7"/>
      <c r="H74" s="7"/>
      <c r="I74" s="7"/>
      <c r="J74" s="7"/>
      <c r="K74" s="7"/>
      <c r="L74" s="7"/>
      <c r="M74" s="246"/>
      <c r="N74" s="7"/>
      <c r="O74" s="7"/>
      <c r="P74" s="7"/>
      <c r="Q74" s="7"/>
      <c r="R74" s="7"/>
      <c r="S74" s="7"/>
      <c r="T74" s="7"/>
      <c r="U74" s="7"/>
      <c r="V74" s="7"/>
      <c r="W74" s="7"/>
      <c r="X74" s="7"/>
    </row>
    <row r="75" spans="1:24" ht="19.5" customHeight="1">
      <c r="A75" s="7"/>
      <c r="B75" s="7"/>
      <c r="C75" s="7"/>
      <c r="D75" s="7"/>
      <c r="E75" s="7"/>
      <c r="F75" s="7"/>
      <c r="G75" s="7"/>
      <c r="H75" s="7"/>
      <c r="I75" s="7"/>
      <c r="J75" s="7"/>
      <c r="K75" s="7"/>
      <c r="L75" s="7"/>
      <c r="M75" s="246"/>
      <c r="N75" s="7"/>
      <c r="O75" s="7"/>
      <c r="P75" s="7"/>
      <c r="Q75" s="7"/>
      <c r="R75" s="7"/>
      <c r="S75" s="7"/>
      <c r="T75" s="7"/>
      <c r="U75" s="7"/>
      <c r="V75" s="7"/>
      <c r="W75" s="7"/>
      <c r="X75" s="7"/>
    </row>
    <row r="76" spans="1:24" ht="19.5" customHeight="1">
      <c r="A76" s="7"/>
      <c r="B76" s="7"/>
      <c r="C76" s="7"/>
      <c r="D76" s="7"/>
      <c r="E76" s="7"/>
      <c r="F76" s="7"/>
      <c r="G76" s="7"/>
      <c r="H76" s="7"/>
      <c r="I76" s="7"/>
      <c r="J76" s="7"/>
      <c r="K76" s="7"/>
      <c r="L76" s="7"/>
      <c r="M76" s="246"/>
      <c r="N76" s="7"/>
      <c r="O76" s="7"/>
      <c r="P76" s="7"/>
      <c r="Q76" s="7"/>
      <c r="R76" s="7"/>
      <c r="S76" s="7"/>
      <c r="T76" s="7"/>
      <c r="U76" s="7"/>
      <c r="V76" s="7"/>
      <c r="W76" s="7"/>
      <c r="X76" s="7"/>
    </row>
    <row r="77" spans="1:24" ht="19.5" customHeight="1">
      <c r="A77" s="7"/>
      <c r="B77" s="7"/>
      <c r="C77" s="7"/>
      <c r="D77" s="7"/>
      <c r="E77" s="7"/>
      <c r="F77" s="7"/>
      <c r="G77" s="7"/>
      <c r="H77" s="7"/>
      <c r="I77" s="7"/>
      <c r="J77" s="7"/>
      <c r="K77" s="7"/>
      <c r="L77" s="7"/>
      <c r="M77" s="246"/>
      <c r="N77" s="7"/>
      <c r="O77" s="7"/>
      <c r="P77" s="7"/>
      <c r="Q77" s="7"/>
      <c r="R77" s="7"/>
      <c r="S77" s="7"/>
      <c r="T77" s="7"/>
      <c r="U77" s="7"/>
      <c r="V77" s="7"/>
      <c r="W77" s="7"/>
      <c r="X77" s="7"/>
    </row>
    <row r="78" spans="1:24" ht="19.5" customHeight="1">
      <c r="A78" s="7"/>
      <c r="B78" s="7"/>
      <c r="C78" s="7"/>
      <c r="D78" s="7"/>
      <c r="E78" s="7"/>
      <c r="F78" s="7"/>
      <c r="G78" s="7"/>
      <c r="H78" s="7"/>
      <c r="I78" s="7"/>
      <c r="J78" s="7"/>
      <c r="K78" s="7"/>
      <c r="L78" s="7"/>
      <c r="M78" s="246"/>
      <c r="N78" s="7"/>
      <c r="O78" s="7"/>
      <c r="P78" s="7"/>
      <c r="Q78" s="7"/>
      <c r="R78" s="7"/>
      <c r="S78" s="7"/>
      <c r="T78" s="7"/>
      <c r="U78" s="7"/>
      <c r="V78" s="7"/>
      <c r="W78" s="7"/>
      <c r="X78" s="7"/>
    </row>
    <row r="79" spans="1:24" ht="19.5" customHeight="1">
      <c r="A79" s="7"/>
      <c r="B79" s="7"/>
      <c r="C79" s="7"/>
      <c r="D79" s="7"/>
      <c r="E79" s="7"/>
      <c r="F79" s="7"/>
      <c r="G79" s="7"/>
      <c r="H79" s="7"/>
      <c r="I79" s="7"/>
      <c r="J79" s="7"/>
      <c r="K79" s="7"/>
      <c r="L79" s="7"/>
      <c r="M79" s="246"/>
      <c r="N79" s="7"/>
      <c r="O79" s="7"/>
      <c r="P79" s="7"/>
      <c r="Q79" s="7"/>
      <c r="R79" s="7"/>
      <c r="S79" s="7"/>
      <c r="T79" s="7"/>
      <c r="U79" s="7"/>
      <c r="V79" s="7"/>
      <c r="W79" s="7"/>
      <c r="X79" s="7"/>
    </row>
    <row r="80" spans="1:24" ht="19.5" customHeight="1">
      <c r="A80" s="7"/>
      <c r="B80" s="7"/>
      <c r="C80" s="7"/>
      <c r="D80" s="7"/>
      <c r="E80" s="7"/>
      <c r="F80" s="7"/>
      <c r="G80" s="7"/>
      <c r="H80" s="7"/>
      <c r="I80" s="7"/>
      <c r="J80" s="7"/>
      <c r="K80" s="7"/>
      <c r="L80" s="7"/>
      <c r="M80" s="246"/>
      <c r="N80" s="7"/>
      <c r="O80" s="7"/>
      <c r="P80" s="7"/>
      <c r="Q80" s="7"/>
      <c r="R80" s="7"/>
      <c r="S80" s="7"/>
      <c r="T80" s="7"/>
      <c r="U80" s="7"/>
      <c r="V80" s="7"/>
      <c r="W80" s="7"/>
      <c r="X80" s="7"/>
    </row>
    <row r="81" spans="1:24" ht="19.5" customHeight="1">
      <c r="A81" s="7"/>
      <c r="B81" s="7"/>
      <c r="C81" s="7"/>
      <c r="D81" s="7"/>
      <c r="E81" s="7"/>
      <c r="F81" s="7"/>
      <c r="G81" s="7"/>
      <c r="H81" s="7"/>
      <c r="I81" s="7"/>
      <c r="J81" s="7"/>
      <c r="K81" s="7"/>
      <c r="L81" s="7"/>
      <c r="M81" s="246"/>
      <c r="N81" s="7"/>
      <c r="O81" s="7"/>
      <c r="P81" s="7"/>
      <c r="Q81" s="7"/>
      <c r="R81" s="7"/>
      <c r="S81" s="7"/>
      <c r="T81" s="7"/>
      <c r="U81" s="7"/>
      <c r="V81" s="7"/>
      <c r="W81" s="7"/>
      <c r="X81" s="7"/>
    </row>
    <row r="82" spans="1:24" ht="19.5" customHeight="1">
      <c r="A82" s="7"/>
      <c r="B82" s="7"/>
      <c r="C82" s="7"/>
      <c r="D82" s="7"/>
      <c r="E82" s="7"/>
      <c r="F82" s="7"/>
      <c r="G82" s="7"/>
      <c r="H82" s="7"/>
      <c r="I82" s="7"/>
      <c r="J82" s="7"/>
      <c r="K82" s="7"/>
      <c r="L82" s="7"/>
      <c r="M82" s="246"/>
      <c r="N82" s="7"/>
      <c r="O82" s="7"/>
      <c r="P82" s="7"/>
      <c r="Q82" s="7"/>
      <c r="R82" s="7"/>
      <c r="S82" s="7"/>
      <c r="T82" s="7"/>
      <c r="U82" s="7"/>
      <c r="V82" s="7"/>
      <c r="W82" s="7"/>
      <c r="X82" s="7"/>
    </row>
    <row r="83" spans="1:24" ht="19.5" customHeight="1">
      <c r="A83" s="7"/>
      <c r="B83" s="7"/>
      <c r="C83" s="7"/>
      <c r="D83" s="7"/>
      <c r="E83" s="7"/>
      <c r="F83" s="7"/>
      <c r="G83" s="7"/>
      <c r="H83" s="7"/>
      <c r="I83" s="7"/>
      <c r="J83" s="7"/>
      <c r="K83" s="7"/>
      <c r="L83" s="7"/>
      <c r="M83" s="246"/>
      <c r="N83" s="7"/>
      <c r="O83" s="7"/>
      <c r="P83" s="7"/>
      <c r="Q83" s="7"/>
      <c r="R83" s="7"/>
      <c r="S83" s="7"/>
      <c r="T83" s="7"/>
      <c r="U83" s="7"/>
      <c r="V83" s="7"/>
      <c r="W83" s="7"/>
      <c r="X83" s="7"/>
    </row>
    <row r="84" spans="1:24" ht="19.5" customHeight="1">
      <c r="A84" s="7"/>
      <c r="B84" s="7"/>
      <c r="C84" s="7"/>
      <c r="D84" s="7"/>
      <c r="E84" s="7"/>
      <c r="F84" s="7"/>
      <c r="G84" s="7"/>
      <c r="H84" s="7"/>
      <c r="I84" s="7"/>
      <c r="J84" s="7"/>
      <c r="K84" s="7"/>
      <c r="L84" s="7"/>
      <c r="M84" s="246"/>
      <c r="N84" s="7"/>
      <c r="O84" s="7"/>
      <c r="P84" s="7"/>
      <c r="Q84" s="7"/>
      <c r="R84" s="7"/>
      <c r="S84" s="7"/>
      <c r="T84" s="7"/>
      <c r="U84" s="7"/>
      <c r="V84" s="7"/>
      <c r="W84" s="7"/>
      <c r="X84" s="7"/>
    </row>
    <row r="85" spans="1:24" ht="19.5" customHeight="1">
      <c r="A85" s="7"/>
      <c r="B85" s="7"/>
      <c r="C85" s="7"/>
      <c r="D85" s="7"/>
      <c r="E85" s="7"/>
      <c r="F85" s="7"/>
      <c r="G85" s="7"/>
      <c r="H85" s="7"/>
      <c r="I85" s="7"/>
      <c r="J85" s="7"/>
      <c r="K85" s="7"/>
      <c r="L85" s="7"/>
      <c r="M85" s="246"/>
      <c r="N85" s="7"/>
      <c r="O85" s="7"/>
      <c r="P85" s="7"/>
      <c r="Q85" s="7"/>
      <c r="R85" s="7"/>
      <c r="S85" s="7"/>
      <c r="T85" s="7"/>
      <c r="U85" s="7"/>
      <c r="V85" s="7"/>
      <c r="W85" s="7"/>
      <c r="X85" s="7"/>
    </row>
    <row r="86" spans="1:24" ht="19.5" customHeight="1">
      <c r="A86" s="7"/>
      <c r="B86" s="7"/>
      <c r="C86" s="7"/>
      <c r="D86" s="7"/>
      <c r="E86" s="7"/>
      <c r="F86" s="7"/>
      <c r="G86" s="7"/>
      <c r="H86" s="7"/>
      <c r="I86" s="7"/>
      <c r="J86" s="7"/>
      <c r="K86" s="7"/>
      <c r="L86" s="7"/>
      <c r="M86" s="246"/>
      <c r="N86" s="7"/>
      <c r="O86" s="7"/>
      <c r="P86" s="7"/>
      <c r="Q86" s="7"/>
      <c r="R86" s="7"/>
      <c r="S86" s="7"/>
      <c r="T86" s="7"/>
      <c r="U86" s="7"/>
      <c r="V86" s="7"/>
      <c r="W86" s="7"/>
      <c r="X86" s="7"/>
    </row>
    <row r="87" spans="1:24" ht="19.5" customHeight="1">
      <c r="A87" s="7"/>
      <c r="B87" s="7"/>
      <c r="C87" s="7"/>
      <c r="D87" s="7"/>
      <c r="E87" s="7"/>
      <c r="F87" s="7"/>
      <c r="G87" s="7"/>
      <c r="H87" s="7"/>
      <c r="I87" s="7"/>
      <c r="J87" s="7"/>
      <c r="K87" s="7"/>
      <c r="L87" s="7"/>
      <c r="M87" s="246"/>
      <c r="N87" s="7"/>
      <c r="O87" s="7"/>
      <c r="P87" s="7"/>
      <c r="Q87" s="7"/>
      <c r="R87" s="7"/>
      <c r="S87" s="7"/>
      <c r="T87" s="7"/>
      <c r="U87" s="7"/>
      <c r="V87" s="7"/>
      <c r="W87" s="7"/>
      <c r="X87" s="7"/>
    </row>
    <row r="88" spans="1:24" ht="19.5" customHeight="1">
      <c r="A88" s="7"/>
      <c r="B88" s="7"/>
      <c r="C88" s="7"/>
      <c r="D88" s="7"/>
      <c r="E88" s="7"/>
      <c r="F88" s="7"/>
      <c r="G88" s="7"/>
      <c r="H88" s="7"/>
      <c r="I88" s="7"/>
      <c r="J88" s="7"/>
      <c r="K88" s="7"/>
      <c r="L88" s="7"/>
      <c r="M88" s="246"/>
      <c r="N88" s="7"/>
      <c r="O88" s="7"/>
      <c r="P88" s="7"/>
      <c r="Q88" s="7"/>
      <c r="R88" s="7"/>
      <c r="S88" s="7"/>
      <c r="T88" s="7"/>
      <c r="U88" s="7"/>
      <c r="V88" s="7"/>
      <c r="W88" s="7"/>
      <c r="X88" s="7"/>
    </row>
    <row r="89" spans="1:24" ht="19.5" customHeight="1">
      <c r="A89" s="7"/>
      <c r="B89" s="7"/>
      <c r="C89" s="7"/>
      <c r="D89" s="7"/>
      <c r="E89" s="7"/>
      <c r="F89" s="7"/>
      <c r="G89" s="7"/>
      <c r="H89" s="7"/>
      <c r="I89" s="7"/>
      <c r="J89" s="7"/>
      <c r="K89" s="7"/>
      <c r="L89" s="7"/>
      <c r="M89" s="246"/>
      <c r="N89" s="7"/>
      <c r="O89" s="7"/>
      <c r="P89" s="7"/>
      <c r="Q89" s="7"/>
      <c r="R89" s="7"/>
      <c r="S89" s="7"/>
      <c r="T89" s="7"/>
      <c r="U89" s="7"/>
      <c r="V89" s="7"/>
      <c r="W89" s="7"/>
      <c r="X89" s="7"/>
    </row>
    <row r="90" spans="1:24" ht="19.5" customHeight="1">
      <c r="A90" s="7"/>
      <c r="B90" s="7"/>
      <c r="C90" s="7"/>
      <c r="D90" s="7"/>
      <c r="E90" s="7"/>
      <c r="F90" s="7"/>
      <c r="G90" s="7"/>
      <c r="H90" s="7"/>
      <c r="I90" s="7"/>
      <c r="J90" s="7"/>
      <c r="K90" s="7"/>
      <c r="L90" s="7"/>
      <c r="M90" s="246"/>
      <c r="N90" s="7"/>
      <c r="O90" s="7"/>
      <c r="P90" s="7"/>
      <c r="Q90" s="7"/>
      <c r="R90" s="7"/>
      <c r="S90" s="7"/>
      <c r="T90" s="7"/>
      <c r="U90" s="7"/>
      <c r="V90" s="7"/>
      <c r="W90" s="7"/>
      <c r="X90" s="7"/>
    </row>
    <row r="91" spans="1:24" ht="19.5" customHeight="1">
      <c r="A91" s="7"/>
      <c r="B91" s="7"/>
      <c r="C91" s="7"/>
      <c r="D91" s="7"/>
      <c r="E91" s="7"/>
      <c r="F91" s="7"/>
      <c r="G91" s="7"/>
      <c r="H91" s="7"/>
      <c r="I91" s="7"/>
      <c r="J91" s="7"/>
      <c r="K91" s="7"/>
      <c r="L91" s="7"/>
      <c r="M91" s="246"/>
      <c r="N91" s="7"/>
      <c r="O91" s="7"/>
      <c r="P91" s="7"/>
      <c r="Q91" s="7"/>
      <c r="R91" s="7"/>
      <c r="S91" s="7"/>
      <c r="T91" s="7"/>
      <c r="U91" s="7"/>
      <c r="V91" s="7"/>
      <c r="W91" s="7"/>
      <c r="X91" s="7"/>
    </row>
    <row r="92" spans="1:24" ht="19.5" customHeight="1">
      <c r="A92" s="7"/>
      <c r="B92" s="7"/>
      <c r="C92" s="7"/>
      <c r="D92" s="7"/>
      <c r="E92" s="7"/>
      <c r="F92" s="7"/>
      <c r="G92" s="7"/>
      <c r="H92" s="7"/>
      <c r="I92" s="7"/>
      <c r="J92" s="7"/>
      <c r="K92" s="7"/>
      <c r="L92" s="7"/>
      <c r="M92" s="246"/>
      <c r="N92" s="7"/>
      <c r="O92" s="7"/>
      <c r="P92" s="7"/>
      <c r="Q92" s="7"/>
      <c r="R92" s="7"/>
      <c r="S92" s="7"/>
      <c r="T92" s="7"/>
      <c r="U92" s="7"/>
      <c r="V92" s="7"/>
      <c r="W92" s="7"/>
      <c r="X92" s="7"/>
    </row>
    <row r="93" spans="1:24" ht="19.5" customHeight="1">
      <c r="A93" s="7"/>
      <c r="B93" s="7"/>
      <c r="C93" s="7"/>
      <c r="D93" s="7"/>
      <c r="E93" s="7"/>
      <c r="F93" s="7"/>
      <c r="G93" s="7"/>
      <c r="H93" s="7"/>
      <c r="I93" s="7"/>
      <c r="J93" s="7"/>
      <c r="K93" s="7"/>
      <c r="L93" s="7"/>
      <c r="M93" s="246"/>
      <c r="N93" s="7"/>
      <c r="O93" s="7"/>
      <c r="P93" s="7"/>
      <c r="Q93" s="7"/>
      <c r="R93" s="7"/>
      <c r="S93" s="7"/>
      <c r="T93" s="7"/>
      <c r="U93" s="7"/>
      <c r="V93" s="7"/>
      <c r="W93" s="7"/>
      <c r="X93" s="7"/>
    </row>
    <row r="94" spans="1:24" ht="19.5" customHeight="1">
      <c r="A94" s="7"/>
      <c r="B94" s="7"/>
      <c r="C94" s="7"/>
      <c r="D94" s="7"/>
      <c r="E94" s="7"/>
      <c r="F94" s="7"/>
      <c r="G94" s="7"/>
      <c r="H94" s="7"/>
      <c r="I94" s="7"/>
      <c r="J94" s="7"/>
      <c r="K94" s="7"/>
      <c r="L94" s="7"/>
      <c r="M94" s="246"/>
      <c r="N94" s="7"/>
      <c r="O94" s="7"/>
      <c r="P94" s="7"/>
      <c r="Q94" s="7"/>
      <c r="R94" s="7"/>
      <c r="S94" s="7"/>
      <c r="T94" s="7"/>
      <c r="U94" s="7"/>
      <c r="V94" s="7"/>
      <c r="W94" s="7"/>
      <c r="X94" s="7"/>
    </row>
    <row r="95" spans="1:24" ht="19.5" customHeight="1">
      <c r="A95" s="7"/>
      <c r="B95" s="7"/>
      <c r="C95" s="7"/>
      <c r="D95" s="7"/>
      <c r="E95" s="7"/>
      <c r="F95" s="7"/>
      <c r="G95" s="7"/>
      <c r="H95" s="7"/>
      <c r="I95" s="7"/>
      <c r="J95" s="7"/>
      <c r="K95" s="7"/>
      <c r="L95" s="7"/>
      <c r="M95" s="246"/>
      <c r="N95" s="7"/>
      <c r="O95" s="7"/>
      <c r="P95" s="7"/>
      <c r="Q95" s="7"/>
      <c r="R95" s="7"/>
      <c r="S95" s="7"/>
      <c r="T95" s="7"/>
      <c r="U95" s="7"/>
      <c r="V95" s="7"/>
      <c r="W95" s="7"/>
      <c r="X95" s="7"/>
    </row>
    <row r="96" spans="1:24" ht="19.5" customHeight="1">
      <c r="A96" s="7"/>
      <c r="B96" s="7"/>
      <c r="C96" s="7"/>
      <c r="D96" s="7"/>
      <c r="E96" s="7"/>
      <c r="F96" s="7"/>
      <c r="G96" s="7"/>
      <c r="H96" s="7"/>
      <c r="I96" s="7"/>
      <c r="J96" s="7"/>
      <c r="K96" s="7"/>
      <c r="L96" s="7"/>
      <c r="M96" s="246"/>
      <c r="N96" s="7"/>
      <c r="O96" s="7"/>
      <c r="P96" s="7"/>
      <c r="Q96" s="7"/>
      <c r="R96" s="7"/>
      <c r="S96" s="7"/>
      <c r="T96" s="7"/>
      <c r="U96" s="7"/>
      <c r="V96" s="7"/>
      <c r="W96" s="7"/>
      <c r="X96" s="7"/>
    </row>
    <row r="97" spans="1:24" ht="19.5" customHeight="1">
      <c r="A97" s="7"/>
      <c r="B97" s="7"/>
      <c r="C97" s="7"/>
      <c r="D97" s="7"/>
      <c r="E97" s="7"/>
      <c r="F97" s="7"/>
      <c r="G97" s="7"/>
      <c r="H97" s="7"/>
      <c r="I97" s="7"/>
      <c r="J97" s="7"/>
      <c r="K97" s="7"/>
      <c r="L97" s="7"/>
      <c r="M97" s="246"/>
      <c r="N97" s="7"/>
      <c r="O97" s="7"/>
      <c r="P97" s="7"/>
      <c r="Q97" s="7"/>
      <c r="R97" s="7"/>
      <c r="S97" s="7"/>
      <c r="T97" s="7"/>
      <c r="U97" s="7"/>
      <c r="V97" s="7"/>
      <c r="W97" s="7"/>
      <c r="X97" s="7"/>
    </row>
    <row r="98" spans="1:24" ht="19.5" customHeight="1">
      <c r="A98" s="7"/>
      <c r="B98" s="7"/>
      <c r="C98" s="7"/>
      <c r="D98" s="7"/>
      <c r="E98" s="7"/>
      <c r="F98" s="7"/>
      <c r="G98" s="7"/>
      <c r="H98" s="7"/>
      <c r="I98" s="7"/>
      <c r="J98" s="7"/>
      <c r="K98" s="7"/>
      <c r="L98" s="7"/>
      <c r="M98" s="246"/>
      <c r="N98" s="7"/>
      <c r="O98" s="7"/>
      <c r="P98" s="7"/>
      <c r="Q98" s="7"/>
      <c r="R98" s="7"/>
      <c r="S98" s="7"/>
      <c r="T98" s="7"/>
      <c r="U98" s="7"/>
      <c r="V98" s="7"/>
      <c r="W98" s="7"/>
      <c r="X98" s="7"/>
    </row>
    <row r="99" spans="1:24" ht="19.5" customHeight="1">
      <c r="A99" s="7"/>
      <c r="B99" s="7"/>
      <c r="C99" s="7"/>
      <c r="D99" s="7"/>
      <c r="E99" s="7"/>
      <c r="F99" s="7"/>
      <c r="G99" s="7"/>
      <c r="H99" s="7"/>
      <c r="I99" s="7"/>
      <c r="J99" s="7"/>
      <c r="K99" s="7"/>
      <c r="L99" s="7"/>
      <c r="M99" s="246"/>
      <c r="N99" s="7"/>
      <c r="O99" s="7"/>
      <c r="P99" s="7"/>
      <c r="Q99" s="7"/>
      <c r="R99" s="7"/>
      <c r="S99" s="7"/>
      <c r="T99" s="7"/>
      <c r="U99" s="7"/>
      <c r="V99" s="7"/>
      <c r="W99" s="7"/>
      <c r="X99" s="7"/>
    </row>
    <row r="100" spans="1:24" ht="19.5" customHeight="1">
      <c r="A100" s="7"/>
      <c r="B100" s="7"/>
      <c r="C100" s="7"/>
      <c r="D100" s="7"/>
      <c r="E100" s="7"/>
      <c r="F100" s="7"/>
      <c r="G100" s="7"/>
      <c r="H100" s="7"/>
      <c r="I100" s="7"/>
      <c r="J100" s="7"/>
      <c r="K100" s="7"/>
      <c r="L100" s="7"/>
      <c r="M100" s="246"/>
      <c r="N100" s="7"/>
      <c r="O100" s="7"/>
      <c r="P100" s="7"/>
      <c r="Q100" s="7"/>
      <c r="R100" s="7"/>
      <c r="S100" s="7"/>
      <c r="T100" s="7"/>
      <c r="U100" s="7"/>
      <c r="V100" s="7"/>
      <c r="W100" s="7"/>
      <c r="X100" s="7"/>
    </row>
    <row r="101" spans="1:24" ht="19.5" customHeight="1">
      <c r="A101" s="7"/>
      <c r="B101" s="7"/>
      <c r="C101" s="7"/>
      <c r="D101" s="7"/>
      <c r="E101" s="7"/>
      <c r="F101" s="7"/>
      <c r="G101" s="7"/>
      <c r="H101" s="7"/>
      <c r="I101" s="7"/>
      <c r="J101" s="7"/>
      <c r="K101" s="7"/>
      <c r="L101" s="7"/>
      <c r="M101" s="246"/>
      <c r="N101" s="7"/>
      <c r="O101" s="7"/>
      <c r="P101" s="7"/>
      <c r="Q101" s="7"/>
      <c r="R101" s="7"/>
      <c r="S101" s="7"/>
      <c r="T101" s="7"/>
      <c r="U101" s="7"/>
      <c r="V101" s="7"/>
      <c r="W101" s="7"/>
      <c r="X101" s="7"/>
    </row>
    <row r="102" spans="1:24" ht="19.5" customHeight="1">
      <c r="A102" s="7"/>
      <c r="B102" s="7"/>
      <c r="C102" s="7"/>
      <c r="D102" s="7"/>
      <c r="E102" s="7"/>
      <c r="F102" s="7"/>
      <c r="G102" s="7"/>
      <c r="H102" s="7"/>
      <c r="I102" s="7"/>
      <c r="J102" s="7"/>
      <c r="K102" s="7"/>
      <c r="L102" s="7"/>
      <c r="M102" s="246"/>
      <c r="N102" s="7"/>
      <c r="O102" s="7"/>
      <c r="P102" s="7"/>
      <c r="Q102" s="7"/>
      <c r="R102" s="7"/>
      <c r="S102" s="7"/>
      <c r="T102" s="7"/>
      <c r="U102" s="7"/>
      <c r="V102" s="7"/>
      <c r="W102" s="7"/>
      <c r="X102" s="7"/>
    </row>
    <row r="103" spans="1:24" ht="19.5" customHeight="1">
      <c r="A103" s="7"/>
      <c r="B103" s="7"/>
      <c r="C103" s="7"/>
      <c r="D103" s="7"/>
      <c r="E103" s="7"/>
      <c r="F103" s="7"/>
      <c r="G103" s="7"/>
      <c r="H103" s="7"/>
      <c r="I103" s="7"/>
      <c r="J103" s="7"/>
      <c r="K103" s="7"/>
      <c r="L103" s="7"/>
      <c r="M103" s="246"/>
      <c r="N103" s="7"/>
      <c r="O103" s="7"/>
      <c r="P103" s="7"/>
      <c r="Q103" s="7"/>
      <c r="R103" s="7"/>
      <c r="S103" s="7"/>
      <c r="T103" s="7"/>
      <c r="U103" s="7"/>
      <c r="V103" s="7"/>
      <c r="W103" s="7"/>
      <c r="X103" s="7"/>
    </row>
    <row r="104" spans="1:24" ht="19.5" customHeight="1">
      <c r="A104" s="7"/>
      <c r="B104" s="7"/>
      <c r="C104" s="7"/>
      <c r="D104" s="7"/>
      <c r="E104" s="7"/>
      <c r="F104" s="7"/>
      <c r="G104" s="7"/>
      <c r="H104" s="7"/>
      <c r="I104" s="7"/>
      <c r="J104" s="7"/>
      <c r="K104" s="7"/>
      <c r="L104" s="7"/>
      <c r="M104" s="246"/>
      <c r="N104" s="7"/>
      <c r="O104" s="7"/>
      <c r="P104" s="7"/>
      <c r="Q104" s="7"/>
      <c r="R104" s="7"/>
      <c r="S104" s="7"/>
      <c r="T104" s="7"/>
      <c r="U104" s="7"/>
      <c r="V104" s="7"/>
      <c r="W104" s="7"/>
      <c r="X104" s="7"/>
    </row>
    <row r="105" spans="1:24" ht="19.5" customHeight="1">
      <c r="A105" s="7"/>
      <c r="B105" s="7"/>
      <c r="C105" s="7"/>
      <c r="D105" s="7"/>
      <c r="E105" s="7"/>
      <c r="F105" s="7"/>
      <c r="G105" s="7"/>
      <c r="H105" s="7"/>
      <c r="I105" s="7"/>
      <c r="J105" s="7"/>
      <c r="K105" s="7"/>
      <c r="L105" s="7"/>
      <c r="M105" s="246"/>
      <c r="N105" s="7"/>
      <c r="O105" s="7"/>
      <c r="P105" s="7"/>
      <c r="Q105" s="7"/>
      <c r="R105" s="7"/>
      <c r="S105" s="7"/>
      <c r="T105" s="7"/>
      <c r="U105" s="7"/>
      <c r="V105" s="7"/>
      <c r="W105" s="7"/>
      <c r="X105" s="7"/>
    </row>
    <row r="106" spans="1:24" ht="19.5" customHeight="1">
      <c r="A106" s="7"/>
      <c r="B106" s="7"/>
      <c r="C106" s="7"/>
      <c r="D106" s="7"/>
      <c r="E106" s="7"/>
      <c r="F106" s="7"/>
      <c r="G106" s="7"/>
      <c r="H106" s="7"/>
      <c r="I106" s="7"/>
      <c r="J106" s="7"/>
      <c r="K106" s="7"/>
      <c r="L106" s="7"/>
      <c r="M106" s="246"/>
      <c r="N106" s="7"/>
      <c r="O106" s="7"/>
      <c r="P106" s="7"/>
      <c r="Q106" s="7"/>
      <c r="R106" s="7"/>
      <c r="S106" s="7"/>
      <c r="T106" s="7"/>
      <c r="U106" s="7"/>
      <c r="V106" s="7"/>
      <c r="W106" s="7"/>
      <c r="X106" s="7"/>
    </row>
    <row r="107" spans="1:24" ht="19.5" customHeight="1">
      <c r="A107" s="7"/>
      <c r="B107" s="7"/>
      <c r="C107" s="7"/>
      <c r="D107" s="7"/>
      <c r="E107" s="7"/>
      <c r="F107" s="7"/>
      <c r="G107" s="7"/>
      <c r="H107" s="7"/>
      <c r="I107" s="7"/>
      <c r="J107" s="7"/>
      <c r="K107" s="7"/>
      <c r="L107" s="7"/>
      <c r="M107" s="246"/>
      <c r="N107" s="7"/>
      <c r="O107" s="7"/>
      <c r="P107" s="7"/>
      <c r="Q107" s="7"/>
      <c r="R107" s="7"/>
      <c r="S107" s="7"/>
      <c r="T107" s="7"/>
      <c r="U107" s="7"/>
      <c r="V107" s="7"/>
      <c r="W107" s="7"/>
      <c r="X107" s="7"/>
    </row>
    <row r="108" spans="1:24" ht="19.5" customHeight="1">
      <c r="A108" s="7"/>
      <c r="B108" s="7"/>
      <c r="C108" s="7"/>
      <c r="D108" s="7"/>
      <c r="E108" s="7"/>
      <c r="F108" s="7"/>
      <c r="G108" s="7"/>
      <c r="H108" s="7"/>
      <c r="I108" s="7"/>
      <c r="J108" s="7"/>
      <c r="K108" s="7"/>
      <c r="L108" s="7"/>
      <c r="M108" s="246"/>
      <c r="N108" s="7"/>
      <c r="O108" s="7"/>
      <c r="P108" s="7"/>
      <c r="Q108" s="7"/>
      <c r="R108" s="7"/>
      <c r="S108" s="7"/>
      <c r="T108" s="7"/>
      <c r="U108" s="7"/>
      <c r="V108" s="7"/>
      <c r="W108" s="7"/>
      <c r="X108" s="7"/>
    </row>
    <row r="109" spans="1:24" ht="19.5" customHeight="1">
      <c r="A109" s="7"/>
      <c r="B109" s="7"/>
      <c r="C109" s="7"/>
      <c r="D109" s="7"/>
      <c r="E109" s="7"/>
      <c r="F109" s="7"/>
      <c r="G109" s="7"/>
      <c r="H109" s="7"/>
      <c r="I109" s="7"/>
      <c r="J109" s="7"/>
      <c r="K109" s="7"/>
      <c r="L109" s="7"/>
      <c r="M109" s="246"/>
      <c r="N109" s="7"/>
      <c r="O109" s="7"/>
      <c r="P109" s="7"/>
      <c r="Q109" s="7"/>
      <c r="R109" s="7"/>
      <c r="S109" s="7"/>
      <c r="T109" s="7"/>
      <c r="U109" s="7"/>
      <c r="V109" s="7"/>
      <c r="W109" s="7"/>
      <c r="X109" s="7"/>
    </row>
    <row r="110" spans="1:24" ht="19.5" customHeight="1">
      <c r="A110" s="7"/>
      <c r="B110" s="7"/>
      <c r="C110" s="7"/>
      <c r="D110" s="7"/>
      <c r="E110" s="7"/>
      <c r="F110" s="7"/>
      <c r="G110" s="7"/>
      <c r="H110" s="7"/>
      <c r="I110" s="7"/>
      <c r="J110" s="7"/>
      <c r="K110" s="7"/>
      <c r="L110" s="7"/>
      <c r="M110" s="246"/>
      <c r="N110" s="7"/>
      <c r="O110" s="7"/>
      <c r="P110" s="7"/>
      <c r="Q110" s="7"/>
      <c r="R110" s="7"/>
      <c r="S110" s="7"/>
      <c r="T110" s="7"/>
      <c r="U110" s="7"/>
      <c r="V110" s="7"/>
      <c r="W110" s="7"/>
      <c r="X110" s="7"/>
    </row>
    <row r="111" spans="1:24" ht="19.5" customHeight="1">
      <c r="A111" s="7"/>
      <c r="B111" s="7"/>
      <c r="C111" s="7"/>
      <c r="D111" s="7"/>
      <c r="E111" s="7"/>
      <c r="F111" s="7"/>
      <c r="G111" s="7"/>
      <c r="H111" s="7"/>
      <c r="I111" s="7"/>
      <c r="J111" s="7"/>
      <c r="K111" s="7"/>
      <c r="L111" s="7"/>
      <c r="M111" s="246"/>
      <c r="N111" s="7"/>
      <c r="O111" s="7"/>
      <c r="P111" s="7"/>
      <c r="Q111" s="7"/>
      <c r="R111" s="7"/>
      <c r="S111" s="7"/>
      <c r="T111" s="7"/>
      <c r="U111" s="7"/>
      <c r="V111" s="7"/>
      <c r="W111" s="7"/>
      <c r="X111" s="7"/>
    </row>
    <row r="112" spans="1:24" ht="19.5" customHeight="1">
      <c r="A112" s="7"/>
      <c r="B112" s="7"/>
      <c r="C112" s="7"/>
      <c r="D112" s="7"/>
      <c r="E112" s="7"/>
      <c r="F112" s="7"/>
      <c r="G112" s="7"/>
      <c r="H112" s="7"/>
      <c r="I112" s="7"/>
      <c r="J112" s="7"/>
      <c r="K112" s="7"/>
      <c r="L112" s="7"/>
      <c r="M112" s="246"/>
      <c r="N112" s="7"/>
      <c r="O112" s="7"/>
      <c r="P112" s="7"/>
      <c r="Q112" s="7"/>
      <c r="R112" s="7"/>
      <c r="S112" s="7"/>
      <c r="T112" s="7"/>
      <c r="U112" s="7"/>
      <c r="V112" s="7"/>
      <c r="W112" s="7"/>
      <c r="X112" s="7"/>
    </row>
    <row r="113" spans="1:24" ht="19.5" customHeight="1">
      <c r="A113" s="7"/>
      <c r="B113" s="7"/>
      <c r="C113" s="7"/>
      <c r="D113" s="7"/>
      <c r="E113" s="7"/>
      <c r="F113" s="7"/>
      <c r="G113" s="7"/>
      <c r="H113" s="7"/>
      <c r="I113" s="7"/>
      <c r="J113" s="7"/>
      <c r="K113" s="7"/>
      <c r="L113" s="7"/>
      <c r="M113" s="246"/>
      <c r="N113" s="7"/>
      <c r="O113" s="7"/>
      <c r="P113" s="7"/>
      <c r="Q113" s="7"/>
      <c r="R113" s="7"/>
      <c r="S113" s="7"/>
      <c r="T113" s="7"/>
      <c r="U113" s="7"/>
      <c r="V113" s="7"/>
      <c r="W113" s="7"/>
      <c r="X113" s="7"/>
    </row>
    <row r="114" spans="1:24" ht="19.5" customHeight="1">
      <c r="A114" s="7"/>
      <c r="B114" s="7"/>
      <c r="C114" s="7"/>
      <c r="D114" s="7"/>
      <c r="E114" s="7"/>
      <c r="F114" s="7"/>
      <c r="G114" s="7"/>
      <c r="H114" s="7"/>
      <c r="I114" s="7"/>
      <c r="J114" s="7"/>
      <c r="K114" s="7"/>
      <c r="L114" s="7"/>
      <c r="M114" s="246"/>
      <c r="N114" s="7"/>
      <c r="O114" s="7"/>
      <c r="P114" s="7"/>
      <c r="Q114" s="7"/>
      <c r="R114" s="7"/>
      <c r="S114" s="7"/>
      <c r="T114" s="7"/>
      <c r="U114" s="7"/>
      <c r="V114" s="7"/>
      <c r="W114" s="7"/>
      <c r="X114" s="7"/>
    </row>
    <row r="115" spans="1:24" ht="19.5" customHeight="1">
      <c r="A115" s="7"/>
      <c r="B115" s="7"/>
      <c r="C115" s="7"/>
      <c r="D115" s="7"/>
      <c r="E115" s="7"/>
      <c r="F115" s="7"/>
      <c r="G115" s="7"/>
      <c r="H115" s="7"/>
      <c r="I115" s="7"/>
      <c r="J115" s="7"/>
      <c r="K115" s="7"/>
      <c r="L115" s="7"/>
      <c r="M115" s="246"/>
      <c r="N115" s="7"/>
      <c r="O115" s="7"/>
      <c r="P115" s="7"/>
      <c r="Q115" s="7"/>
      <c r="R115" s="7"/>
      <c r="S115" s="7"/>
      <c r="T115" s="7"/>
      <c r="U115" s="7"/>
      <c r="V115" s="7"/>
      <c r="W115" s="7"/>
      <c r="X115" s="7"/>
    </row>
    <row r="116" spans="1:24" ht="19.5" customHeight="1">
      <c r="A116" s="7"/>
      <c r="B116" s="7"/>
      <c r="C116" s="7"/>
      <c r="D116" s="7"/>
      <c r="E116" s="7"/>
      <c r="F116" s="7"/>
      <c r="G116" s="7"/>
      <c r="H116" s="7"/>
      <c r="I116" s="7"/>
      <c r="J116" s="7"/>
      <c r="K116" s="7"/>
      <c r="L116" s="7"/>
      <c r="M116" s="246"/>
      <c r="N116" s="7"/>
      <c r="O116" s="7"/>
      <c r="P116" s="7"/>
      <c r="Q116" s="7"/>
      <c r="R116" s="7"/>
      <c r="S116" s="7"/>
      <c r="T116" s="7"/>
      <c r="U116" s="7"/>
      <c r="V116" s="7"/>
      <c r="W116" s="7"/>
      <c r="X116" s="7"/>
    </row>
    <row r="117" spans="1:24" ht="19.5" customHeight="1">
      <c r="A117" s="7"/>
      <c r="B117" s="7"/>
      <c r="C117" s="7"/>
      <c r="D117" s="7"/>
      <c r="E117" s="7"/>
      <c r="F117" s="7"/>
      <c r="G117" s="7"/>
      <c r="H117" s="7"/>
      <c r="I117" s="7"/>
      <c r="J117" s="7"/>
      <c r="K117" s="7"/>
      <c r="L117" s="7"/>
      <c r="M117" s="246"/>
      <c r="N117" s="7"/>
      <c r="O117" s="7"/>
      <c r="P117" s="7"/>
      <c r="Q117" s="7"/>
      <c r="R117" s="7"/>
      <c r="S117" s="7"/>
      <c r="T117" s="7"/>
      <c r="U117" s="7"/>
      <c r="V117" s="7"/>
      <c r="W117" s="7"/>
      <c r="X117" s="7"/>
    </row>
    <row r="118" spans="1:24" ht="19.5" customHeight="1">
      <c r="A118" s="7"/>
      <c r="B118" s="7"/>
      <c r="C118" s="7"/>
      <c r="D118" s="7"/>
      <c r="E118" s="7"/>
      <c r="F118" s="7"/>
      <c r="G118" s="7"/>
      <c r="H118" s="7"/>
      <c r="I118" s="7"/>
      <c r="J118" s="7"/>
      <c r="K118" s="7"/>
      <c r="L118" s="7"/>
      <c r="M118" s="246"/>
      <c r="N118" s="7"/>
      <c r="O118" s="7"/>
      <c r="P118" s="7"/>
      <c r="Q118" s="7"/>
      <c r="R118" s="7"/>
      <c r="S118" s="7"/>
      <c r="T118" s="7"/>
      <c r="U118" s="7"/>
      <c r="V118" s="7"/>
      <c r="W118" s="7"/>
      <c r="X118" s="7"/>
    </row>
    <row r="119" spans="1:24" ht="19.5" customHeight="1">
      <c r="A119" s="7"/>
      <c r="B119" s="7"/>
      <c r="C119" s="7"/>
      <c r="D119" s="7"/>
      <c r="E119" s="7"/>
      <c r="F119" s="7"/>
      <c r="G119" s="7"/>
      <c r="H119" s="7"/>
      <c r="I119" s="7"/>
      <c r="J119" s="7"/>
      <c r="K119" s="7"/>
      <c r="L119" s="7"/>
      <c r="M119" s="246"/>
      <c r="N119" s="7"/>
      <c r="O119" s="7"/>
      <c r="P119" s="7"/>
      <c r="Q119" s="7"/>
      <c r="R119" s="7"/>
      <c r="S119" s="7"/>
      <c r="T119" s="7"/>
      <c r="U119" s="7"/>
      <c r="V119" s="7"/>
      <c r="W119" s="7"/>
      <c r="X119" s="7"/>
    </row>
    <row r="120" spans="1:24" ht="19.5" customHeight="1">
      <c r="A120" s="7"/>
      <c r="B120" s="7"/>
      <c r="C120" s="7"/>
      <c r="D120" s="7"/>
      <c r="E120" s="7"/>
      <c r="F120" s="7"/>
      <c r="G120" s="7"/>
      <c r="H120" s="7"/>
      <c r="I120" s="7"/>
      <c r="J120" s="7"/>
      <c r="K120" s="7"/>
      <c r="L120" s="7"/>
      <c r="M120" s="246"/>
      <c r="N120" s="7"/>
      <c r="O120" s="7"/>
      <c r="P120" s="7"/>
      <c r="Q120" s="7"/>
      <c r="R120" s="7"/>
      <c r="S120" s="7"/>
      <c r="T120" s="7"/>
      <c r="U120" s="7"/>
      <c r="V120" s="7"/>
      <c r="W120" s="7"/>
      <c r="X120" s="7"/>
    </row>
    <row r="121" spans="1:24" ht="19.5" customHeight="1">
      <c r="A121" s="7"/>
      <c r="B121" s="7"/>
      <c r="C121" s="7"/>
      <c r="D121" s="7"/>
      <c r="E121" s="7"/>
      <c r="F121" s="7"/>
      <c r="G121" s="7"/>
      <c r="H121" s="7"/>
      <c r="I121" s="7"/>
      <c r="J121" s="7"/>
      <c r="K121" s="7"/>
      <c r="L121" s="7"/>
      <c r="M121" s="246"/>
      <c r="N121" s="7"/>
      <c r="O121" s="7"/>
      <c r="P121" s="7"/>
      <c r="Q121" s="7"/>
      <c r="R121" s="7"/>
      <c r="S121" s="7"/>
      <c r="T121" s="7"/>
      <c r="U121" s="7"/>
      <c r="V121" s="7"/>
      <c r="W121" s="7"/>
      <c r="X121" s="7"/>
    </row>
    <row r="122" spans="1:24" ht="19.5" customHeight="1">
      <c r="A122" s="7"/>
      <c r="B122" s="7"/>
      <c r="C122" s="7"/>
      <c r="D122" s="7"/>
      <c r="E122" s="7"/>
      <c r="F122" s="7"/>
      <c r="G122" s="7"/>
      <c r="H122" s="7"/>
      <c r="I122" s="7"/>
      <c r="J122" s="7"/>
      <c r="K122" s="7"/>
      <c r="L122" s="7"/>
      <c r="M122" s="246"/>
      <c r="N122" s="7"/>
      <c r="O122" s="7"/>
      <c r="P122" s="7"/>
      <c r="Q122" s="7"/>
      <c r="R122" s="7"/>
      <c r="S122" s="7"/>
      <c r="T122" s="7"/>
      <c r="U122" s="7"/>
      <c r="V122" s="7"/>
      <c r="W122" s="7"/>
      <c r="X122" s="7"/>
    </row>
    <row r="123" spans="1:24" ht="19.5" customHeight="1">
      <c r="A123" s="7"/>
      <c r="B123" s="7"/>
      <c r="C123" s="7"/>
      <c r="D123" s="7"/>
      <c r="E123" s="7"/>
      <c r="F123" s="7"/>
      <c r="G123" s="7"/>
      <c r="H123" s="7"/>
      <c r="I123" s="7"/>
      <c r="J123" s="7"/>
      <c r="K123" s="7"/>
      <c r="L123" s="7"/>
      <c r="M123" s="246"/>
      <c r="N123" s="7"/>
      <c r="O123" s="7"/>
      <c r="P123" s="7"/>
      <c r="Q123" s="7"/>
      <c r="R123" s="7"/>
      <c r="S123" s="7"/>
      <c r="T123" s="7"/>
      <c r="U123" s="7"/>
      <c r="V123" s="7"/>
      <c r="W123" s="7"/>
      <c r="X123" s="7"/>
    </row>
    <row r="124" spans="1:24" ht="19.5" customHeight="1">
      <c r="A124" s="7"/>
      <c r="B124" s="7"/>
      <c r="C124" s="7"/>
      <c r="D124" s="7"/>
      <c r="E124" s="7"/>
      <c r="F124" s="7"/>
      <c r="G124" s="7"/>
      <c r="H124" s="7"/>
      <c r="I124" s="7"/>
      <c r="J124" s="7"/>
      <c r="K124" s="7"/>
      <c r="L124" s="7"/>
      <c r="M124" s="246"/>
      <c r="N124" s="7"/>
      <c r="O124" s="7"/>
      <c r="P124" s="7"/>
      <c r="Q124" s="7"/>
      <c r="R124" s="7"/>
      <c r="S124" s="7"/>
      <c r="T124" s="7"/>
      <c r="U124" s="7"/>
      <c r="V124" s="7"/>
      <c r="W124" s="7"/>
      <c r="X124" s="7"/>
    </row>
    <row r="125" spans="1:24" ht="19.5" customHeight="1">
      <c r="A125" s="7"/>
      <c r="B125" s="7"/>
      <c r="C125" s="7"/>
      <c r="D125" s="7"/>
      <c r="E125" s="7"/>
      <c r="F125" s="7"/>
      <c r="G125" s="7"/>
      <c r="H125" s="7"/>
      <c r="I125" s="7"/>
      <c r="J125" s="7"/>
      <c r="K125" s="7"/>
      <c r="L125" s="7"/>
      <c r="M125" s="246"/>
      <c r="N125" s="7"/>
      <c r="O125" s="7"/>
      <c r="P125" s="7"/>
      <c r="Q125" s="7"/>
      <c r="R125" s="7"/>
      <c r="S125" s="7"/>
      <c r="T125" s="7"/>
      <c r="U125" s="7"/>
      <c r="V125" s="7"/>
      <c r="W125" s="7"/>
      <c r="X125" s="7"/>
    </row>
    <row r="126" spans="1:24" ht="19.5" customHeight="1">
      <c r="A126" s="7"/>
      <c r="B126" s="7"/>
      <c r="C126" s="7"/>
      <c r="D126" s="7"/>
      <c r="E126" s="7"/>
      <c r="F126" s="7"/>
      <c r="G126" s="7"/>
      <c r="H126" s="7"/>
      <c r="I126" s="7"/>
      <c r="J126" s="7"/>
      <c r="K126" s="7"/>
      <c r="L126" s="7"/>
      <c r="M126" s="246"/>
      <c r="N126" s="7"/>
      <c r="O126" s="7"/>
      <c r="P126" s="7"/>
      <c r="Q126" s="7"/>
      <c r="R126" s="7"/>
      <c r="S126" s="7"/>
      <c r="T126" s="7"/>
      <c r="U126" s="7"/>
      <c r="V126" s="7"/>
      <c r="W126" s="7"/>
      <c r="X126" s="7"/>
    </row>
    <row r="127" spans="1:24" ht="19.5" customHeight="1">
      <c r="A127" s="7"/>
      <c r="B127" s="7"/>
      <c r="C127" s="7"/>
      <c r="D127" s="7"/>
      <c r="E127" s="7"/>
      <c r="F127" s="7"/>
      <c r="G127" s="7"/>
      <c r="H127" s="7"/>
      <c r="I127" s="7"/>
      <c r="J127" s="7"/>
      <c r="K127" s="7"/>
      <c r="L127" s="7"/>
      <c r="M127" s="246"/>
      <c r="N127" s="7"/>
      <c r="O127" s="7"/>
      <c r="P127" s="7"/>
      <c r="Q127" s="7"/>
      <c r="R127" s="7"/>
      <c r="S127" s="7"/>
      <c r="T127" s="7"/>
      <c r="U127" s="7"/>
      <c r="V127" s="7"/>
      <c r="W127" s="7"/>
      <c r="X127" s="7"/>
    </row>
    <row r="128" spans="1:24" ht="19.5" customHeight="1">
      <c r="A128" s="7"/>
      <c r="B128" s="7"/>
      <c r="C128" s="7"/>
      <c r="D128" s="7"/>
      <c r="E128" s="7"/>
      <c r="F128" s="7"/>
      <c r="G128" s="7"/>
      <c r="H128" s="7"/>
      <c r="I128" s="7"/>
      <c r="J128" s="7"/>
      <c r="K128" s="7"/>
      <c r="L128" s="7"/>
      <c r="M128" s="246"/>
      <c r="N128" s="7"/>
      <c r="O128" s="7"/>
      <c r="P128" s="7"/>
      <c r="Q128" s="7"/>
      <c r="R128" s="7"/>
      <c r="S128" s="7"/>
      <c r="T128" s="7"/>
      <c r="U128" s="7"/>
      <c r="V128" s="7"/>
      <c r="W128" s="7"/>
      <c r="X128" s="7"/>
    </row>
    <row r="129" spans="1:24" ht="19.5" customHeight="1">
      <c r="A129" s="7"/>
      <c r="B129" s="7"/>
      <c r="C129" s="7"/>
      <c r="D129" s="7"/>
      <c r="E129" s="7"/>
      <c r="F129" s="7"/>
      <c r="G129" s="7"/>
      <c r="H129" s="7"/>
      <c r="I129" s="7"/>
      <c r="J129" s="7"/>
      <c r="K129" s="7"/>
      <c r="L129" s="7"/>
      <c r="M129" s="246"/>
      <c r="N129" s="7"/>
      <c r="O129" s="7"/>
      <c r="P129" s="7"/>
      <c r="Q129" s="7"/>
      <c r="R129" s="7"/>
      <c r="S129" s="7"/>
      <c r="T129" s="7"/>
      <c r="U129" s="7"/>
      <c r="V129" s="7"/>
      <c r="W129" s="7"/>
      <c r="X129" s="7"/>
    </row>
    <row r="130" spans="1:24" ht="19.5" customHeight="1">
      <c r="A130" s="7"/>
      <c r="B130" s="7"/>
      <c r="C130" s="7"/>
      <c r="D130" s="7"/>
      <c r="E130" s="7"/>
      <c r="F130" s="7"/>
      <c r="G130" s="7"/>
      <c r="H130" s="7"/>
      <c r="I130" s="7"/>
      <c r="J130" s="7"/>
      <c r="K130" s="7"/>
      <c r="L130" s="7"/>
      <c r="M130" s="246"/>
      <c r="N130" s="7"/>
      <c r="O130" s="7"/>
      <c r="P130" s="7"/>
      <c r="Q130" s="7"/>
      <c r="R130" s="7"/>
      <c r="S130" s="7"/>
      <c r="T130" s="7"/>
      <c r="U130" s="7"/>
      <c r="V130" s="7"/>
      <c r="W130" s="7"/>
      <c r="X130" s="7"/>
    </row>
    <row r="131" spans="1:24" ht="19.5" customHeight="1">
      <c r="A131" s="7"/>
      <c r="B131" s="7"/>
      <c r="C131" s="7"/>
      <c r="D131" s="7"/>
      <c r="E131" s="7"/>
      <c r="F131" s="7"/>
      <c r="G131" s="7"/>
      <c r="H131" s="7"/>
      <c r="I131" s="7"/>
      <c r="J131" s="7"/>
      <c r="K131" s="7"/>
      <c r="L131" s="7"/>
      <c r="M131" s="246"/>
      <c r="N131" s="7"/>
      <c r="O131" s="7"/>
      <c r="P131" s="7"/>
      <c r="Q131" s="7"/>
      <c r="R131" s="7"/>
      <c r="S131" s="7"/>
      <c r="T131" s="7"/>
      <c r="U131" s="7"/>
      <c r="V131" s="7"/>
      <c r="W131" s="7"/>
      <c r="X131" s="7"/>
    </row>
    <row r="132" spans="1:24" ht="19.5" customHeight="1">
      <c r="A132" s="7"/>
      <c r="B132" s="7"/>
      <c r="C132" s="7"/>
      <c r="D132" s="7"/>
      <c r="E132" s="7"/>
      <c r="F132" s="7"/>
      <c r="G132" s="7"/>
      <c r="H132" s="7"/>
      <c r="I132" s="7"/>
      <c r="J132" s="7"/>
      <c r="K132" s="7"/>
      <c r="L132" s="7"/>
      <c r="M132" s="246"/>
      <c r="N132" s="7"/>
      <c r="O132" s="7"/>
      <c r="P132" s="7"/>
      <c r="Q132" s="7"/>
      <c r="R132" s="7"/>
      <c r="S132" s="7"/>
      <c r="T132" s="7"/>
      <c r="U132" s="7"/>
      <c r="V132" s="7"/>
      <c r="W132" s="7"/>
      <c r="X132" s="7"/>
    </row>
    <row r="133" spans="1:24" ht="19.5" customHeight="1">
      <c r="A133" s="7"/>
      <c r="B133" s="7"/>
      <c r="C133" s="7"/>
      <c r="D133" s="7"/>
      <c r="E133" s="7"/>
      <c r="F133" s="7"/>
      <c r="G133" s="7"/>
      <c r="H133" s="7"/>
      <c r="I133" s="7"/>
      <c r="J133" s="7"/>
      <c r="K133" s="7"/>
      <c r="L133" s="7"/>
      <c r="M133" s="246"/>
      <c r="N133" s="7"/>
      <c r="O133" s="7"/>
      <c r="P133" s="7"/>
      <c r="Q133" s="7"/>
      <c r="R133" s="7"/>
      <c r="S133" s="7"/>
      <c r="T133" s="7"/>
      <c r="U133" s="7"/>
      <c r="V133" s="7"/>
      <c r="W133" s="7"/>
      <c r="X133" s="7"/>
    </row>
    <row r="134" spans="1:24" ht="19.5" customHeight="1">
      <c r="A134" s="7"/>
      <c r="B134" s="7"/>
      <c r="C134" s="7"/>
      <c r="D134" s="7"/>
      <c r="E134" s="7"/>
      <c r="F134" s="7"/>
      <c r="G134" s="7"/>
      <c r="H134" s="7"/>
      <c r="I134" s="7"/>
      <c r="J134" s="7"/>
      <c r="K134" s="7"/>
      <c r="L134" s="7"/>
      <c r="M134" s="246"/>
      <c r="N134" s="7"/>
      <c r="O134" s="7"/>
      <c r="P134" s="7"/>
      <c r="Q134" s="7"/>
      <c r="R134" s="7"/>
      <c r="S134" s="7"/>
      <c r="T134" s="7"/>
      <c r="U134" s="7"/>
      <c r="V134" s="7"/>
      <c r="W134" s="7"/>
      <c r="X134" s="7"/>
    </row>
    <row r="135" spans="1:24" ht="19.5" customHeight="1">
      <c r="A135" s="7"/>
      <c r="B135" s="7"/>
      <c r="C135" s="7"/>
      <c r="D135" s="7"/>
      <c r="E135" s="7"/>
      <c r="F135" s="7"/>
      <c r="G135" s="7"/>
      <c r="H135" s="7"/>
      <c r="I135" s="7"/>
      <c r="J135" s="7"/>
      <c r="K135" s="7"/>
      <c r="L135" s="7"/>
      <c r="M135" s="246"/>
      <c r="N135" s="7"/>
      <c r="O135" s="7"/>
      <c r="P135" s="7"/>
      <c r="Q135" s="7"/>
      <c r="R135" s="7"/>
      <c r="S135" s="7"/>
      <c r="T135" s="7"/>
      <c r="U135" s="7"/>
      <c r="V135" s="7"/>
      <c r="W135" s="7"/>
      <c r="X135" s="7"/>
    </row>
    <row r="136" spans="1:24" ht="19.5" customHeight="1">
      <c r="A136" s="7"/>
      <c r="B136" s="7"/>
      <c r="C136" s="7"/>
      <c r="D136" s="7"/>
      <c r="E136" s="7"/>
      <c r="F136" s="7"/>
      <c r="G136" s="7"/>
      <c r="H136" s="7"/>
      <c r="I136" s="7"/>
      <c r="J136" s="7"/>
      <c r="K136" s="7"/>
      <c r="L136" s="7"/>
      <c r="M136" s="246"/>
      <c r="N136" s="7"/>
      <c r="O136" s="7"/>
      <c r="P136" s="7"/>
      <c r="Q136" s="7"/>
      <c r="R136" s="7"/>
      <c r="S136" s="7"/>
      <c r="T136" s="7"/>
      <c r="U136" s="7"/>
      <c r="V136" s="7"/>
      <c r="W136" s="7"/>
      <c r="X136" s="7"/>
    </row>
    <row r="137" spans="1:24" ht="19.5" customHeight="1">
      <c r="A137" s="7"/>
      <c r="B137" s="7"/>
      <c r="C137" s="7"/>
      <c r="D137" s="7"/>
      <c r="E137" s="7"/>
      <c r="F137" s="7"/>
      <c r="G137" s="7"/>
      <c r="H137" s="7"/>
      <c r="I137" s="7"/>
      <c r="J137" s="7"/>
      <c r="K137" s="7"/>
      <c r="L137" s="7"/>
      <c r="M137" s="246"/>
      <c r="N137" s="7"/>
      <c r="O137" s="7"/>
      <c r="P137" s="7"/>
      <c r="Q137" s="7"/>
      <c r="R137" s="7"/>
      <c r="S137" s="7"/>
      <c r="T137" s="7"/>
      <c r="U137" s="7"/>
      <c r="V137" s="7"/>
      <c r="W137" s="7"/>
      <c r="X137" s="7"/>
    </row>
    <row r="138" spans="1:24" ht="19.5" customHeight="1">
      <c r="A138" s="7"/>
      <c r="B138" s="7"/>
      <c r="C138" s="7"/>
      <c r="D138" s="7"/>
      <c r="E138" s="7"/>
      <c r="F138" s="7"/>
      <c r="G138" s="7"/>
      <c r="H138" s="7"/>
      <c r="I138" s="7"/>
      <c r="J138" s="7"/>
      <c r="K138" s="7"/>
      <c r="L138" s="7"/>
      <c r="M138" s="246"/>
      <c r="N138" s="7"/>
      <c r="O138" s="7"/>
      <c r="P138" s="7"/>
      <c r="Q138" s="7"/>
      <c r="R138" s="7"/>
      <c r="S138" s="7"/>
      <c r="T138" s="7"/>
      <c r="U138" s="7"/>
      <c r="V138" s="7"/>
      <c r="W138" s="7"/>
      <c r="X138" s="7"/>
    </row>
    <row r="139" spans="1:24" ht="19.5" customHeight="1">
      <c r="A139" s="7"/>
      <c r="B139" s="7"/>
      <c r="C139" s="7"/>
      <c r="D139" s="7"/>
      <c r="E139" s="7"/>
      <c r="F139" s="7"/>
      <c r="G139" s="7"/>
      <c r="H139" s="7"/>
      <c r="I139" s="7"/>
      <c r="J139" s="7"/>
      <c r="K139" s="7"/>
      <c r="L139" s="7"/>
      <c r="M139" s="246"/>
      <c r="N139" s="7"/>
      <c r="O139" s="7"/>
      <c r="P139" s="7"/>
      <c r="Q139" s="7"/>
      <c r="R139" s="7"/>
      <c r="S139" s="7"/>
      <c r="T139" s="7"/>
      <c r="U139" s="7"/>
      <c r="V139" s="7"/>
      <c r="W139" s="7"/>
      <c r="X139" s="7"/>
    </row>
    <row r="140" spans="1:24" ht="19.5" customHeight="1">
      <c r="A140" s="7"/>
      <c r="B140" s="7"/>
      <c r="C140" s="7"/>
      <c r="D140" s="7"/>
      <c r="E140" s="7"/>
      <c r="F140" s="7"/>
      <c r="G140" s="7"/>
      <c r="H140" s="7"/>
      <c r="I140" s="7"/>
      <c r="J140" s="7"/>
      <c r="K140" s="7"/>
      <c r="L140" s="7"/>
      <c r="M140" s="246"/>
      <c r="N140" s="7"/>
      <c r="O140" s="7"/>
      <c r="P140" s="7"/>
      <c r="Q140" s="7"/>
      <c r="R140" s="7"/>
      <c r="S140" s="7"/>
      <c r="T140" s="7"/>
      <c r="U140" s="7"/>
      <c r="V140" s="7"/>
      <c r="W140" s="7"/>
      <c r="X140" s="7"/>
    </row>
    <row r="141" spans="1:24" ht="19.5" customHeight="1">
      <c r="A141" s="7"/>
      <c r="B141" s="7"/>
      <c r="C141" s="7"/>
      <c r="D141" s="7"/>
      <c r="E141" s="7"/>
      <c r="F141" s="7"/>
      <c r="G141" s="7"/>
      <c r="H141" s="7"/>
      <c r="I141" s="7"/>
      <c r="J141" s="7"/>
      <c r="K141" s="7"/>
      <c r="L141" s="7"/>
      <c r="M141" s="246"/>
      <c r="N141" s="7"/>
      <c r="O141" s="7"/>
      <c r="P141" s="7"/>
      <c r="Q141" s="7"/>
      <c r="R141" s="7"/>
      <c r="S141" s="7"/>
      <c r="T141" s="7"/>
      <c r="U141" s="7"/>
      <c r="V141" s="7"/>
      <c r="W141" s="7"/>
      <c r="X141" s="7"/>
    </row>
    <row r="142" spans="1:24" ht="19.5" customHeight="1">
      <c r="A142" s="7"/>
      <c r="B142" s="7"/>
      <c r="C142" s="7"/>
      <c r="D142" s="7"/>
      <c r="E142" s="7"/>
      <c r="F142" s="7"/>
      <c r="G142" s="7"/>
      <c r="H142" s="7"/>
      <c r="I142" s="7"/>
      <c r="J142" s="7"/>
      <c r="K142" s="7"/>
      <c r="L142" s="7"/>
      <c r="M142" s="246"/>
      <c r="N142" s="7"/>
      <c r="O142" s="7"/>
      <c r="P142" s="7"/>
      <c r="Q142" s="7"/>
      <c r="R142" s="7"/>
      <c r="S142" s="7"/>
      <c r="T142" s="7"/>
      <c r="U142" s="7"/>
      <c r="V142" s="7"/>
      <c r="W142" s="7"/>
      <c r="X142" s="7"/>
    </row>
    <row r="143" spans="1:24" ht="19.5" customHeight="1">
      <c r="A143" s="7"/>
      <c r="B143" s="7"/>
      <c r="C143" s="7"/>
      <c r="D143" s="7"/>
      <c r="E143" s="7"/>
      <c r="F143" s="7"/>
      <c r="G143" s="7"/>
      <c r="H143" s="7"/>
      <c r="I143" s="7"/>
      <c r="J143" s="7"/>
      <c r="K143" s="7"/>
      <c r="L143" s="7"/>
      <c r="M143" s="246"/>
      <c r="N143" s="7"/>
      <c r="O143" s="7"/>
      <c r="P143" s="7"/>
      <c r="Q143" s="7"/>
      <c r="R143" s="7"/>
      <c r="S143" s="7"/>
      <c r="T143" s="7"/>
      <c r="U143" s="7"/>
      <c r="V143" s="7"/>
      <c r="W143" s="7"/>
      <c r="X143" s="7"/>
    </row>
    <row r="144" spans="1:24" ht="19.5" customHeight="1">
      <c r="A144" s="7"/>
      <c r="B144" s="7"/>
      <c r="C144" s="7"/>
      <c r="D144" s="7"/>
      <c r="E144" s="7"/>
      <c r="F144" s="7"/>
      <c r="G144" s="7"/>
      <c r="H144" s="7"/>
      <c r="I144" s="7"/>
      <c r="J144" s="7"/>
      <c r="K144" s="7"/>
      <c r="L144" s="7"/>
      <c r="M144" s="246"/>
      <c r="N144" s="7"/>
      <c r="O144" s="7"/>
      <c r="P144" s="7"/>
      <c r="Q144" s="7"/>
      <c r="R144" s="7"/>
      <c r="S144" s="7"/>
      <c r="T144" s="7"/>
      <c r="U144" s="7"/>
      <c r="V144" s="7"/>
      <c r="W144" s="7"/>
      <c r="X144" s="7"/>
    </row>
    <row r="145" spans="1:24" ht="19.5" customHeight="1">
      <c r="A145" s="7"/>
      <c r="B145" s="7"/>
      <c r="C145" s="7"/>
      <c r="D145" s="7"/>
      <c r="E145" s="7"/>
      <c r="F145" s="7"/>
      <c r="G145" s="7"/>
      <c r="H145" s="7"/>
      <c r="I145" s="7"/>
      <c r="J145" s="7"/>
      <c r="K145" s="7"/>
      <c r="L145" s="7"/>
      <c r="M145" s="246"/>
      <c r="N145" s="7"/>
      <c r="O145" s="7"/>
      <c r="P145" s="7"/>
      <c r="Q145" s="7"/>
      <c r="R145" s="7"/>
      <c r="S145" s="7"/>
      <c r="T145" s="7"/>
      <c r="U145" s="7"/>
      <c r="V145" s="7"/>
      <c r="W145" s="7"/>
      <c r="X145" s="7"/>
    </row>
    <row r="146" spans="1:24" ht="19.5" customHeight="1">
      <c r="A146" s="7"/>
      <c r="B146" s="7"/>
      <c r="C146" s="7"/>
      <c r="D146" s="7"/>
      <c r="E146" s="7"/>
      <c r="F146" s="7"/>
      <c r="G146" s="7"/>
      <c r="H146" s="7"/>
      <c r="I146" s="7"/>
      <c r="J146" s="7"/>
      <c r="K146" s="7"/>
      <c r="L146" s="7"/>
      <c r="M146" s="246"/>
      <c r="N146" s="7"/>
      <c r="O146" s="7"/>
      <c r="P146" s="7"/>
      <c r="Q146" s="7"/>
      <c r="R146" s="7"/>
      <c r="S146" s="7"/>
      <c r="T146" s="7"/>
      <c r="U146" s="7"/>
      <c r="V146" s="7"/>
      <c r="W146" s="7"/>
      <c r="X146" s="7"/>
    </row>
    <row r="147" spans="1:24" ht="19.5" customHeight="1">
      <c r="A147" s="7"/>
      <c r="B147" s="7"/>
      <c r="C147" s="7"/>
      <c r="D147" s="7"/>
      <c r="E147" s="7"/>
      <c r="F147" s="7"/>
      <c r="G147" s="7"/>
      <c r="H147" s="7"/>
      <c r="I147" s="7"/>
      <c r="J147" s="7"/>
      <c r="K147" s="7"/>
      <c r="L147" s="7"/>
      <c r="M147" s="246"/>
      <c r="N147" s="7"/>
      <c r="O147" s="7"/>
      <c r="P147" s="7"/>
      <c r="Q147" s="7"/>
      <c r="R147" s="7"/>
      <c r="S147" s="7"/>
      <c r="T147" s="7"/>
      <c r="U147" s="7"/>
      <c r="V147" s="7"/>
      <c r="W147" s="7"/>
      <c r="X147" s="7"/>
    </row>
    <row r="148" spans="1:24" ht="19.5" customHeight="1">
      <c r="A148" s="7"/>
      <c r="B148" s="7"/>
      <c r="C148" s="7"/>
      <c r="D148" s="7"/>
      <c r="E148" s="7"/>
      <c r="F148" s="7"/>
      <c r="G148" s="7"/>
      <c r="H148" s="7"/>
      <c r="I148" s="7"/>
      <c r="J148" s="7"/>
      <c r="K148" s="7"/>
      <c r="L148" s="7"/>
      <c r="M148" s="246"/>
      <c r="N148" s="7"/>
      <c r="O148" s="7"/>
      <c r="P148" s="7"/>
      <c r="Q148" s="7"/>
      <c r="R148" s="7"/>
      <c r="S148" s="7"/>
      <c r="T148" s="7"/>
      <c r="U148" s="7"/>
      <c r="V148" s="7"/>
      <c r="W148" s="7"/>
      <c r="X148" s="7"/>
    </row>
    <row r="149" spans="1:24" ht="19.5" customHeight="1">
      <c r="A149" s="7"/>
      <c r="B149" s="7"/>
      <c r="C149" s="7"/>
      <c r="D149" s="7"/>
      <c r="E149" s="7"/>
      <c r="F149" s="7"/>
      <c r="G149" s="7"/>
      <c r="H149" s="7"/>
      <c r="I149" s="7"/>
      <c r="J149" s="7"/>
      <c r="K149" s="7"/>
      <c r="L149" s="7"/>
      <c r="M149" s="246"/>
      <c r="N149" s="7"/>
      <c r="O149" s="7"/>
      <c r="P149" s="7"/>
      <c r="Q149" s="7"/>
      <c r="R149" s="7"/>
      <c r="S149" s="7"/>
      <c r="T149" s="7"/>
      <c r="U149" s="7"/>
      <c r="V149" s="7"/>
      <c r="W149" s="7"/>
      <c r="X149" s="7"/>
    </row>
    <row r="150" spans="1:24" ht="19.5" customHeight="1">
      <c r="A150" s="7"/>
      <c r="B150" s="7"/>
      <c r="C150" s="7"/>
      <c r="D150" s="7"/>
      <c r="E150" s="7"/>
      <c r="F150" s="7"/>
      <c r="G150" s="7"/>
      <c r="H150" s="7"/>
      <c r="I150" s="7"/>
      <c r="J150" s="7"/>
      <c r="K150" s="7"/>
      <c r="L150" s="7"/>
      <c r="M150" s="246"/>
      <c r="N150" s="7"/>
      <c r="O150" s="7"/>
      <c r="P150" s="7"/>
      <c r="Q150" s="7"/>
      <c r="R150" s="7"/>
      <c r="S150" s="7"/>
      <c r="T150" s="7"/>
      <c r="U150" s="7"/>
      <c r="V150" s="7"/>
      <c r="W150" s="7"/>
      <c r="X150" s="7"/>
    </row>
    <row r="151" spans="1:24" ht="19.5" customHeight="1">
      <c r="A151" s="7"/>
      <c r="B151" s="7"/>
      <c r="C151" s="7"/>
      <c r="D151" s="7"/>
      <c r="E151" s="7"/>
      <c r="F151" s="7"/>
      <c r="G151" s="7"/>
      <c r="H151" s="7"/>
      <c r="I151" s="7"/>
      <c r="J151" s="7"/>
      <c r="K151" s="7"/>
      <c r="L151" s="7"/>
      <c r="M151" s="246"/>
      <c r="N151" s="7"/>
      <c r="O151" s="7"/>
      <c r="P151" s="7"/>
      <c r="Q151" s="7"/>
      <c r="R151" s="7"/>
      <c r="S151" s="7"/>
      <c r="T151" s="7"/>
      <c r="U151" s="7"/>
      <c r="V151" s="7"/>
      <c r="W151" s="7"/>
      <c r="X151" s="7"/>
    </row>
    <row r="152" spans="1:24" ht="19.5" customHeight="1">
      <c r="A152" s="7"/>
      <c r="B152" s="7"/>
      <c r="C152" s="7"/>
      <c r="D152" s="7"/>
      <c r="E152" s="7"/>
      <c r="F152" s="7"/>
      <c r="G152" s="7"/>
      <c r="H152" s="7"/>
      <c r="I152" s="7"/>
      <c r="J152" s="7"/>
      <c r="K152" s="7"/>
      <c r="L152" s="7"/>
      <c r="M152" s="246"/>
      <c r="N152" s="7"/>
      <c r="O152" s="7"/>
      <c r="P152" s="7"/>
      <c r="Q152" s="7"/>
      <c r="R152" s="7"/>
      <c r="S152" s="7"/>
      <c r="T152" s="7"/>
      <c r="U152" s="7"/>
      <c r="V152" s="7"/>
      <c r="W152" s="7"/>
      <c r="X152" s="7"/>
    </row>
    <row r="153" spans="1:24" ht="19.5" customHeight="1">
      <c r="A153" s="7"/>
      <c r="B153" s="7"/>
      <c r="C153" s="7"/>
      <c r="D153" s="7"/>
      <c r="E153" s="7"/>
      <c r="F153" s="7"/>
      <c r="G153" s="7"/>
      <c r="H153" s="7"/>
      <c r="I153" s="7"/>
      <c r="J153" s="7"/>
      <c r="K153" s="7"/>
      <c r="L153" s="7"/>
      <c r="M153" s="246"/>
      <c r="N153" s="7"/>
      <c r="O153" s="7"/>
      <c r="P153" s="7"/>
      <c r="Q153" s="7"/>
      <c r="R153" s="7"/>
      <c r="S153" s="7"/>
      <c r="T153" s="7"/>
      <c r="U153" s="7"/>
      <c r="V153" s="7"/>
      <c r="W153" s="7"/>
      <c r="X153" s="7"/>
    </row>
    <row r="154" spans="1:24" ht="19.5" customHeight="1">
      <c r="A154" s="7"/>
      <c r="B154" s="7"/>
      <c r="C154" s="7"/>
      <c r="D154" s="7"/>
      <c r="E154" s="7"/>
      <c r="F154" s="7"/>
      <c r="G154" s="7"/>
      <c r="H154" s="7"/>
      <c r="I154" s="7"/>
      <c r="J154" s="7"/>
      <c r="K154" s="7"/>
      <c r="L154" s="7"/>
      <c r="M154" s="246"/>
      <c r="N154" s="7"/>
      <c r="O154" s="7"/>
      <c r="P154" s="7"/>
      <c r="Q154" s="7"/>
      <c r="R154" s="7"/>
      <c r="S154" s="7"/>
      <c r="T154" s="7"/>
      <c r="U154" s="7"/>
      <c r="V154" s="7"/>
      <c r="W154" s="7"/>
      <c r="X154" s="7"/>
    </row>
    <row r="155" spans="1:24" ht="19.5" customHeight="1">
      <c r="A155" s="7"/>
      <c r="B155" s="7"/>
      <c r="C155" s="7"/>
      <c r="D155" s="7"/>
      <c r="E155" s="7"/>
      <c r="F155" s="7"/>
      <c r="G155" s="7"/>
      <c r="H155" s="7"/>
      <c r="I155" s="7"/>
      <c r="J155" s="7"/>
      <c r="K155" s="7"/>
      <c r="L155" s="7"/>
      <c r="M155" s="246"/>
      <c r="N155" s="7"/>
      <c r="O155" s="7"/>
      <c r="P155" s="7"/>
      <c r="Q155" s="7"/>
      <c r="R155" s="7"/>
      <c r="S155" s="7"/>
      <c r="T155" s="7"/>
      <c r="U155" s="7"/>
      <c r="V155" s="7"/>
      <c r="W155" s="7"/>
      <c r="X155" s="7"/>
    </row>
    <row r="156" spans="1:24" ht="19.5" customHeight="1">
      <c r="A156" s="7"/>
      <c r="B156" s="7"/>
      <c r="C156" s="7"/>
      <c r="D156" s="7"/>
      <c r="E156" s="7"/>
      <c r="F156" s="7"/>
      <c r="G156" s="7"/>
      <c r="H156" s="7"/>
      <c r="I156" s="7"/>
      <c r="J156" s="7"/>
      <c r="K156" s="7"/>
      <c r="L156" s="7"/>
      <c r="M156" s="246"/>
      <c r="N156" s="7"/>
      <c r="O156" s="7"/>
      <c r="P156" s="7"/>
      <c r="Q156" s="7"/>
      <c r="R156" s="7"/>
      <c r="S156" s="7"/>
      <c r="T156" s="7"/>
      <c r="U156" s="7"/>
      <c r="V156" s="7"/>
      <c r="W156" s="7"/>
      <c r="X156" s="7"/>
    </row>
    <row r="157" spans="1:24" ht="19.5" customHeight="1">
      <c r="A157" s="7"/>
      <c r="B157" s="7"/>
      <c r="C157" s="7"/>
      <c r="D157" s="7"/>
      <c r="E157" s="7"/>
      <c r="F157" s="7"/>
      <c r="G157" s="7"/>
      <c r="H157" s="7"/>
      <c r="I157" s="7"/>
      <c r="J157" s="7"/>
      <c r="K157" s="7"/>
      <c r="L157" s="7"/>
      <c r="M157" s="246"/>
      <c r="N157" s="7"/>
      <c r="O157" s="7"/>
      <c r="P157" s="7"/>
      <c r="Q157" s="7"/>
      <c r="R157" s="7"/>
      <c r="S157" s="7"/>
      <c r="T157" s="7"/>
      <c r="U157" s="7"/>
      <c r="V157" s="7"/>
      <c r="W157" s="7"/>
      <c r="X157" s="7"/>
    </row>
    <row r="158" spans="1:24" ht="19.5" customHeight="1">
      <c r="A158" s="7"/>
      <c r="B158" s="7"/>
      <c r="C158" s="7"/>
      <c r="D158" s="7"/>
      <c r="E158" s="7"/>
      <c r="F158" s="7"/>
      <c r="G158" s="7"/>
      <c r="H158" s="7"/>
      <c r="I158" s="7"/>
      <c r="J158" s="7"/>
      <c r="K158" s="7"/>
      <c r="L158" s="7"/>
      <c r="M158" s="246"/>
      <c r="N158" s="7"/>
      <c r="O158" s="7"/>
      <c r="P158" s="7"/>
      <c r="Q158" s="7"/>
      <c r="R158" s="7"/>
      <c r="S158" s="7"/>
      <c r="T158" s="7"/>
      <c r="U158" s="7"/>
      <c r="V158" s="7"/>
      <c r="W158" s="7"/>
      <c r="X158" s="7"/>
    </row>
    <row r="159" spans="1:24" ht="19.5" customHeight="1">
      <c r="A159" s="7"/>
      <c r="B159" s="7"/>
      <c r="C159" s="7"/>
      <c r="D159" s="7"/>
      <c r="E159" s="7"/>
      <c r="F159" s="7"/>
      <c r="G159" s="7"/>
      <c r="H159" s="7"/>
      <c r="I159" s="7"/>
      <c r="J159" s="7"/>
      <c r="K159" s="7"/>
      <c r="L159" s="7"/>
      <c r="M159" s="246"/>
      <c r="N159" s="7"/>
      <c r="O159" s="7"/>
      <c r="P159" s="7"/>
      <c r="Q159" s="7"/>
      <c r="R159" s="7"/>
      <c r="S159" s="7"/>
      <c r="T159" s="7"/>
      <c r="U159" s="7"/>
      <c r="V159" s="7"/>
      <c r="W159" s="7"/>
      <c r="X159" s="7"/>
    </row>
    <row r="160" spans="1:24" ht="19.5" customHeight="1">
      <c r="A160" s="7"/>
      <c r="B160" s="7"/>
      <c r="C160" s="7"/>
      <c r="D160" s="7"/>
      <c r="E160" s="7"/>
      <c r="F160" s="7"/>
      <c r="G160" s="7"/>
      <c r="H160" s="7"/>
      <c r="I160" s="7"/>
      <c r="J160" s="7"/>
      <c r="K160" s="7"/>
      <c r="L160" s="7"/>
      <c r="M160" s="246"/>
      <c r="N160" s="7"/>
      <c r="O160" s="7"/>
      <c r="P160" s="7"/>
      <c r="Q160" s="7"/>
      <c r="R160" s="7"/>
      <c r="S160" s="7"/>
      <c r="T160" s="7"/>
      <c r="U160" s="7"/>
      <c r="V160" s="7"/>
      <c r="W160" s="7"/>
      <c r="X160" s="7"/>
    </row>
    <row r="161" spans="1:24" ht="19.5" customHeight="1">
      <c r="A161" s="7"/>
      <c r="B161" s="7"/>
      <c r="C161" s="7"/>
      <c r="D161" s="7"/>
      <c r="E161" s="7"/>
      <c r="F161" s="7"/>
      <c r="G161" s="7"/>
      <c r="H161" s="7"/>
      <c r="I161" s="7"/>
      <c r="J161" s="7"/>
      <c r="K161" s="7"/>
      <c r="L161" s="7"/>
      <c r="M161" s="246"/>
      <c r="N161" s="7"/>
      <c r="O161" s="7"/>
      <c r="P161" s="7"/>
      <c r="Q161" s="7"/>
      <c r="R161" s="7"/>
      <c r="S161" s="7"/>
      <c r="T161" s="7"/>
      <c r="U161" s="7"/>
      <c r="V161" s="7"/>
      <c r="W161" s="7"/>
      <c r="X161" s="7"/>
    </row>
    <row r="162" spans="1:24" ht="19.5" customHeight="1">
      <c r="A162" s="7"/>
      <c r="B162" s="7"/>
      <c r="C162" s="7"/>
      <c r="D162" s="7"/>
      <c r="E162" s="7"/>
      <c r="F162" s="7"/>
      <c r="G162" s="7"/>
      <c r="H162" s="7"/>
      <c r="I162" s="7"/>
      <c r="J162" s="7"/>
      <c r="K162" s="7"/>
      <c r="L162" s="7"/>
      <c r="M162" s="246"/>
      <c r="N162" s="7"/>
      <c r="O162" s="7"/>
      <c r="P162" s="7"/>
      <c r="Q162" s="7"/>
      <c r="R162" s="7"/>
      <c r="S162" s="7"/>
      <c r="T162" s="7"/>
      <c r="U162" s="7"/>
      <c r="V162" s="7"/>
      <c r="W162" s="7"/>
      <c r="X162" s="7"/>
    </row>
    <row r="163" spans="1:24" ht="19.5" customHeight="1">
      <c r="A163" s="7"/>
      <c r="B163" s="7"/>
      <c r="C163" s="7"/>
      <c r="D163" s="7"/>
      <c r="E163" s="7"/>
      <c r="F163" s="7"/>
      <c r="G163" s="7"/>
      <c r="H163" s="7"/>
      <c r="I163" s="7"/>
      <c r="J163" s="7"/>
      <c r="K163" s="7"/>
      <c r="L163" s="7"/>
      <c r="M163" s="246"/>
      <c r="N163" s="7"/>
      <c r="O163" s="7"/>
      <c r="P163" s="7"/>
      <c r="Q163" s="7"/>
      <c r="R163" s="7"/>
      <c r="S163" s="7"/>
      <c r="T163" s="7"/>
      <c r="U163" s="7"/>
      <c r="V163" s="7"/>
      <c r="W163" s="7"/>
      <c r="X163" s="7"/>
    </row>
    <row r="164" spans="1:24" ht="19.5" customHeight="1">
      <c r="A164" s="7"/>
      <c r="B164" s="7"/>
      <c r="C164" s="7"/>
      <c r="D164" s="7"/>
      <c r="E164" s="7"/>
      <c r="F164" s="7"/>
      <c r="G164" s="7"/>
      <c r="H164" s="7"/>
      <c r="I164" s="7"/>
      <c r="J164" s="7"/>
      <c r="K164" s="7"/>
      <c r="L164" s="7"/>
      <c r="M164" s="246"/>
      <c r="N164" s="7"/>
      <c r="O164" s="7"/>
      <c r="P164" s="7"/>
      <c r="Q164" s="7"/>
      <c r="R164" s="7"/>
      <c r="S164" s="7"/>
      <c r="T164" s="7"/>
      <c r="U164" s="7"/>
      <c r="V164" s="7"/>
      <c r="W164" s="7"/>
      <c r="X164" s="7"/>
    </row>
    <row r="165" spans="1:24" ht="19.5" customHeight="1">
      <c r="A165" s="7"/>
      <c r="B165" s="7"/>
      <c r="C165" s="7"/>
      <c r="D165" s="7"/>
      <c r="E165" s="7"/>
      <c r="F165" s="7"/>
      <c r="G165" s="7"/>
      <c r="H165" s="7"/>
      <c r="I165" s="7"/>
      <c r="J165" s="7"/>
      <c r="K165" s="7"/>
      <c r="L165" s="7"/>
      <c r="M165" s="246"/>
      <c r="N165" s="7"/>
      <c r="O165" s="7"/>
      <c r="P165" s="7"/>
      <c r="Q165" s="7"/>
      <c r="R165" s="7"/>
      <c r="S165" s="7"/>
      <c r="T165" s="7"/>
      <c r="U165" s="7"/>
      <c r="V165" s="7"/>
      <c r="W165" s="7"/>
      <c r="X165" s="7"/>
    </row>
    <row r="166" spans="1:24" ht="19.5" customHeight="1">
      <c r="A166" s="7"/>
      <c r="B166" s="7"/>
      <c r="C166" s="7"/>
      <c r="D166" s="7"/>
      <c r="E166" s="7"/>
      <c r="F166" s="7"/>
      <c r="G166" s="7"/>
      <c r="H166" s="7"/>
      <c r="I166" s="7"/>
      <c r="J166" s="7"/>
      <c r="K166" s="7"/>
      <c r="L166" s="7"/>
      <c r="M166" s="246"/>
      <c r="N166" s="7"/>
      <c r="O166" s="7"/>
      <c r="P166" s="7"/>
      <c r="Q166" s="7"/>
      <c r="R166" s="7"/>
      <c r="S166" s="7"/>
      <c r="T166" s="7"/>
      <c r="U166" s="7"/>
      <c r="V166" s="7"/>
      <c r="W166" s="7"/>
      <c r="X166" s="7"/>
    </row>
    <row r="167" spans="1:24" ht="19.5" customHeight="1">
      <c r="A167" s="7"/>
      <c r="B167" s="7"/>
      <c r="C167" s="7"/>
      <c r="D167" s="7"/>
      <c r="E167" s="7"/>
      <c r="F167" s="7"/>
      <c r="G167" s="7"/>
      <c r="H167" s="7"/>
      <c r="I167" s="7"/>
      <c r="J167" s="7"/>
      <c r="K167" s="7"/>
      <c r="L167" s="7"/>
      <c r="M167" s="246"/>
      <c r="N167" s="7"/>
      <c r="O167" s="7"/>
      <c r="P167" s="7"/>
      <c r="Q167" s="7"/>
      <c r="R167" s="7"/>
      <c r="S167" s="7"/>
      <c r="T167" s="7"/>
      <c r="U167" s="7"/>
      <c r="V167" s="7"/>
      <c r="W167" s="7"/>
      <c r="X167" s="7"/>
    </row>
    <row r="168" spans="1:24" ht="19.5" customHeight="1">
      <c r="A168" s="7"/>
      <c r="B168" s="7"/>
      <c r="C168" s="7"/>
      <c r="D168" s="7"/>
      <c r="E168" s="7"/>
      <c r="F168" s="7"/>
      <c r="G168" s="7"/>
      <c r="H168" s="7"/>
      <c r="I168" s="7"/>
      <c r="J168" s="7"/>
      <c r="K168" s="7"/>
      <c r="L168" s="7"/>
      <c r="M168" s="246"/>
      <c r="N168" s="7"/>
      <c r="O168" s="7"/>
      <c r="P168" s="7"/>
      <c r="Q168" s="7"/>
      <c r="R168" s="7"/>
      <c r="S168" s="7"/>
      <c r="T168" s="7"/>
      <c r="U168" s="7"/>
      <c r="V168" s="7"/>
      <c r="W168" s="7"/>
      <c r="X168" s="7"/>
    </row>
    <row r="169" spans="1:24" ht="19.5" customHeight="1">
      <c r="A169" s="7"/>
      <c r="B169" s="7"/>
      <c r="C169" s="7"/>
      <c r="D169" s="7"/>
      <c r="E169" s="7"/>
      <c r="F169" s="7"/>
      <c r="G169" s="7"/>
      <c r="H169" s="7"/>
      <c r="I169" s="7"/>
      <c r="J169" s="7"/>
      <c r="K169" s="7"/>
      <c r="L169" s="7"/>
      <c r="M169" s="246"/>
      <c r="N169" s="7"/>
      <c r="O169" s="7"/>
      <c r="P169" s="7"/>
      <c r="Q169" s="7"/>
      <c r="R169" s="7"/>
      <c r="S169" s="7"/>
      <c r="T169" s="7"/>
      <c r="U169" s="7"/>
      <c r="V169" s="7"/>
      <c r="W169" s="7"/>
      <c r="X169" s="7"/>
    </row>
    <row r="170" spans="1:24" ht="19.5" customHeight="1">
      <c r="A170" s="7"/>
      <c r="B170" s="7"/>
      <c r="C170" s="7"/>
      <c r="D170" s="7"/>
      <c r="E170" s="7"/>
      <c r="F170" s="7"/>
      <c r="G170" s="7"/>
      <c r="H170" s="7"/>
      <c r="I170" s="7"/>
      <c r="J170" s="7"/>
      <c r="K170" s="7"/>
      <c r="L170" s="7"/>
      <c r="M170" s="246"/>
      <c r="N170" s="7"/>
      <c r="O170" s="7"/>
      <c r="P170" s="7"/>
      <c r="Q170" s="7"/>
      <c r="R170" s="7"/>
      <c r="S170" s="7"/>
      <c r="T170" s="7"/>
      <c r="U170" s="7"/>
      <c r="V170" s="7"/>
      <c r="W170" s="7"/>
      <c r="X170" s="7"/>
    </row>
    <row r="171" spans="1:24" ht="19.5" customHeight="1">
      <c r="A171" s="7"/>
      <c r="B171" s="7"/>
      <c r="C171" s="7"/>
      <c r="D171" s="7"/>
      <c r="E171" s="7"/>
      <c r="F171" s="7"/>
      <c r="G171" s="7"/>
      <c r="H171" s="7"/>
      <c r="I171" s="7"/>
      <c r="J171" s="7"/>
      <c r="K171" s="7"/>
      <c r="L171" s="7"/>
      <c r="M171" s="246"/>
      <c r="N171" s="7"/>
      <c r="O171" s="7"/>
      <c r="P171" s="7"/>
      <c r="Q171" s="7"/>
      <c r="R171" s="7"/>
      <c r="S171" s="7"/>
      <c r="T171" s="7"/>
      <c r="U171" s="7"/>
      <c r="V171" s="7"/>
      <c r="W171" s="7"/>
      <c r="X171" s="7"/>
    </row>
    <row r="172" spans="1:24" ht="19.5" customHeight="1">
      <c r="A172" s="7"/>
      <c r="B172" s="7"/>
      <c r="C172" s="7"/>
      <c r="D172" s="7"/>
      <c r="E172" s="7"/>
      <c r="F172" s="7"/>
      <c r="G172" s="7"/>
      <c r="H172" s="7"/>
      <c r="I172" s="7"/>
      <c r="J172" s="7"/>
      <c r="K172" s="7"/>
      <c r="L172" s="7"/>
      <c r="M172" s="246"/>
      <c r="N172" s="7"/>
      <c r="O172" s="7"/>
      <c r="P172" s="7"/>
      <c r="Q172" s="7"/>
      <c r="R172" s="7"/>
      <c r="S172" s="7"/>
      <c r="T172" s="7"/>
      <c r="U172" s="7"/>
      <c r="V172" s="7"/>
      <c r="W172" s="7"/>
      <c r="X172" s="7"/>
    </row>
    <row r="173" spans="1:24" ht="19.5" customHeight="1">
      <c r="A173" s="7"/>
      <c r="B173" s="7"/>
      <c r="C173" s="7"/>
      <c r="D173" s="7"/>
      <c r="E173" s="7"/>
      <c r="F173" s="7"/>
      <c r="G173" s="7"/>
      <c r="H173" s="7"/>
      <c r="I173" s="7"/>
      <c r="J173" s="7"/>
      <c r="K173" s="7"/>
      <c r="L173" s="7"/>
      <c r="M173" s="246"/>
      <c r="N173" s="7"/>
      <c r="O173" s="7"/>
      <c r="P173" s="7"/>
      <c r="Q173" s="7"/>
      <c r="R173" s="7"/>
      <c r="S173" s="7"/>
      <c r="T173" s="7"/>
      <c r="U173" s="7"/>
      <c r="V173" s="7"/>
      <c r="W173" s="7"/>
      <c r="X173" s="7"/>
    </row>
    <row r="174" spans="1:24" ht="19.5" customHeight="1">
      <c r="A174" s="7"/>
      <c r="B174" s="7"/>
      <c r="C174" s="7"/>
      <c r="D174" s="7"/>
      <c r="E174" s="7"/>
      <c r="F174" s="7"/>
      <c r="G174" s="7"/>
      <c r="H174" s="7"/>
      <c r="I174" s="7"/>
      <c r="J174" s="7"/>
      <c r="K174" s="7"/>
      <c r="L174" s="7"/>
      <c r="M174" s="246"/>
      <c r="N174" s="7"/>
      <c r="O174" s="7"/>
      <c r="P174" s="7"/>
      <c r="Q174" s="7"/>
      <c r="R174" s="7"/>
      <c r="S174" s="7"/>
      <c r="T174" s="7"/>
      <c r="U174" s="7"/>
      <c r="V174" s="7"/>
      <c r="W174" s="7"/>
      <c r="X174" s="7"/>
    </row>
    <row r="175" spans="1:24" ht="19.5" customHeight="1">
      <c r="A175" s="7"/>
      <c r="B175" s="7"/>
      <c r="C175" s="7"/>
      <c r="D175" s="7"/>
      <c r="E175" s="7"/>
      <c r="F175" s="7"/>
      <c r="G175" s="7"/>
      <c r="H175" s="7"/>
      <c r="I175" s="7"/>
      <c r="J175" s="7"/>
      <c r="K175" s="7"/>
      <c r="L175" s="7"/>
      <c r="M175" s="246"/>
      <c r="N175" s="7"/>
      <c r="O175" s="7"/>
      <c r="P175" s="7"/>
      <c r="Q175" s="7"/>
      <c r="R175" s="7"/>
      <c r="S175" s="7"/>
      <c r="T175" s="7"/>
      <c r="U175" s="7"/>
      <c r="V175" s="7"/>
      <c r="W175" s="7"/>
      <c r="X175" s="7"/>
    </row>
    <row r="176" spans="1:24" ht="19.5" customHeight="1">
      <c r="A176" s="7"/>
      <c r="B176" s="7"/>
      <c r="C176" s="7"/>
      <c r="D176" s="7"/>
      <c r="E176" s="7"/>
      <c r="F176" s="7"/>
      <c r="G176" s="7"/>
      <c r="H176" s="7"/>
      <c r="I176" s="7"/>
      <c r="J176" s="7"/>
      <c r="K176" s="7"/>
      <c r="L176" s="7"/>
      <c r="M176" s="246"/>
      <c r="N176" s="7"/>
      <c r="O176" s="7"/>
      <c r="P176" s="7"/>
      <c r="Q176" s="7"/>
      <c r="R176" s="7"/>
      <c r="S176" s="7"/>
      <c r="T176" s="7"/>
      <c r="U176" s="7"/>
      <c r="V176" s="7"/>
      <c r="W176" s="7"/>
      <c r="X176" s="7"/>
    </row>
    <row r="177" spans="1:24" ht="19.5" customHeight="1">
      <c r="A177" s="7"/>
      <c r="B177" s="7"/>
      <c r="C177" s="7"/>
      <c r="D177" s="7"/>
      <c r="E177" s="7"/>
      <c r="F177" s="7"/>
      <c r="G177" s="7"/>
      <c r="H177" s="7"/>
      <c r="I177" s="7"/>
      <c r="J177" s="7"/>
      <c r="K177" s="7"/>
      <c r="L177" s="7"/>
      <c r="M177" s="246"/>
      <c r="N177" s="7"/>
      <c r="O177" s="7"/>
      <c r="P177" s="7"/>
      <c r="Q177" s="7"/>
      <c r="R177" s="7"/>
      <c r="S177" s="7"/>
      <c r="T177" s="7"/>
      <c r="U177" s="7"/>
      <c r="V177" s="7"/>
      <c r="W177" s="7"/>
      <c r="X177" s="7"/>
    </row>
    <row r="178" spans="1:24" ht="19.5" customHeight="1">
      <c r="A178" s="7"/>
      <c r="B178" s="7"/>
      <c r="C178" s="7"/>
      <c r="D178" s="7"/>
      <c r="E178" s="7"/>
      <c r="F178" s="7"/>
      <c r="G178" s="7"/>
      <c r="H178" s="7"/>
      <c r="I178" s="7"/>
      <c r="J178" s="7"/>
      <c r="K178" s="7"/>
      <c r="L178" s="7"/>
      <c r="M178" s="246"/>
      <c r="N178" s="7"/>
      <c r="O178" s="7"/>
      <c r="P178" s="7"/>
      <c r="Q178" s="7"/>
      <c r="R178" s="7"/>
      <c r="S178" s="7"/>
      <c r="T178" s="7"/>
      <c r="U178" s="7"/>
      <c r="V178" s="7"/>
      <c r="W178" s="7"/>
      <c r="X178" s="7"/>
    </row>
    <row r="179" spans="1:24" ht="19.5" customHeight="1">
      <c r="A179" s="7"/>
      <c r="B179" s="7"/>
      <c r="C179" s="7"/>
      <c r="D179" s="7"/>
      <c r="E179" s="7"/>
      <c r="F179" s="7"/>
      <c r="G179" s="7"/>
      <c r="H179" s="7"/>
      <c r="I179" s="7"/>
      <c r="J179" s="7"/>
      <c r="K179" s="7"/>
      <c r="L179" s="7"/>
      <c r="M179" s="246"/>
      <c r="N179" s="7"/>
      <c r="O179" s="7"/>
      <c r="P179" s="7"/>
      <c r="Q179" s="7"/>
      <c r="R179" s="7"/>
      <c r="S179" s="7"/>
      <c r="T179" s="7"/>
      <c r="U179" s="7"/>
      <c r="V179" s="7"/>
      <c r="W179" s="7"/>
      <c r="X179" s="7"/>
    </row>
    <row r="180" spans="1:24" ht="19.5" customHeight="1">
      <c r="A180" s="7"/>
      <c r="B180" s="7"/>
      <c r="C180" s="7"/>
      <c r="D180" s="7"/>
      <c r="E180" s="7"/>
      <c r="F180" s="7"/>
      <c r="G180" s="7"/>
      <c r="H180" s="7"/>
      <c r="I180" s="7"/>
      <c r="J180" s="7"/>
      <c r="K180" s="7"/>
      <c r="L180" s="7"/>
      <c r="M180" s="246"/>
      <c r="N180" s="7"/>
      <c r="O180" s="7"/>
      <c r="P180" s="7"/>
      <c r="Q180" s="7"/>
      <c r="R180" s="7"/>
      <c r="S180" s="7"/>
      <c r="T180" s="7"/>
      <c r="U180" s="7"/>
      <c r="V180" s="7"/>
      <c r="W180" s="7"/>
      <c r="X180" s="7"/>
    </row>
    <row r="181" spans="1:24" ht="19.5" customHeight="1">
      <c r="A181" s="7"/>
      <c r="B181" s="7"/>
      <c r="C181" s="7"/>
      <c r="D181" s="7"/>
      <c r="E181" s="7"/>
      <c r="F181" s="7"/>
      <c r="G181" s="7"/>
      <c r="H181" s="7"/>
      <c r="I181" s="7"/>
      <c r="J181" s="7"/>
      <c r="K181" s="7"/>
      <c r="L181" s="7"/>
      <c r="M181" s="246"/>
      <c r="N181" s="7"/>
      <c r="O181" s="7"/>
      <c r="P181" s="7"/>
      <c r="Q181" s="7"/>
      <c r="R181" s="7"/>
      <c r="S181" s="7"/>
      <c r="T181" s="7"/>
      <c r="U181" s="7"/>
      <c r="V181" s="7"/>
      <c r="W181" s="7"/>
      <c r="X181" s="7"/>
    </row>
    <row r="182" spans="1:24" ht="19.5" customHeight="1">
      <c r="A182" s="7"/>
      <c r="B182" s="7"/>
      <c r="C182" s="7"/>
      <c r="D182" s="7"/>
      <c r="E182" s="7"/>
      <c r="F182" s="7"/>
      <c r="G182" s="7"/>
      <c r="H182" s="7"/>
      <c r="I182" s="7"/>
      <c r="J182" s="7"/>
      <c r="K182" s="7"/>
      <c r="L182" s="7"/>
      <c r="M182" s="246"/>
      <c r="N182" s="7"/>
      <c r="O182" s="7"/>
      <c r="P182" s="7"/>
      <c r="Q182" s="7"/>
      <c r="R182" s="7"/>
      <c r="S182" s="7"/>
      <c r="T182" s="7"/>
      <c r="U182" s="7"/>
      <c r="V182" s="7"/>
      <c r="W182" s="7"/>
      <c r="X182" s="7"/>
    </row>
    <row r="183" spans="1:24" ht="19.5" customHeight="1">
      <c r="A183" s="7"/>
      <c r="B183" s="7"/>
      <c r="C183" s="7"/>
      <c r="D183" s="7"/>
      <c r="E183" s="7"/>
      <c r="F183" s="7"/>
      <c r="G183" s="7"/>
      <c r="H183" s="7"/>
      <c r="I183" s="7"/>
      <c r="J183" s="7"/>
      <c r="K183" s="7"/>
      <c r="L183" s="7"/>
      <c r="M183" s="246"/>
      <c r="N183" s="7"/>
      <c r="O183" s="7"/>
      <c r="P183" s="7"/>
      <c r="Q183" s="7"/>
      <c r="R183" s="7"/>
      <c r="S183" s="7"/>
      <c r="T183" s="7"/>
      <c r="U183" s="7"/>
      <c r="V183" s="7"/>
      <c r="W183" s="7"/>
      <c r="X183" s="7"/>
    </row>
    <row r="184" spans="1:24" ht="19.5" customHeight="1">
      <c r="A184" s="7"/>
      <c r="B184" s="7"/>
      <c r="C184" s="7"/>
      <c r="D184" s="7"/>
      <c r="E184" s="7"/>
      <c r="F184" s="7"/>
      <c r="G184" s="7"/>
      <c r="H184" s="7"/>
      <c r="I184" s="7"/>
      <c r="J184" s="7"/>
      <c r="K184" s="7"/>
      <c r="L184" s="7"/>
      <c r="M184" s="246"/>
      <c r="N184" s="7"/>
      <c r="O184" s="7"/>
      <c r="P184" s="7"/>
      <c r="Q184" s="7"/>
      <c r="R184" s="7"/>
      <c r="S184" s="7"/>
      <c r="T184" s="7"/>
      <c r="U184" s="7"/>
      <c r="V184" s="7"/>
      <c r="W184" s="7"/>
      <c r="X184" s="7"/>
    </row>
    <row r="185" spans="1:24" ht="19.5" customHeight="1">
      <c r="A185" s="7"/>
      <c r="B185" s="7"/>
      <c r="C185" s="7"/>
      <c r="D185" s="7"/>
      <c r="E185" s="7"/>
      <c r="F185" s="7"/>
      <c r="G185" s="7"/>
      <c r="H185" s="7"/>
      <c r="I185" s="7"/>
      <c r="J185" s="7"/>
      <c r="K185" s="7"/>
      <c r="L185" s="7"/>
      <c r="M185" s="246"/>
      <c r="N185" s="7"/>
      <c r="O185" s="7"/>
      <c r="P185" s="7"/>
      <c r="Q185" s="7"/>
      <c r="R185" s="7"/>
      <c r="S185" s="7"/>
      <c r="T185" s="7"/>
      <c r="U185" s="7"/>
      <c r="V185" s="7"/>
      <c r="W185" s="7"/>
      <c r="X185" s="7"/>
    </row>
    <row r="186" spans="1:24" ht="19.5" customHeight="1">
      <c r="A186" s="7"/>
      <c r="B186" s="7"/>
      <c r="C186" s="7"/>
      <c r="D186" s="7"/>
      <c r="E186" s="7"/>
      <c r="F186" s="7"/>
      <c r="G186" s="7"/>
      <c r="H186" s="7"/>
      <c r="I186" s="7"/>
      <c r="J186" s="7"/>
      <c r="K186" s="7"/>
      <c r="L186" s="7"/>
      <c r="M186" s="246"/>
      <c r="N186" s="7"/>
      <c r="O186" s="7"/>
      <c r="P186" s="7"/>
      <c r="Q186" s="7"/>
      <c r="R186" s="7"/>
      <c r="S186" s="7"/>
      <c r="T186" s="7"/>
      <c r="U186" s="7"/>
      <c r="V186" s="7"/>
      <c r="W186" s="7"/>
      <c r="X186" s="7"/>
    </row>
    <row r="187" spans="1:24" ht="19.5" customHeight="1">
      <c r="A187" s="7"/>
      <c r="B187" s="7"/>
      <c r="C187" s="7"/>
      <c r="D187" s="7"/>
      <c r="E187" s="7"/>
      <c r="F187" s="7"/>
      <c r="G187" s="7"/>
      <c r="H187" s="7"/>
      <c r="I187" s="7"/>
      <c r="J187" s="7"/>
      <c r="K187" s="7"/>
      <c r="L187" s="7"/>
      <c r="M187" s="246"/>
      <c r="N187" s="7"/>
      <c r="O187" s="7"/>
      <c r="P187" s="7"/>
      <c r="Q187" s="7"/>
      <c r="R187" s="7"/>
      <c r="S187" s="7"/>
      <c r="T187" s="7"/>
      <c r="U187" s="7"/>
      <c r="V187" s="7"/>
      <c r="W187" s="7"/>
      <c r="X187" s="7"/>
    </row>
    <row r="188" spans="1:24" ht="19.5" customHeight="1">
      <c r="A188" s="7"/>
      <c r="B188" s="7"/>
      <c r="C188" s="7"/>
      <c r="D188" s="7"/>
      <c r="E188" s="7"/>
      <c r="F188" s="7"/>
      <c r="G188" s="7"/>
      <c r="H188" s="7"/>
      <c r="I188" s="7"/>
      <c r="J188" s="7"/>
      <c r="K188" s="7"/>
      <c r="L188" s="7"/>
      <c r="M188" s="246"/>
      <c r="N188" s="7"/>
      <c r="O188" s="7"/>
      <c r="P188" s="7"/>
      <c r="Q188" s="7"/>
      <c r="R188" s="7"/>
      <c r="S188" s="7"/>
      <c r="T188" s="7"/>
      <c r="U188" s="7"/>
      <c r="V188" s="7"/>
      <c r="W188" s="7"/>
      <c r="X188" s="7"/>
    </row>
    <row r="189" spans="1:24" ht="19.5" customHeight="1">
      <c r="A189" s="7"/>
      <c r="B189" s="7"/>
      <c r="C189" s="7"/>
      <c r="D189" s="7"/>
      <c r="E189" s="7"/>
      <c r="F189" s="7"/>
      <c r="G189" s="7"/>
      <c r="H189" s="7"/>
      <c r="I189" s="7"/>
      <c r="J189" s="7"/>
      <c r="K189" s="7"/>
      <c r="L189" s="7"/>
      <c r="M189" s="246"/>
      <c r="N189" s="7"/>
      <c r="O189" s="7"/>
      <c r="P189" s="7"/>
      <c r="Q189" s="7"/>
      <c r="R189" s="7"/>
      <c r="S189" s="7"/>
      <c r="T189" s="7"/>
      <c r="U189" s="7"/>
      <c r="V189" s="7"/>
      <c r="W189" s="7"/>
      <c r="X189" s="7"/>
    </row>
    <row r="190" spans="1:24" ht="19.5" customHeight="1">
      <c r="A190" s="7"/>
      <c r="B190" s="7"/>
      <c r="C190" s="7"/>
      <c r="D190" s="7"/>
      <c r="E190" s="7"/>
      <c r="F190" s="7"/>
      <c r="G190" s="7"/>
      <c r="H190" s="7"/>
      <c r="I190" s="7"/>
      <c r="J190" s="7"/>
      <c r="K190" s="7"/>
      <c r="L190" s="7"/>
      <c r="M190" s="246"/>
      <c r="N190" s="7"/>
      <c r="O190" s="7"/>
      <c r="P190" s="7"/>
      <c r="Q190" s="7"/>
      <c r="R190" s="7"/>
      <c r="S190" s="7"/>
      <c r="T190" s="7"/>
      <c r="U190" s="7"/>
      <c r="V190" s="7"/>
      <c r="W190" s="7"/>
      <c r="X190" s="7"/>
    </row>
    <row r="191" spans="1:24" ht="19.5" customHeight="1">
      <c r="A191" s="7"/>
      <c r="B191" s="7"/>
      <c r="C191" s="7"/>
      <c r="D191" s="7"/>
      <c r="E191" s="7"/>
      <c r="F191" s="7"/>
      <c r="G191" s="7"/>
      <c r="H191" s="7"/>
      <c r="I191" s="7"/>
      <c r="J191" s="7"/>
      <c r="K191" s="7"/>
      <c r="L191" s="7"/>
      <c r="M191" s="246"/>
      <c r="N191" s="7"/>
      <c r="O191" s="7"/>
      <c r="P191" s="7"/>
      <c r="Q191" s="7"/>
      <c r="R191" s="7"/>
      <c r="S191" s="7"/>
      <c r="T191" s="7"/>
      <c r="U191" s="7"/>
      <c r="V191" s="7"/>
      <c r="W191" s="7"/>
      <c r="X191" s="7"/>
    </row>
    <row r="192" spans="1:24" ht="19.5" customHeight="1">
      <c r="A192" s="7"/>
      <c r="B192" s="7"/>
      <c r="C192" s="7"/>
      <c r="D192" s="7"/>
      <c r="E192" s="7"/>
      <c r="F192" s="7"/>
      <c r="G192" s="7"/>
      <c r="H192" s="7"/>
      <c r="I192" s="7"/>
      <c r="J192" s="7"/>
      <c r="K192" s="7"/>
      <c r="L192" s="7"/>
      <c r="M192" s="246"/>
      <c r="N192" s="7"/>
      <c r="O192" s="7"/>
      <c r="P192" s="7"/>
      <c r="Q192" s="7"/>
      <c r="R192" s="7"/>
      <c r="S192" s="7"/>
      <c r="T192" s="7"/>
      <c r="U192" s="7"/>
      <c r="V192" s="7"/>
      <c r="W192" s="7"/>
      <c r="X192" s="7"/>
    </row>
    <row r="193" spans="1:24" ht="19.5" customHeight="1">
      <c r="A193" s="7"/>
      <c r="B193" s="7"/>
      <c r="C193" s="7"/>
      <c r="D193" s="7"/>
      <c r="E193" s="7"/>
      <c r="F193" s="7"/>
      <c r="G193" s="7"/>
      <c r="H193" s="7"/>
      <c r="I193" s="7"/>
      <c r="J193" s="7"/>
      <c r="K193" s="7"/>
      <c r="L193" s="7"/>
      <c r="M193" s="246"/>
      <c r="N193" s="7"/>
      <c r="O193" s="7"/>
      <c r="P193" s="7"/>
      <c r="Q193" s="7"/>
      <c r="R193" s="7"/>
      <c r="S193" s="7"/>
      <c r="T193" s="7"/>
      <c r="U193" s="7"/>
      <c r="V193" s="7"/>
      <c r="W193" s="7"/>
      <c r="X193" s="7"/>
    </row>
    <row r="194" spans="1:24" ht="19.5" customHeight="1">
      <c r="A194" s="7"/>
      <c r="B194" s="7"/>
      <c r="C194" s="7"/>
      <c r="D194" s="7"/>
      <c r="E194" s="7"/>
      <c r="F194" s="7"/>
      <c r="G194" s="7"/>
      <c r="H194" s="7"/>
      <c r="I194" s="7"/>
      <c r="J194" s="7"/>
      <c r="K194" s="7"/>
      <c r="L194" s="7"/>
      <c r="M194" s="246"/>
      <c r="N194" s="7"/>
      <c r="O194" s="7"/>
      <c r="P194" s="7"/>
      <c r="Q194" s="7"/>
      <c r="R194" s="7"/>
      <c r="S194" s="7"/>
      <c r="T194" s="7"/>
      <c r="U194" s="7"/>
      <c r="V194" s="7"/>
      <c r="W194" s="7"/>
      <c r="X194" s="7"/>
    </row>
    <row r="195" spans="1:24" ht="19.5" customHeight="1">
      <c r="A195" s="7"/>
      <c r="B195" s="7"/>
      <c r="C195" s="7"/>
      <c r="D195" s="7"/>
      <c r="E195" s="7"/>
      <c r="F195" s="7"/>
      <c r="G195" s="7"/>
      <c r="H195" s="7"/>
      <c r="I195" s="7"/>
      <c r="J195" s="7"/>
      <c r="K195" s="7"/>
      <c r="L195" s="7"/>
      <c r="M195" s="246"/>
      <c r="N195" s="7"/>
      <c r="O195" s="7"/>
      <c r="P195" s="7"/>
      <c r="Q195" s="7"/>
      <c r="R195" s="7"/>
      <c r="S195" s="7"/>
      <c r="T195" s="7"/>
      <c r="U195" s="7"/>
      <c r="V195" s="7"/>
      <c r="W195" s="7"/>
      <c r="X195" s="7"/>
    </row>
    <row r="196" spans="1:24" ht="19.5" customHeight="1">
      <c r="A196" s="7"/>
      <c r="B196" s="7"/>
      <c r="C196" s="7"/>
      <c r="D196" s="7"/>
      <c r="E196" s="7"/>
      <c r="F196" s="7"/>
      <c r="G196" s="7"/>
      <c r="H196" s="7"/>
      <c r="I196" s="7"/>
      <c r="J196" s="7"/>
      <c r="K196" s="7"/>
      <c r="L196" s="7"/>
      <c r="M196" s="246"/>
      <c r="N196" s="7"/>
      <c r="O196" s="7"/>
      <c r="P196" s="7"/>
      <c r="Q196" s="7"/>
      <c r="R196" s="7"/>
      <c r="S196" s="7"/>
      <c r="T196" s="7"/>
      <c r="U196" s="7"/>
      <c r="V196" s="7"/>
      <c r="W196" s="7"/>
      <c r="X196" s="7"/>
    </row>
    <row r="197" spans="1:24" ht="19.5" customHeight="1">
      <c r="A197" s="7"/>
      <c r="B197" s="7"/>
      <c r="C197" s="7"/>
      <c r="D197" s="7"/>
      <c r="E197" s="7"/>
      <c r="F197" s="7"/>
      <c r="G197" s="7"/>
      <c r="H197" s="7"/>
      <c r="I197" s="7"/>
      <c r="J197" s="7"/>
      <c r="K197" s="7"/>
      <c r="L197" s="7"/>
      <c r="M197" s="246"/>
      <c r="N197" s="7"/>
      <c r="O197" s="7"/>
      <c r="P197" s="7"/>
      <c r="Q197" s="7"/>
      <c r="R197" s="7"/>
      <c r="S197" s="7"/>
      <c r="T197" s="7"/>
      <c r="U197" s="7"/>
      <c r="V197" s="7"/>
      <c r="W197" s="7"/>
      <c r="X197" s="7"/>
    </row>
    <row r="198" spans="1:24" ht="19.5" customHeight="1">
      <c r="A198" s="7"/>
      <c r="B198" s="7"/>
      <c r="C198" s="7"/>
      <c r="D198" s="7"/>
      <c r="E198" s="7"/>
      <c r="F198" s="7"/>
      <c r="G198" s="7"/>
      <c r="H198" s="7"/>
      <c r="I198" s="7"/>
      <c r="J198" s="7"/>
      <c r="K198" s="7"/>
      <c r="L198" s="7"/>
      <c r="M198" s="246"/>
      <c r="N198" s="7"/>
      <c r="O198" s="7"/>
      <c r="P198" s="7"/>
      <c r="Q198" s="7"/>
      <c r="R198" s="7"/>
      <c r="S198" s="7"/>
      <c r="T198" s="7"/>
      <c r="U198" s="7"/>
      <c r="V198" s="7"/>
      <c r="W198" s="7"/>
      <c r="X198" s="7"/>
    </row>
    <row r="199" spans="1:24" ht="19.5" customHeight="1">
      <c r="A199" s="7"/>
      <c r="B199" s="7"/>
      <c r="C199" s="7"/>
      <c r="D199" s="7"/>
      <c r="E199" s="7"/>
      <c r="F199" s="7"/>
      <c r="G199" s="7"/>
      <c r="H199" s="7"/>
      <c r="I199" s="7"/>
      <c r="J199" s="7"/>
      <c r="K199" s="7"/>
      <c r="L199" s="7"/>
      <c r="M199" s="246"/>
      <c r="N199" s="7"/>
      <c r="O199" s="7"/>
      <c r="P199" s="7"/>
      <c r="Q199" s="7"/>
      <c r="R199" s="7"/>
      <c r="S199" s="7"/>
      <c r="T199" s="7"/>
      <c r="U199" s="7"/>
      <c r="V199" s="7"/>
      <c r="W199" s="7"/>
      <c r="X199" s="7"/>
    </row>
    <row r="200" spans="1:24" ht="19.5" customHeight="1">
      <c r="A200" s="7"/>
      <c r="B200" s="7"/>
      <c r="C200" s="7"/>
      <c r="D200" s="7"/>
      <c r="E200" s="7"/>
      <c r="F200" s="7"/>
      <c r="G200" s="7"/>
      <c r="H200" s="7"/>
      <c r="I200" s="7"/>
      <c r="J200" s="7"/>
      <c r="K200" s="7"/>
      <c r="L200" s="7"/>
      <c r="M200" s="246"/>
      <c r="N200" s="7"/>
      <c r="O200" s="7"/>
      <c r="P200" s="7"/>
      <c r="Q200" s="7"/>
      <c r="R200" s="7"/>
      <c r="S200" s="7"/>
      <c r="T200" s="7"/>
      <c r="U200" s="7"/>
      <c r="V200" s="7"/>
      <c r="W200" s="7"/>
      <c r="X200" s="7"/>
    </row>
    <row r="201" spans="1:24" ht="19.5" customHeight="1">
      <c r="A201" s="7"/>
      <c r="B201" s="7"/>
      <c r="C201" s="7"/>
      <c r="D201" s="7"/>
      <c r="E201" s="7"/>
      <c r="F201" s="7"/>
      <c r="G201" s="7"/>
      <c r="H201" s="7"/>
      <c r="I201" s="7"/>
      <c r="J201" s="7"/>
      <c r="K201" s="7"/>
      <c r="L201" s="7"/>
      <c r="M201" s="246"/>
      <c r="N201" s="7"/>
      <c r="O201" s="7"/>
      <c r="P201" s="7"/>
      <c r="Q201" s="7"/>
      <c r="R201" s="7"/>
      <c r="S201" s="7"/>
      <c r="T201" s="7"/>
      <c r="U201" s="7"/>
      <c r="V201" s="7"/>
      <c r="W201" s="7"/>
      <c r="X201" s="7"/>
    </row>
    <row r="202" spans="1:24" ht="19.5" customHeight="1">
      <c r="A202" s="7"/>
      <c r="B202" s="7"/>
      <c r="C202" s="7"/>
      <c r="D202" s="7"/>
      <c r="E202" s="7"/>
      <c r="F202" s="7"/>
      <c r="G202" s="7"/>
      <c r="H202" s="7"/>
      <c r="I202" s="7"/>
      <c r="J202" s="7"/>
      <c r="K202" s="7"/>
      <c r="L202" s="7"/>
      <c r="M202" s="246"/>
      <c r="N202" s="7"/>
      <c r="O202" s="7"/>
      <c r="P202" s="7"/>
      <c r="Q202" s="7"/>
      <c r="R202" s="7"/>
      <c r="S202" s="7"/>
      <c r="T202" s="7"/>
      <c r="U202" s="7"/>
      <c r="V202" s="7"/>
      <c r="W202" s="7"/>
      <c r="X202" s="7"/>
    </row>
    <row r="203" spans="1:24" ht="19.5" customHeight="1">
      <c r="A203" s="7"/>
      <c r="B203" s="7"/>
      <c r="C203" s="7"/>
      <c r="D203" s="7"/>
      <c r="E203" s="7"/>
      <c r="F203" s="7"/>
      <c r="G203" s="7"/>
      <c r="H203" s="7"/>
      <c r="I203" s="7"/>
      <c r="J203" s="7"/>
      <c r="K203" s="7"/>
      <c r="L203" s="7"/>
      <c r="M203" s="246"/>
      <c r="N203" s="7"/>
      <c r="O203" s="7"/>
      <c r="P203" s="7"/>
      <c r="Q203" s="7"/>
      <c r="R203" s="7"/>
      <c r="S203" s="7"/>
      <c r="T203" s="7"/>
      <c r="U203" s="7"/>
      <c r="V203" s="7"/>
      <c r="W203" s="7"/>
      <c r="X203" s="7"/>
    </row>
    <row r="204" spans="1:24" ht="19.5" customHeight="1">
      <c r="A204" s="7"/>
      <c r="B204" s="7"/>
      <c r="C204" s="7"/>
      <c r="D204" s="7"/>
      <c r="E204" s="7"/>
      <c r="F204" s="7"/>
      <c r="G204" s="7"/>
      <c r="H204" s="7"/>
      <c r="I204" s="7"/>
      <c r="J204" s="7"/>
      <c r="K204" s="7"/>
      <c r="L204" s="7"/>
      <c r="M204" s="246"/>
      <c r="N204" s="7"/>
      <c r="O204" s="7"/>
      <c r="P204" s="7"/>
      <c r="Q204" s="7"/>
      <c r="R204" s="7"/>
      <c r="S204" s="7"/>
      <c r="T204" s="7"/>
      <c r="U204" s="7"/>
      <c r="V204" s="7"/>
      <c r="W204" s="7"/>
      <c r="X204" s="7"/>
    </row>
    <row r="205" spans="1:24" ht="19.5" customHeight="1">
      <c r="A205" s="7"/>
      <c r="B205" s="7"/>
      <c r="C205" s="7"/>
      <c r="D205" s="7"/>
      <c r="E205" s="7"/>
      <c r="F205" s="7"/>
      <c r="G205" s="7"/>
      <c r="H205" s="7"/>
      <c r="I205" s="7"/>
      <c r="J205" s="7"/>
      <c r="K205" s="7"/>
      <c r="L205" s="7"/>
      <c r="M205" s="246"/>
      <c r="N205" s="7"/>
      <c r="O205" s="7"/>
      <c r="P205" s="7"/>
      <c r="Q205" s="7"/>
      <c r="R205" s="7"/>
      <c r="S205" s="7"/>
      <c r="T205" s="7"/>
      <c r="U205" s="7"/>
      <c r="V205" s="7"/>
      <c r="W205" s="7"/>
      <c r="X205" s="7"/>
    </row>
    <row r="206" spans="1:24" ht="19.5" customHeight="1">
      <c r="A206" s="7"/>
      <c r="B206" s="7"/>
      <c r="C206" s="7"/>
      <c r="D206" s="7"/>
      <c r="E206" s="7"/>
      <c r="F206" s="7"/>
      <c r="G206" s="7"/>
      <c r="H206" s="7"/>
      <c r="I206" s="7"/>
      <c r="J206" s="7"/>
      <c r="K206" s="7"/>
      <c r="L206" s="7"/>
      <c r="M206" s="246"/>
      <c r="N206" s="7"/>
      <c r="O206" s="7"/>
      <c r="P206" s="7"/>
      <c r="Q206" s="7"/>
      <c r="R206" s="7"/>
      <c r="S206" s="7"/>
      <c r="T206" s="7"/>
      <c r="U206" s="7"/>
      <c r="V206" s="7"/>
      <c r="W206" s="7"/>
      <c r="X206" s="7"/>
    </row>
    <row r="207" spans="1:24" ht="19.5" customHeight="1">
      <c r="A207" s="7"/>
      <c r="B207" s="7"/>
      <c r="C207" s="7"/>
      <c r="D207" s="7"/>
      <c r="E207" s="7"/>
      <c r="F207" s="7"/>
      <c r="G207" s="7"/>
      <c r="H207" s="7"/>
      <c r="I207" s="7"/>
      <c r="J207" s="7"/>
      <c r="K207" s="7"/>
      <c r="L207" s="7"/>
      <c r="M207" s="246"/>
      <c r="N207" s="7"/>
      <c r="O207" s="7"/>
      <c r="P207" s="7"/>
      <c r="Q207" s="7"/>
      <c r="R207" s="7"/>
      <c r="S207" s="7"/>
      <c r="T207" s="7"/>
      <c r="U207" s="7"/>
      <c r="V207" s="7"/>
      <c r="W207" s="7"/>
      <c r="X207" s="7"/>
    </row>
    <row r="208" spans="1:24" ht="19.5" customHeight="1">
      <c r="A208" s="7"/>
      <c r="B208" s="7"/>
      <c r="C208" s="7"/>
      <c r="D208" s="7"/>
      <c r="E208" s="7"/>
      <c r="F208" s="7"/>
      <c r="G208" s="7"/>
      <c r="H208" s="7"/>
      <c r="I208" s="7"/>
      <c r="J208" s="7"/>
      <c r="K208" s="7"/>
      <c r="L208" s="7"/>
      <c r="M208" s="246"/>
      <c r="N208" s="7"/>
      <c r="O208" s="7"/>
      <c r="P208" s="7"/>
      <c r="Q208" s="7"/>
      <c r="R208" s="7"/>
      <c r="S208" s="7"/>
      <c r="T208" s="7"/>
      <c r="U208" s="7"/>
      <c r="V208" s="7"/>
      <c r="W208" s="7"/>
      <c r="X208" s="7"/>
    </row>
    <row r="209" spans="1:24" ht="19.5" customHeight="1">
      <c r="A209" s="7"/>
      <c r="B209" s="7"/>
      <c r="C209" s="7"/>
      <c r="D209" s="7"/>
      <c r="E209" s="7"/>
      <c r="F209" s="7"/>
      <c r="G209" s="7"/>
      <c r="H209" s="7"/>
      <c r="I209" s="7"/>
      <c r="J209" s="7"/>
      <c r="K209" s="7"/>
      <c r="L209" s="7"/>
      <c r="M209" s="246"/>
      <c r="N209" s="7"/>
      <c r="O209" s="7"/>
      <c r="P209" s="7"/>
      <c r="Q209" s="7"/>
      <c r="R209" s="7"/>
      <c r="S209" s="7"/>
      <c r="T209" s="7"/>
      <c r="U209" s="7"/>
      <c r="V209" s="7"/>
      <c r="W209" s="7"/>
      <c r="X209" s="7"/>
    </row>
    <row r="210" spans="1:24" ht="19.5" customHeight="1">
      <c r="A210" s="7"/>
      <c r="B210" s="7"/>
      <c r="C210" s="7"/>
      <c r="D210" s="7"/>
      <c r="E210" s="7"/>
      <c r="F210" s="7"/>
      <c r="G210" s="7"/>
      <c r="H210" s="7"/>
      <c r="I210" s="7"/>
      <c r="J210" s="7"/>
      <c r="K210" s="7"/>
      <c r="L210" s="7"/>
      <c r="M210" s="246"/>
      <c r="N210" s="7"/>
      <c r="O210" s="7"/>
      <c r="P210" s="7"/>
      <c r="Q210" s="7"/>
      <c r="R210" s="7"/>
      <c r="S210" s="7"/>
      <c r="T210" s="7"/>
      <c r="U210" s="7"/>
      <c r="V210" s="7"/>
      <c r="W210" s="7"/>
      <c r="X210" s="7"/>
    </row>
    <row r="211" spans="1:24" ht="19.5" customHeight="1">
      <c r="A211" s="7"/>
      <c r="B211" s="7"/>
      <c r="C211" s="7"/>
      <c r="D211" s="7"/>
      <c r="E211" s="7"/>
      <c r="F211" s="7"/>
      <c r="G211" s="7"/>
      <c r="H211" s="7"/>
      <c r="I211" s="7"/>
      <c r="J211" s="7"/>
      <c r="K211" s="7"/>
      <c r="L211" s="7"/>
      <c r="M211" s="246"/>
      <c r="N211" s="7"/>
      <c r="O211" s="7"/>
      <c r="P211" s="7"/>
      <c r="Q211" s="7"/>
      <c r="R211" s="7"/>
      <c r="S211" s="7"/>
      <c r="T211" s="7"/>
      <c r="U211" s="7"/>
      <c r="V211" s="7"/>
      <c r="W211" s="7"/>
      <c r="X211" s="7"/>
    </row>
    <row r="212" spans="1:24" ht="19.5" customHeight="1">
      <c r="A212" s="7"/>
      <c r="B212" s="7"/>
      <c r="C212" s="7"/>
      <c r="D212" s="7"/>
      <c r="E212" s="7"/>
      <c r="F212" s="7"/>
      <c r="G212" s="7"/>
      <c r="H212" s="7"/>
      <c r="I212" s="7"/>
      <c r="J212" s="7"/>
      <c r="K212" s="7"/>
      <c r="L212" s="7"/>
      <c r="M212" s="246"/>
      <c r="N212" s="7"/>
      <c r="O212" s="7"/>
      <c r="P212" s="7"/>
      <c r="Q212" s="7"/>
      <c r="R212" s="7"/>
      <c r="S212" s="7"/>
      <c r="T212" s="7"/>
      <c r="U212" s="7"/>
      <c r="V212" s="7"/>
      <c r="W212" s="7"/>
      <c r="X212" s="7"/>
    </row>
    <row r="213" spans="1:24" ht="19.5" customHeight="1">
      <c r="A213" s="7"/>
      <c r="B213" s="7"/>
      <c r="C213" s="7"/>
      <c r="D213" s="7"/>
      <c r="E213" s="7"/>
      <c r="F213" s="7"/>
      <c r="G213" s="7"/>
      <c r="H213" s="7"/>
      <c r="I213" s="7"/>
      <c r="J213" s="7"/>
      <c r="K213" s="7"/>
      <c r="L213" s="7"/>
      <c r="M213" s="246"/>
      <c r="N213" s="7"/>
      <c r="O213" s="7"/>
      <c r="P213" s="7"/>
      <c r="Q213" s="7"/>
      <c r="R213" s="7"/>
      <c r="S213" s="7"/>
      <c r="T213" s="7"/>
      <c r="U213" s="7"/>
      <c r="V213" s="7"/>
      <c r="W213" s="7"/>
      <c r="X213" s="7"/>
    </row>
    <row r="214" spans="1:24" ht="19.5" customHeight="1">
      <c r="A214" s="7"/>
      <c r="B214" s="7"/>
      <c r="C214" s="7"/>
      <c r="D214" s="7"/>
      <c r="E214" s="7"/>
      <c r="F214" s="7"/>
      <c r="G214" s="7"/>
      <c r="H214" s="7"/>
      <c r="I214" s="7"/>
      <c r="J214" s="7"/>
      <c r="K214" s="7"/>
      <c r="L214" s="7"/>
      <c r="M214" s="246"/>
      <c r="N214" s="7"/>
      <c r="O214" s="7"/>
      <c r="P214" s="7"/>
      <c r="Q214" s="7"/>
      <c r="R214" s="7"/>
      <c r="S214" s="7"/>
      <c r="T214" s="7"/>
      <c r="U214" s="7"/>
      <c r="V214" s="7"/>
      <c r="W214" s="7"/>
      <c r="X214" s="7"/>
    </row>
    <row r="215" spans="1:24" ht="19.5" customHeight="1">
      <c r="A215" s="7"/>
      <c r="B215" s="7"/>
      <c r="C215" s="7"/>
      <c r="D215" s="7"/>
      <c r="E215" s="7"/>
      <c r="F215" s="7"/>
      <c r="G215" s="7"/>
      <c r="H215" s="7"/>
      <c r="I215" s="7"/>
      <c r="J215" s="7"/>
      <c r="K215" s="7"/>
      <c r="L215" s="7"/>
      <c r="M215" s="246"/>
      <c r="N215" s="7"/>
      <c r="O215" s="7"/>
      <c r="P215" s="7"/>
      <c r="Q215" s="7"/>
      <c r="R215" s="7"/>
      <c r="S215" s="7"/>
      <c r="T215" s="7"/>
      <c r="U215" s="7"/>
      <c r="V215" s="7"/>
      <c r="W215" s="7"/>
      <c r="X215" s="7"/>
    </row>
    <row r="216" spans="1:24" ht="19.5" customHeight="1">
      <c r="A216" s="7"/>
      <c r="B216" s="7"/>
      <c r="C216" s="7"/>
      <c r="D216" s="7"/>
      <c r="E216" s="7"/>
      <c r="F216" s="7"/>
      <c r="G216" s="7"/>
      <c r="H216" s="7"/>
      <c r="I216" s="7"/>
      <c r="J216" s="7"/>
      <c r="K216" s="7"/>
      <c r="L216" s="7"/>
      <c r="M216" s="246"/>
      <c r="N216" s="7"/>
      <c r="O216" s="7"/>
      <c r="P216" s="7"/>
      <c r="Q216" s="7"/>
      <c r="R216" s="7"/>
      <c r="S216" s="7"/>
      <c r="T216" s="7"/>
      <c r="U216" s="7"/>
      <c r="V216" s="7"/>
      <c r="W216" s="7"/>
      <c r="X216" s="7"/>
    </row>
    <row r="217" spans="1:24" ht="19.5" customHeight="1">
      <c r="A217" s="7"/>
      <c r="B217" s="7"/>
      <c r="C217" s="7"/>
      <c r="D217" s="7"/>
      <c r="E217" s="7"/>
      <c r="F217" s="7"/>
      <c r="G217" s="7"/>
      <c r="H217" s="7"/>
      <c r="I217" s="7"/>
      <c r="J217" s="7"/>
      <c r="K217" s="7"/>
      <c r="L217" s="7"/>
      <c r="M217" s="246"/>
      <c r="N217" s="7"/>
      <c r="O217" s="7"/>
      <c r="P217" s="7"/>
      <c r="Q217" s="7"/>
      <c r="R217" s="7"/>
      <c r="S217" s="7"/>
      <c r="T217" s="7"/>
      <c r="U217" s="7"/>
      <c r="V217" s="7"/>
      <c r="W217" s="7"/>
      <c r="X217" s="7"/>
    </row>
    <row r="218" spans="1:24" ht="19.5" customHeight="1">
      <c r="A218" s="7"/>
      <c r="B218" s="7"/>
      <c r="C218" s="7"/>
      <c r="D218" s="7"/>
      <c r="E218" s="7"/>
      <c r="F218" s="7"/>
      <c r="G218" s="7"/>
      <c r="H218" s="7"/>
      <c r="I218" s="7"/>
      <c r="J218" s="7"/>
      <c r="K218" s="7"/>
      <c r="L218" s="7"/>
      <c r="M218" s="246"/>
      <c r="N218" s="7"/>
      <c r="O218" s="7"/>
      <c r="P218" s="7"/>
      <c r="Q218" s="7"/>
      <c r="R218" s="7"/>
      <c r="S218" s="7"/>
      <c r="T218" s="7"/>
      <c r="U218" s="7"/>
      <c r="V218" s="7"/>
      <c r="W218" s="7"/>
      <c r="X218" s="7"/>
    </row>
    <row r="219" spans="1:24" ht="19.5" customHeight="1">
      <c r="A219" s="7"/>
      <c r="B219" s="7"/>
      <c r="C219" s="7"/>
      <c r="D219" s="7"/>
      <c r="E219" s="7"/>
      <c r="F219" s="7"/>
      <c r="G219" s="7"/>
      <c r="H219" s="7"/>
      <c r="I219" s="7"/>
      <c r="J219" s="7"/>
      <c r="K219" s="7"/>
      <c r="L219" s="7"/>
      <c r="M219" s="246"/>
      <c r="N219" s="7"/>
      <c r="O219" s="7"/>
      <c r="P219" s="7"/>
      <c r="Q219" s="7"/>
      <c r="R219" s="7"/>
      <c r="S219" s="7"/>
      <c r="T219" s="7"/>
      <c r="U219" s="7"/>
      <c r="V219" s="7"/>
      <c r="W219" s="7"/>
      <c r="X219" s="7"/>
    </row>
    <row r="220" spans="1:24" ht="19.5" customHeight="1">
      <c r="A220" s="7"/>
      <c r="B220" s="7"/>
      <c r="C220" s="7"/>
      <c r="D220" s="7"/>
      <c r="E220" s="7"/>
      <c r="F220" s="7"/>
      <c r="G220" s="7"/>
      <c r="H220" s="7"/>
      <c r="I220" s="7"/>
      <c r="J220" s="7"/>
      <c r="K220" s="7"/>
      <c r="L220" s="7"/>
      <c r="M220" s="246"/>
      <c r="N220" s="7"/>
      <c r="O220" s="7"/>
      <c r="P220" s="7"/>
      <c r="Q220" s="7"/>
      <c r="R220" s="7"/>
      <c r="S220" s="7"/>
      <c r="T220" s="7"/>
      <c r="U220" s="7"/>
      <c r="V220" s="7"/>
      <c r="W220" s="7"/>
      <c r="X220" s="7"/>
    </row>
    <row r="221" spans="1:24" ht="19.5" customHeight="1">
      <c r="A221" s="7"/>
      <c r="B221" s="7"/>
      <c r="C221" s="7"/>
      <c r="D221" s="7"/>
      <c r="E221" s="7"/>
      <c r="F221" s="7"/>
      <c r="G221" s="7"/>
      <c r="H221" s="7"/>
      <c r="I221" s="7"/>
      <c r="J221" s="7"/>
      <c r="K221" s="7"/>
      <c r="L221" s="7"/>
      <c r="M221" s="246"/>
      <c r="N221" s="7"/>
      <c r="O221" s="7"/>
      <c r="P221" s="7"/>
      <c r="Q221" s="7"/>
      <c r="R221" s="7"/>
      <c r="S221" s="7"/>
      <c r="T221" s="7"/>
      <c r="U221" s="7"/>
      <c r="V221" s="7"/>
      <c r="W221" s="7"/>
      <c r="X221" s="7"/>
    </row>
    <row r="222" spans="1:24" ht="19.5" customHeight="1">
      <c r="A222" s="7"/>
      <c r="B222" s="7"/>
      <c r="C222" s="7"/>
      <c r="D222" s="7"/>
      <c r="E222" s="7"/>
      <c r="F222" s="7"/>
      <c r="G222" s="7"/>
      <c r="H222" s="7"/>
      <c r="I222" s="7"/>
      <c r="J222" s="7"/>
      <c r="K222" s="7"/>
      <c r="L222" s="7"/>
      <c r="M222" s="246"/>
      <c r="N222" s="7"/>
      <c r="O222" s="7"/>
      <c r="P222" s="7"/>
      <c r="Q222" s="7"/>
      <c r="R222" s="7"/>
      <c r="S222" s="7"/>
      <c r="T222" s="7"/>
      <c r="U222" s="7"/>
      <c r="V222" s="7"/>
      <c r="W222" s="7"/>
      <c r="X222" s="7"/>
    </row>
    <row r="223" spans="1:24" ht="19.5" customHeight="1">
      <c r="A223" s="7"/>
      <c r="B223" s="7"/>
      <c r="C223" s="7"/>
      <c r="D223" s="7"/>
      <c r="E223" s="7"/>
      <c r="F223" s="7"/>
      <c r="G223" s="7"/>
      <c r="H223" s="7"/>
      <c r="I223" s="7"/>
      <c r="J223" s="7"/>
      <c r="K223" s="7"/>
      <c r="L223" s="7"/>
      <c r="M223" s="246"/>
      <c r="N223" s="7"/>
      <c r="O223" s="7"/>
      <c r="P223" s="7"/>
      <c r="Q223" s="7"/>
      <c r="R223" s="7"/>
      <c r="S223" s="7"/>
      <c r="T223" s="7"/>
      <c r="U223" s="7"/>
      <c r="V223" s="7"/>
      <c r="W223" s="7"/>
      <c r="X223" s="7"/>
    </row>
    <row r="224" spans="1:24" ht="19.5" customHeight="1">
      <c r="A224" s="7"/>
      <c r="B224" s="7"/>
      <c r="C224" s="7"/>
      <c r="D224" s="7"/>
      <c r="E224" s="7"/>
      <c r="F224" s="7"/>
      <c r="G224" s="7"/>
      <c r="H224" s="7"/>
      <c r="I224" s="7"/>
      <c r="J224" s="7"/>
      <c r="K224" s="7"/>
      <c r="L224" s="7"/>
      <c r="M224" s="246"/>
      <c r="N224" s="7"/>
      <c r="O224" s="7"/>
      <c r="P224" s="7"/>
      <c r="Q224" s="7"/>
      <c r="R224" s="7"/>
      <c r="S224" s="7"/>
      <c r="T224" s="7"/>
      <c r="U224" s="7"/>
      <c r="V224" s="7"/>
      <c r="W224" s="7"/>
      <c r="X224" s="7"/>
    </row>
    <row r="225" spans="1:24" ht="19.5" customHeight="1">
      <c r="A225" s="7"/>
      <c r="B225" s="7"/>
      <c r="C225" s="7"/>
      <c r="D225" s="7"/>
      <c r="E225" s="7"/>
      <c r="F225" s="7"/>
      <c r="G225" s="7"/>
      <c r="H225" s="7"/>
      <c r="I225" s="7"/>
      <c r="J225" s="7"/>
      <c r="K225" s="7"/>
      <c r="L225" s="7"/>
      <c r="M225" s="246"/>
      <c r="N225" s="7"/>
      <c r="O225" s="7"/>
      <c r="P225" s="7"/>
      <c r="Q225" s="7"/>
      <c r="R225" s="7"/>
      <c r="S225" s="7"/>
      <c r="T225" s="7"/>
      <c r="U225" s="7"/>
      <c r="V225" s="7"/>
      <c r="W225" s="7"/>
      <c r="X225" s="7"/>
    </row>
    <row r="226" spans="1:24" ht="19.5" customHeight="1">
      <c r="A226" s="7"/>
      <c r="B226" s="7"/>
      <c r="C226" s="7"/>
      <c r="D226" s="7"/>
      <c r="E226" s="7"/>
      <c r="F226" s="7"/>
      <c r="G226" s="7"/>
      <c r="H226" s="7"/>
      <c r="I226" s="7"/>
      <c r="J226" s="7"/>
      <c r="K226" s="7"/>
      <c r="L226" s="7"/>
      <c r="M226" s="246"/>
      <c r="N226" s="7"/>
      <c r="O226" s="7"/>
      <c r="P226" s="7"/>
      <c r="Q226" s="7"/>
      <c r="R226" s="7"/>
      <c r="S226" s="7"/>
      <c r="T226" s="7"/>
      <c r="U226" s="7"/>
      <c r="V226" s="7"/>
      <c r="W226" s="7"/>
      <c r="X226" s="7"/>
    </row>
    <row r="227" spans="1:24" ht="19.5" customHeight="1">
      <c r="A227" s="7"/>
      <c r="B227" s="7"/>
      <c r="C227" s="7"/>
      <c r="D227" s="7"/>
      <c r="E227" s="7"/>
      <c r="F227" s="7"/>
      <c r="G227" s="7"/>
      <c r="H227" s="7"/>
      <c r="I227" s="7"/>
      <c r="J227" s="7"/>
      <c r="K227" s="7"/>
      <c r="L227" s="7"/>
      <c r="M227" s="246"/>
      <c r="N227" s="7"/>
      <c r="O227" s="7"/>
      <c r="P227" s="7"/>
      <c r="Q227" s="7"/>
      <c r="R227" s="7"/>
      <c r="S227" s="7"/>
      <c r="T227" s="7"/>
      <c r="U227" s="7"/>
      <c r="V227" s="7"/>
      <c r="W227" s="7"/>
      <c r="X227" s="7"/>
    </row>
    <row r="228" spans="1:24" ht="19.5" customHeight="1">
      <c r="A228" s="7"/>
      <c r="B228" s="7"/>
      <c r="C228" s="7"/>
      <c r="D228" s="7"/>
      <c r="E228" s="7"/>
      <c r="F228" s="7"/>
      <c r="G228" s="7"/>
      <c r="H228" s="7"/>
      <c r="I228" s="7"/>
      <c r="J228" s="7"/>
      <c r="K228" s="7"/>
      <c r="L228" s="7"/>
      <c r="M228" s="246"/>
      <c r="N228" s="7"/>
      <c r="O228" s="7"/>
      <c r="P228" s="7"/>
      <c r="Q228" s="7"/>
      <c r="R228" s="7"/>
      <c r="S228" s="7"/>
      <c r="T228" s="7"/>
      <c r="U228" s="7"/>
      <c r="V228" s="7"/>
      <c r="W228" s="7"/>
      <c r="X228" s="7"/>
    </row>
    <row r="229" spans="1:24" ht="19.5" customHeight="1">
      <c r="A229" s="7"/>
      <c r="B229" s="7"/>
      <c r="C229" s="7"/>
      <c r="D229" s="7"/>
      <c r="E229" s="7"/>
      <c r="F229" s="7"/>
      <c r="G229" s="7"/>
      <c r="H229" s="7"/>
      <c r="I229" s="7"/>
      <c r="J229" s="7"/>
      <c r="K229" s="7"/>
      <c r="L229" s="7"/>
      <c r="M229" s="246"/>
      <c r="N229" s="7"/>
      <c r="O229" s="7"/>
      <c r="P229" s="7"/>
      <c r="Q229" s="7"/>
      <c r="R229" s="7"/>
      <c r="S229" s="7"/>
      <c r="T229" s="7"/>
      <c r="U229" s="7"/>
      <c r="V229" s="7"/>
      <c r="W229" s="7"/>
      <c r="X229" s="7"/>
    </row>
    <row r="230" spans="1:24" ht="19.5" customHeight="1">
      <c r="A230" s="7"/>
      <c r="B230" s="7"/>
      <c r="C230" s="7"/>
      <c r="D230" s="7"/>
      <c r="E230" s="7"/>
      <c r="F230" s="7"/>
      <c r="G230" s="7"/>
      <c r="H230" s="7"/>
      <c r="I230" s="7"/>
      <c r="J230" s="7"/>
      <c r="K230" s="7"/>
      <c r="L230" s="7"/>
      <c r="M230" s="246"/>
      <c r="N230" s="7"/>
      <c r="O230" s="7"/>
      <c r="P230" s="7"/>
      <c r="Q230" s="7"/>
      <c r="R230" s="7"/>
      <c r="S230" s="7"/>
      <c r="T230" s="7"/>
      <c r="U230" s="7"/>
      <c r="V230" s="7"/>
      <c r="W230" s="7"/>
      <c r="X230" s="7"/>
    </row>
    <row r="231" spans="1:24" ht="19.5" customHeight="1">
      <c r="A231" s="7"/>
      <c r="B231" s="7"/>
      <c r="C231" s="7"/>
      <c r="D231" s="7"/>
      <c r="E231" s="7"/>
      <c r="F231" s="7"/>
      <c r="G231" s="7"/>
      <c r="H231" s="7"/>
      <c r="I231" s="7"/>
      <c r="J231" s="7"/>
      <c r="K231" s="7"/>
      <c r="L231" s="7"/>
      <c r="M231" s="246"/>
      <c r="N231" s="7"/>
      <c r="O231" s="7"/>
      <c r="P231" s="7"/>
      <c r="Q231" s="7"/>
      <c r="R231" s="7"/>
      <c r="S231" s="7"/>
      <c r="T231" s="7"/>
      <c r="U231" s="7"/>
      <c r="V231" s="7"/>
      <c r="W231" s="7"/>
      <c r="X231" s="7"/>
    </row>
    <row r="232" spans="1:24" ht="19.5" customHeight="1">
      <c r="A232" s="7"/>
      <c r="B232" s="7"/>
      <c r="C232" s="7"/>
      <c r="D232" s="7"/>
      <c r="E232" s="7"/>
      <c r="F232" s="7"/>
      <c r="G232" s="7"/>
      <c r="H232" s="7"/>
      <c r="I232" s="7"/>
      <c r="J232" s="7"/>
      <c r="K232" s="7"/>
      <c r="L232" s="7"/>
      <c r="M232" s="246"/>
      <c r="N232" s="7"/>
      <c r="O232" s="7"/>
      <c r="P232" s="7"/>
      <c r="Q232" s="7"/>
      <c r="R232" s="7"/>
      <c r="S232" s="7"/>
      <c r="T232" s="7"/>
      <c r="U232" s="7"/>
      <c r="V232" s="7"/>
      <c r="W232" s="7"/>
      <c r="X232" s="7"/>
    </row>
    <row r="233" spans="1:24" ht="19.5" customHeight="1">
      <c r="A233" s="7"/>
      <c r="B233" s="7"/>
      <c r="C233" s="7"/>
      <c r="D233" s="7"/>
      <c r="E233" s="7"/>
      <c r="F233" s="7"/>
      <c r="G233" s="7"/>
      <c r="H233" s="7"/>
      <c r="I233" s="7"/>
      <c r="J233" s="7"/>
      <c r="K233" s="7"/>
      <c r="L233" s="7"/>
      <c r="M233" s="246"/>
      <c r="N233" s="7"/>
      <c r="O233" s="7"/>
      <c r="P233" s="7"/>
      <c r="Q233" s="7"/>
      <c r="R233" s="7"/>
      <c r="S233" s="7"/>
      <c r="T233" s="7"/>
      <c r="U233" s="7"/>
      <c r="V233" s="7"/>
      <c r="W233" s="7"/>
      <c r="X233" s="7"/>
    </row>
    <row r="234" spans="1:24" ht="19.5" customHeight="1">
      <c r="A234" s="7"/>
      <c r="B234" s="7"/>
      <c r="C234" s="7"/>
      <c r="D234" s="7"/>
      <c r="E234" s="7"/>
      <c r="F234" s="7"/>
      <c r="G234" s="7"/>
      <c r="H234" s="7"/>
      <c r="I234" s="7"/>
      <c r="J234" s="7"/>
      <c r="K234" s="7"/>
      <c r="L234" s="7"/>
      <c r="M234" s="246"/>
      <c r="N234" s="7"/>
      <c r="O234" s="7"/>
      <c r="P234" s="7"/>
      <c r="Q234" s="7"/>
      <c r="R234" s="7"/>
      <c r="S234" s="7"/>
      <c r="T234" s="7"/>
      <c r="U234" s="7"/>
      <c r="V234" s="7"/>
      <c r="W234" s="7"/>
      <c r="X234" s="7"/>
    </row>
    <row r="235" spans="1:24" ht="19.5" customHeight="1">
      <c r="A235" s="7"/>
      <c r="B235" s="7"/>
      <c r="C235" s="7"/>
      <c r="D235" s="7"/>
      <c r="E235" s="7"/>
      <c r="F235" s="7"/>
      <c r="G235" s="7"/>
      <c r="H235" s="7"/>
      <c r="I235" s="7"/>
      <c r="J235" s="7"/>
      <c r="K235" s="7"/>
      <c r="L235" s="7"/>
      <c r="M235" s="246"/>
      <c r="N235" s="7"/>
      <c r="O235" s="7"/>
      <c r="P235" s="7"/>
      <c r="Q235" s="7"/>
      <c r="R235" s="7"/>
      <c r="S235" s="7"/>
      <c r="T235" s="7"/>
      <c r="U235" s="7"/>
      <c r="V235" s="7"/>
      <c r="W235" s="7"/>
      <c r="X235" s="7"/>
    </row>
    <row r="236" spans="1:24" ht="19.5" customHeight="1">
      <c r="A236" s="7"/>
      <c r="B236" s="7"/>
      <c r="C236" s="7"/>
      <c r="D236" s="7"/>
      <c r="E236" s="7"/>
      <c r="F236" s="7"/>
      <c r="G236" s="7"/>
      <c r="H236" s="7"/>
      <c r="I236" s="7"/>
      <c r="J236" s="7"/>
      <c r="K236" s="7"/>
      <c r="L236" s="7"/>
      <c r="M236" s="246"/>
      <c r="N236" s="7"/>
      <c r="O236" s="7"/>
      <c r="P236" s="7"/>
      <c r="Q236" s="7"/>
      <c r="R236" s="7"/>
      <c r="S236" s="7"/>
      <c r="T236" s="7"/>
      <c r="U236" s="7"/>
      <c r="V236" s="7"/>
      <c r="W236" s="7"/>
      <c r="X236" s="7"/>
    </row>
    <row r="237" spans="1:24" ht="19.5" customHeight="1">
      <c r="A237" s="7"/>
      <c r="B237" s="7"/>
      <c r="C237" s="7"/>
      <c r="D237" s="7"/>
      <c r="E237" s="7"/>
      <c r="F237" s="7"/>
      <c r="G237" s="7"/>
      <c r="H237" s="7"/>
      <c r="I237" s="7"/>
      <c r="J237" s="7"/>
      <c r="K237" s="7"/>
      <c r="L237" s="7"/>
      <c r="M237" s="246"/>
      <c r="N237" s="7"/>
      <c r="O237" s="7"/>
      <c r="P237" s="7"/>
      <c r="Q237" s="7"/>
      <c r="R237" s="7"/>
      <c r="S237" s="7"/>
      <c r="T237" s="7"/>
      <c r="U237" s="7"/>
      <c r="V237" s="7"/>
      <c r="W237" s="7"/>
      <c r="X237" s="7"/>
    </row>
    <row r="238" spans="1:24" ht="19.5" customHeight="1">
      <c r="A238" s="7"/>
      <c r="B238" s="7"/>
      <c r="C238" s="7"/>
      <c r="D238" s="7"/>
      <c r="E238" s="7"/>
      <c r="F238" s="7"/>
      <c r="G238" s="7"/>
      <c r="H238" s="7"/>
      <c r="I238" s="7"/>
      <c r="J238" s="7"/>
      <c r="K238" s="7"/>
      <c r="L238" s="7"/>
      <c r="M238" s="246"/>
      <c r="N238" s="7"/>
      <c r="O238" s="7"/>
      <c r="P238" s="7"/>
      <c r="Q238" s="7"/>
      <c r="R238" s="7"/>
      <c r="S238" s="7"/>
      <c r="T238" s="7"/>
      <c r="U238" s="7"/>
      <c r="V238" s="7"/>
      <c r="W238" s="7"/>
      <c r="X238" s="7"/>
    </row>
    <row r="239" spans="1:24" ht="19.5" customHeight="1">
      <c r="A239" s="7"/>
      <c r="B239" s="7"/>
      <c r="C239" s="7"/>
      <c r="D239" s="7"/>
      <c r="E239" s="7"/>
      <c r="F239" s="7"/>
      <c r="G239" s="7"/>
      <c r="H239" s="7"/>
      <c r="I239" s="7"/>
      <c r="J239" s="7"/>
      <c r="K239" s="7"/>
      <c r="L239" s="7"/>
      <c r="M239" s="246"/>
      <c r="N239" s="7"/>
      <c r="O239" s="7"/>
      <c r="P239" s="7"/>
      <c r="Q239" s="7"/>
      <c r="R239" s="7"/>
      <c r="S239" s="7"/>
      <c r="T239" s="7"/>
      <c r="U239" s="7"/>
      <c r="V239" s="7"/>
      <c r="W239" s="7"/>
      <c r="X239" s="7"/>
    </row>
    <row r="240" spans="1:24" ht="19.5" customHeight="1">
      <c r="A240" s="7"/>
      <c r="B240" s="7"/>
      <c r="C240" s="7"/>
      <c r="D240" s="7"/>
      <c r="E240" s="7"/>
      <c r="F240" s="7"/>
      <c r="G240" s="7"/>
      <c r="H240" s="7"/>
      <c r="I240" s="7"/>
      <c r="J240" s="7"/>
      <c r="K240" s="7"/>
      <c r="L240" s="7"/>
      <c r="M240" s="246"/>
      <c r="N240" s="7"/>
      <c r="O240" s="7"/>
      <c r="P240" s="7"/>
      <c r="Q240" s="7"/>
      <c r="R240" s="7"/>
      <c r="S240" s="7"/>
      <c r="T240" s="7"/>
      <c r="U240" s="7"/>
      <c r="V240" s="7"/>
      <c r="W240" s="7"/>
      <c r="X240" s="7"/>
    </row>
    <row r="241" spans="1:24" ht="19.5" customHeight="1">
      <c r="A241" s="7"/>
      <c r="B241" s="7"/>
      <c r="C241" s="7"/>
      <c r="D241" s="7"/>
      <c r="E241" s="7"/>
      <c r="F241" s="7"/>
      <c r="G241" s="7"/>
      <c r="H241" s="7"/>
      <c r="I241" s="7"/>
      <c r="J241" s="7"/>
      <c r="K241" s="7"/>
      <c r="L241" s="7"/>
      <c r="M241" s="246"/>
      <c r="N241" s="7"/>
      <c r="O241" s="7"/>
      <c r="P241" s="7"/>
      <c r="Q241" s="7"/>
      <c r="R241" s="7"/>
      <c r="S241" s="7"/>
      <c r="T241" s="7"/>
      <c r="U241" s="7"/>
      <c r="V241" s="7"/>
      <c r="W241" s="7"/>
      <c r="X241" s="7"/>
    </row>
    <row r="242" spans="1:24" ht="19.5" customHeight="1">
      <c r="A242" s="7"/>
      <c r="B242" s="7"/>
      <c r="C242" s="7"/>
      <c r="D242" s="7"/>
      <c r="E242" s="7"/>
      <c r="F242" s="7"/>
      <c r="G242" s="7"/>
      <c r="H242" s="7"/>
      <c r="I242" s="7"/>
      <c r="J242" s="7"/>
      <c r="K242" s="7"/>
      <c r="L242" s="7"/>
      <c r="M242" s="246"/>
      <c r="N242" s="7"/>
      <c r="O242" s="7"/>
      <c r="P242" s="7"/>
      <c r="Q242" s="7"/>
      <c r="R242" s="7"/>
      <c r="S242" s="7"/>
      <c r="T242" s="7"/>
      <c r="U242" s="7"/>
      <c r="V242" s="7"/>
      <c r="W242" s="7"/>
      <c r="X242" s="7"/>
    </row>
    <row r="243" spans="1:24" ht="19.5" customHeight="1">
      <c r="A243" s="7"/>
      <c r="B243" s="7"/>
      <c r="C243" s="7"/>
      <c r="D243" s="7"/>
      <c r="E243" s="7"/>
      <c r="F243" s="7"/>
      <c r="G243" s="7"/>
      <c r="H243" s="7"/>
      <c r="I243" s="7"/>
      <c r="J243" s="7"/>
      <c r="K243" s="7"/>
      <c r="L243" s="7"/>
      <c r="M243" s="246"/>
      <c r="N243" s="7"/>
      <c r="O243" s="7"/>
      <c r="P243" s="7"/>
      <c r="Q243" s="7"/>
      <c r="R243" s="7"/>
      <c r="S243" s="7"/>
      <c r="T243" s="7"/>
      <c r="U243" s="7"/>
      <c r="V243" s="7"/>
      <c r="W243" s="7"/>
      <c r="X243" s="7"/>
    </row>
    <row r="244" spans="1:24" ht="19.5" customHeight="1">
      <c r="A244" s="7"/>
      <c r="B244" s="7"/>
      <c r="C244" s="7"/>
      <c r="D244" s="7"/>
      <c r="E244" s="7"/>
      <c r="F244" s="7"/>
      <c r="G244" s="7"/>
      <c r="H244" s="7"/>
      <c r="I244" s="7"/>
      <c r="J244" s="7"/>
      <c r="K244" s="7"/>
      <c r="L244" s="7"/>
      <c r="M244" s="246"/>
      <c r="N244" s="7"/>
      <c r="O244" s="7"/>
      <c r="P244" s="7"/>
      <c r="Q244" s="7"/>
      <c r="R244" s="7"/>
      <c r="S244" s="7"/>
      <c r="T244" s="7"/>
      <c r="U244" s="7"/>
      <c r="V244" s="7"/>
      <c r="W244" s="7"/>
      <c r="X244" s="7"/>
    </row>
    <row r="245" spans="1:24" ht="19.5" customHeight="1">
      <c r="A245" s="7"/>
      <c r="B245" s="7"/>
      <c r="C245" s="7"/>
      <c r="D245" s="7"/>
      <c r="E245" s="7"/>
      <c r="F245" s="7"/>
      <c r="G245" s="7"/>
      <c r="H245" s="7"/>
      <c r="I245" s="7"/>
      <c r="J245" s="7"/>
      <c r="K245" s="7"/>
      <c r="L245" s="7"/>
      <c r="M245" s="246"/>
      <c r="N245" s="7"/>
      <c r="O245" s="7"/>
      <c r="P245" s="7"/>
      <c r="Q245" s="7"/>
      <c r="R245" s="7"/>
      <c r="S245" s="7"/>
      <c r="T245" s="7"/>
      <c r="U245" s="7"/>
      <c r="V245" s="7"/>
      <c r="W245" s="7"/>
      <c r="X245" s="7"/>
    </row>
    <row r="246" spans="1:24" ht="19.5" customHeight="1">
      <c r="A246" s="7"/>
      <c r="B246" s="7"/>
      <c r="C246" s="7"/>
      <c r="D246" s="7"/>
      <c r="E246" s="7"/>
      <c r="F246" s="7"/>
      <c r="G246" s="7"/>
      <c r="H246" s="7"/>
      <c r="I246" s="7"/>
      <c r="J246" s="7"/>
      <c r="K246" s="7"/>
      <c r="L246" s="7"/>
      <c r="M246" s="246"/>
      <c r="N246" s="7"/>
      <c r="O246" s="7"/>
      <c r="P246" s="7"/>
      <c r="Q246" s="7"/>
      <c r="R246" s="7"/>
      <c r="S246" s="7"/>
      <c r="T246" s="7"/>
      <c r="U246" s="7"/>
      <c r="V246" s="7"/>
      <c r="W246" s="7"/>
      <c r="X246" s="7"/>
    </row>
    <row r="247" spans="1:24" ht="19.5" customHeight="1">
      <c r="A247" s="7"/>
      <c r="B247" s="7"/>
      <c r="C247" s="7"/>
      <c r="D247" s="7"/>
      <c r="E247" s="7"/>
      <c r="F247" s="7"/>
      <c r="G247" s="7"/>
      <c r="H247" s="7"/>
      <c r="I247" s="7"/>
      <c r="J247" s="7"/>
      <c r="K247" s="7"/>
      <c r="L247" s="7"/>
      <c r="M247" s="246"/>
      <c r="N247" s="7"/>
      <c r="O247" s="7"/>
      <c r="P247" s="7"/>
      <c r="Q247" s="7"/>
      <c r="R247" s="7"/>
      <c r="S247" s="7"/>
      <c r="T247" s="7"/>
      <c r="U247" s="7"/>
      <c r="V247" s="7"/>
      <c r="W247" s="7"/>
      <c r="X247" s="7"/>
    </row>
    <row r="248" spans="1:24" ht="19.5" customHeight="1">
      <c r="A248" s="7"/>
      <c r="B248" s="7"/>
      <c r="C248" s="7"/>
      <c r="D248" s="7"/>
      <c r="E248" s="7"/>
      <c r="F248" s="7"/>
      <c r="G248" s="7"/>
      <c r="H248" s="7"/>
      <c r="I248" s="7"/>
      <c r="J248" s="7"/>
      <c r="K248" s="7"/>
      <c r="L248" s="7"/>
      <c r="M248" s="246"/>
      <c r="N248" s="7"/>
      <c r="O248" s="7"/>
      <c r="P248" s="7"/>
      <c r="Q248" s="7"/>
      <c r="R248" s="7"/>
      <c r="S248" s="7"/>
      <c r="T248" s="7"/>
      <c r="U248" s="7"/>
      <c r="V248" s="7"/>
      <c r="W248" s="7"/>
      <c r="X248" s="7"/>
    </row>
    <row r="249" spans="1:24" ht="19.5" customHeight="1">
      <c r="A249" s="7"/>
      <c r="B249" s="7"/>
      <c r="C249" s="7"/>
      <c r="D249" s="7"/>
      <c r="E249" s="7"/>
      <c r="F249" s="7"/>
      <c r="G249" s="7"/>
      <c r="H249" s="7"/>
      <c r="I249" s="7"/>
      <c r="J249" s="7"/>
      <c r="K249" s="7"/>
      <c r="L249" s="7"/>
      <c r="M249" s="246"/>
      <c r="N249" s="7"/>
      <c r="O249" s="7"/>
      <c r="P249" s="7"/>
      <c r="Q249" s="7"/>
      <c r="R249" s="7"/>
      <c r="S249" s="7"/>
      <c r="T249" s="7"/>
      <c r="U249" s="7"/>
      <c r="V249" s="7"/>
      <c r="W249" s="7"/>
      <c r="X249" s="7"/>
    </row>
    <row r="250" spans="1:24" ht="19.5" customHeight="1">
      <c r="A250" s="7"/>
      <c r="B250" s="7"/>
      <c r="C250" s="7"/>
      <c r="D250" s="7"/>
      <c r="E250" s="7"/>
      <c r="F250" s="7"/>
      <c r="G250" s="7"/>
      <c r="H250" s="7"/>
      <c r="I250" s="7"/>
      <c r="J250" s="7"/>
      <c r="K250" s="7"/>
      <c r="L250" s="7"/>
      <c r="M250" s="246"/>
      <c r="N250" s="7"/>
      <c r="O250" s="7"/>
      <c r="P250" s="7"/>
      <c r="Q250" s="7"/>
      <c r="R250" s="7"/>
      <c r="S250" s="7"/>
      <c r="T250" s="7"/>
      <c r="U250" s="7"/>
      <c r="V250" s="7"/>
      <c r="W250" s="7"/>
      <c r="X250" s="7"/>
    </row>
    <row r="251" spans="1:24" ht="19.5" customHeight="1">
      <c r="A251" s="7"/>
      <c r="B251" s="7"/>
      <c r="C251" s="7"/>
      <c r="D251" s="7"/>
      <c r="E251" s="7"/>
      <c r="F251" s="7"/>
      <c r="G251" s="7"/>
      <c r="H251" s="7"/>
      <c r="I251" s="7"/>
      <c r="J251" s="7"/>
      <c r="K251" s="7"/>
      <c r="L251" s="7"/>
      <c r="M251" s="246"/>
      <c r="N251" s="7"/>
      <c r="O251" s="7"/>
      <c r="P251" s="7"/>
      <c r="Q251" s="7"/>
      <c r="R251" s="7"/>
      <c r="S251" s="7"/>
      <c r="T251" s="7"/>
      <c r="U251" s="7"/>
      <c r="V251" s="7"/>
      <c r="W251" s="7"/>
      <c r="X251" s="7"/>
    </row>
    <row r="252" spans="1:24" ht="19.5" customHeight="1">
      <c r="A252" s="7"/>
      <c r="B252" s="7"/>
      <c r="C252" s="7"/>
      <c r="D252" s="7"/>
      <c r="E252" s="7"/>
      <c r="F252" s="7"/>
      <c r="G252" s="7"/>
      <c r="H252" s="7"/>
      <c r="I252" s="7"/>
      <c r="J252" s="7"/>
      <c r="K252" s="7"/>
      <c r="L252" s="7"/>
      <c r="M252" s="246"/>
      <c r="N252" s="7"/>
      <c r="O252" s="7"/>
      <c r="P252" s="7"/>
      <c r="Q252" s="7"/>
      <c r="R252" s="7"/>
      <c r="S252" s="7"/>
      <c r="T252" s="7"/>
      <c r="U252" s="7"/>
      <c r="V252" s="7"/>
      <c r="W252" s="7"/>
      <c r="X252" s="7"/>
    </row>
    <row r="253" spans="1:24" ht="19.5" customHeight="1">
      <c r="A253" s="7"/>
      <c r="B253" s="7"/>
      <c r="C253" s="7"/>
      <c r="D253" s="7"/>
      <c r="E253" s="7"/>
      <c r="F253" s="7"/>
      <c r="G253" s="7"/>
      <c r="H253" s="7"/>
      <c r="I253" s="7"/>
      <c r="J253" s="7"/>
      <c r="K253" s="7"/>
      <c r="L253" s="7"/>
      <c r="M253" s="246"/>
      <c r="N253" s="7"/>
      <c r="O253" s="7"/>
      <c r="P253" s="7"/>
      <c r="Q253" s="7"/>
      <c r="R253" s="7"/>
      <c r="S253" s="7"/>
      <c r="T253" s="7"/>
      <c r="U253" s="7"/>
      <c r="V253" s="7"/>
      <c r="W253" s="7"/>
      <c r="X253" s="7"/>
    </row>
    <row r="254" spans="1:24" ht="19.5" customHeight="1">
      <c r="A254" s="7"/>
      <c r="B254" s="7"/>
      <c r="C254" s="7"/>
      <c r="D254" s="7"/>
      <c r="E254" s="7"/>
      <c r="F254" s="7"/>
      <c r="G254" s="7"/>
      <c r="H254" s="7"/>
      <c r="I254" s="7"/>
      <c r="J254" s="7"/>
      <c r="K254" s="7"/>
      <c r="L254" s="7"/>
      <c r="M254" s="246"/>
      <c r="N254" s="7"/>
      <c r="O254" s="7"/>
      <c r="P254" s="7"/>
      <c r="Q254" s="7"/>
      <c r="R254" s="7"/>
      <c r="S254" s="7"/>
      <c r="T254" s="7"/>
      <c r="U254" s="7"/>
      <c r="V254" s="7"/>
      <c r="W254" s="7"/>
      <c r="X254" s="7"/>
    </row>
    <row r="255" spans="1:24" ht="19.5" customHeight="1">
      <c r="A255" s="7"/>
      <c r="B255" s="7"/>
      <c r="C255" s="7"/>
      <c r="D255" s="7"/>
      <c r="E255" s="7"/>
      <c r="F255" s="7"/>
      <c r="G255" s="7"/>
      <c r="H255" s="7"/>
      <c r="I255" s="7"/>
      <c r="J255" s="7"/>
      <c r="K255" s="7"/>
      <c r="L255" s="7"/>
      <c r="M255" s="246"/>
      <c r="N255" s="7"/>
      <c r="O255" s="7"/>
      <c r="P255" s="7"/>
      <c r="Q255" s="7"/>
      <c r="R255" s="7"/>
      <c r="S255" s="7"/>
      <c r="T255" s="7"/>
      <c r="U255" s="7"/>
      <c r="V255" s="7"/>
      <c r="W255" s="7"/>
      <c r="X255" s="7"/>
    </row>
    <row r="256" spans="1:24" ht="19.5" customHeight="1">
      <c r="A256" s="7"/>
      <c r="B256" s="7"/>
      <c r="C256" s="7"/>
      <c r="D256" s="7"/>
      <c r="E256" s="7"/>
      <c r="F256" s="7"/>
      <c r="G256" s="7"/>
      <c r="H256" s="7"/>
      <c r="I256" s="7"/>
      <c r="J256" s="7"/>
      <c r="K256" s="7"/>
      <c r="L256" s="7"/>
      <c r="M256" s="246"/>
      <c r="N256" s="7"/>
      <c r="O256" s="7"/>
      <c r="P256" s="7"/>
      <c r="Q256" s="7"/>
      <c r="R256" s="7"/>
      <c r="S256" s="7"/>
      <c r="T256" s="7"/>
      <c r="U256" s="7"/>
      <c r="V256" s="7"/>
      <c r="W256" s="7"/>
      <c r="X256" s="7"/>
    </row>
    <row r="257" spans="1:24" ht="19.5" customHeight="1">
      <c r="A257" s="7"/>
      <c r="B257" s="7"/>
      <c r="C257" s="7"/>
      <c r="D257" s="7"/>
      <c r="E257" s="7"/>
      <c r="F257" s="7"/>
      <c r="G257" s="7"/>
      <c r="H257" s="7"/>
      <c r="I257" s="7"/>
      <c r="J257" s="7"/>
      <c r="K257" s="7"/>
      <c r="L257" s="7"/>
      <c r="M257" s="246"/>
      <c r="N257" s="7"/>
      <c r="O257" s="7"/>
      <c r="P257" s="7"/>
      <c r="Q257" s="7"/>
      <c r="R257" s="7"/>
      <c r="S257" s="7"/>
      <c r="T257" s="7"/>
      <c r="U257" s="7"/>
      <c r="V257" s="7"/>
      <c r="W257" s="7"/>
      <c r="X257" s="7"/>
    </row>
    <row r="258" spans="1:24" ht="19.5" customHeight="1">
      <c r="A258" s="7"/>
      <c r="B258" s="7"/>
      <c r="C258" s="7"/>
      <c r="D258" s="7"/>
      <c r="E258" s="7"/>
      <c r="F258" s="7"/>
      <c r="G258" s="7"/>
      <c r="H258" s="7"/>
      <c r="I258" s="7"/>
      <c r="J258" s="7"/>
      <c r="K258" s="7"/>
      <c r="L258" s="7"/>
      <c r="M258" s="246"/>
      <c r="N258" s="7"/>
      <c r="O258" s="7"/>
      <c r="P258" s="7"/>
      <c r="Q258" s="7"/>
      <c r="R258" s="7"/>
      <c r="S258" s="7"/>
      <c r="T258" s="7"/>
      <c r="U258" s="7"/>
      <c r="V258" s="7"/>
      <c r="W258" s="7"/>
      <c r="X258" s="7"/>
    </row>
    <row r="259" spans="1:24" ht="19.5" customHeight="1">
      <c r="A259" s="7"/>
      <c r="B259" s="7"/>
      <c r="C259" s="7"/>
      <c r="D259" s="7"/>
      <c r="E259" s="7"/>
      <c r="F259" s="7"/>
      <c r="G259" s="7"/>
      <c r="H259" s="7"/>
      <c r="I259" s="7"/>
      <c r="J259" s="7"/>
      <c r="K259" s="7"/>
      <c r="L259" s="7"/>
      <c r="M259" s="246"/>
      <c r="N259" s="7"/>
      <c r="O259" s="7"/>
      <c r="P259" s="7"/>
      <c r="Q259" s="7"/>
      <c r="R259" s="7"/>
      <c r="S259" s="7"/>
      <c r="T259" s="7"/>
      <c r="U259" s="7"/>
      <c r="V259" s="7"/>
      <c r="W259" s="7"/>
      <c r="X259" s="7"/>
    </row>
    <row r="260" spans="1:24" ht="19.5" customHeight="1">
      <c r="A260" s="7"/>
      <c r="B260" s="7"/>
      <c r="C260" s="7"/>
      <c r="D260" s="7"/>
      <c r="E260" s="7"/>
      <c r="F260" s="7"/>
      <c r="G260" s="7"/>
      <c r="H260" s="7"/>
      <c r="I260" s="7"/>
      <c r="J260" s="7"/>
      <c r="K260" s="7"/>
      <c r="L260" s="7"/>
      <c r="M260" s="246"/>
      <c r="N260" s="7"/>
      <c r="O260" s="7"/>
      <c r="P260" s="7"/>
      <c r="Q260" s="7"/>
      <c r="R260" s="7"/>
      <c r="S260" s="7"/>
      <c r="T260" s="7"/>
      <c r="U260" s="7"/>
      <c r="V260" s="7"/>
      <c r="W260" s="7"/>
      <c r="X260" s="7"/>
    </row>
    <row r="261" spans="1:24" ht="19.5" customHeight="1">
      <c r="A261" s="7"/>
      <c r="B261" s="7"/>
      <c r="C261" s="7"/>
      <c r="D261" s="7"/>
      <c r="E261" s="7"/>
      <c r="F261" s="7"/>
      <c r="G261" s="7"/>
      <c r="H261" s="7"/>
      <c r="I261" s="7"/>
      <c r="J261" s="7"/>
      <c r="K261" s="7"/>
      <c r="L261" s="7"/>
      <c r="M261" s="246"/>
      <c r="N261" s="7"/>
      <c r="O261" s="7"/>
      <c r="P261" s="7"/>
      <c r="Q261" s="7"/>
      <c r="R261" s="7"/>
      <c r="S261" s="7"/>
      <c r="T261" s="7"/>
      <c r="U261" s="7"/>
      <c r="V261" s="7"/>
      <c r="W261" s="7"/>
      <c r="X261" s="7"/>
    </row>
    <row r="262" spans="1:24" ht="19.5" customHeight="1">
      <c r="A262" s="7"/>
      <c r="B262" s="7"/>
      <c r="C262" s="7"/>
      <c r="D262" s="7"/>
      <c r="E262" s="7"/>
      <c r="F262" s="7"/>
      <c r="G262" s="7"/>
      <c r="H262" s="7"/>
      <c r="I262" s="7"/>
      <c r="J262" s="7"/>
      <c r="K262" s="7"/>
      <c r="L262" s="7"/>
      <c r="M262" s="246"/>
      <c r="N262" s="7"/>
      <c r="O262" s="7"/>
      <c r="P262" s="7"/>
      <c r="Q262" s="7"/>
      <c r="R262" s="7"/>
      <c r="S262" s="7"/>
      <c r="T262" s="7"/>
      <c r="U262" s="7"/>
      <c r="V262" s="7"/>
      <c r="W262" s="7"/>
      <c r="X262" s="7"/>
    </row>
    <row r="263" spans="1:24" ht="19.5" customHeight="1">
      <c r="A263" s="7"/>
      <c r="B263" s="7"/>
      <c r="C263" s="7"/>
      <c r="D263" s="7"/>
      <c r="E263" s="7"/>
      <c r="F263" s="7"/>
      <c r="G263" s="7"/>
      <c r="H263" s="7"/>
      <c r="I263" s="7"/>
      <c r="J263" s="7"/>
      <c r="K263" s="7"/>
      <c r="L263" s="7"/>
      <c r="M263" s="246"/>
      <c r="N263" s="7"/>
      <c r="O263" s="7"/>
      <c r="P263" s="7"/>
      <c r="Q263" s="7"/>
      <c r="R263" s="7"/>
      <c r="S263" s="7"/>
      <c r="T263" s="7"/>
      <c r="U263" s="7"/>
      <c r="V263" s="7"/>
      <c r="W263" s="7"/>
      <c r="X263" s="7"/>
    </row>
    <row r="264" spans="1:24" ht="19.5" customHeight="1">
      <c r="A264" s="7"/>
      <c r="B264" s="7"/>
      <c r="C264" s="7"/>
      <c r="D264" s="7"/>
      <c r="E264" s="7"/>
      <c r="F264" s="7"/>
      <c r="G264" s="7"/>
      <c r="H264" s="7"/>
      <c r="I264" s="7"/>
      <c r="J264" s="7"/>
      <c r="K264" s="7"/>
      <c r="L264" s="7"/>
      <c r="M264" s="246"/>
      <c r="N264" s="7"/>
      <c r="O264" s="7"/>
      <c r="P264" s="7"/>
      <c r="Q264" s="7"/>
      <c r="R264" s="7"/>
      <c r="S264" s="7"/>
      <c r="T264" s="7"/>
      <c r="U264" s="7"/>
      <c r="V264" s="7"/>
      <c r="W264" s="7"/>
      <c r="X264" s="7"/>
    </row>
    <row r="265" spans="1:24" ht="19.5" customHeight="1">
      <c r="A265" s="7"/>
      <c r="B265" s="7"/>
      <c r="C265" s="7"/>
      <c r="D265" s="7"/>
      <c r="E265" s="7"/>
      <c r="F265" s="7"/>
      <c r="G265" s="7"/>
      <c r="H265" s="7"/>
      <c r="I265" s="7"/>
      <c r="J265" s="7"/>
      <c r="K265" s="7"/>
      <c r="L265" s="7"/>
      <c r="M265" s="246"/>
      <c r="N265" s="7"/>
      <c r="O265" s="7"/>
      <c r="P265" s="7"/>
      <c r="Q265" s="7"/>
      <c r="R265" s="7"/>
      <c r="S265" s="7"/>
      <c r="T265" s="7"/>
      <c r="U265" s="7"/>
      <c r="V265" s="7"/>
      <c r="W265" s="7"/>
      <c r="X265" s="7"/>
    </row>
    <row r="266" spans="1:24" ht="19.5" customHeight="1">
      <c r="A266" s="7"/>
      <c r="B266" s="7"/>
      <c r="C266" s="7"/>
      <c r="D266" s="7"/>
      <c r="E266" s="7"/>
      <c r="F266" s="7"/>
      <c r="G266" s="7"/>
      <c r="H266" s="7"/>
      <c r="I266" s="7"/>
      <c r="J266" s="7"/>
      <c r="K266" s="7"/>
      <c r="L266" s="7"/>
      <c r="M266" s="246"/>
      <c r="N266" s="7"/>
      <c r="O266" s="7"/>
      <c r="P266" s="7"/>
      <c r="Q266" s="7"/>
      <c r="R266" s="7"/>
      <c r="S266" s="7"/>
      <c r="T266" s="7"/>
      <c r="U266" s="7"/>
      <c r="V266" s="7"/>
      <c r="W266" s="7"/>
      <c r="X266" s="7"/>
    </row>
    <row r="267" spans="1:24" ht="19.5" customHeight="1">
      <c r="A267" s="7"/>
      <c r="B267" s="7"/>
      <c r="C267" s="7"/>
      <c r="D267" s="7"/>
      <c r="E267" s="7"/>
      <c r="F267" s="7"/>
      <c r="G267" s="7"/>
      <c r="H267" s="7"/>
      <c r="I267" s="7"/>
      <c r="J267" s="7"/>
      <c r="K267" s="7"/>
      <c r="L267" s="7"/>
      <c r="M267" s="246"/>
      <c r="N267" s="7"/>
      <c r="O267" s="7"/>
      <c r="P267" s="7"/>
      <c r="Q267" s="7"/>
      <c r="R267" s="7"/>
      <c r="S267" s="7"/>
      <c r="T267" s="7"/>
      <c r="U267" s="7"/>
      <c r="V267" s="7"/>
      <c r="W267" s="7"/>
      <c r="X267" s="7"/>
    </row>
    <row r="268" spans="1:24" ht="19.5" customHeight="1">
      <c r="A268" s="7"/>
      <c r="B268" s="7"/>
      <c r="C268" s="7"/>
      <c r="D268" s="7"/>
      <c r="E268" s="7"/>
      <c r="F268" s="7"/>
      <c r="G268" s="7"/>
      <c r="H268" s="7"/>
      <c r="I268" s="7"/>
      <c r="J268" s="7"/>
      <c r="K268" s="7"/>
      <c r="L268" s="7"/>
      <c r="M268" s="246"/>
      <c r="N268" s="7"/>
      <c r="O268" s="7"/>
      <c r="P268" s="7"/>
      <c r="Q268" s="7"/>
      <c r="R268" s="7"/>
      <c r="S268" s="7"/>
      <c r="T268" s="7"/>
      <c r="U268" s="7"/>
      <c r="V268" s="7"/>
      <c r="W268" s="7"/>
      <c r="X268" s="7"/>
    </row>
    <row r="269" spans="1:24" ht="19.5" customHeight="1">
      <c r="A269" s="7"/>
      <c r="B269" s="7"/>
      <c r="C269" s="7"/>
      <c r="D269" s="7"/>
      <c r="E269" s="7"/>
      <c r="F269" s="7"/>
      <c r="G269" s="7"/>
      <c r="H269" s="7"/>
      <c r="I269" s="7"/>
      <c r="J269" s="7"/>
      <c r="K269" s="7"/>
      <c r="L269" s="7"/>
      <c r="M269" s="246"/>
      <c r="N269" s="7"/>
      <c r="O269" s="7"/>
      <c r="P269" s="7"/>
      <c r="Q269" s="7"/>
      <c r="R269" s="7"/>
      <c r="S269" s="7"/>
      <c r="T269" s="7"/>
      <c r="U269" s="7"/>
      <c r="V269" s="7"/>
      <c r="W269" s="7"/>
      <c r="X269" s="7"/>
    </row>
    <row r="270" spans="1:24" ht="19.5" customHeight="1">
      <c r="A270" s="7"/>
      <c r="B270" s="7"/>
      <c r="C270" s="7"/>
      <c r="D270" s="7"/>
      <c r="E270" s="7"/>
      <c r="F270" s="7"/>
      <c r="G270" s="7"/>
      <c r="H270" s="7"/>
      <c r="I270" s="7"/>
      <c r="J270" s="7"/>
      <c r="K270" s="7"/>
      <c r="L270" s="7"/>
      <c r="M270" s="246"/>
      <c r="N270" s="7"/>
      <c r="O270" s="7"/>
      <c r="P270" s="7"/>
      <c r="Q270" s="7"/>
      <c r="R270" s="7"/>
      <c r="S270" s="7"/>
      <c r="T270" s="7"/>
      <c r="U270" s="7"/>
      <c r="V270" s="7"/>
      <c r="W270" s="7"/>
      <c r="X270" s="7"/>
    </row>
    <row r="271" spans="1:24" ht="19.5" customHeight="1">
      <c r="A271" s="7"/>
      <c r="B271" s="7"/>
      <c r="C271" s="7"/>
      <c r="D271" s="7"/>
      <c r="E271" s="7"/>
      <c r="F271" s="7"/>
      <c r="G271" s="7"/>
      <c r="H271" s="7"/>
      <c r="I271" s="7"/>
      <c r="J271" s="7"/>
      <c r="K271" s="7"/>
      <c r="L271" s="7"/>
      <c r="M271" s="246"/>
      <c r="N271" s="7"/>
      <c r="O271" s="7"/>
      <c r="P271" s="7"/>
      <c r="Q271" s="7"/>
      <c r="R271" s="7"/>
      <c r="S271" s="7"/>
      <c r="T271" s="7"/>
      <c r="U271" s="7"/>
      <c r="V271" s="7"/>
      <c r="W271" s="7"/>
      <c r="X271" s="7"/>
    </row>
    <row r="272" spans="1:24" ht="19.5" customHeight="1">
      <c r="A272" s="7"/>
      <c r="B272" s="7"/>
      <c r="C272" s="7"/>
      <c r="D272" s="7"/>
      <c r="E272" s="7"/>
      <c r="F272" s="7"/>
      <c r="G272" s="7"/>
      <c r="H272" s="7"/>
      <c r="I272" s="7"/>
      <c r="J272" s="7"/>
      <c r="K272" s="7"/>
      <c r="L272" s="7"/>
      <c r="M272" s="246"/>
      <c r="N272" s="7"/>
      <c r="O272" s="7"/>
      <c r="P272" s="7"/>
      <c r="Q272" s="7"/>
      <c r="R272" s="7"/>
      <c r="S272" s="7"/>
      <c r="T272" s="7"/>
      <c r="U272" s="7"/>
      <c r="V272" s="7"/>
      <c r="W272" s="7"/>
      <c r="X272" s="7"/>
    </row>
    <row r="273" spans="1:24" ht="19.5" customHeight="1">
      <c r="A273" s="7"/>
      <c r="B273" s="7"/>
      <c r="C273" s="7"/>
      <c r="D273" s="7"/>
      <c r="E273" s="7"/>
      <c r="F273" s="7"/>
      <c r="G273" s="7"/>
      <c r="H273" s="7"/>
      <c r="I273" s="7"/>
      <c r="J273" s="7"/>
      <c r="K273" s="7"/>
      <c r="L273" s="7"/>
      <c r="M273" s="246"/>
      <c r="N273" s="7"/>
      <c r="O273" s="7"/>
      <c r="P273" s="7"/>
      <c r="Q273" s="7"/>
      <c r="R273" s="7"/>
      <c r="S273" s="7"/>
      <c r="T273" s="7"/>
      <c r="U273" s="7"/>
      <c r="V273" s="7"/>
      <c r="W273" s="7"/>
      <c r="X273" s="7"/>
    </row>
    <row r="274" spans="1:24" ht="19.5" customHeight="1">
      <c r="A274" s="7"/>
      <c r="B274" s="7"/>
      <c r="C274" s="7"/>
      <c r="D274" s="7"/>
      <c r="E274" s="7"/>
      <c r="F274" s="7"/>
      <c r="G274" s="7"/>
      <c r="H274" s="7"/>
      <c r="I274" s="7"/>
      <c r="J274" s="7"/>
      <c r="K274" s="7"/>
      <c r="L274" s="7"/>
      <c r="M274" s="246"/>
      <c r="N274" s="7"/>
      <c r="O274" s="7"/>
      <c r="P274" s="7"/>
      <c r="Q274" s="7"/>
      <c r="R274" s="7"/>
      <c r="S274" s="7"/>
      <c r="T274" s="7"/>
      <c r="U274" s="7"/>
      <c r="V274" s="7"/>
      <c r="W274" s="7"/>
      <c r="X274" s="7"/>
    </row>
    <row r="275" spans="1:24" ht="19.5" customHeight="1">
      <c r="A275" s="7"/>
      <c r="B275" s="7"/>
      <c r="C275" s="7"/>
      <c r="D275" s="7"/>
      <c r="E275" s="7"/>
      <c r="F275" s="7"/>
      <c r="G275" s="7"/>
      <c r="H275" s="7"/>
      <c r="I275" s="7"/>
      <c r="J275" s="7"/>
      <c r="K275" s="7"/>
      <c r="L275" s="7"/>
      <c r="M275" s="246"/>
      <c r="N275" s="7"/>
      <c r="O275" s="7"/>
      <c r="P275" s="7"/>
      <c r="Q275" s="7"/>
      <c r="R275" s="7"/>
      <c r="S275" s="7"/>
      <c r="T275" s="7"/>
      <c r="U275" s="7"/>
      <c r="V275" s="7"/>
      <c r="W275" s="7"/>
      <c r="X275" s="7"/>
    </row>
    <row r="276" spans="1:24" ht="19.5" customHeight="1">
      <c r="A276" s="7"/>
      <c r="B276" s="7"/>
      <c r="C276" s="7"/>
      <c r="D276" s="7"/>
      <c r="E276" s="7"/>
      <c r="F276" s="7"/>
      <c r="G276" s="7"/>
      <c r="H276" s="7"/>
      <c r="I276" s="7"/>
      <c r="J276" s="7"/>
      <c r="K276" s="7"/>
      <c r="L276" s="7"/>
      <c r="M276" s="246"/>
      <c r="N276" s="7"/>
      <c r="O276" s="7"/>
      <c r="P276" s="7"/>
      <c r="Q276" s="7"/>
      <c r="R276" s="7"/>
      <c r="S276" s="7"/>
      <c r="T276" s="7"/>
      <c r="U276" s="7"/>
      <c r="V276" s="7"/>
      <c r="W276" s="7"/>
      <c r="X276" s="7"/>
    </row>
    <row r="277" spans="1:24" ht="19.5" customHeight="1">
      <c r="A277" s="7"/>
      <c r="B277" s="7"/>
      <c r="C277" s="7"/>
      <c r="D277" s="7"/>
      <c r="E277" s="7"/>
      <c r="F277" s="7"/>
      <c r="G277" s="7"/>
      <c r="H277" s="7"/>
      <c r="I277" s="7"/>
      <c r="J277" s="7"/>
      <c r="K277" s="7"/>
      <c r="L277" s="7"/>
      <c r="M277" s="246"/>
      <c r="N277" s="7"/>
      <c r="O277" s="7"/>
      <c r="P277" s="7"/>
      <c r="Q277" s="7"/>
      <c r="R277" s="7"/>
      <c r="S277" s="7"/>
      <c r="T277" s="7"/>
      <c r="U277" s="7"/>
      <c r="V277" s="7"/>
      <c r="W277" s="7"/>
      <c r="X277" s="7"/>
    </row>
    <row r="278" spans="1:24" ht="19.5" customHeight="1">
      <c r="A278" s="7"/>
      <c r="B278" s="7"/>
      <c r="C278" s="7"/>
      <c r="D278" s="7"/>
      <c r="E278" s="7"/>
      <c r="F278" s="7"/>
      <c r="G278" s="7"/>
      <c r="H278" s="7"/>
      <c r="I278" s="7"/>
      <c r="J278" s="7"/>
      <c r="K278" s="7"/>
      <c r="L278" s="7"/>
      <c r="M278" s="246"/>
      <c r="N278" s="7"/>
      <c r="O278" s="7"/>
      <c r="P278" s="7"/>
      <c r="Q278" s="7"/>
      <c r="R278" s="7"/>
      <c r="S278" s="7"/>
      <c r="T278" s="7"/>
      <c r="U278" s="7"/>
      <c r="V278" s="7"/>
      <c r="W278" s="7"/>
      <c r="X278" s="7"/>
    </row>
    <row r="279" spans="1:24" ht="19.5" customHeight="1">
      <c r="A279" s="7"/>
      <c r="B279" s="7"/>
      <c r="C279" s="7"/>
      <c r="D279" s="7"/>
      <c r="E279" s="7"/>
      <c r="F279" s="7"/>
      <c r="G279" s="7"/>
      <c r="H279" s="7"/>
      <c r="I279" s="7"/>
      <c r="J279" s="7"/>
      <c r="K279" s="7"/>
      <c r="L279" s="7"/>
      <c r="M279" s="246"/>
      <c r="N279" s="7"/>
      <c r="O279" s="7"/>
      <c r="P279" s="7"/>
      <c r="Q279" s="7"/>
      <c r="R279" s="7"/>
      <c r="S279" s="7"/>
      <c r="T279" s="7"/>
      <c r="U279" s="7"/>
      <c r="V279" s="7"/>
      <c r="W279" s="7"/>
      <c r="X279" s="7"/>
    </row>
    <row r="280" spans="1:24" ht="19.5" customHeight="1">
      <c r="A280" s="7"/>
      <c r="B280" s="7"/>
      <c r="C280" s="7"/>
      <c r="D280" s="7"/>
      <c r="E280" s="7"/>
      <c r="F280" s="7"/>
      <c r="G280" s="7"/>
      <c r="H280" s="7"/>
      <c r="I280" s="7"/>
      <c r="J280" s="7"/>
      <c r="K280" s="7"/>
      <c r="L280" s="7"/>
      <c r="M280" s="246"/>
      <c r="N280" s="7"/>
      <c r="O280" s="7"/>
      <c r="P280" s="7"/>
      <c r="Q280" s="7"/>
      <c r="R280" s="7"/>
      <c r="S280" s="7"/>
      <c r="T280" s="7"/>
      <c r="U280" s="7"/>
      <c r="V280" s="7"/>
      <c r="W280" s="7"/>
      <c r="X280" s="7"/>
    </row>
    <row r="281" spans="1:24" ht="19.5" customHeight="1">
      <c r="A281" s="7"/>
      <c r="B281" s="7"/>
      <c r="C281" s="7"/>
      <c r="D281" s="7"/>
      <c r="E281" s="7"/>
      <c r="F281" s="7"/>
      <c r="G281" s="7"/>
      <c r="H281" s="7"/>
      <c r="I281" s="7"/>
      <c r="J281" s="7"/>
      <c r="K281" s="7"/>
      <c r="L281" s="7"/>
      <c r="M281" s="246"/>
      <c r="N281" s="7"/>
      <c r="O281" s="7"/>
      <c r="P281" s="7"/>
      <c r="Q281" s="7"/>
      <c r="R281" s="7"/>
      <c r="S281" s="7"/>
      <c r="T281" s="7"/>
      <c r="U281" s="7"/>
      <c r="V281" s="7"/>
      <c r="W281" s="7"/>
      <c r="X281" s="7"/>
    </row>
    <row r="282" spans="1:24" ht="19.5" customHeight="1">
      <c r="A282" s="7"/>
      <c r="B282" s="7"/>
      <c r="C282" s="7"/>
      <c r="D282" s="7"/>
      <c r="E282" s="7"/>
      <c r="F282" s="7"/>
      <c r="G282" s="7"/>
      <c r="H282" s="7"/>
      <c r="I282" s="7"/>
      <c r="J282" s="7"/>
      <c r="K282" s="7"/>
      <c r="L282" s="7"/>
      <c r="M282" s="246"/>
      <c r="N282" s="7"/>
      <c r="O282" s="7"/>
      <c r="P282" s="7"/>
      <c r="Q282" s="7"/>
      <c r="R282" s="7"/>
      <c r="S282" s="7"/>
      <c r="T282" s="7"/>
      <c r="U282" s="7"/>
      <c r="V282" s="7"/>
      <c r="W282" s="7"/>
      <c r="X282" s="7"/>
    </row>
    <row r="283" spans="1:24" ht="19.5" customHeight="1">
      <c r="A283" s="7"/>
      <c r="B283" s="7"/>
      <c r="C283" s="7"/>
      <c r="D283" s="7"/>
      <c r="E283" s="7"/>
      <c r="F283" s="7"/>
      <c r="G283" s="7"/>
      <c r="H283" s="7"/>
      <c r="I283" s="7"/>
      <c r="J283" s="7"/>
      <c r="K283" s="7"/>
      <c r="L283" s="7"/>
      <c r="M283" s="246"/>
      <c r="N283" s="7"/>
      <c r="O283" s="7"/>
      <c r="P283" s="7"/>
      <c r="Q283" s="7"/>
      <c r="R283" s="7"/>
      <c r="S283" s="7"/>
      <c r="T283" s="7"/>
      <c r="U283" s="7"/>
      <c r="V283" s="7"/>
      <c r="W283" s="7"/>
      <c r="X283" s="7"/>
    </row>
    <row r="284" spans="1:24" ht="19.5" customHeight="1">
      <c r="A284" s="7"/>
      <c r="B284" s="7"/>
      <c r="C284" s="7"/>
      <c r="D284" s="7"/>
      <c r="E284" s="7"/>
      <c r="F284" s="7"/>
      <c r="G284" s="7"/>
      <c r="H284" s="7"/>
      <c r="I284" s="7"/>
      <c r="J284" s="7"/>
      <c r="K284" s="7"/>
      <c r="L284" s="7"/>
      <c r="M284" s="246"/>
      <c r="N284" s="7"/>
      <c r="O284" s="7"/>
      <c r="P284" s="7"/>
      <c r="Q284" s="7"/>
      <c r="R284" s="7"/>
      <c r="S284" s="7"/>
      <c r="T284" s="7"/>
      <c r="U284" s="7"/>
      <c r="V284" s="7"/>
      <c r="W284" s="7"/>
      <c r="X284" s="7"/>
    </row>
    <row r="285" spans="1:24" ht="19.5" customHeight="1">
      <c r="A285" s="7"/>
      <c r="B285" s="7"/>
      <c r="C285" s="7"/>
      <c r="D285" s="7"/>
      <c r="E285" s="7"/>
      <c r="F285" s="7"/>
      <c r="G285" s="7"/>
      <c r="H285" s="7"/>
      <c r="I285" s="7"/>
      <c r="J285" s="7"/>
      <c r="K285" s="7"/>
      <c r="L285" s="7"/>
      <c r="M285" s="246"/>
      <c r="N285" s="7"/>
      <c r="O285" s="7"/>
      <c r="P285" s="7"/>
      <c r="Q285" s="7"/>
      <c r="R285" s="7"/>
      <c r="S285" s="7"/>
      <c r="T285" s="7"/>
      <c r="U285" s="7"/>
      <c r="V285" s="7"/>
      <c r="W285" s="7"/>
      <c r="X285" s="7"/>
    </row>
    <row r="286" spans="1:24" ht="19.5" customHeight="1">
      <c r="A286" s="7"/>
      <c r="B286" s="7"/>
      <c r="C286" s="7"/>
      <c r="D286" s="7"/>
      <c r="E286" s="7"/>
      <c r="F286" s="7"/>
      <c r="G286" s="7"/>
      <c r="H286" s="7"/>
      <c r="I286" s="7"/>
      <c r="J286" s="7"/>
      <c r="K286" s="7"/>
      <c r="L286" s="7"/>
      <c r="M286" s="246"/>
      <c r="N286" s="7"/>
      <c r="O286" s="7"/>
      <c r="P286" s="7"/>
      <c r="Q286" s="7"/>
      <c r="R286" s="7"/>
      <c r="S286" s="7"/>
      <c r="T286" s="7"/>
      <c r="U286" s="7"/>
      <c r="V286" s="7"/>
      <c r="W286" s="7"/>
      <c r="X286" s="7"/>
    </row>
    <row r="287" spans="1:24" ht="19.5" customHeight="1">
      <c r="A287" s="7"/>
      <c r="B287" s="7"/>
      <c r="C287" s="7"/>
      <c r="D287" s="7"/>
      <c r="E287" s="7"/>
      <c r="F287" s="7"/>
      <c r="G287" s="7"/>
      <c r="H287" s="7"/>
      <c r="I287" s="7"/>
      <c r="J287" s="7"/>
      <c r="K287" s="7"/>
      <c r="L287" s="7"/>
      <c r="M287" s="246"/>
      <c r="N287" s="7"/>
      <c r="O287" s="7"/>
      <c r="P287" s="7"/>
      <c r="Q287" s="7"/>
      <c r="R287" s="7"/>
      <c r="S287" s="7"/>
      <c r="T287" s="7"/>
      <c r="U287" s="7"/>
      <c r="V287" s="7"/>
      <c r="W287" s="7"/>
      <c r="X287" s="7"/>
    </row>
    <row r="288" spans="1:24" ht="19.5" customHeight="1">
      <c r="A288" s="7"/>
      <c r="B288" s="7"/>
      <c r="C288" s="7"/>
      <c r="D288" s="7"/>
      <c r="E288" s="7"/>
      <c r="F288" s="7"/>
      <c r="G288" s="7"/>
      <c r="H288" s="7"/>
      <c r="I288" s="7"/>
      <c r="J288" s="7"/>
      <c r="K288" s="7"/>
      <c r="L288" s="7"/>
      <c r="M288" s="246"/>
      <c r="N288" s="7"/>
      <c r="O288" s="7"/>
      <c r="P288" s="7"/>
      <c r="Q288" s="7"/>
      <c r="R288" s="7"/>
      <c r="S288" s="7"/>
      <c r="T288" s="7"/>
      <c r="U288" s="7"/>
      <c r="V288" s="7"/>
      <c r="W288" s="7"/>
      <c r="X288" s="7"/>
    </row>
    <row r="289" spans="1:24" ht="19.5" customHeight="1">
      <c r="A289" s="7"/>
      <c r="B289" s="7"/>
      <c r="C289" s="7"/>
      <c r="D289" s="7"/>
      <c r="E289" s="7"/>
      <c r="F289" s="7"/>
      <c r="G289" s="7"/>
      <c r="H289" s="7"/>
      <c r="I289" s="7"/>
      <c r="J289" s="7"/>
      <c r="K289" s="7"/>
      <c r="L289" s="7"/>
      <c r="M289" s="246"/>
      <c r="N289" s="7"/>
      <c r="O289" s="7"/>
      <c r="P289" s="7"/>
      <c r="Q289" s="7"/>
      <c r="R289" s="7"/>
      <c r="S289" s="7"/>
      <c r="T289" s="7"/>
      <c r="U289" s="7"/>
      <c r="V289" s="7"/>
      <c r="W289" s="7"/>
      <c r="X289" s="7"/>
    </row>
    <row r="290" spans="1:24" ht="19.5" customHeight="1">
      <c r="A290" s="7"/>
      <c r="B290" s="7"/>
      <c r="C290" s="7"/>
      <c r="D290" s="7"/>
      <c r="E290" s="7"/>
      <c r="F290" s="7"/>
      <c r="G290" s="7"/>
      <c r="H290" s="7"/>
      <c r="I290" s="7"/>
      <c r="J290" s="7"/>
      <c r="K290" s="7"/>
      <c r="L290" s="7"/>
      <c r="M290" s="246"/>
      <c r="N290" s="7"/>
      <c r="O290" s="7"/>
      <c r="P290" s="7"/>
      <c r="Q290" s="7"/>
      <c r="R290" s="7"/>
      <c r="S290" s="7"/>
      <c r="T290" s="7"/>
      <c r="U290" s="7"/>
      <c r="V290" s="7"/>
      <c r="W290" s="7"/>
      <c r="X290" s="7"/>
    </row>
    <row r="291" spans="1:24" ht="19.5" customHeight="1">
      <c r="A291" s="7"/>
      <c r="B291" s="7"/>
      <c r="C291" s="7"/>
      <c r="D291" s="7"/>
      <c r="E291" s="7"/>
      <c r="F291" s="7"/>
      <c r="G291" s="7"/>
      <c r="H291" s="7"/>
      <c r="I291" s="7"/>
      <c r="J291" s="7"/>
      <c r="K291" s="7"/>
      <c r="L291" s="7"/>
      <c r="M291" s="246"/>
      <c r="N291" s="7"/>
      <c r="O291" s="7"/>
      <c r="P291" s="7"/>
      <c r="Q291" s="7"/>
      <c r="R291" s="7"/>
      <c r="S291" s="7"/>
      <c r="T291" s="7"/>
      <c r="U291" s="7"/>
      <c r="V291" s="7"/>
      <c r="W291" s="7"/>
      <c r="X291" s="7"/>
    </row>
    <row r="292" spans="1:24" ht="19.5" customHeight="1">
      <c r="A292" s="7"/>
      <c r="B292" s="7"/>
      <c r="C292" s="7"/>
      <c r="D292" s="7"/>
      <c r="E292" s="7"/>
      <c r="F292" s="7"/>
      <c r="G292" s="7"/>
      <c r="H292" s="7"/>
      <c r="I292" s="7"/>
      <c r="J292" s="7"/>
      <c r="K292" s="7"/>
      <c r="L292" s="7"/>
      <c r="M292" s="246"/>
      <c r="N292" s="7"/>
      <c r="O292" s="7"/>
      <c r="P292" s="7"/>
      <c r="Q292" s="7"/>
      <c r="R292" s="7"/>
      <c r="S292" s="7"/>
      <c r="T292" s="7"/>
      <c r="U292" s="7"/>
      <c r="V292" s="7"/>
      <c r="W292" s="7"/>
      <c r="X292" s="7"/>
    </row>
    <row r="293" spans="1:24" ht="19.5" customHeight="1">
      <c r="A293" s="7"/>
      <c r="B293" s="7"/>
      <c r="C293" s="7"/>
      <c r="D293" s="7"/>
      <c r="E293" s="7"/>
      <c r="F293" s="7"/>
      <c r="G293" s="7"/>
      <c r="H293" s="7"/>
      <c r="I293" s="7"/>
      <c r="J293" s="7"/>
      <c r="K293" s="7"/>
      <c r="L293" s="7"/>
      <c r="M293" s="246"/>
      <c r="N293" s="7"/>
      <c r="O293" s="7"/>
      <c r="P293" s="7"/>
      <c r="Q293" s="7"/>
      <c r="R293" s="7"/>
      <c r="S293" s="7"/>
      <c r="T293" s="7"/>
      <c r="U293" s="7"/>
      <c r="V293" s="7"/>
      <c r="W293" s="7"/>
      <c r="X293" s="7"/>
    </row>
    <row r="294" spans="1:24" ht="19.5" customHeight="1">
      <c r="A294" s="7"/>
      <c r="B294" s="7"/>
      <c r="C294" s="7"/>
      <c r="D294" s="7"/>
      <c r="E294" s="7"/>
      <c r="F294" s="7"/>
      <c r="G294" s="7"/>
      <c r="H294" s="7"/>
      <c r="I294" s="7"/>
      <c r="J294" s="7"/>
      <c r="K294" s="7"/>
      <c r="L294" s="7"/>
      <c r="M294" s="246"/>
      <c r="N294" s="7"/>
      <c r="O294" s="7"/>
      <c r="P294" s="7"/>
      <c r="Q294" s="7"/>
      <c r="R294" s="7"/>
      <c r="S294" s="7"/>
      <c r="T294" s="7"/>
      <c r="U294" s="7"/>
      <c r="V294" s="7"/>
      <c r="W294" s="7"/>
      <c r="X294" s="7"/>
    </row>
    <row r="295" spans="1:24" ht="19.5" customHeight="1">
      <c r="A295" s="7"/>
      <c r="B295" s="7"/>
      <c r="C295" s="7"/>
      <c r="D295" s="7"/>
      <c r="E295" s="7"/>
      <c r="F295" s="7"/>
      <c r="G295" s="7"/>
      <c r="H295" s="7"/>
      <c r="I295" s="7"/>
      <c r="J295" s="7"/>
      <c r="K295" s="7"/>
      <c r="L295" s="7"/>
      <c r="M295" s="246"/>
      <c r="N295" s="7"/>
      <c r="O295" s="7"/>
      <c r="P295" s="7"/>
      <c r="Q295" s="7"/>
      <c r="R295" s="7"/>
      <c r="S295" s="7"/>
      <c r="T295" s="7"/>
      <c r="U295" s="7"/>
      <c r="V295" s="7"/>
      <c r="W295" s="7"/>
      <c r="X295" s="7"/>
    </row>
    <row r="296" spans="1:24" ht="19.5" customHeight="1">
      <c r="A296" s="7"/>
      <c r="B296" s="7"/>
      <c r="C296" s="7"/>
      <c r="D296" s="7"/>
      <c r="E296" s="7"/>
      <c r="F296" s="7"/>
      <c r="G296" s="7"/>
      <c r="H296" s="7"/>
      <c r="I296" s="7"/>
      <c r="J296" s="7"/>
      <c r="K296" s="7"/>
      <c r="L296" s="7"/>
      <c r="M296" s="246"/>
      <c r="N296" s="7"/>
      <c r="O296" s="7"/>
      <c r="P296" s="7"/>
      <c r="Q296" s="7"/>
      <c r="R296" s="7"/>
      <c r="S296" s="7"/>
      <c r="T296" s="7"/>
      <c r="U296" s="7"/>
      <c r="V296" s="7"/>
      <c r="W296" s="7"/>
      <c r="X296" s="7"/>
    </row>
    <row r="297" spans="1:24" ht="19.5" customHeight="1">
      <c r="A297" s="7"/>
      <c r="B297" s="7"/>
      <c r="C297" s="7"/>
      <c r="D297" s="7"/>
      <c r="E297" s="7"/>
      <c r="F297" s="7"/>
      <c r="G297" s="7"/>
      <c r="H297" s="7"/>
      <c r="I297" s="7"/>
      <c r="J297" s="7"/>
      <c r="K297" s="7"/>
      <c r="L297" s="7"/>
      <c r="M297" s="246"/>
      <c r="N297" s="7"/>
      <c r="O297" s="7"/>
      <c r="P297" s="7"/>
      <c r="Q297" s="7"/>
      <c r="R297" s="7"/>
      <c r="S297" s="7"/>
      <c r="T297" s="7"/>
      <c r="U297" s="7"/>
      <c r="V297" s="7"/>
      <c r="W297" s="7"/>
      <c r="X297" s="7"/>
    </row>
    <row r="298" spans="1:24" ht="19.5" customHeight="1">
      <c r="A298" s="7"/>
      <c r="B298" s="7"/>
      <c r="C298" s="7"/>
      <c r="D298" s="7"/>
      <c r="E298" s="7"/>
      <c r="F298" s="7"/>
      <c r="G298" s="7"/>
      <c r="H298" s="7"/>
      <c r="I298" s="7"/>
      <c r="J298" s="7"/>
      <c r="K298" s="7"/>
      <c r="L298" s="7"/>
      <c r="M298" s="246"/>
      <c r="N298" s="7"/>
      <c r="O298" s="7"/>
      <c r="P298" s="7"/>
      <c r="Q298" s="7"/>
      <c r="R298" s="7"/>
      <c r="S298" s="7"/>
      <c r="T298" s="7"/>
      <c r="U298" s="7"/>
      <c r="V298" s="7"/>
      <c r="W298" s="7"/>
      <c r="X298" s="7"/>
    </row>
    <row r="299" spans="1:24" ht="19.5" customHeight="1">
      <c r="A299" s="7"/>
      <c r="B299" s="7"/>
      <c r="C299" s="7"/>
      <c r="D299" s="7"/>
      <c r="E299" s="7"/>
      <c r="F299" s="7"/>
      <c r="G299" s="7"/>
      <c r="H299" s="7"/>
      <c r="I299" s="7"/>
      <c r="J299" s="7"/>
      <c r="K299" s="7"/>
      <c r="L299" s="7"/>
      <c r="M299" s="246"/>
      <c r="N299" s="7"/>
      <c r="O299" s="7"/>
      <c r="P299" s="7"/>
      <c r="Q299" s="7"/>
      <c r="R299" s="7"/>
      <c r="S299" s="7"/>
      <c r="T299" s="7"/>
      <c r="U299" s="7"/>
      <c r="V299" s="7"/>
      <c r="W299" s="7"/>
      <c r="X299" s="7"/>
    </row>
    <row r="300" spans="1:24" ht="19.5" customHeight="1">
      <c r="A300" s="7"/>
      <c r="B300" s="7"/>
      <c r="C300" s="7"/>
      <c r="D300" s="7"/>
      <c r="E300" s="7"/>
      <c r="F300" s="7"/>
      <c r="G300" s="7"/>
      <c r="H300" s="7"/>
      <c r="I300" s="7"/>
      <c r="J300" s="7"/>
      <c r="K300" s="7"/>
      <c r="L300" s="7"/>
      <c r="M300" s="246"/>
      <c r="N300" s="7"/>
      <c r="O300" s="7"/>
      <c r="P300" s="7"/>
      <c r="Q300" s="7"/>
      <c r="R300" s="7"/>
      <c r="S300" s="7"/>
      <c r="T300" s="7"/>
      <c r="U300" s="7"/>
      <c r="V300" s="7"/>
      <c r="W300" s="7"/>
      <c r="X300" s="7"/>
    </row>
    <row r="301" spans="1:24" ht="19.5" customHeight="1">
      <c r="A301" s="7"/>
      <c r="B301" s="7"/>
      <c r="C301" s="7"/>
      <c r="D301" s="7"/>
      <c r="E301" s="7"/>
      <c r="F301" s="7"/>
      <c r="G301" s="7"/>
      <c r="H301" s="7"/>
      <c r="I301" s="7"/>
      <c r="J301" s="7"/>
      <c r="K301" s="7"/>
      <c r="L301" s="7"/>
      <c r="M301" s="246"/>
      <c r="N301" s="7"/>
      <c r="O301" s="7"/>
      <c r="P301" s="7"/>
      <c r="Q301" s="7"/>
      <c r="R301" s="7"/>
      <c r="S301" s="7"/>
      <c r="T301" s="7"/>
      <c r="U301" s="7"/>
      <c r="V301" s="7"/>
      <c r="W301" s="7"/>
      <c r="X301" s="7"/>
    </row>
    <row r="302" spans="1:24" ht="19.5" customHeight="1">
      <c r="A302" s="7"/>
      <c r="B302" s="7"/>
      <c r="C302" s="7"/>
      <c r="D302" s="7"/>
      <c r="E302" s="7"/>
      <c r="F302" s="7"/>
      <c r="G302" s="7"/>
      <c r="H302" s="7"/>
      <c r="I302" s="7"/>
      <c r="J302" s="7"/>
      <c r="K302" s="7"/>
      <c r="L302" s="7"/>
      <c r="M302" s="246"/>
      <c r="N302" s="7"/>
      <c r="O302" s="7"/>
      <c r="P302" s="7"/>
      <c r="Q302" s="7"/>
      <c r="R302" s="7"/>
      <c r="S302" s="7"/>
      <c r="T302" s="7"/>
      <c r="U302" s="7"/>
      <c r="V302" s="7"/>
      <c r="W302" s="7"/>
      <c r="X302" s="7"/>
    </row>
    <row r="303" spans="1:24" ht="19.5" customHeight="1">
      <c r="A303" s="7"/>
      <c r="B303" s="7"/>
      <c r="C303" s="7"/>
      <c r="D303" s="7"/>
      <c r="E303" s="7"/>
      <c r="F303" s="7"/>
      <c r="G303" s="7"/>
      <c r="H303" s="7"/>
      <c r="I303" s="7"/>
      <c r="J303" s="7"/>
      <c r="K303" s="7"/>
      <c r="L303" s="7"/>
      <c r="M303" s="246"/>
      <c r="N303" s="7"/>
      <c r="O303" s="7"/>
      <c r="P303" s="7"/>
      <c r="Q303" s="7"/>
      <c r="R303" s="7"/>
      <c r="S303" s="7"/>
      <c r="T303" s="7"/>
      <c r="U303" s="7"/>
      <c r="V303" s="7"/>
      <c r="W303" s="7"/>
      <c r="X303" s="7"/>
    </row>
    <row r="304" spans="1:24" ht="19.5" customHeight="1">
      <c r="A304" s="7"/>
      <c r="B304" s="7"/>
      <c r="C304" s="7"/>
      <c r="D304" s="7"/>
      <c r="E304" s="7"/>
      <c r="F304" s="7"/>
      <c r="G304" s="7"/>
      <c r="H304" s="7"/>
      <c r="I304" s="7"/>
      <c r="J304" s="7"/>
      <c r="K304" s="7"/>
      <c r="L304" s="7"/>
      <c r="M304" s="246"/>
      <c r="N304" s="7"/>
      <c r="O304" s="7"/>
      <c r="P304" s="7"/>
      <c r="Q304" s="7"/>
      <c r="R304" s="7"/>
      <c r="S304" s="7"/>
      <c r="T304" s="7"/>
      <c r="U304" s="7"/>
      <c r="V304" s="7"/>
      <c r="W304" s="7"/>
      <c r="X304" s="7"/>
    </row>
    <row r="305" spans="1:24" ht="19.5" customHeight="1">
      <c r="A305" s="7"/>
      <c r="B305" s="7"/>
      <c r="C305" s="7"/>
      <c r="D305" s="7"/>
      <c r="E305" s="7"/>
      <c r="F305" s="7"/>
      <c r="G305" s="7"/>
      <c r="H305" s="7"/>
      <c r="I305" s="7"/>
      <c r="J305" s="7"/>
      <c r="K305" s="7"/>
      <c r="L305" s="7"/>
      <c r="M305" s="246"/>
      <c r="N305" s="7"/>
      <c r="O305" s="7"/>
      <c r="P305" s="7"/>
      <c r="Q305" s="7"/>
      <c r="R305" s="7"/>
      <c r="S305" s="7"/>
      <c r="T305" s="7"/>
      <c r="U305" s="7"/>
      <c r="V305" s="7"/>
      <c r="W305" s="7"/>
      <c r="X305" s="7"/>
    </row>
    <row r="306" spans="1:24" ht="19.5" customHeight="1">
      <c r="A306" s="7"/>
      <c r="B306" s="7"/>
      <c r="C306" s="7"/>
      <c r="D306" s="7"/>
      <c r="E306" s="7"/>
      <c r="F306" s="7"/>
      <c r="G306" s="7"/>
      <c r="H306" s="7"/>
      <c r="I306" s="7"/>
      <c r="J306" s="7"/>
      <c r="K306" s="7"/>
      <c r="L306" s="7"/>
      <c r="M306" s="246"/>
      <c r="N306" s="7"/>
      <c r="O306" s="7"/>
      <c r="P306" s="7"/>
      <c r="Q306" s="7"/>
      <c r="R306" s="7"/>
      <c r="S306" s="7"/>
      <c r="T306" s="7"/>
      <c r="U306" s="7"/>
      <c r="V306" s="7"/>
      <c r="W306" s="7"/>
      <c r="X306" s="7"/>
    </row>
    <row r="307" spans="1:24" ht="19.5" customHeight="1">
      <c r="A307" s="7"/>
      <c r="B307" s="7"/>
      <c r="C307" s="7"/>
      <c r="D307" s="7"/>
      <c r="E307" s="7"/>
      <c r="F307" s="7"/>
      <c r="G307" s="7"/>
      <c r="H307" s="7"/>
      <c r="I307" s="7"/>
      <c r="J307" s="7"/>
      <c r="K307" s="7"/>
      <c r="L307" s="7"/>
      <c r="M307" s="246"/>
      <c r="N307" s="7"/>
      <c r="O307" s="7"/>
      <c r="P307" s="7"/>
      <c r="Q307" s="7"/>
      <c r="R307" s="7"/>
      <c r="S307" s="7"/>
      <c r="T307" s="7"/>
      <c r="U307" s="7"/>
      <c r="V307" s="7"/>
      <c r="W307" s="7"/>
      <c r="X307" s="7"/>
    </row>
    <row r="308" spans="1:24" ht="19.5" customHeight="1">
      <c r="A308" s="7"/>
      <c r="B308" s="7"/>
      <c r="C308" s="7"/>
      <c r="D308" s="7"/>
      <c r="E308" s="7"/>
      <c r="F308" s="7"/>
      <c r="G308" s="7"/>
      <c r="H308" s="7"/>
      <c r="I308" s="7"/>
      <c r="J308" s="7"/>
      <c r="K308" s="7"/>
      <c r="L308" s="7"/>
      <c r="M308" s="246"/>
      <c r="N308" s="7"/>
      <c r="O308" s="7"/>
      <c r="P308" s="7"/>
      <c r="Q308" s="7"/>
      <c r="R308" s="7"/>
      <c r="S308" s="7"/>
      <c r="T308" s="7"/>
      <c r="U308" s="7"/>
      <c r="V308" s="7"/>
      <c r="W308" s="7"/>
      <c r="X308" s="7"/>
    </row>
    <row r="309" spans="1:24" ht="19.5" customHeight="1">
      <c r="A309" s="7"/>
      <c r="B309" s="7"/>
      <c r="C309" s="7"/>
      <c r="D309" s="7"/>
      <c r="E309" s="7"/>
      <c r="F309" s="7"/>
      <c r="G309" s="7"/>
      <c r="H309" s="7"/>
      <c r="I309" s="7"/>
      <c r="J309" s="7"/>
      <c r="K309" s="7"/>
      <c r="L309" s="7"/>
      <c r="M309" s="246"/>
      <c r="N309" s="7"/>
      <c r="O309" s="7"/>
      <c r="P309" s="7"/>
      <c r="Q309" s="7"/>
      <c r="R309" s="7"/>
      <c r="S309" s="7"/>
      <c r="T309" s="7"/>
      <c r="U309" s="7"/>
      <c r="V309" s="7"/>
      <c r="W309" s="7"/>
      <c r="X309" s="7"/>
    </row>
    <row r="310" spans="1:24" ht="19.5" customHeight="1">
      <c r="A310" s="7"/>
      <c r="B310" s="7"/>
      <c r="C310" s="7"/>
      <c r="D310" s="7"/>
      <c r="E310" s="7"/>
      <c r="F310" s="7"/>
      <c r="G310" s="7"/>
      <c r="H310" s="7"/>
      <c r="I310" s="7"/>
      <c r="J310" s="7"/>
      <c r="K310" s="7"/>
      <c r="L310" s="7"/>
      <c r="M310" s="246"/>
      <c r="N310" s="7"/>
      <c r="O310" s="7"/>
      <c r="P310" s="7"/>
      <c r="Q310" s="7"/>
      <c r="R310" s="7"/>
      <c r="S310" s="7"/>
      <c r="T310" s="7"/>
      <c r="U310" s="7"/>
      <c r="V310" s="7"/>
      <c r="W310" s="7"/>
      <c r="X310" s="7"/>
    </row>
    <row r="311" spans="1:24" ht="19.5" customHeight="1">
      <c r="A311" s="7"/>
      <c r="B311" s="7"/>
      <c r="C311" s="7"/>
      <c r="D311" s="7"/>
      <c r="E311" s="7"/>
      <c r="F311" s="7"/>
      <c r="G311" s="7"/>
      <c r="H311" s="7"/>
      <c r="I311" s="7"/>
      <c r="J311" s="7"/>
      <c r="K311" s="7"/>
      <c r="L311" s="7"/>
      <c r="M311" s="246"/>
      <c r="N311" s="7"/>
      <c r="O311" s="7"/>
      <c r="P311" s="7"/>
      <c r="Q311" s="7"/>
      <c r="R311" s="7"/>
      <c r="S311" s="7"/>
      <c r="T311" s="7"/>
      <c r="U311" s="7"/>
      <c r="V311" s="7"/>
      <c r="W311" s="7"/>
      <c r="X311" s="7"/>
    </row>
    <row r="312" spans="1:24" ht="19.5" customHeight="1">
      <c r="A312" s="7"/>
      <c r="B312" s="7"/>
      <c r="C312" s="7"/>
      <c r="D312" s="7"/>
      <c r="E312" s="7"/>
      <c r="F312" s="7"/>
      <c r="G312" s="7"/>
      <c r="H312" s="7"/>
      <c r="I312" s="7"/>
      <c r="J312" s="7"/>
      <c r="K312" s="7"/>
      <c r="L312" s="7"/>
      <c r="M312" s="246"/>
      <c r="N312" s="7"/>
      <c r="O312" s="7"/>
      <c r="P312" s="7"/>
      <c r="Q312" s="7"/>
      <c r="R312" s="7"/>
      <c r="S312" s="7"/>
      <c r="T312" s="7"/>
      <c r="U312" s="7"/>
      <c r="V312" s="7"/>
      <c r="W312" s="7"/>
      <c r="X312" s="7"/>
    </row>
    <row r="313" spans="1:24" ht="19.5" customHeight="1">
      <c r="A313" s="7"/>
      <c r="B313" s="7"/>
      <c r="C313" s="7"/>
      <c r="D313" s="7"/>
      <c r="E313" s="7"/>
      <c r="F313" s="7"/>
      <c r="G313" s="7"/>
      <c r="H313" s="7"/>
      <c r="I313" s="7"/>
      <c r="J313" s="7"/>
      <c r="K313" s="7"/>
      <c r="L313" s="7"/>
      <c r="M313" s="246"/>
      <c r="N313" s="7"/>
      <c r="O313" s="7"/>
      <c r="P313" s="7"/>
      <c r="Q313" s="7"/>
      <c r="R313" s="7"/>
      <c r="S313" s="7"/>
      <c r="T313" s="7"/>
      <c r="U313" s="7"/>
      <c r="V313" s="7"/>
      <c r="W313" s="7"/>
      <c r="X313" s="7"/>
    </row>
    <row r="314" spans="1:24" ht="19.5" customHeight="1">
      <c r="A314" s="7"/>
      <c r="B314" s="7"/>
      <c r="C314" s="7"/>
      <c r="D314" s="7"/>
      <c r="E314" s="7"/>
      <c r="F314" s="7"/>
      <c r="G314" s="7"/>
      <c r="H314" s="7"/>
      <c r="I314" s="7"/>
      <c r="J314" s="7"/>
      <c r="K314" s="7"/>
      <c r="L314" s="7"/>
      <c r="M314" s="246"/>
      <c r="N314" s="7"/>
      <c r="O314" s="7"/>
      <c r="P314" s="7"/>
      <c r="Q314" s="7"/>
      <c r="R314" s="7"/>
      <c r="S314" s="7"/>
      <c r="T314" s="7"/>
      <c r="U314" s="7"/>
      <c r="V314" s="7"/>
      <c r="W314" s="7"/>
      <c r="X314" s="7"/>
    </row>
    <row r="315" spans="1:24" ht="19.5" customHeight="1">
      <c r="A315" s="7"/>
      <c r="B315" s="7"/>
      <c r="C315" s="7"/>
      <c r="D315" s="7"/>
      <c r="E315" s="7"/>
      <c r="F315" s="7"/>
      <c r="G315" s="7"/>
      <c r="H315" s="7"/>
      <c r="I315" s="7"/>
      <c r="J315" s="7"/>
      <c r="K315" s="7"/>
      <c r="L315" s="7"/>
      <c r="M315" s="246"/>
      <c r="N315" s="7"/>
      <c r="O315" s="7"/>
      <c r="P315" s="7"/>
      <c r="Q315" s="7"/>
      <c r="R315" s="7"/>
      <c r="S315" s="7"/>
      <c r="T315" s="7"/>
      <c r="U315" s="7"/>
      <c r="V315" s="7"/>
      <c r="W315" s="7"/>
      <c r="X315" s="7"/>
    </row>
    <row r="316" spans="1:24" ht="19.5" customHeight="1">
      <c r="A316" s="7"/>
      <c r="B316" s="7"/>
      <c r="C316" s="7"/>
      <c r="D316" s="7"/>
      <c r="E316" s="7"/>
      <c r="F316" s="7"/>
      <c r="G316" s="7"/>
      <c r="H316" s="7"/>
      <c r="I316" s="7"/>
      <c r="J316" s="7"/>
      <c r="K316" s="7"/>
      <c r="L316" s="7"/>
      <c r="M316" s="246"/>
      <c r="N316" s="7"/>
      <c r="O316" s="7"/>
      <c r="P316" s="7"/>
      <c r="Q316" s="7"/>
      <c r="R316" s="7"/>
      <c r="S316" s="7"/>
      <c r="T316" s="7"/>
      <c r="U316" s="7"/>
      <c r="V316" s="7"/>
      <c r="W316" s="7"/>
      <c r="X316" s="7"/>
    </row>
    <row r="317" spans="1:24" ht="19.5" customHeight="1">
      <c r="A317" s="7"/>
      <c r="B317" s="7"/>
      <c r="C317" s="7"/>
      <c r="D317" s="7"/>
      <c r="E317" s="7"/>
      <c r="F317" s="7"/>
      <c r="G317" s="7"/>
      <c r="H317" s="7"/>
      <c r="I317" s="7"/>
      <c r="J317" s="7"/>
      <c r="K317" s="7"/>
      <c r="L317" s="7"/>
      <c r="M317" s="246"/>
      <c r="N317" s="7"/>
      <c r="O317" s="7"/>
      <c r="P317" s="7"/>
      <c r="Q317" s="7"/>
      <c r="R317" s="7"/>
      <c r="S317" s="7"/>
      <c r="T317" s="7"/>
      <c r="U317" s="7"/>
      <c r="V317" s="7"/>
      <c r="W317" s="7"/>
      <c r="X317" s="7"/>
    </row>
    <row r="318" spans="1:24" ht="19.5" customHeight="1">
      <c r="A318" s="7"/>
      <c r="B318" s="7"/>
      <c r="C318" s="7"/>
      <c r="D318" s="7"/>
      <c r="E318" s="7"/>
      <c r="F318" s="7"/>
      <c r="G318" s="7"/>
      <c r="H318" s="7"/>
      <c r="I318" s="7"/>
      <c r="J318" s="7"/>
      <c r="K318" s="7"/>
      <c r="L318" s="7"/>
      <c r="M318" s="246"/>
      <c r="N318" s="7"/>
      <c r="O318" s="7"/>
      <c r="P318" s="7"/>
      <c r="Q318" s="7"/>
      <c r="R318" s="7"/>
      <c r="S318" s="7"/>
      <c r="T318" s="7"/>
      <c r="U318" s="7"/>
      <c r="V318" s="7"/>
      <c r="W318" s="7"/>
      <c r="X318" s="7"/>
    </row>
    <row r="319" spans="1:24" ht="19.5" customHeight="1">
      <c r="A319" s="7"/>
      <c r="B319" s="7"/>
      <c r="C319" s="7"/>
      <c r="D319" s="7"/>
      <c r="E319" s="7"/>
      <c r="F319" s="7"/>
      <c r="G319" s="7"/>
      <c r="H319" s="7"/>
      <c r="I319" s="7"/>
      <c r="J319" s="7"/>
      <c r="K319" s="7"/>
      <c r="L319" s="7"/>
      <c r="M319" s="246"/>
      <c r="N319" s="7"/>
      <c r="O319" s="7"/>
      <c r="P319" s="7"/>
      <c r="Q319" s="7"/>
      <c r="R319" s="7"/>
      <c r="S319" s="7"/>
      <c r="T319" s="7"/>
      <c r="U319" s="7"/>
      <c r="V319" s="7"/>
      <c r="W319" s="7"/>
      <c r="X319" s="7"/>
    </row>
    <row r="320" spans="1:24" ht="19.5" customHeight="1">
      <c r="A320" s="7"/>
      <c r="B320" s="7"/>
      <c r="C320" s="7"/>
      <c r="D320" s="7"/>
      <c r="E320" s="7"/>
      <c r="F320" s="7"/>
      <c r="G320" s="7"/>
      <c r="H320" s="7"/>
      <c r="I320" s="7"/>
      <c r="J320" s="7"/>
      <c r="K320" s="7"/>
      <c r="L320" s="7"/>
      <c r="M320" s="246"/>
      <c r="N320" s="7"/>
      <c r="O320" s="7"/>
      <c r="P320" s="7"/>
      <c r="Q320" s="7"/>
      <c r="R320" s="7"/>
      <c r="S320" s="7"/>
      <c r="T320" s="7"/>
      <c r="U320" s="7"/>
      <c r="V320" s="7"/>
      <c r="W320" s="7"/>
      <c r="X320" s="7"/>
    </row>
    <row r="321" spans="1:24" ht="19.5" customHeight="1">
      <c r="A321" s="7"/>
      <c r="B321" s="7"/>
      <c r="C321" s="7"/>
      <c r="D321" s="7"/>
      <c r="E321" s="7"/>
      <c r="F321" s="7"/>
      <c r="G321" s="7"/>
      <c r="H321" s="7"/>
      <c r="I321" s="7"/>
      <c r="J321" s="7"/>
      <c r="K321" s="7"/>
      <c r="L321" s="7"/>
      <c r="M321" s="246"/>
      <c r="N321" s="7"/>
      <c r="O321" s="7"/>
      <c r="P321" s="7"/>
      <c r="Q321" s="7"/>
      <c r="R321" s="7"/>
      <c r="S321" s="7"/>
      <c r="T321" s="7"/>
      <c r="U321" s="7"/>
      <c r="V321" s="7"/>
      <c r="W321" s="7"/>
      <c r="X321" s="7"/>
    </row>
    <row r="322" spans="1:24" ht="19.5" customHeight="1">
      <c r="A322" s="7"/>
      <c r="B322" s="7"/>
      <c r="C322" s="7"/>
      <c r="D322" s="7"/>
      <c r="E322" s="7"/>
      <c r="F322" s="7"/>
      <c r="G322" s="7"/>
      <c r="H322" s="7"/>
      <c r="I322" s="7"/>
      <c r="J322" s="7"/>
      <c r="K322" s="7"/>
      <c r="L322" s="7"/>
      <c r="M322" s="246"/>
      <c r="N322" s="7"/>
      <c r="O322" s="7"/>
      <c r="P322" s="7"/>
      <c r="Q322" s="7"/>
      <c r="R322" s="7"/>
      <c r="S322" s="7"/>
      <c r="T322" s="7"/>
      <c r="U322" s="7"/>
      <c r="V322" s="7"/>
      <c r="W322" s="7"/>
      <c r="X322" s="7"/>
    </row>
    <row r="323" spans="1:24" ht="19.5" customHeight="1">
      <c r="A323" s="7"/>
      <c r="B323" s="7"/>
      <c r="C323" s="7"/>
      <c r="D323" s="7"/>
      <c r="E323" s="7"/>
      <c r="F323" s="7"/>
      <c r="G323" s="7"/>
      <c r="H323" s="7"/>
      <c r="I323" s="7"/>
      <c r="J323" s="7"/>
      <c r="K323" s="7"/>
      <c r="L323" s="7"/>
      <c r="M323" s="246"/>
      <c r="N323" s="7"/>
      <c r="O323" s="7"/>
      <c r="P323" s="7"/>
      <c r="Q323" s="7"/>
      <c r="R323" s="7"/>
      <c r="S323" s="7"/>
      <c r="T323" s="7"/>
      <c r="U323" s="7"/>
      <c r="V323" s="7"/>
      <c r="W323" s="7"/>
      <c r="X323" s="7"/>
    </row>
    <row r="324" spans="1:24" ht="19.5" customHeight="1">
      <c r="A324" s="7"/>
      <c r="B324" s="7"/>
      <c r="C324" s="7"/>
      <c r="D324" s="7"/>
      <c r="E324" s="7"/>
      <c r="F324" s="7"/>
      <c r="G324" s="7"/>
      <c r="H324" s="7"/>
      <c r="I324" s="7"/>
      <c r="J324" s="7"/>
      <c r="K324" s="7"/>
      <c r="L324" s="7"/>
      <c r="M324" s="246"/>
      <c r="N324" s="7"/>
      <c r="O324" s="7"/>
      <c r="P324" s="7"/>
      <c r="Q324" s="7"/>
      <c r="R324" s="7"/>
      <c r="S324" s="7"/>
      <c r="T324" s="7"/>
      <c r="U324" s="7"/>
      <c r="V324" s="7"/>
      <c r="W324" s="7"/>
      <c r="X324" s="7"/>
    </row>
    <row r="325" spans="1:24" ht="19.5" customHeight="1">
      <c r="A325" s="7"/>
      <c r="B325" s="7"/>
      <c r="C325" s="7"/>
      <c r="D325" s="7"/>
      <c r="E325" s="7"/>
      <c r="F325" s="7"/>
      <c r="G325" s="7"/>
      <c r="H325" s="7"/>
      <c r="I325" s="7"/>
      <c r="J325" s="7"/>
      <c r="K325" s="7"/>
      <c r="L325" s="7"/>
      <c r="M325" s="246"/>
      <c r="N325" s="7"/>
      <c r="O325" s="7"/>
      <c r="P325" s="7"/>
      <c r="Q325" s="7"/>
      <c r="R325" s="7"/>
      <c r="S325" s="7"/>
      <c r="T325" s="7"/>
      <c r="U325" s="7"/>
      <c r="V325" s="7"/>
      <c r="W325" s="7"/>
      <c r="X325" s="7"/>
    </row>
    <row r="326" spans="1:24" ht="19.5" customHeight="1">
      <c r="A326" s="7"/>
      <c r="B326" s="7"/>
      <c r="C326" s="7"/>
      <c r="D326" s="7"/>
      <c r="E326" s="7"/>
      <c r="F326" s="7"/>
      <c r="G326" s="7"/>
      <c r="H326" s="7"/>
      <c r="I326" s="7"/>
      <c r="J326" s="7"/>
      <c r="K326" s="7"/>
      <c r="L326" s="7"/>
      <c r="M326" s="246"/>
      <c r="N326" s="7"/>
      <c r="O326" s="7"/>
      <c r="P326" s="7"/>
      <c r="Q326" s="7"/>
      <c r="R326" s="7"/>
      <c r="S326" s="7"/>
      <c r="T326" s="7"/>
      <c r="U326" s="7"/>
      <c r="V326" s="7"/>
      <c r="W326" s="7"/>
      <c r="X326" s="7"/>
    </row>
    <row r="327" spans="1:24" ht="19.5" customHeight="1">
      <c r="A327" s="7"/>
      <c r="B327" s="7"/>
      <c r="C327" s="7"/>
      <c r="D327" s="7"/>
      <c r="E327" s="7"/>
      <c r="F327" s="7"/>
      <c r="G327" s="7"/>
      <c r="H327" s="7"/>
      <c r="I327" s="7"/>
      <c r="J327" s="7"/>
      <c r="K327" s="7"/>
      <c r="L327" s="7"/>
      <c r="M327" s="246"/>
      <c r="N327" s="7"/>
      <c r="O327" s="7"/>
      <c r="P327" s="7"/>
      <c r="Q327" s="7"/>
      <c r="R327" s="7"/>
      <c r="S327" s="7"/>
      <c r="T327" s="7"/>
      <c r="U327" s="7"/>
      <c r="V327" s="7"/>
      <c r="W327" s="7"/>
      <c r="X327" s="7"/>
    </row>
    <row r="328" spans="1:24" ht="19.5" customHeight="1">
      <c r="A328" s="7"/>
      <c r="B328" s="7"/>
      <c r="C328" s="7"/>
      <c r="D328" s="7"/>
      <c r="E328" s="7"/>
      <c r="F328" s="7"/>
      <c r="G328" s="7"/>
      <c r="H328" s="7"/>
      <c r="I328" s="7"/>
      <c r="J328" s="7"/>
      <c r="K328" s="7"/>
      <c r="L328" s="7"/>
      <c r="M328" s="246"/>
      <c r="N328" s="7"/>
      <c r="O328" s="7"/>
      <c r="P328" s="7"/>
      <c r="Q328" s="7"/>
      <c r="R328" s="7"/>
      <c r="S328" s="7"/>
      <c r="T328" s="7"/>
      <c r="U328" s="7"/>
      <c r="V328" s="7"/>
      <c r="W328" s="7"/>
      <c r="X328" s="7"/>
    </row>
    <row r="329" spans="1:24" ht="19.5" customHeight="1">
      <c r="A329" s="7"/>
      <c r="B329" s="7"/>
      <c r="C329" s="7"/>
      <c r="D329" s="7"/>
      <c r="E329" s="7"/>
      <c r="F329" s="7"/>
      <c r="G329" s="7"/>
      <c r="H329" s="7"/>
      <c r="I329" s="7"/>
      <c r="J329" s="7"/>
      <c r="K329" s="7"/>
      <c r="L329" s="7"/>
      <c r="M329" s="246"/>
      <c r="N329" s="7"/>
      <c r="O329" s="7"/>
      <c r="P329" s="7"/>
      <c r="Q329" s="7"/>
      <c r="R329" s="7"/>
      <c r="S329" s="7"/>
      <c r="T329" s="7"/>
      <c r="U329" s="7"/>
      <c r="V329" s="7"/>
      <c r="W329" s="7"/>
      <c r="X329" s="7"/>
    </row>
    <row r="330" spans="1:24" ht="19.5" customHeight="1">
      <c r="A330" s="7"/>
      <c r="B330" s="7"/>
      <c r="C330" s="7"/>
      <c r="D330" s="7"/>
      <c r="E330" s="7"/>
      <c r="F330" s="7"/>
      <c r="G330" s="7"/>
      <c r="H330" s="7"/>
      <c r="I330" s="7"/>
      <c r="J330" s="7"/>
      <c r="K330" s="7"/>
      <c r="L330" s="7"/>
      <c r="M330" s="246"/>
      <c r="N330" s="7"/>
      <c r="O330" s="7"/>
      <c r="P330" s="7"/>
      <c r="Q330" s="7"/>
      <c r="R330" s="7"/>
      <c r="S330" s="7"/>
      <c r="T330" s="7"/>
      <c r="U330" s="7"/>
      <c r="V330" s="7"/>
      <c r="W330" s="7"/>
      <c r="X330" s="7"/>
    </row>
    <row r="331" spans="1:24" ht="19.5" customHeight="1">
      <c r="A331" s="7"/>
      <c r="B331" s="7"/>
      <c r="C331" s="7"/>
      <c r="D331" s="7"/>
      <c r="E331" s="7"/>
      <c r="F331" s="7"/>
      <c r="G331" s="7"/>
      <c r="H331" s="7"/>
      <c r="I331" s="7"/>
      <c r="J331" s="7"/>
      <c r="K331" s="7"/>
      <c r="L331" s="7"/>
      <c r="M331" s="246"/>
      <c r="N331" s="7"/>
      <c r="O331" s="7"/>
      <c r="P331" s="7"/>
      <c r="Q331" s="7"/>
      <c r="R331" s="7"/>
      <c r="S331" s="7"/>
      <c r="T331" s="7"/>
      <c r="U331" s="7"/>
      <c r="V331" s="7"/>
      <c r="W331" s="7"/>
      <c r="X331" s="7"/>
    </row>
    <row r="332" spans="1:24" ht="19.5" customHeight="1">
      <c r="A332" s="7"/>
      <c r="B332" s="7"/>
      <c r="C332" s="7"/>
      <c r="D332" s="7"/>
      <c r="E332" s="7"/>
      <c r="F332" s="7"/>
      <c r="G332" s="7"/>
      <c r="H332" s="7"/>
      <c r="I332" s="7"/>
      <c r="J332" s="7"/>
      <c r="K332" s="7"/>
      <c r="L332" s="7"/>
      <c r="M332" s="246"/>
      <c r="N332" s="7"/>
      <c r="O332" s="7"/>
      <c r="P332" s="7"/>
      <c r="Q332" s="7"/>
      <c r="R332" s="7"/>
      <c r="S332" s="7"/>
      <c r="T332" s="7"/>
      <c r="U332" s="7"/>
      <c r="V332" s="7"/>
      <c r="W332" s="7"/>
      <c r="X332" s="7"/>
    </row>
    <row r="333" spans="1:24" ht="19.5" customHeight="1">
      <c r="A333" s="7"/>
      <c r="B333" s="7"/>
      <c r="C333" s="7"/>
      <c r="D333" s="7"/>
      <c r="E333" s="7"/>
      <c r="F333" s="7"/>
      <c r="G333" s="7"/>
      <c r="H333" s="7"/>
      <c r="I333" s="7"/>
      <c r="J333" s="7"/>
      <c r="K333" s="7"/>
      <c r="L333" s="7"/>
      <c r="M333" s="246"/>
      <c r="N333" s="7"/>
      <c r="O333" s="7"/>
      <c r="P333" s="7"/>
      <c r="Q333" s="7"/>
      <c r="R333" s="7"/>
      <c r="S333" s="7"/>
      <c r="T333" s="7"/>
      <c r="U333" s="7"/>
      <c r="V333" s="7"/>
      <c r="W333" s="7"/>
      <c r="X333" s="7"/>
    </row>
    <row r="334" spans="1:24" ht="19.5" customHeight="1">
      <c r="A334" s="7"/>
      <c r="B334" s="7"/>
      <c r="C334" s="7"/>
      <c r="D334" s="7"/>
      <c r="E334" s="7"/>
      <c r="F334" s="7"/>
      <c r="G334" s="7"/>
      <c r="H334" s="7"/>
      <c r="I334" s="7"/>
      <c r="J334" s="7"/>
      <c r="K334" s="7"/>
      <c r="L334" s="7"/>
      <c r="M334" s="246"/>
      <c r="N334" s="7"/>
      <c r="O334" s="7"/>
      <c r="P334" s="7"/>
      <c r="Q334" s="7"/>
      <c r="R334" s="7"/>
      <c r="S334" s="7"/>
      <c r="T334" s="7"/>
      <c r="U334" s="7"/>
      <c r="V334" s="7"/>
      <c r="W334" s="7"/>
      <c r="X334" s="7"/>
    </row>
    <row r="335" spans="1:24" ht="19.5" customHeight="1">
      <c r="A335" s="7"/>
      <c r="B335" s="7"/>
      <c r="C335" s="7"/>
      <c r="D335" s="7"/>
      <c r="E335" s="7"/>
      <c r="F335" s="7"/>
      <c r="G335" s="7"/>
      <c r="H335" s="7"/>
      <c r="I335" s="7"/>
      <c r="J335" s="7"/>
      <c r="K335" s="7"/>
      <c r="L335" s="7"/>
      <c r="M335" s="246"/>
      <c r="N335" s="7"/>
      <c r="O335" s="7"/>
      <c r="P335" s="7"/>
      <c r="Q335" s="7"/>
      <c r="R335" s="7"/>
      <c r="S335" s="7"/>
      <c r="T335" s="7"/>
      <c r="U335" s="7"/>
      <c r="V335" s="7"/>
      <c r="W335" s="7"/>
      <c r="X335" s="7"/>
    </row>
    <row r="336" spans="1:24" ht="19.5" customHeight="1">
      <c r="A336" s="7"/>
      <c r="B336" s="7"/>
      <c r="C336" s="7"/>
      <c r="D336" s="7"/>
      <c r="E336" s="7"/>
      <c r="F336" s="7"/>
      <c r="G336" s="7"/>
      <c r="H336" s="7"/>
      <c r="I336" s="7"/>
      <c r="J336" s="7"/>
      <c r="K336" s="7"/>
      <c r="L336" s="7"/>
      <c r="M336" s="246"/>
      <c r="N336" s="7"/>
      <c r="O336" s="7"/>
      <c r="P336" s="7"/>
      <c r="Q336" s="7"/>
      <c r="R336" s="7"/>
      <c r="S336" s="7"/>
      <c r="T336" s="7"/>
      <c r="U336" s="7"/>
      <c r="V336" s="7"/>
      <c r="W336" s="7"/>
      <c r="X336" s="7"/>
    </row>
    <row r="337" spans="1:24" ht="19.5" customHeight="1">
      <c r="A337" s="7"/>
      <c r="B337" s="7"/>
      <c r="C337" s="7"/>
      <c r="D337" s="7"/>
      <c r="E337" s="7"/>
      <c r="F337" s="7"/>
      <c r="G337" s="7"/>
      <c r="H337" s="7"/>
      <c r="I337" s="7"/>
      <c r="J337" s="7"/>
      <c r="K337" s="7"/>
      <c r="L337" s="7"/>
      <c r="M337" s="246"/>
      <c r="N337" s="7"/>
      <c r="O337" s="7"/>
      <c r="P337" s="7"/>
      <c r="Q337" s="7"/>
      <c r="R337" s="7"/>
      <c r="S337" s="7"/>
      <c r="T337" s="7"/>
      <c r="U337" s="7"/>
      <c r="V337" s="7"/>
      <c r="W337" s="7"/>
      <c r="X337" s="7"/>
    </row>
    <row r="338" spans="1:24" ht="19.5" customHeight="1">
      <c r="A338" s="7"/>
      <c r="B338" s="7"/>
      <c r="C338" s="7"/>
      <c r="D338" s="7"/>
      <c r="E338" s="7"/>
      <c r="F338" s="7"/>
      <c r="G338" s="7"/>
      <c r="H338" s="7"/>
      <c r="I338" s="7"/>
      <c r="J338" s="7"/>
      <c r="K338" s="7"/>
      <c r="L338" s="7"/>
      <c r="M338" s="246"/>
      <c r="N338" s="7"/>
      <c r="O338" s="7"/>
      <c r="P338" s="7"/>
      <c r="Q338" s="7"/>
      <c r="R338" s="7"/>
      <c r="S338" s="7"/>
      <c r="T338" s="7"/>
      <c r="U338" s="7"/>
      <c r="V338" s="7"/>
      <c r="W338" s="7"/>
      <c r="X338" s="7"/>
    </row>
    <row r="339" spans="1:24" ht="19.5" customHeight="1">
      <c r="A339" s="7"/>
      <c r="B339" s="7"/>
      <c r="C339" s="7"/>
      <c r="D339" s="7"/>
      <c r="E339" s="7"/>
      <c r="F339" s="7"/>
      <c r="G339" s="7"/>
      <c r="H339" s="7"/>
      <c r="I339" s="7"/>
      <c r="J339" s="7"/>
      <c r="K339" s="7"/>
      <c r="L339" s="7"/>
      <c r="M339" s="246"/>
      <c r="N339" s="7"/>
      <c r="O339" s="7"/>
      <c r="P339" s="7"/>
      <c r="Q339" s="7"/>
      <c r="R339" s="7"/>
      <c r="S339" s="7"/>
      <c r="T339" s="7"/>
      <c r="U339" s="7"/>
      <c r="V339" s="7"/>
      <c r="W339" s="7"/>
      <c r="X339" s="7"/>
    </row>
    <row r="340" spans="1:24" ht="19.5" customHeight="1">
      <c r="A340" s="7"/>
      <c r="B340" s="7"/>
      <c r="C340" s="7"/>
      <c r="D340" s="7"/>
      <c r="E340" s="7"/>
      <c r="F340" s="7"/>
      <c r="G340" s="7"/>
      <c r="H340" s="7"/>
      <c r="I340" s="7"/>
      <c r="J340" s="7"/>
      <c r="K340" s="7"/>
      <c r="L340" s="7"/>
      <c r="M340" s="246"/>
      <c r="N340" s="7"/>
      <c r="O340" s="7"/>
      <c r="P340" s="7"/>
      <c r="Q340" s="7"/>
      <c r="R340" s="7"/>
      <c r="S340" s="7"/>
      <c r="T340" s="7"/>
      <c r="U340" s="7"/>
      <c r="V340" s="7"/>
      <c r="W340" s="7"/>
      <c r="X340" s="7"/>
    </row>
    <row r="341" spans="1:24" ht="19.5" customHeight="1">
      <c r="A341" s="7"/>
      <c r="B341" s="7"/>
      <c r="C341" s="7"/>
      <c r="D341" s="7"/>
      <c r="E341" s="7"/>
      <c r="F341" s="7"/>
      <c r="G341" s="7"/>
      <c r="H341" s="7"/>
      <c r="I341" s="7"/>
      <c r="J341" s="7"/>
      <c r="K341" s="7"/>
      <c r="L341" s="7"/>
      <c r="M341" s="246"/>
      <c r="N341" s="7"/>
      <c r="O341" s="7"/>
      <c r="P341" s="7"/>
      <c r="Q341" s="7"/>
      <c r="R341" s="7"/>
      <c r="S341" s="7"/>
      <c r="T341" s="7"/>
      <c r="U341" s="7"/>
      <c r="V341" s="7"/>
      <c r="W341" s="7"/>
      <c r="X341" s="7"/>
    </row>
    <row r="342" spans="1:24" ht="19.5" customHeight="1">
      <c r="A342" s="7"/>
      <c r="B342" s="7"/>
      <c r="C342" s="7"/>
      <c r="D342" s="7"/>
      <c r="E342" s="7"/>
      <c r="F342" s="7"/>
      <c r="G342" s="7"/>
      <c r="H342" s="7"/>
      <c r="I342" s="7"/>
      <c r="J342" s="7"/>
      <c r="K342" s="7"/>
      <c r="L342" s="7"/>
      <c r="M342" s="246"/>
      <c r="N342" s="7"/>
      <c r="O342" s="7"/>
      <c r="P342" s="7"/>
      <c r="Q342" s="7"/>
      <c r="R342" s="7"/>
      <c r="S342" s="7"/>
      <c r="T342" s="7"/>
      <c r="U342" s="7"/>
      <c r="V342" s="7"/>
      <c r="W342" s="7"/>
      <c r="X342" s="7"/>
    </row>
    <row r="343" spans="1:24" ht="19.5" customHeight="1">
      <c r="A343" s="7"/>
      <c r="B343" s="7"/>
      <c r="C343" s="7"/>
      <c r="D343" s="7"/>
      <c r="E343" s="7"/>
      <c r="F343" s="7"/>
      <c r="G343" s="7"/>
      <c r="H343" s="7"/>
      <c r="I343" s="7"/>
      <c r="J343" s="7"/>
      <c r="K343" s="7"/>
      <c r="L343" s="7"/>
      <c r="M343" s="246"/>
      <c r="N343" s="7"/>
      <c r="O343" s="7"/>
      <c r="P343" s="7"/>
      <c r="Q343" s="7"/>
      <c r="R343" s="7"/>
      <c r="S343" s="7"/>
      <c r="T343" s="7"/>
      <c r="U343" s="7"/>
      <c r="V343" s="7"/>
      <c r="W343" s="7"/>
      <c r="X343" s="7"/>
    </row>
    <row r="344" spans="1:24" ht="19.5" customHeight="1">
      <c r="A344" s="7"/>
      <c r="B344" s="7"/>
      <c r="C344" s="7"/>
      <c r="D344" s="7"/>
      <c r="E344" s="7"/>
      <c r="F344" s="7"/>
      <c r="G344" s="7"/>
      <c r="H344" s="7"/>
      <c r="I344" s="7"/>
      <c r="J344" s="7"/>
      <c r="K344" s="7"/>
      <c r="L344" s="7"/>
      <c r="M344" s="246"/>
      <c r="N344" s="7"/>
      <c r="O344" s="7"/>
      <c r="P344" s="7"/>
      <c r="Q344" s="7"/>
      <c r="R344" s="7"/>
      <c r="S344" s="7"/>
      <c r="T344" s="7"/>
      <c r="U344" s="7"/>
      <c r="V344" s="7"/>
      <c r="W344" s="7"/>
      <c r="X344" s="7"/>
    </row>
    <row r="345" spans="1:24" ht="19.5" customHeight="1">
      <c r="A345" s="7"/>
      <c r="B345" s="7"/>
      <c r="C345" s="7"/>
      <c r="D345" s="7"/>
      <c r="E345" s="7"/>
      <c r="F345" s="7"/>
      <c r="G345" s="7"/>
      <c r="H345" s="7"/>
      <c r="I345" s="7"/>
      <c r="J345" s="7"/>
      <c r="K345" s="7"/>
      <c r="L345" s="7"/>
      <c r="M345" s="246"/>
      <c r="N345" s="7"/>
      <c r="O345" s="7"/>
      <c r="P345" s="7"/>
      <c r="Q345" s="7"/>
      <c r="R345" s="7"/>
      <c r="S345" s="7"/>
      <c r="T345" s="7"/>
      <c r="U345" s="7"/>
      <c r="V345" s="7"/>
      <c r="W345" s="7"/>
      <c r="X345" s="7"/>
    </row>
    <row r="346" spans="1:24" ht="19.5" customHeight="1">
      <c r="A346" s="7"/>
      <c r="B346" s="7"/>
      <c r="C346" s="7"/>
      <c r="D346" s="7"/>
      <c r="E346" s="7"/>
      <c r="F346" s="7"/>
      <c r="G346" s="7"/>
      <c r="H346" s="7"/>
      <c r="I346" s="7"/>
      <c r="J346" s="7"/>
      <c r="K346" s="7"/>
      <c r="L346" s="7"/>
      <c r="M346" s="246"/>
      <c r="N346" s="7"/>
      <c r="O346" s="7"/>
      <c r="P346" s="7"/>
      <c r="Q346" s="7"/>
      <c r="R346" s="7"/>
      <c r="S346" s="7"/>
      <c r="T346" s="7"/>
      <c r="U346" s="7"/>
      <c r="V346" s="7"/>
      <c r="W346" s="7"/>
      <c r="X346" s="7"/>
    </row>
    <row r="347" spans="1:24" ht="19.5" customHeight="1">
      <c r="A347" s="7"/>
      <c r="B347" s="7"/>
      <c r="C347" s="7"/>
      <c r="D347" s="7"/>
      <c r="E347" s="7"/>
      <c r="F347" s="7"/>
      <c r="G347" s="7"/>
      <c r="H347" s="7"/>
      <c r="I347" s="7"/>
      <c r="J347" s="7"/>
      <c r="K347" s="7"/>
      <c r="L347" s="7"/>
      <c r="M347" s="246"/>
      <c r="N347" s="7"/>
      <c r="O347" s="7"/>
      <c r="P347" s="7"/>
      <c r="Q347" s="7"/>
      <c r="R347" s="7"/>
      <c r="S347" s="7"/>
      <c r="T347" s="7"/>
      <c r="U347" s="7"/>
      <c r="V347" s="7"/>
      <c r="W347" s="7"/>
      <c r="X347" s="7"/>
    </row>
    <row r="348" spans="1:24" ht="19.5" customHeight="1">
      <c r="A348" s="7"/>
      <c r="B348" s="7"/>
      <c r="C348" s="7"/>
      <c r="D348" s="7"/>
      <c r="E348" s="7"/>
      <c r="F348" s="7"/>
      <c r="G348" s="7"/>
      <c r="H348" s="7"/>
      <c r="I348" s="7"/>
      <c r="J348" s="7"/>
      <c r="K348" s="7"/>
      <c r="L348" s="7"/>
      <c r="M348" s="246"/>
      <c r="N348" s="7"/>
      <c r="O348" s="7"/>
      <c r="P348" s="7"/>
      <c r="Q348" s="7"/>
      <c r="R348" s="7"/>
      <c r="S348" s="7"/>
      <c r="T348" s="7"/>
      <c r="U348" s="7"/>
      <c r="V348" s="7"/>
      <c r="W348" s="7"/>
      <c r="X348" s="7"/>
    </row>
    <row r="349" spans="1:24" ht="19.5" customHeight="1">
      <c r="A349" s="7"/>
      <c r="B349" s="7"/>
      <c r="C349" s="7"/>
      <c r="D349" s="7"/>
      <c r="E349" s="7"/>
      <c r="F349" s="7"/>
      <c r="G349" s="7"/>
      <c r="H349" s="7"/>
      <c r="I349" s="7"/>
      <c r="J349" s="7"/>
      <c r="K349" s="7"/>
      <c r="L349" s="7"/>
      <c r="M349" s="246"/>
      <c r="N349" s="7"/>
      <c r="O349" s="7"/>
      <c r="P349" s="7"/>
      <c r="Q349" s="7"/>
      <c r="R349" s="7"/>
      <c r="S349" s="7"/>
      <c r="T349" s="7"/>
      <c r="U349" s="7"/>
      <c r="V349" s="7"/>
      <c r="W349" s="7"/>
      <c r="X349" s="7"/>
    </row>
    <row r="350" spans="1:24" ht="19.5" customHeight="1">
      <c r="A350" s="7"/>
      <c r="B350" s="7"/>
      <c r="C350" s="7"/>
      <c r="D350" s="7"/>
      <c r="E350" s="7"/>
      <c r="F350" s="7"/>
      <c r="G350" s="7"/>
      <c r="H350" s="7"/>
      <c r="I350" s="7"/>
      <c r="J350" s="7"/>
      <c r="K350" s="7"/>
      <c r="L350" s="7"/>
      <c r="M350" s="246"/>
      <c r="N350" s="7"/>
      <c r="O350" s="7"/>
      <c r="P350" s="7"/>
      <c r="Q350" s="7"/>
      <c r="R350" s="7"/>
      <c r="S350" s="7"/>
      <c r="T350" s="7"/>
      <c r="U350" s="7"/>
      <c r="V350" s="7"/>
      <c r="W350" s="7"/>
      <c r="X350" s="7"/>
    </row>
    <row r="351" spans="1:24" ht="19.5" customHeight="1">
      <c r="A351" s="7"/>
      <c r="B351" s="7"/>
      <c r="C351" s="7"/>
      <c r="D351" s="7"/>
      <c r="E351" s="7"/>
      <c r="F351" s="7"/>
      <c r="G351" s="7"/>
      <c r="H351" s="7"/>
      <c r="I351" s="7"/>
      <c r="J351" s="7"/>
      <c r="K351" s="7"/>
      <c r="L351" s="7"/>
      <c r="M351" s="246"/>
      <c r="N351" s="7"/>
      <c r="O351" s="7"/>
      <c r="P351" s="7"/>
      <c r="Q351" s="7"/>
      <c r="R351" s="7"/>
      <c r="S351" s="7"/>
      <c r="T351" s="7"/>
      <c r="U351" s="7"/>
      <c r="V351" s="7"/>
      <c r="W351" s="7"/>
      <c r="X351" s="7"/>
    </row>
    <row r="352" spans="1:24" ht="19.5" customHeight="1">
      <c r="A352" s="7"/>
      <c r="B352" s="7"/>
      <c r="C352" s="7"/>
      <c r="D352" s="7"/>
      <c r="E352" s="7"/>
      <c r="F352" s="7"/>
      <c r="G352" s="7"/>
      <c r="H352" s="7"/>
      <c r="I352" s="7"/>
      <c r="J352" s="7"/>
      <c r="K352" s="7"/>
      <c r="L352" s="7"/>
      <c r="M352" s="246"/>
      <c r="N352" s="7"/>
      <c r="O352" s="7"/>
      <c r="P352" s="7"/>
      <c r="Q352" s="7"/>
      <c r="R352" s="7"/>
      <c r="S352" s="7"/>
      <c r="T352" s="7"/>
      <c r="U352" s="7"/>
      <c r="V352" s="7"/>
      <c r="W352" s="7"/>
      <c r="X352" s="7"/>
    </row>
    <row r="353" spans="1:24" ht="19.5" customHeight="1">
      <c r="A353" s="7"/>
      <c r="B353" s="7"/>
      <c r="C353" s="7"/>
      <c r="D353" s="7"/>
      <c r="E353" s="7"/>
      <c r="F353" s="7"/>
      <c r="G353" s="7"/>
      <c r="H353" s="7"/>
      <c r="I353" s="7"/>
      <c r="J353" s="7"/>
      <c r="K353" s="7"/>
      <c r="L353" s="7"/>
      <c r="M353" s="246"/>
      <c r="N353" s="7"/>
      <c r="O353" s="7"/>
      <c r="P353" s="7"/>
      <c r="Q353" s="7"/>
      <c r="R353" s="7"/>
      <c r="S353" s="7"/>
      <c r="T353" s="7"/>
      <c r="U353" s="7"/>
      <c r="V353" s="7"/>
      <c r="W353" s="7"/>
      <c r="X353" s="7"/>
    </row>
    <row r="354" spans="1:24" ht="19.5" customHeight="1">
      <c r="A354" s="7"/>
      <c r="B354" s="7"/>
      <c r="C354" s="7"/>
      <c r="D354" s="7"/>
      <c r="E354" s="7"/>
      <c r="F354" s="7"/>
      <c r="G354" s="7"/>
      <c r="H354" s="7"/>
      <c r="I354" s="7"/>
      <c r="J354" s="7"/>
      <c r="K354" s="7"/>
      <c r="L354" s="7"/>
      <c r="M354" s="246"/>
      <c r="N354" s="7"/>
      <c r="O354" s="7"/>
      <c r="P354" s="7"/>
      <c r="Q354" s="7"/>
      <c r="R354" s="7"/>
      <c r="S354" s="7"/>
      <c r="T354" s="7"/>
      <c r="U354" s="7"/>
      <c r="V354" s="7"/>
      <c r="W354" s="7"/>
      <c r="X354" s="7"/>
    </row>
    <row r="355" spans="1:24" ht="19.5" customHeight="1">
      <c r="A355" s="7"/>
      <c r="B355" s="7"/>
      <c r="C355" s="7"/>
      <c r="D355" s="7"/>
      <c r="E355" s="7"/>
      <c r="F355" s="7"/>
      <c r="G355" s="7"/>
      <c r="H355" s="7"/>
      <c r="I355" s="7"/>
      <c r="J355" s="7"/>
      <c r="K355" s="7"/>
      <c r="L355" s="7"/>
      <c r="M355" s="246"/>
      <c r="N355" s="7"/>
      <c r="O355" s="7"/>
      <c r="P355" s="7"/>
      <c r="Q355" s="7"/>
      <c r="R355" s="7"/>
      <c r="S355" s="7"/>
      <c r="T355" s="7"/>
      <c r="U355" s="7"/>
      <c r="V355" s="7"/>
      <c r="W355" s="7"/>
      <c r="X355" s="7"/>
    </row>
    <row r="356" spans="1:24" ht="19.5" customHeight="1">
      <c r="A356" s="7"/>
      <c r="B356" s="7"/>
      <c r="C356" s="7"/>
      <c r="D356" s="7"/>
      <c r="E356" s="7"/>
      <c r="F356" s="7"/>
      <c r="G356" s="7"/>
      <c r="H356" s="7"/>
      <c r="I356" s="7"/>
      <c r="J356" s="7"/>
      <c r="K356" s="7"/>
      <c r="L356" s="7"/>
      <c r="M356" s="246"/>
      <c r="N356" s="7"/>
      <c r="O356" s="7"/>
      <c r="P356" s="7"/>
      <c r="Q356" s="7"/>
      <c r="R356" s="7"/>
      <c r="S356" s="7"/>
      <c r="T356" s="7"/>
      <c r="U356" s="7"/>
      <c r="V356" s="7"/>
      <c r="W356" s="7"/>
      <c r="X356" s="7"/>
    </row>
    <row r="357" spans="1:24" ht="19.5" customHeight="1">
      <c r="A357" s="7"/>
      <c r="B357" s="7"/>
      <c r="C357" s="7"/>
      <c r="D357" s="7"/>
      <c r="E357" s="7"/>
      <c r="F357" s="7"/>
      <c r="G357" s="7"/>
      <c r="H357" s="7"/>
      <c r="I357" s="7"/>
      <c r="J357" s="7"/>
      <c r="K357" s="7"/>
      <c r="L357" s="7"/>
      <c r="M357" s="246"/>
      <c r="N357" s="7"/>
      <c r="O357" s="7"/>
      <c r="P357" s="7"/>
      <c r="Q357" s="7"/>
      <c r="R357" s="7"/>
      <c r="S357" s="7"/>
      <c r="T357" s="7"/>
      <c r="U357" s="7"/>
      <c r="V357" s="7"/>
      <c r="W357" s="7"/>
      <c r="X357" s="7"/>
    </row>
    <row r="358" spans="1:24" ht="19.5" customHeight="1">
      <c r="A358" s="7"/>
      <c r="B358" s="7"/>
      <c r="C358" s="7"/>
      <c r="D358" s="7"/>
      <c r="E358" s="7"/>
      <c r="F358" s="7"/>
      <c r="G358" s="7"/>
      <c r="H358" s="7"/>
      <c r="I358" s="7"/>
      <c r="J358" s="7"/>
      <c r="K358" s="7"/>
      <c r="L358" s="7"/>
      <c r="M358" s="246"/>
      <c r="N358" s="7"/>
      <c r="O358" s="7"/>
      <c r="P358" s="7"/>
      <c r="Q358" s="7"/>
      <c r="R358" s="7"/>
      <c r="S358" s="7"/>
      <c r="T358" s="7"/>
      <c r="U358" s="7"/>
      <c r="V358" s="7"/>
      <c r="W358" s="7"/>
      <c r="X358" s="7"/>
    </row>
    <row r="359" spans="1:24" ht="19.5" customHeight="1">
      <c r="A359" s="7"/>
      <c r="B359" s="7"/>
      <c r="C359" s="7"/>
      <c r="D359" s="7"/>
      <c r="E359" s="7"/>
      <c r="F359" s="7"/>
      <c r="G359" s="7"/>
      <c r="H359" s="7"/>
      <c r="I359" s="7"/>
      <c r="J359" s="7"/>
      <c r="K359" s="7"/>
      <c r="L359" s="7"/>
      <c r="M359" s="246"/>
      <c r="N359" s="7"/>
      <c r="O359" s="7"/>
      <c r="P359" s="7"/>
      <c r="Q359" s="7"/>
      <c r="R359" s="7"/>
      <c r="S359" s="7"/>
      <c r="T359" s="7"/>
      <c r="U359" s="7"/>
      <c r="V359" s="7"/>
      <c r="W359" s="7"/>
      <c r="X359" s="7"/>
    </row>
    <row r="360" spans="1:24" ht="19.5" customHeight="1">
      <c r="A360" s="7"/>
      <c r="B360" s="7"/>
      <c r="C360" s="7"/>
      <c r="D360" s="7"/>
      <c r="E360" s="7"/>
      <c r="F360" s="7"/>
      <c r="G360" s="7"/>
      <c r="H360" s="7"/>
      <c r="I360" s="7"/>
      <c r="J360" s="7"/>
      <c r="K360" s="7"/>
      <c r="L360" s="7"/>
      <c r="M360" s="246"/>
      <c r="N360" s="7"/>
      <c r="O360" s="7"/>
      <c r="P360" s="7"/>
      <c r="Q360" s="7"/>
      <c r="R360" s="7"/>
      <c r="S360" s="7"/>
      <c r="T360" s="7"/>
      <c r="U360" s="7"/>
      <c r="V360" s="7"/>
      <c r="W360" s="7"/>
      <c r="X360" s="7"/>
    </row>
    <row r="361" spans="1:24" ht="19.5" customHeight="1">
      <c r="A361" s="7"/>
      <c r="B361" s="7"/>
      <c r="C361" s="7"/>
      <c r="D361" s="7"/>
      <c r="E361" s="7"/>
      <c r="F361" s="7"/>
      <c r="G361" s="7"/>
      <c r="H361" s="7"/>
      <c r="I361" s="7"/>
      <c r="J361" s="7"/>
      <c r="K361" s="7"/>
      <c r="L361" s="7"/>
      <c r="M361" s="246"/>
      <c r="N361" s="7"/>
      <c r="O361" s="7"/>
      <c r="P361" s="7"/>
      <c r="Q361" s="7"/>
      <c r="R361" s="7"/>
      <c r="S361" s="7"/>
      <c r="T361" s="7"/>
      <c r="U361" s="7"/>
      <c r="V361" s="7"/>
      <c r="W361" s="7"/>
      <c r="X361" s="7"/>
    </row>
    <row r="362" spans="1:24" ht="19.5" customHeight="1">
      <c r="A362" s="7"/>
      <c r="B362" s="7"/>
      <c r="C362" s="7"/>
      <c r="D362" s="7"/>
      <c r="E362" s="7"/>
      <c r="F362" s="7"/>
      <c r="G362" s="7"/>
      <c r="H362" s="7"/>
      <c r="I362" s="7"/>
      <c r="J362" s="7"/>
      <c r="K362" s="7"/>
      <c r="L362" s="7"/>
      <c r="M362" s="246"/>
      <c r="N362" s="7"/>
      <c r="O362" s="7"/>
      <c r="P362" s="7"/>
      <c r="Q362" s="7"/>
      <c r="R362" s="7"/>
      <c r="S362" s="7"/>
      <c r="T362" s="7"/>
      <c r="U362" s="7"/>
      <c r="V362" s="7"/>
      <c r="W362" s="7"/>
      <c r="X362" s="7"/>
    </row>
    <row r="363" spans="1:24" ht="19.5" customHeight="1">
      <c r="A363" s="7"/>
      <c r="B363" s="7"/>
      <c r="C363" s="7"/>
      <c r="D363" s="7"/>
      <c r="E363" s="7"/>
      <c r="F363" s="7"/>
      <c r="G363" s="7"/>
      <c r="H363" s="7"/>
      <c r="I363" s="7"/>
      <c r="J363" s="7"/>
      <c r="K363" s="7"/>
      <c r="L363" s="7"/>
      <c r="M363" s="246"/>
      <c r="N363" s="7"/>
      <c r="O363" s="7"/>
      <c r="P363" s="7"/>
      <c r="Q363" s="7"/>
      <c r="R363" s="7"/>
      <c r="S363" s="7"/>
      <c r="T363" s="7"/>
      <c r="U363" s="7"/>
      <c r="V363" s="7"/>
      <c r="W363" s="7"/>
      <c r="X363" s="7"/>
    </row>
    <row r="364" spans="1:24" ht="19.5" customHeight="1">
      <c r="A364" s="7"/>
      <c r="B364" s="7"/>
      <c r="C364" s="7"/>
      <c r="D364" s="7"/>
      <c r="E364" s="7"/>
      <c r="F364" s="7"/>
      <c r="G364" s="7"/>
      <c r="H364" s="7"/>
      <c r="I364" s="7"/>
      <c r="J364" s="7"/>
      <c r="K364" s="7"/>
      <c r="L364" s="7"/>
      <c r="M364" s="246"/>
      <c r="N364" s="7"/>
      <c r="O364" s="7"/>
      <c r="P364" s="7"/>
      <c r="Q364" s="7"/>
      <c r="R364" s="7"/>
      <c r="S364" s="7"/>
      <c r="T364" s="7"/>
      <c r="U364" s="7"/>
      <c r="V364" s="7"/>
      <c r="W364" s="7"/>
      <c r="X364" s="7"/>
    </row>
    <row r="365" spans="1:24" ht="19.5" customHeight="1">
      <c r="A365" s="7"/>
      <c r="B365" s="7"/>
      <c r="C365" s="7"/>
      <c r="D365" s="7"/>
      <c r="E365" s="7"/>
      <c r="F365" s="7"/>
      <c r="G365" s="7"/>
      <c r="H365" s="7"/>
      <c r="I365" s="7"/>
      <c r="J365" s="7"/>
      <c r="K365" s="7"/>
      <c r="L365" s="7"/>
      <c r="M365" s="246"/>
      <c r="N365" s="7"/>
      <c r="O365" s="7"/>
      <c r="P365" s="7"/>
      <c r="Q365" s="7"/>
      <c r="R365" s="7"/>
      <c r="S365" s="7"/>
      <c r="T365" s="7"/>
      <c r="U365" s="7"/>
      <c r="V365" s="7"/>
      <c r="W365" s="7"/>
      <c r="X365" s="7"/>
    </row>
    <row r="366" spans="1:24" ht="19.5" customHeight="1">
      <c r="A366" s="7"/>
      <c r="B366" s="7"/>
      <c r="C366" s="7"/>
      <c r="D366" s="7"/>
      <c r="E366" s="7"/>
      <c r="F366" s="7"/>
      <c r="G366" s="7"/>
      <c r="H366" s="7"/>
      <c r="I366" s="7"/>
      <c r="J366" s="7"/>
      <c r="K366" s="7"/>
      <c r="L366" s="7"/>
      <c r="M366" s="246"/>
      <c r="N366" s="7"/>
      <c r="O366" s="7"/>
      <c r="P366" s="7"/>
      <c r="Q366" s="7"/>
      <c r="R366" s="7"/>
      <c r="S366" s="7"/>
      <c r="T366" s="7"/>
      <c r="U366" s="7"/>
      <c r="V366" s="7"/>
      <c r="W366" s="7"/>
      <c r="X366" s="7"/>
    </row>
    <row r="367" spans="1:24" ht="19.5" customHeight="1">
      <c r="A367" s="7"/>
      <c r="B367" s="7"/>
      <c r="C367" s="7"/>
      <c r="D367" s="7"/>
      <c r="E367" s="7"/>
      <c r="F367" s="7"/>
      <c r="G367" s="7"/>
      <c r="H367" s="7"/>
      <c r="I367" s="7"/>
      <c r="J367" s="7"/>
      <c r="K367" s="7"/>
      <c r="L367" s="7"/>
      <c r="M367" s="246"/>
      <c r="N367" s="7"/>
      <c r="O367" s="7"/>
      <c r="P367" s="7"/>
      <c r="Q367" s="7"/>
      <c r="R367" s="7"/>
      <c r="S367" s="7"/>
      <c r="T367" s="7"/>
      <c r="U367" s="7"/>
      <c r="V367" s="7"/>
      <c r="W367" s="7"/>
      <c r="X367" s="7"/>
    </row>
    <row r="368" spans="1:24" ht="19.5" customHeight="1">
      <c r="A368" s="7"/>
      <c r="B368" s="7"/>
      <c r="C368" s="7"/>
      <c r="D368" s="7"/>
      <c r="E368" s="7"/>
      <c r="F368" s="7"/>
      <c r="G368" s="7"/>
      <c r="H368" s="7"/>
      <c r="I368" s="7"/>
      <c r="J368" s="7"/>
      <c r="K368" s="7"/>
      <c r="L368" s="7"/>
      <c r="M368" s="246"/>
      <c r="N368" s="7"/>
      <c r="O368" s="7"/>
      <c r="P368" s="7"/>
      <c r="Q368" s="7"/>
      <c r="R368" s="7"/>
      <c r="S368" s="7"/>
      <c r="T368" s="7"/>
      <c r="U368" s="7"/>
      <c r="V368" s="7"/>
      <c r="W368" s="7"/>
      <c r="X368" s="7"/>
    </row>
    <row r="369" spans="1:24" ht="19.5" customHeight="1">
      <c r="A369" s="7"/>
      <c r="B369" s="7"/>
      <c r="C369" s="7"/>
      <c r="D369" s="7"/>
      <c r="E369" s="7"/>
      <c r="F369" s="7"/>
      <c r="G369" s="7"/>
      <c r="H369" s="7"/>
      <c r="I369" s="7"/>
      <c r="J369" s="7"/>
      <c r="K369" s="7"/>
      <c r="L369" s="7"/>
      <c r="M369" s="246"/>
      <c r="N369" s="7"/>
      <c r="O369" s="7"/>
      <c r="P369" s="7"/>
      <c r="Q369" s="7"/>
      <c r="R369" s="7"/>
      <c r="S369" s="7"/>
      <c r="T369" s="7"/>
      <c r="U369" s="7"/>
      <c r="V369" s="7"/>
      <c r="W369" s="7"/>
      <c r="X369" s="7"/>
    </row>
    <row r="370" spans="1:24" ht="19.5" customHeight="1">
      <c r="A370" s="7"/>
      <c r="B370" s="7"/>
      <c r="C370" s="7"/>
      <c r="D370" s="7"/>
      <c r="E370" s="7"/>
      <c r="F370" s="7"/>
      <c r="G370" s="7"/>
      <c r="H370" s="7"/>
      <c r="I370" s="7"/>
      <c r="J370" s="7"/>
      <c r="K370" s="7"/>
      <c r="L370" s="7"/>
      <c r="M370" s="246"/>
      <c r="N370" s="7"/>
      <c r="O370" s="7"/>
      <c r="P370" s="7"/>
      <c r="Q370" s="7"/>
      <c r="R370" s="7"/>
      <c r="S370" s="7"/>
      <c r="T370" s="7"/>
      <c r="U370" s="7"/>
      <c r="V370" s="7"/>
      <c r="W370" s="7"/>
      <c r="X370" s="7"/>
    </row>
    <row r="371" spans="1:24" ht="19.5" customHeight="1">
      <c r="A371" s="7"/>
      <c r="B371" s="7"/>
      <c r="C371" s="7"/>
      <c r="D371" s="7"/>
      <c r="E371" s="7"/>
      <c r="F371" s="7"/>
      <c r="G371" s="7"/>
      <c r="H371" s="7"/>
      <c r="I371" s="7"/>
      <c r="J371" s="7"/>
      <c r="K371" s="7"/>
      <c r="L371" s="7"/>
      <c r="M371" s="246"/>
      <c r="N371" s="7"/>
      <c r="O371" s="7"/>
      <c r="P371" s="7"/>
      <c r="Q371" s="7"/>
      <c r="R371" s="7"/>
      <c r="S371" s="7"/>
      <c r="T371" s="7"/>
      <c r="U371" s="7"/>
      <c r="V371" s="7"/>
      <c r="W371" s="7"/>
      <c r="X371" s="7"/>
    </row>
    <row r="372" spans="1:24" ht="19.5" customHeight="1">
      <c r="A372" s="7"/>
      <c r="B372" s="7"/>
      <c r="C372" s="7"/>
      <c r="D372" s="7"/>
      <c r="E372" s="7"/>
      <c r="F372" s="7"/>
      <c r="G372" s="7"/>
      <c r="H372" s="7"/>
      <c r="I372" s="7"/>
      <c r="J372" s="7"/>
      <c r="K372" s="7"/>
      <c r="L372" s="7"/>
      <c r="M372" s="246"/>
      <c r="N372" s="7"/>
      <c r="O372" s="7"/>
      <c r="P372" s="7"/>
      <c r="Q372" s="7"/>
      <c r="R372" s="7"/>
      <c r="S372" s="7"/>
      <c r="T372" s="7"/>
      <c r="U372" s="7"/>
      <c r="V372" s="7"/>
      <c r="W372" s="7"/>
      <c r="X372" s="7"/>
    </row>
    <row r="373" spans="1:24" ht="19.5" customHeight="1">
      <c r="A373" s="7"/>
      <c r="B373" s="7"/>
      <c r="C373" s="7"/>
      <c r="D373" s="7"/>
      <c r="E373" s="7"/>
      <c r="F373" s="7"/>
      <c r="G373" s="7"/>
      <c r="H373" s="7"/>
      <c r="I373" s="7"/>
      <c r="J373" s="7"/>
      <c r="K373" s="7"/>
      <c r="L373" s="7"/>
      <c r="M373" s="246"/>
      <c r="N373" s="7"/>
      <c r="O373" s="7"/>
      <c r="P373" s="7"/>
      <c r="Q373" s="7"/>
      <c r="R373" s="7"/>
      <c r="S373" s="7"/>
      <c r="T373" s="7"/>
      <c r="U373" s="7"/>
      <c r="V373" s="7"/>
      <c r="W373" s="7"/>
      <c r="X373" s="7"/>
    </row>
    <row r="374" spans="1:24" ht="19.5" customHeight="1">
      <c r="A374" s="7"/>
      <c r="B374" s="7"/>
      <c r="C374" s="7"/>
      <c r="D374" s="7"/>
      <c r="E374" s="7"/>
      <c r="F374" s="7"/>
      <c r="G374" s="7"/>
      <c r="H374" s="7"/>
      <c r="I374" s="7"/>
      <c r="J374" s="7"/>
      <c r="K374" s="7"/>
      <c r="L374" s="7"/>
      <c r="M374" s="246"/>
      <c r="N374" s="7"/>
      <c r="O374" s="7"/>
      <c r="P374" s="7"/>
      <c r="Q374" s="7"/>
      <c r="R374" s="7"/>
      <c r="S374" s="7"/>
      <c r="T374" s="7"/>
      <c r="U374" s="7"/>
      <c r="V374" s="7"/>
      <c r="W374" s="7"/>
      <c r="X374" s="7"/>
    </row>
    <row r="375" spans="1:24" ht="19.5" customHeight="1">
      <c r="A375" s="7"/>
      <c r="B375" s="7"/>
      <c r="C375" s="7"/>
      <c r="D375" s="7"/>
      <c r="E375" s="7"/>
      <c r="F375" s="7"/>
      <c r="G375" s="7"/>
      <c r="H375" s="7"/>
      <c r="I375" s="7"/>
      <c r="J375" s="7"/>
      <c r="K375" s="7"/>
      <c r="L375" s="7"/>
      <c r="M375" s="246"/>
      <c r="N375" s="7"/>
      <c r="O375" s="7"/>
      <c r="P375" s="7"/>
      <c r="Q375" s="7"/>
      <c r="R375" s="7"/>
      <c r="S375" s="7"/>
      <c r="T375" s="7"/>
      <c r="U375" s="7"/>
      <c r="V375" s="7"/>
      <c r="W375" s="7"/>
      <c r="X375" s="7"/>
    </row>
    <row r="376" spans="1:24" ht="19.5" customHeight="1">
      <c r="A376" s="7"/>
      <c r="B376" s="7"/>
      <c r="C376" s="7"/>
      <c r="D376" s="7"/>
      <c r="E376" s="7"/>
      <c r="F376" s="7"/>
      <c r="G376" s="7"/>
      <c r="H376" s="7"/>
      <c r="I376" s="7"/>
      <c r="J376" s="7"/>
      <c r="K376" s="7"/>
      <c r="L376" s="7"/>
      <c r="M376" s="246"/>
      <c r="N376" s="7"/>
      <c r="O376" s="7"/>
      <c r="P376" s="7"/>
      <c r="Q376" s="7"/>
      <c r="R376" s="7"/>
      <c r="S376" s="7"/>
      <c r="T376" s="7"/>
      <c r="U376" s="7"/>
      <c r="V376" s="7"/>
      <c r="W376" s="7"/>
      <c r="X376" s="7"/>
    </row>
    <row r="377" spans="1:24" ht="19.5" customHeight="1">
      <c r="A377" s="7"/>
      <c r="B377" s="7"/>
      <c r="C377" s="7"/>
      <c r="D377" s="7"/>
      <c r="E377" s="7"/>
      <c r="F377" s="7"/>
      <c r="G377" s="7"/>
      <c r="H377" s="7"/>
      <c r="I377" s="7"/>
      <c r="J377" s="7"/>
      <c r="K377" s="7"/>
      <c r="L377" s="7"/>
      <c r="M377" s="246"/>
      <c r="N377" s="7"/>
      <c r="O377" s="7"/>
      <c r="P377" s="7"/>
      <c r="Q377" s="7"/>
      <c r="R377" s="7"/>
      <c r="S377" s="7"/>
      <c r="T377" s="7"/>
      <c r="U377" s="7"/>
      <c r="V377" s="7"/>
      <c r="W377" s="7"/>
      <c r="X377" s="7"/>
    </row>
    <row r="378" spans="1:24" ht="19.5" customHeight="1">
      <c r="A378" s="7"/>
      <c r="B378" s="7"/>
      <c r="C378" s="7"/>
      <c r="D378" s="7"/>
      <c r="E378" s="7"/>
      <c r="F378" s="7"/>
      <c r="G378" s="7"/>
      <c r="H378" s="7"/>
      <c r="I378" s="7"/>
      <c r="J378" s="7"/>
      <c r="K378" s="7"/>
      <c r="L378" s="7"/>
      <c r="M378" s="246"/>
      <c r="N378" s="7"/>
      <c r="O378" s="7"/>
      <c r="P378" s="7"/>
      <c r="Q378" s="7"/>
      <c r="R378" s="7"/>
      <c r="S378" s="7"/>
      <c r="T378" s="7"/>
      <c r="U378" s="7"/>
      <c r="V378" s="7"/>
      <c r="W378" s="7"/>
      <c r="X378" s="7"/>
    </row>
    <row r="379" spans="1:24" ht="19.5" customHeight="1">
      <c r="A379" s="7"/>
      <c r="B379" s="7"/>
      <c r="C379" s="7"/>
      <c r="D379" s="7"/>
      <c r="E379" s="7"/>
      <c r="F379" s="7"/>
      <c r="G379" s="7"/>
      <c r="H379" s="7"/>
      <c r="I379" s="7"/>
      <c r="J379" s="7"/>
      <c r="K379" s="7"/>
      <c r="L379" s="7"/>
      <c r="M379" s="246"/>
      <c r="N379" s="7"/>
      <c r="O379" s="7"/>
      <c r="P379" s="7"/>
      <c r="Q379" s="7"/>
      <c r="R379" s="7"/>
      <c r="S379" s="7"/>
      <c r="T379" s="7"/>
      <c r="U379" s="7"/>
      <c r="V379" s="7"/>
      <c r="W379" s="7"/>
      <c r="X379" s="7"/>
    </row>
    <row r="380" spans="1:24" ht="19.5" customHeight="1">
      <c r="A380" s="7"/>
      <c r="B380" s="7"/>
      <c r="C380" s="7"/>
      <c r="D380" s="7"/>
      <c r="E380" s="7"/>
      <c r="F380" s="7"/>
      <c r="G380" s="7"/>
      <c r="H380" s="7"/>
      <c r="I380" s="7"/>
      <c r="J380" s="7"/>
      <c r="K380" s="7"/>
      <c r="L380" s="7"/>
      <c r="M380" s="246"/>
      <c r="N380" s="7"/>
      <c r="O380" s="7"/>
      <c r="P380" s="7"/>
      <c r="Q380" s="7"/>
      <c r="R380" s="7"/>
      <c r="S380" s="7"/>
      <c r="T380" s="7"/>
      <c r="U380" s="7"/>
      <c r="V380" s="7"/>
      <c r="W380" s="7"/>
      <c r="X380" s="7"/>
    </row>
    <row r="381" spans="1:24" ht="19.5" customHeight="1">
      <c r="A381" s="7"/>
      <c r="B381" s="7"/>
      <c r="C381" s="7"/>
      <c r="D381" s="7"/>
      <c r="E381" s="7"/>
      <c r="F381" s="7"/>
      <c r="G381" s="7"/>
      <c r="H381" s="7"/>
      <c r="I381" s="7"/>
      <c r="J381" s="7"/>
      <c r="K381" s="7"/>
      <c r="L381" s="7"/>
      <c r="M381" s="246"/>
      <c r="N381" s="7"/>
      <c r="O381" s="7"/>
      <c r="P381" s="7"/>
      <c r="Q381" s="7"/>
      <c r="R381" s="7"/>
      <c r="S381" s="7"/>
      <c r="T381" s="7"/>
      <c r="U381" s="7"/>
      <c r="V381" s="7"/>
      <c r="W381" s="7"/>
      <c r="X381" s="7"/>
    </row>
    <row r="382" spans="1:24" ht="19.5" customHeight="1">
      <c r="A382" s="7"/>
      <c r="B382" s="7"/>
      <c r="C382" s="7"/>
      <c r="D382" s="7"/>
      <c r="E382" s="7"/>
      <c r="F382" s="7"/>
      <c r="G382" s="7"/>
      <c r="H382" s="7"/>
      <c r="I382" s="7"/>
      <c r="J382" s="7"/>
      <c r="K382" s="7"/>
      <c r="L382" s="7"/>
      <c r="M382" s="246"/>
      <c r="N382" s="7"/>
      <c r="O382" s="7"/>
      <c r="P382" s="7"/>
      <c r="Q382" s="7"/>
      <c r="R382" s="7"/>
      <c r="S382" s="7"/>
      <c r="T382" s="7"/>
      <c r="U382" s="7"/>
      <c r="V382" s="7"/>
      <c r="W382" s="7"/>
      <c r="X382" s="7"/>
    </row>
    <row r="383" spans="1:24" ht="19.5" customHeight="1">
      <c r="A383" s="7"/>
      <c r="B383" s="7"/>
      <c r="C383" s="7"/>
      <c r="D383" s="7"/>
      <c r="E383" s="7"/>
      <c r="F383" s="7"/>
      <c r="G383" s="7"/>
      <c r="H383" s="7"/>
      <c r="I383" s="7"/>
      <c r="J383" s="7"/>
      <c r="K383" s="7"/>
      <c r="L383" s="7"/>
      <c r="M383" s="246"/>
      <c r="N383" s="7"/>
      <c r="O383" s="7"/>
      <c r="P383" s="7"/>
      <c r="Q383" s="7"/>
      <c r="R383" s="7"/>
      <c r="S383" s="7"/>
      <c r="T383" s="7"/>
      <c r="U383" s="7"/>
      <c r="V383" s="7"/>
      <c r="W383" s="7"/>
      <c r="X383" s="7"/>
    </row>
    <row r="384" spans="1:24" ht="19.5" customHeight="1">
      <c r="A384" s="7"/>
      <c r="B384" s="7"/>
      <c r="C384" s="7"/>
      <c r="D384" s="7"/>
      <c r="E384" s="7"/>
      <c r="F384" s="7"/>
      <c r="G384" s="7"/>
      <c r="H384" s="7"/>
      <c r="I384" s="7"/>
      <c r="J384" s="7"/>
      <c r="K384" s="7"/>
      <c r="L384" s="7"/>
      <c r="M384" s="246"/>
      <c r="N384" s="7"/>
      <c r="O384" s="7"/>
      <c r="P384" s="7"/>
      <c r="Q384" s="7"/>
      <c r="R384" s="7"/>
      <c r="S384" s="7"/>
      <c r="T384" s="7"/>
      <c r="U384" s="7"/>
      <c r="V384" s="7"/>
      <c r="W384" s="7"/>
      <c r="X384" s="7"/>
    </row>
    <row r="385" spans="1:24" ht="19.5" customHeight="1">
      <c r="A385" s="7"/>
      <c r="B385" s="7"/>
      <c r="C385" s="7"/>
      <c r="D385" s="7"/>
      <c r="E385" s="7"/>
      <c r="F385" s="7"/>
      <c r="G385" s="7"/>
      <c r="H385" s="7"/>
      <c r="I385" s="7"/>
      <c r="J385" s="7"/>
      <c r="K385" s="7"/>
      <c r="L385" s="7"/>
      <c r="M385" s="246"/>
      <c r="N385" s="7"/>
      <c r="O385" s="7"/>
      <c r="P385" s="7"/>
      <c r="Q385" s="7"/>
      <c r="R385" s="7"/>
      <c r="S385" s="7"/>
      <c r="T385" s="7"/>
      <c r="U385" s="7"/>
      <c r="V385" s="7"/>
      <c r="W385" s="7"/>
      <c r="X385" s="7"/>
    </row>
    <row r="386" spans="1:24" ht="19.5" customHeight="1">
      <c r="A386" s="7"/>
      <c r="B386" s="7"/>
      <c r="C386" s="7"/>
      <c r="D386" s="7"/>
      <c r="E386" s="7"/>
      <c r="F386" s="7"/>
      <c r="G386" s="7"/>
      <c r="H386" s="7"/>
      <c r="I386" s="7"/>
      <c r="J386" s="7"/>
      <c r="K386" s="7"/>
      <c r="L386" s="7"/>
      <c r="M386" s="246"/>
      <c r="N386" s="7"/>
      <c r="O386" s="7"/>
      <c r="P386" s="7"/>
      <c r="Q386" s="7"/>
      <c r="R386" s="7"/>
      <c r="S386" s="7"/>
      <c r="T386" s="7"/>
      <c r="U386" s="7"/>
      <c r="V386" s="7"/>
      <c r="W386" s="7"/>
      <c r="X386" s="7"/>
    </row>
    <row r="387" spans="1:24" ht="19.5" customHeight="1">
      <c r="A387" s="7"/>
      <c r="B387" s="7"/>
      <c r="C387" s="7"/>
      <c r="D387" s="7"/>
      <c r="E387" s="7"/>
      <c r="F387" s="7"/>
      <c r="G387" s="7"/>
      <c r="H387" s="7"/>
      <c r="I387" s="7"/>
      <c r="J387" s="7"/>
      <c r="K387" s="7"/>
      <c r="L387" s="7"/>
      <c r="M387" s="246"/>
      <c r="N387" s="7"/>
      <c r="O387" s="7"/>
      <c r="P387" s="7"/>
      <c r="Q387" s="7"/>
      <c r="R387" s="7"/>
      <c r="S387" s="7"/>
      <c r="T387" s="7"/>
      <c r="U387" s="7"/>
      <c r="V387" s="7"/>
      <c r="W387" s="7"/>
      <c r="X387" s="7"/>
    </row>
    <row r="388" spans="1:24" ht="19.5" customHeight="1">
      <c r="A388" s="7"/>
      <c r="B388" s="7"/>
      <c r="C388" s="7"/>
      <c r="D388" s="7"/>
      <c r="E388" s="7"/>
      <c r="F388" s="7"/>
      <c r="G388" s="7"/>
      <c r="H388" s="7"/>
      <c r="I388" s="7"/>
      <c r="J388" s="7"/>
      <c r="K388" s="7"/>
      <c r="L388" s="7"/>
      <c r="M388" s="246"/>
      <c r="N388" s="7"/>
      <c r="O388" s="7"/>
      <c r="P388" s="7"/>
      <c r="Q388" s="7"/>
      <c r="R388" s="7"/>
      <c r="S388" s="7"/>
      <c r="T388" s="7"/>
      <c r="U388" s="7"/>
      <c r="V388" s="7"/>
      <c r="W388" s="7"/>
      <c r="X388" s="7"/>
    </row>
    <row r="389" spans="1:24" ht="19.5" customHeight="1">
      <c r="A389" s="7"/>
      <c r="B389" s="7"/>
      <c r="C389" s="7"/>
      <c r="D389" s="7"/>
      <c r="E389" s="7"/>
      <c r="F389" s="7"/>
      <c r="G389" s="7"/>
      <c r="H389" s="7"/>
      <c r="I389" s="7"/>
      <c r="J389" s="7"/>
      <c r="K389" s="7"/>
      <c r="L389" s="7"/>
      <c r="M389" s="246"/>
      <c r="N389" s="7"/>
      <c r="O389" s="7"/>
      <c r="P389" s="7"/>
      <c r="Q389" s="7"/>
      <c r="R389" s="7"/>
      <c r="S389" s="7"/>
      <c r="T389" s="7"/>
      <c r="U389" s="7"/>
      <c r="V389" s="7"/>
      <c r="W389" s="7"/>
      <c r="X389" s="7"/>
    </row>
    <row r="390" spans="1:24" ht="19.5" customHeight="1">
      <c r="A390" s="7"/>
      <c r="B390" s="7"/>
      <c r="C390" s="7"/>
      <c r="D390" s="7"/>
      <c r="E390" s="7"/>
      <c r="F390" s="7"/>
      <c r="G390" s="7"/>
      <c r="H390" s="7"/>
      <c r="I390" s="7"/>
      <c r="J390" s="7"/>
      <c r="K390" s="7"/>
      <c r="L390" s="7"/>
      <c r="M390" s="246"/>
      <c r="N390" s="7"/>
      <c r="O390" s="7"/>
      <c r="P390" s="7"/>
      <c r="Q390" s="7"/>
      <c r="R390" s="7"/>
      <c r="S390" s="7"/>
      <c r="T390" s="7"/>
      <c r="U390" s="7"/>
      <c r="V390" s="7"/>
      <c r="W390" s="7"/>
      <c r="X390" s="7"/>
    </row>
    <row r="391" spans="1:24" ht="19.5" customHeight="1">
      <c r="A391" s="7"/>
      <c r="B391" s="7"/>
      <c r="C391" s="7"/>
      <c r="D391" s="7"/>
      <c r="E391" s="7"/>
      <c r="F391" s="7"/>
      <c r="G391" s="7"/>
      <c r="H391" s="7"/>
      <c r="I391" s="7"/>
      <c r="J391" s="7"/>
      <c r="K391" s="7"/>
      <c r="L391" s="7"/>
      <c r="M391" s="246"/>
      <c r="N391" s="7"/>
      <c r="O391" s="7"/>
      <c r="P391" s="7"/>
      <c r="Q391" s="7"/>
      <c r="R391" s="7"/>
      <c r="S391" s="7"/>
      <c r="T391" s="7"/>
      <c r="U391" s="7"/>
      <c r="V391" s="7"/>
      <c r="W391" s="7"/>
      <c r="X391" s="7"/>
    </row>
    <row r="392" spans="1:24" ht="19.5" customHeight="1">
      <c r="A392" s="7"/>
      <c r="B392" s="7"/>
      <c r="C392" s="7"/>
      <c r="D392" s="7"/>
      <c r="E392" s="7"/>
      <c r="F392" s="7"/>
      <c r="G392" s="7"/>
      <c r="H392" s="7"/>
      <c r="I392" s="7"/>
      <c r="J392" s="7"/>
      <c r="K392" s="7"/>
      <c r="L392" s="7"/>
      <c r="M392" s="246"/>
      <c r="N392" s="7"/>
      <c r="O392" s="7"/>
      <c r="P392" s="7"/>
      <c r="Q392" s="7"/>
      <c r="R392" s="7"/>
      <c r="S392" s="7"/>
      <c r="T392" s="7"/>
      <c r="U392" s="7"/>
      <c r="V392" s="7"/>
      <c r="W392" s="7"/>
      <c r="X392" s="7"/>
    </row>
    <row r="393" spans="1:24" ht="19.5" customHeight="1">
      <c r="A393" s="7"/>
      <c r="B393" s="7"/>
      <c r="C393" s="7"/>
      <c r="D393" s="7"/>
      <c r="E393" s="7"/>
      <c r="F393" s="7"/>
      <c r="G393" s="7"/>
      <c r="H393" s="7"/>
      <c r="I393" s="7"/>
      <c r="J393" s="7"/>
      <c r="K393" s="7"/>
      <c r="L393" s="7"/>
      <c r="M393" s="246"/>
      <c r="N393" s="7"/>
      <c r="O393" s="7"/>
      <c r="P393" s="7"/>
      <c r="Q393" s="7"/>
      <c r="R393" s="7"/>
      <c r="S393" s="7"/>
      <c r="T393" s="7"/>
      <c r="U393" s="7"/>
      <c r="V393" s="7"/>
      <c r="W393" s="7"/>
      <c r="X393" s="7"/>
    </row>
    <row r="394" spans="1:24" ht="19.5" customHeight="1">
      <c r="A394" s="7"/>
      <c r="B394" s="7"/>
      <c r="C394" s="7"/>
      <c r="D394" s="7"/>
      <c r="E394" s="7"/>
      <c r="F394" s="7"/>
      <c r="G394" s="7"/>
      <c r="H394" s="7"/>
      <c r="I394" s="7"/>
      <c r="J394" s="7"/>
      <c r="K394" s="7"/>
      <c r="L394" s="7"/>
      <c r="M394" s="246"/>
      <c r="N394" s="7"/>
      <c r="O394" s="7"/>
      <c r="P394" s="7"/>
      <c r="Q394" s="7"/>
      <c r="R394" s="7"/>
      <c r="S394" s="7"/>
      <c r="T394" s="7"/>
      <c r="U394" s="7"/>
      <c r="V394" s="7"/>
      <c r="W394" s="7"/>
      <c r="X394" s="7"/>
    </row>
    <row r="395" spans="1:24" ht="19.5" customHeight="1">
      <c r="A395" s="7"/>
      <c r="B395" s="7"/>
      <c r="C395" s="7"/>
      <c r="D395" s="7"/>
      <c r="E395" s="7"/>
      <c r="F395" s="7"/>
      <c r="G395" s="7"/>
      <c r="H395" s="7"/>
      <c r="I395" s="7"/>
      <c r="J395" s="7"/>
      <c r="K395" s="7"/>
      <c r="L395" s="7"/>
      <c r="M395" s="246"/>
      <c r="N395" s="7"/>
      <c r="O395" s="7"/>
      <c r="P395" s="7"/>
      <c r="Q395" s="7"/>
      <c r="R395" s="7"/>
      <c r="S395" s="7"/>
      <c r="T395" s="7"/>
      <c r="U395" s="7"/>
      <c r="V395" s="7"/>
      <c r="W395" s="7"/>
      <c r="X395" s="7"/>
    </row>
    <row r="396" spans="1:24" ht="19.5" customHeight="1">
      <c r="A396" s="7"/>
      <c r="B396" s="7"/>
      <c r="C396" s="7"/>
      <c r="D396" s="7"/>
      <c r="E396" s="7"/>
      <c r="F396" s="7"/>
      <c r="G396" s="7"/>
      <c r="H396" s="7"/>
      <c r="I396" s="7"/>
      <c r="J396" s="7"/>
      <c r="K396" s="7"/>
      <c r="L396" s="7"/>
      <c r="M396" s="246"/>
      <c r="N396" s="7"/>
      <c r="O396" s="7"/>
      <c r="P396" s="7"/>
      <c r="Q396" s="7"/>
      <c r="R396" s="7"/>
      <c r="S396" s="7"/>
      <c r="T396" s="7"/>
      <c r="U396" s="7"/>
      <c r="V396" s="7"/>
      <c r="W396" s="7"/>
      <c r="X396" s="7"/>
    </row>
    <row r="397" spans="1:24" ht="19.5" customHeight="1">
      <c r="A397" s="7"/>
      <c r="B397" s="7"/>
      <c r="C397" s="7"/>
      <c r="D397" s="7"/>
      <c r="E397" s="7"/>
      <c r="F397" s="7"/>
      <c r="G397" s="7"/>
      <c r="H397" s="7"/>
      <c r="I397" s="7"/>
      <c r="J397" s="7"/>
      <c r="K397" s="7"/>
      <c r="L397" s="7"/>
      <c r="M397" s="246"/>
      <c r="N397" s="7"/>
      <c r="O397" s="7"/>
      <c r="P397" s="7"/>
      <c r="Q397" s="7"/>
      <c r="R397" s="7"/>
      <c r="S397" s="7"/>
      <c r="T397" s="7"/>
      <c r="U397" s="7"/>
      <c r="V397" s="7"/>
      <c r="W397" s="7"/>
      <c r="X397" s="7"/>
    </row>
    <row r="398" spans="1:24" ht="19.5" customHeight="1">
      <c r="A398" s="7"/>
      <c r="B398" s="7"/>
      <c r="C398" s="7"/>
      <c r="D398" s="7"/>
      <c r="E398" s="7"/>
      <c r="F398" s="7"/>
      <c r="G398" s="7"/>
      <c r="H398" s="7"/>
      <c r="I398" s="7"/>
      <c r="J398" s="7"/>
      <c r="K398" s="7"/>
      <c r="L398" s="7"/>
      <c r="M398" s="246"/>
      <c r="N398" s="7"/>
      <c r="O398" s="7"/>
      <c r="P398" s="7"/>
      <c r="Q398" s="7"/>
      <c r="R398" s="7"/>
      <c r="S398" s="7"/>
      <c r="T398" s="7"/>
      <c r="U398" s="7"/>
      <c r="V398" s="7"/>
      <c r="W398" s="7"/>
      <c r="X398" s="7"/>
    </row>
    <row r="399" spans="1:24" ht="19.5" customHeight="1">
      <c r="A399" s="7"/>
      <c r="B399" s="7"/>
      <c r="C399" s="7"/>
      <c r="D399" s="7"/>
      <c r="E399" s="7"/>
      <c r="F399" s="7"/>
      <c r="G399" s="7"/>
      <c r="H399" s="7"/>
      <c r="I399" s="7"/>
      <c r="J399" s="7"/>
      <c r="K399" s="7"/>
      <c r="L399" s="7"/>
      <c r="M399" s="246"/>
      <c r="N399" s="7"/>
      <c r="O399" s="7"/>
      <c r="P399" s="7"/>
      <c r="Q399" s="7"/>
      <c r="R399" s="7"/>
      <c r="S399" s="7"/>
      <c r="T399" s="7"/>
      <c r="U399" s="7"/>
      <c r="V399" s="7"/>
      <c r="W399" s="7"/>
      <c r="X399" s="7"/>
    </row>
    <row r="400" spans="1:24" ht="19.5" customHeight="1">
      <c r="A400" s="7"/>
      <c r="B400" s="7"/>
      <c r="C400" s="7"/>
      <c r="D400" s="7"/>
      <c r="E400" s="7"/>
      <c r="F400" s="7"/>
      <c r="G400" s="7"/>
      <c r="H400" s="7"/>
      <c r="I400" s="7"/>
      <c r="J400" s="7"/>
      <c r="K400" s="7"/>
      <c r="L400" s="7"/>
      <c r="M400" s="246"/>
      <c r="N400" s="7"/>
      <c r="O400" s="7"/>
      <c r="P400" s="7"/>
      <c r="Q400" s="7"/>
      <c r="R400" s="7"/>
      <c r="S400" s="7"/>
      <c r="T400" s="7"/>
      <c r="U400" s="7"/>
      <c r="V400" s="7"/>
      <c r="W400" s="7"/>
      <c r="X400" s="7"/>
    </row>
    <row r="401" spans="1:24" ht="19.5" customHeight="1">
      <c r="A401" s="7"/>
      <c r="B401" s="7"/>
      <c r="C401" s="7"/>
      <c r="D401" s="7"/>
      <c r="E401" s="7"/>
      <c r="F401" s="7"/>
      <c r="G401" s="7"/>
      <c r="H401" s="7"/>
      <c r="I401" s="7"/>
      <c r="J401" s="7"/>
      <c r="K401" s="7"/>
      <c r="L401" s="7"/>
      <c r="M401" s="246"/>
      <c r="N401" s="7"/>
      <c r="O401" s="7"/>
      <c r="P401" s="7"/>
      <c r="Q401" s="7"/>
      <c r="R401" s="7"/>
      <c r="S401" s="7"/>
      <c r="T401" s="7"/>
      <c r="U401" s="7"/>
      <c r="V401" s="7"/>
      <c r="W401" s="7"/>
      <c r="X401" s="7"/>
    </row>
    <row r="402" spans="1:24" ht="19.5" customHeight="1">
      <c r="A402" s="7"/>
      <c r="B402" s="7"/>
      <c r="C402" s="7"/>
      <c r="D402" s="7"/>
      <c r="E402" s="7"/>
      <c r="F402" s="7"/>
      <c r="G402" s="7"/>
      <c r="H402" s="7"/>
      <c r="I402" s="7"/>
      <c r="J402" s="7"/>
      <c r="K402" s="7"/>
      <c r="L402" s="7"/>
      <c r="M402" s="246"/>
      <c r="N402" s="7"/>
      <c r="O402" s="7"/>
      <c r="P402" s="7"/>
      <c r="Q402" s="7"/>
      <c r="R402" s="7"/>
      <c r="S402" s="7"/>
      <c r="T402" s="7"/>
      <c r="U402" s="7"/>
      <c r="V402" s="7"/>
      <c r="W402" s="7"/>
      <c r="X402" s="7"/>
    </row>
    <row r="403" spans="1:24" ht="19.5" customHeight="1">
      <c r="A403" s="7"/>
      <c r="B403" s="7"/>
      <c r="C403" s="7"/>
      <c r="D403" s="7"/>
      <c r="E403" s="7"/>
      <c r="F403" s="7"/>
      <c r="G403" s="7"/>
      <c r="H403" s="7"/>
      <c r="I403" s="7"/>
      <c r="J403" s="7"/>
      <c r="K403" s="7"/>
      <c r="L403" s="7"/>
      <c r="M403" s="246"/>
      <c r="N403" s="7"/>
      <c r="O403" s="7"/>
      <c r="P403" s="7"/>
      <c r="Q403" s="7"/>
      <c r="R403" s="7"/>
      <c r="S403" s="7"/>
      <c r="T403" s="7"/>
      <c r="U403" s="7"/>
      <c r="V403" s="7"/>
      <c r="W403" s="7"/>
      <c r="X403" s="7"/>
    </row>
    <row r="404" spans="1:24" ht="19.5" customHeight="1">
      <c r="A404" s="7"/>
      <c r="B404" s="7"/>
      <c r="C404" s="7"/>
      <c r="D404" s="7"/>
      <c r="E404" s="7"/>
      <c r="F404" s="7"/>
      <c r="G404" s="7"/>
      <c r="H404" s="7"/>
      <c r="I404" s="7"/>
      <c r="J404" s="7"/>
      <c r="K404" s="7"/>
      <c r="L404" s="7"/>
      <c r="M404" s="246"/>
      <c r="N404" s="7"/>
      <c r="O404" s="7"/>
      <c r="P404" s="7"/>
      <c r="Q404" s="7"/>
      <c r="R404" s="7"/>
      <c r="S404" s="7"/>
      <c r="T404" s="7"/>
      <c r="U404" s="7"/>
      <c r="V404" s="7"/>
      <c r="W404" s="7"/>
      <c r="X404" s="7"/>
    </row>
    <row r="405" spans="1:24" ht="19.5" customHeight="1">
      <c r="A405" s="7"/>
      <c r="B405" s="7"/>
      <c r="C405" s="7"/>
      <c r="D405" s="7"/>
      <c r="E405" s="7"/>
      <c r="F405" s="7"/>
      <c r="G405" s="7"/>
      <c r="H405" s="7"/>
      <c r="I405" s="7"/>
      <c r="J405" s="7"/>
      <c r="K405" s="7"/>
      <c r="L405" s="7"/>
      <c r="M405" s="246"/>
      <c r="N405" s="7"/>
      <c r="O405" s="7"/>
      <c r="P405" s="7"/>
      <c r="Q405" s="7"/>
      <c r="R405" s="7"/>
      <c r="S405" s="7"/>
      <c r="T405" s="7"/>
      <c r="U405" s="7"/>
      <c r="V405" s="7"/>
      <c r="W405" s="7"/>
      <c r="X405" s="7"/>
    </row>
    <row r="406" spans="1:24" ht="19.5" customHeight="1">
      <c r="A406" s="7"/>
      <c r="B406" s="7"/>
      <c r="C406" s="7"/>
      <c r="D406" s="7"/>
      <c r="E406" s="7"/>
      <c r="F406" s="7"/>
      <c r="G406" s="7"/>
      <c r="H406" s="7"/>
      <c r="I406" s="7"/>
      <c r="J406" s="7"/>
      <c r="K406" s="7"/>
      <c r="L406" s="7"/>
      <c r="M406" s="246"/>
      <c r="N406" s="7"/>
      <c r="O406" s="7"/>
      <c r="P406" s="7"/>
      <c r="Q406" s="7"/>
      <c r="R406" s="7"/>
      <c r="S406" s="7"/>
      <c r="T406" s="7"/>
      <c r="U406" s="7"/>
      <c r="V406" s="7"/>
      <c r="W406" s="7"/>
      <c r="X406" s="7"/>
    </row>
    <row r="407" spans="1:24" ht="19.5" customHeight="1">
      <c r="A407" s="7"/>
      <c r="B407" s="7"/>
      <c r="C407" s="7"/>
      <c r="D407" s="7"/>
      <c r="E407" s="7"/>
      <c r="F407" s="7"/>
      <c r="G407" s="7"/>
      <c r="H407" s="7"/>
      <c r="I407" s="7"/>
      <c r="J407" s="7"/>
      <c r="K407" s="7"/>
      <c r="L407" s="7"/>
      <c r="M407" s="246"/>
      <c r="N407" s="7"/>
      <c r="O407" s="7"/>
      <c r="P407" s="7"/>
      <c r="Q407" s="7"/>
      <c r="R407" s="7"/>
      <c r="S407" s="7"/>
      <c r="T407" s="7"/>
      <c r="U407" s="7"/>
      <c r="V407" s="7"/>
      <c r="W407" s="7"/>
      <c r="X407" s="7"/>
    </row>
    <row r="408" spans="1:24" ht="19.5" customHeight="1">
      <c r="A408" s="7"/>
      <c r="B408" s="7"/>
      <c r="C408" s="7"/>
      <c r="D408" s="7"/>
      <c r="E408" s="7"/>
      <c r="F408" s="7"/>
      <c r="G408" s="7"/>
      <c r="H408" s="7"/>
      <c r="I408" s="7"/>
      <c r="J408" s="7"/>
      <c r="K408" s="7"/>
      <c r="L408" s="7"/>
      <c r="M408" s="246"/>
      <c r="N408" s="7"/>
      <c r="O408" s="7"/>
      <c r="P408" s="7"/>
      <c r="Q408" s="7"/>
      <c r="R408" s="7"/>
      <c r="S408" s="7"/>
      <c r="T408" s="7"/>
      <c r="U408" s="7"/>
      <c r="V408" s="7"/>
      <c r="W408" s="7"/>
      <c r="X408" s="7"/>
    </row>
    <row r="409" spans="1:24" ht="19.5" customHeight="1">
      <c r="A409" s="7"/>
      <c r="B409" s="7"/>
      <c r="C409" s="7"/>
      <c r="D409" s="7"/>
      <c r="E409" s="7"/>
      <c r="F409" s="7"/>
      <c r="G409" s="7"/>
      <c r="H409" s="7"/>
      <c r="I409" s="7"/>
      <c r="J409" s="7"/>
      <c r="K409" s="7"/>
      <c r="L409" s="7"/>
      <c r="M409" s="246"/>
      <c r="N409" s="7"/>
      <c r="O409" s="7"/>
      <c r="P409" s="7"/>
      <c r="Q409" s="7"/>
      <c r="R409" s="7"/>
      <c r="S409" s="7"/>
      <c r="T409" s="7"/>
      <c r="U409" s="7"/>
      <c r="V409" s="7"/>
      <c r="W409" s="7"/>
      <c r="X409" s="7"/>
    </row>
    <row r="410" spans="1:24" ht="19.5" customHeight="1">
      <c r="A410" s="7"/>
      <c r="B410" s="7"/>
      <c r="C410" s="7"/>
      <c r="D410" s="7"/>
      <c r="E410" s="7"/>
      <c r="F410" s="7"/>
      <c r="G410" s="7"/>
      <c r="H410" s="7"/>
      <c r="I410" s="7"/>
      <c r="J410" s="7"/>
      <c r="K410" s="7"/>
      <c r="L410" s="7"/>
      <c r="M410" s="246"/>
      <c r="N410" s="7"/>
      <c r="O410" s="7"/>
      <c r="P410" s="7"/>
      <c r="Q410" s="7"/>
      <c r="R410" s="7"/>
      <c r="S410" s="7"/>
      <c r="T410" s="7"/>
      <c r="U410" s="7"/>
      <c r="V410" s="7"/>
      <c r="W410" s="7"/>
      <c r="X410" s="7"/>
    </row>
    <row r="411" spans="1:24" ht="19.5" customHeight="1">
      <c r="A411" s="7"/>
      <c r="B411" s="7"/>
      <c r="C411" s="7"/>
      <c r="D411" s="7"/>
      <c r="E411" s="7"/>
      <c r="F411" s="7"/>
      <c r="G411" s="7"/>
      <c r="H411" s="7"/>
      <c r="I411" s="7"/>
      <c r="J411" s="7"/>
      <c r="K411" s="7"/>
      <c r="L411" s="7"/>
      <c r="M411" s="246"/>
      <c r="N411" s="7"/>
      <c r="O411" s="7"/>
      <c r="P411" s="7"/>
      <c r="Q411" s="7"/>
      <c r="R411" s="7"/>
      <c r="S411" s="7"/>
      <c r="T411" s="7"/>
      <c r="U411" s="7"/>
      <c r="V411" s="7"/>
      <c r="W411" s="7"/>
      <c r="X411" s="7"/>
    </row>
    <row r="412" spans="1:24" ht="19.5" customHeight="1">
      <c r="A412" s="7"/>
      <c r="B412" s="7"/>
      <c r="C412" s="7"/>
      <c r="D412" s="7"/>
      <c r="E412" s="7"/>
      <c r="F412" s="7"/>
      <c r="G412" s="7"/>
      <c r="H412" s="7"/>
      <c r="I412" s="7"/>
      <c r="J412" s="7"/>
      <c r="K412" s="7"/>
      <c r="L412" s="7"/>
      <c r="M412" s="246"/>
      <c r="N412" s="7"/>
      <c r="O412" s="7"/>
      <c r="P412" s="7"/>
      <c r="Q412" s="7"/>
      <c r="R412" s="7"/>
      <c r="S412" s="7"/>
      <c r="T412" s="7"/>
      <c r="U412" s="7"/>
      <c r="V412" s="7"/>
      <c r="W412" s="7"/>
      <c r="X412" s="7"/>
    </row>
    <row r="413" spans="1:24" ht="19.5" customHeight="1">
      <c r="A413" s="7"/>
      <c r="B413" s="7"/>
      <c r="C413" s="7"/>
      <c r="D413" s="7"/>
      <c r="E413" s="7"/>
      <c r="F413" s="7"/>
      <c r="G413" s="7"/>
      <c r="H413" s="7"/>
      <c r="I413" s="7"/>
      <c r="J413" s="7"/>
      <c r="K413" s="7"/>
      <c r="L413" s="7"/>
      <c r="M413" s="246"/>
      <c r="N413" s="7"/>
      <c r="O413" s="7"/>
      <c r="P413" s="7"/>
      <c r="Q413" s="7"/>
      <c r="R413" s="7"/>
      <c r="S413" s="7"/>
      <c r="T413" s="7"/>
      <c r="U413" s="7"/>
      <c r="V413" s="7"/>
      <c r="W413" s="7"/>
      <c r="X413" s="7"/>
    </row>
    <row r="414" spans="1:24" ht="19.5" customHeight="1">
      <c r="A414" s="7"/>
      <c r="B414" s="7"/>
      <c r="C414" s="7"/>
      <c r="D414" s="7"/>
      <c r="E414" s="7"/>
      <c r="F414" s="7"/>
      <c r="G414" s="7"/>
      <c r="H414" s="7"/>
      <c r="I414" s="7"/>
      <c r="J414" s="7"/>
      <c r="K414" s="7"/>
      <c r="L414" s="7"/>
      <c r="M414" s="246"/>
      <c r="N414" s="7"/>
      <c r="O414" s="7"/>
      <c r="P414" s="7"/>
      <c r="Q414" s="7"/>
      <c r="R414" s="7"/>
      <c r="S414" s="7"/>
      <c r="T414" s="7"/>
      <c r="U414" s="7"/>
      <c r="V414" s="7"/>
      <c r="W414" s="7"/>
      <c r="X414" s="7"/>
    </row>
    <row r="415" spans="1:24" ht="19.5" customHeight="1">
      <c r="A415" s="7"/>
      <c r="B415" s="7"/>
      <c r="C415" s="7"/>
      <c r="D415" s="7"/>
      <c r="E415" s="7"/>
      <c r="F415" s="7"/>
      <c r="G415" s="7"/>
      <c r="H415" s="7"/>
      <c r="I415" s="7"/>
      <c r="J415" s="7"/>
      <c r="K415" s="7"/>
      <c r="L415" s="7"/>
      <c r="M415" s="246"/>
      <c r="N415" s="7"/>
      <c r="O415" s="7"/>
      <c r="P415" s="7"/>
      <c r="Q415" s="7"/>
      <c r="R415" s="7"/>
      <c r="S415" s="7"/>
      <c r="T415" s="7"/>
      <c r="U415" s="7"/>
      <c r="V415" s="7"/>
      <c r="W415" s="7"/>
      <c r="X415" s="7"/>
    </row>
    <row r="416" spans="1:24" ht="19.5" customHeight="1">
      <c r="A416" s="7"/>
      <c r="B416" s="7"/>
      <c r="C416" s="7"/>
      <c r="D416" s="7"/>
      <c r="E416" s="7"/>
      <c r="F416" s="7"/>
      <c r="G416" s="7"/>
      <c r="H416" s="7"/>
      <c r="I416" s="7"/>
      <c r="J416" s="7"/>
      <c r="K416" s="7"/>
      <c r="L416" s="7"/>
      <c r="M416" s="246"/>
      <c r="N416" s="7"/>
      <c r="O416" s="7"/>
      <c r="P416" s="7"/>
      <c r="Q416" s="7"/>
      <c r="R416" s="7"/>
      <c r="S416" s="7"/>
      <c r="T416" s="7"/>
      <c r="U416" s="7"/>
      <c r="V416" s="7"/>
      <c r="W416" s="7"/>
      <c r="X416" s="7"/>
    </row>
    <row r="417" spans="1:24" ht="19.5" customHeight="1">
      <c r="A417" s="7"/>
      <c r="B417" s="7"/>
      <c r="C417" s="7"/>
      <c r="D417" s="7"/>
      <c r="E417" s="7"/>
      <c r="F417" s="7"/>
      <c r="G417" s="7"/>
      <c r="H417" s="7"/>
      <c r="I417" s="7"/>
      <c r="J417" s="7"/>
      <c r="K417" s="7"/>
      <c r="L417" s="7"/>
      <c r="M417" s="246"/>
      <c r="N417" s="7"/>
      <c r="O417" s="7"/>
      <c r="P417" s="7"/>
      <c r="Q417" s="7"/>
      <c r="R417" s="7"/>
      <c r="S417" s="7"/>
      <c r="T417" s="7"/>
      <c r="U417" s="7"/>
      <c r="V417" s="7"/>
      <c r="W417" s="7"/>
      <c r="X417" s="7"/>
    </row>
    <row r="418" spans="1:24" ht="19.5" customHeight="1">
      <c r="A418" s="7"/>
      <c r="B418" s="7"/>
      <c r="C418" s="7"/>
      <c r="D418" s="7"/>
      <c r="E418" s="7"/>
      <c r="F418" s="7"/>
      <c r="G418" s="7"/>
      <c r="H418" s="7"/>
      <c r="I418" s="7"/>
      <c r="J418" s="7"/>
      <c r="K418" s="7"/>
      <c r="L418" s="7"/>
      <c r="M418" s="246"/>
      <c r="N418" s="7"/>
      <c r="O418" s="7"/>
      <c r="P418" s="7"/>
      <c r="Q418" s="7"/>
      <c r="R418" s="7"/>
      <c r="S418" s="7"/>
      <c r="T418" s="7"/>
      <c r="U418" s="7"/>
      <c r="V418" s="7"/>
      <c r="W418" s="7"/>
      <c r="X418" s="7"/>
    </row>
    <row r="419" spans="1:24" ht="19.5" customHeight="1">
      <c r="A419" s="7"/>
      <c r="B419" s="7"/>
      <c r="C419" s="7"/>
      <c r="D419" s="7"/>
      <c r="E419" s="7"/>
      <c r="F419" s="7"/>
      <c r="G419" s="7"/>
      <c r="H419" s="7"/>
      <c r="I419" s="7"/>
      <c r="J419" s="7"/>
      <c r="K419" s="7"/>
      <c r="L419" s="7"/>
      <c r="M419" s="246"/>
      <c r="N419" s="7"/>
      <c r="O419" s="7"/>
      <c r="P419" s="7"/>
      <c r="Q419" s="7"/>
      <c r="R419" s="7"/>
      <c r="S419" s="7"/>
      <c r="T419" s="7"/>
      <c r="U419" s="7"/>
      <c r="V419" s="7"/>
      <c r="W419" s="7"/>
      <c r="X419" s="7"/>
    </row>
    <row r="420" spans="1:24" ht="19.5" customHeight="1">
      <c r="A420" s="7"/>
      <c r="B420" s="7"/>
      <c r="C420" s="7"/>
      <c r="D420" s="7"/>
      <c r="E420" s="7"/>
      <c r="F420" s="7"/>
      <c r="G420" s="7"/>
      <c r="H420" s="7"/>
      <c r="I420" s="7"/>
      <c r="J420" s="7"/>
      <c r="K420" s="7"/>
      <c r="L420" s="7"/>
      <c r="M420" s="246"/>
      <c r="N420" s="7"/>
      <c r="O420" s="7"/>
      <c r="P420" s="7"/>
      <c r="Q420" s="7"/>
      <c r="R420" s="7"/>
      <c r="S420" s="7"/>
      <c r="T420" s="7"/>
      <c r="U420" s="7"/>
      <c r="V420" s="7"/>
      <c r="W420" s="7"/>
      <c r="X420" s="7"/>
    </row>
    <row r="421" spans="1:24" ht="19.5" customHeight="1">
      <c r="A421" s="7"/>
      <c r="B421" s="7"/>
      <c r="C421" s="7"/>
      <c r="D421" s="7"/>
      <c r="E421" s="7"/>
      <c r="F421" s="7"/>
      <c r="G421" s="7"/>
      <c r="H421" s="7"/>
      <c r="I421" s="7"/>
      <c r="J421" s="7"/>
      <c r="K421" s="7"/>
      <c r="L421" s="7"/>
      <c r="M421" s="246"/>
      <c r="N421" s="7"/>
      <c r="O421" s="7"/>
      <c r="P421" s="7"/>
      <c r="Q421" s="7"/>
      <c r="R421" s="7"/>
      <c r="S421" s="7"/>
      <c r="T421" s="7"/>
      <c r="U421" s="7"/>
      <c r="V421" s="7"/>
      <c r="W421" s="7"/>
      <c r="X421" s="7"/>
    </row>
    <row r="422" spans="1:24" ht="19.5" customHeight="1">
      <c r="A422" s="7"/>
      <c r="B422" s="7"/>
      <c r="C422" s="7"/>
      <c r="D422" s="7"/>
      <c r="E422" s="7"/>
      <c r="F422" s="7"/>
      <c r="G422" s="7"/>
      <c r="H422" s="7"/>
      <c r="I422" s="7"/>
      <c r="J422" s="7"/>
      <c r="K422" s="7"/>
      <c r="L422" s="7"/>
      <c r="M422" s="246"/>
      <c r="N422" s="7"/>
      <c r="O422" s="7"/>
      <c r="P422" s="7"/>
      <c r="Q422" s="7"/>
      <c r="R422" s="7"/>
      <c r="S422" s="7"/>
      <c r="T422" s="7"/>
      <c r="U422" s="7"/>
      <c r="V422" s="7"/>
      <c r="W422" s="7"/>
      <c r="X422" s="7"/>
    </row>
    <row r="423" spans="1:24" ht="19.5" customHeight="1">
      <c r="A423" s="7"/>
      <c r="B423" s="7"/>
      <c r="C423" s="7"/>
      <c r="D423" s="7"/>
      <c r="E423" s="7"/>
      <c r="F423" s="7"/>
      <c r="G423" s="7"/>
      <c r="H423" s="7"/>
      <c r="I423" s="7"/>
      <c r="J423" s="7"/>
      <c r="K423" s="7"/>
      <c r="L423" s="7"/>
      <c r="M423" s="246"/>
      <c r="N423" s="7"/>
      <c r="O423" s="7"/>
      <c r="P423" s="7"/>
      <c r="Q423" s="7"/>
      <c r="R423" s="7"/>
      <c r="S423" s="7"/>
      <c r="T423" s="7"/>
      <c r="U423" s="7"/>
      <c r="V423" s="7"/>
      <c r="W423" s="7"/>
      <c r="X423" s="7"/>
    </row>
    <row r="424" spans="1:24" ht="19.5" customHeight="1">
      <c r="A424" s="7"/>
      <c r="B424" s="7"/>
      <c r="C424" s="7"/>
      <c r="D424" s="7"/>
      <c r="E424" s="7"/>
      <c r="F424" s="7"/>
      <c r="G424" s="7"/>
      <c r="H424" s="7"/>
      <c r="I424" s="7"/>
      <c r="J424" s="7"/>
      <c r="K424" s="7"/>
      <c r="L424" s="7"/>
      <c r="M424" s="246"/>
      <c r="N424" s="7"/>
      <c r="O424" s="7"/>
      <c r="P424" s="7"/>
      <c r="Q424" s="7"/>
      <c r="R424" s="7"/>
      <c r="S424" s="7"/>
      <c r="T424" s="7"/>
      <c r="U424" s="7"/>
      <c r="V424" s="7"/>
      <c r="W424" s="7"/>
      <c r="X424" s="7"/>
    </row>
    <row r="425" spans="1:24" ht="19.5" customHeight="1">
      <c r="A425" s="7"/>
      <c r="B425" s="7"/>
      <c r="C425" s="7"/>
      <c r="D425" s="7"/>
      <c r="E425" s="7"/>
      <c r="F425" s="7"/>
      <c r="G425" s="7"/>
      <c r="H425" s="7"/>
      <c r="I425" s="7"/>
      <c r="J425" s="7"/>
      <c r="K425" s="7"/>
      <c r="L425" s="7"/>
      <c r="M425" s="246"/>
      <c r="N425" s="7"/>
      <c r="O425" s="7"/>
      <c r="P425" s="7"/>
      <c r="Q425" s="7"/>
      <c r="R425" s="7"/>
      <c r="S425" s="7"/>
      <c r="T425" s="7"/>
      <c r="U425" s="7"/>
      <c r="V425" s="7"/>
      <c r="W425" s="7"/>
      <c r="X425" s="7"/>
    </row>
    <row r="426" spans="1:24" ht="19.5" customHeight="1">
      <c r="A426" s="7"/>
      <c r="B426" s="7"/>
      <c r="C426" s="7"/>
      <c r="D426" s="7"/>
      <c r="E426" s="7"/>
      <c r="F426" s="7"/>
      <c r="G426" s="7"/>
      <c r="H426" s="7"/>
      <c r="I426" s="7"/>
      <c r="J426" s="7"/>
      <c r="K426" s="7"/>
      <c r="L426" s="7"/>
      <c r="M426" s="246"/>
      <c r="N426" s="7"/>
      <c r="O426" s="7"/>
      <c r="P426" s="7"/>
      <c r="Q426" s="7"/>
      <c r="R426" s="7"/>
      <c r="S426" s="7"/>
      <c r="T426" s="7"/>
      <c r="U426" s="7"/>
      <c r="V426" s="7"/>
      <c r="W426" s="7"/>
      <c r="X426" s="7"/>
    </row>
    <row r="427" spans="1:24" ht="19.5" customHeight="1">
      <c r="A427" s="7"/>
      <c r="B427" s="7"/>
      <c r="C427" s="7"/>
      <c r="D427" s="7"/>
      <c r="E427" s="7"/>
      <c r="F427" s="7"/>
      <c r="G427" s="7"/>
      <c r="H427" s="7"/>
      <c r="I427" s="7"/>
      <c r="J427" s="7"/>
      <c r="K427" s="7"/>
      <c r="L427" s="7"/>
      <c r="M427" s="246"/>
      <c r="N427" s="7"/>
      <c r="O427" s="7"/>
      <c r="P427" s="7"/>
      <c r="Q427" s="7"/>
      <c r="R427" s="7"/>
      <c r="S427" s="7"/>
      <c r="T427" s="7"/>
      <c r="U427" s="7"/>
      <c r="V427" s="7"/>
      <c r="W427" s="7"/>
      <c r="X427" s="7"/>
    </row>
    <row r="428" spans="1:24" ht="19.5" customHeight="1">
      <c r="A428" s="7"/>
      <c r="B428" s="7"/>
      <c r="C428" s="7"/>
      <c r="D428" s="7"/>
      <c r="E428" s="7"/>
      <c r="F428" s="7"/>
      <c r="G428" s="7"/>
      <c r="H428" s="7"/>
      <c r="I428" s="7"/>
      <c r="J428" s="7"/>
      <c r="K428" s="7"/>
      <c r="L428" s="7"/>
      <c r="M428" s="246"/>
      <c r="N428" s="7"/>
      <c r="O428" s="7"/>
      <c r="P428" s="7"/>
      <c r="Q428" s="7"/>
      <c r="R428" s="7"/>
      <c r="S428" s="7"/>
      <c r="T428" s="7"/>
      <c r="U428" s="7"/>
      <c r="V428" s="7"/>
      <c r="W428" s="7"/>
      <c r="X428" s="7"/>
    </row>
    <row r="429" spans="1:24" ht="19.5" customHeight="1">
      <c r="A429" s="7"/>
      <c r="B429" s="7"/>
      <c r="C429" s="7"/>
      <c r="D429" s="7"/>
      <c r="E429" s="7"/>
      <c r="F429" s="7"/>
      <c r="G429" s="7"/>
      <c r="H429" s="7"/>
      <c r="I429" s="7"/>
      <c r="J429" s="7"/>
      <c r="K429" s="7"/>
      <c r="L429" s="7"/>
      <c r="M429" s="246"/>
      <c r="N429" s="7"/>
      <c r="O429" s="7"/>
      <c r="P429" s="7"/>
      <c r="Q429" s="7"/>
      <c r="R429" s="7"/>
      <c r="S429" s="7"/>
      <c r="T429" s="7"/>
      <c r="U429" s="7"/>
      <c r="V429" s="7"/>
      <c r="W429" s="7"/>
      <c r="X429" s="7"/>
    </row>
    <row r="430" spans="1:24" ht="19.5" customHeight="1">
      <c r="A430" s="7"/>
      <c r="B430" s="7"/>
      <c r="C430" s="7"/>
      <c r="D430" s="7"/>
      <c r="E430" s="7"/>
      <c r="F430" s="7"/>
      <c r="G430" s="7"/>
      <c r="H430" s="7"/>
      <c r="I430" s="7"/>
      <c r="J430" s="7"/>
      <c r="K430" s="7"/>
      <c r="L430" s="7"/>
      <c r="M430" s="246"/>
      <c r="N430" s="7"/>
      <c r="O430" s="7"/>
      <c r="P430" s="7"/>
      <c r="Q430" s="7"/>
      <c r="R430" s="7"/>
      <c r="S430" s="7"/>
      <c r="T430" s="7"/>
      <c r="U430" s="7"/>
      <c r="V430" s="7"/>
      <c r="W430" s="7"/>
      <c r="X430" s="7"/>
    </row>
    <row r="431" spans="1:24" ht="19.5" customHeight="1">
      <c r="A431" s="7"/>
      <c r="B431" s="7"/>
      <c r="C431" s="7"/>
      <c r="D431" s="7"/>
      <c r="E431" s="7"/>
      <c r="F431" s="7"/>
      <c r="G431" s="7"/>
      <c r="H431" s="7"/>
      <c r="I431" s="7"/>
      <c r="J431" s="7"/>
      <c r="K431" s="7"/>
      <c r="L431" s="7"/>
      <c r="M431" s="246"/>
      <c r="N431" s="7"/>
      <c r="O431" s="7"/>
      <c r="P431" s="7"/>
      <c r="Q431" s="7"/>
      <c r="R431" s="7"/>
      <c r="S431" s="7"/>
      <c r="T431" s="7"/>
      <c r="U431" s="7"/>
      <c r="V431" s="7"/>
      <c r="W431" s="7"/>
      <c r="X431" s="7"/>
    </row>
    <row r="432" spans="1:24" ht="19.5" customHeight="1">
      <c r="A432" s="7"/>
      <c r="B432" s="7"/>
      <c r="C432" s="7"/>
      <c r="D432" s="7"/>
      <c r="E432" s="7"/>
      <c r="F432" s="7"/>
      <c r="G432" s="7"/>
      <c r="H432" s="7"/>
      <c r="I432" s="7"/>
      <c r="J432" s="7"/>
      <c r="K432" s="7"/>
      <c r="L432" s="7"/>
      <c r="M432" s="246"/>
      <c r="N432" s="7"/>
      <c r="O432" s="7"/>
      <c r="P432" s="7"/>
      <c r="Q432" s="7"/>
      <c r="R432" s="7"/>
      <c r="S432" s="7"/>
      <c r="T432" s="7"/>
      <c r="U432" s="7"/>
      <c r="V432" s="7"/>
      <c r="W432" s="7"/>
      <c r="X432" s="7"/>
    </row>
    <row r="433" spans="1:24" ht="19.5" customHeight="1">
      <c r="A433" s="7"/>
      <c r="B433" s="7"/>
      <c r="C433" s="7"/>
      <c r="D433" s="7"/>
      <c r="E433" s="7"/>
      <c r="F433" s="7"/>
      <c r="G433" s="7"/>
      <c r="H433" s="7"/>
      <c r="I433" s="7"/>
      <c r="J433" s="7"/>
      <c r="K433" s="7"/>
      <c r="L433" s="7"/>
      <c r="M433" s="246"/>
      <c r="N433" s="7"/>
      <c r="O433" s="7"/>
      <c r="P433" s="7"/>
      <c r="Q433" s="7"/>
      <c r="R433" s="7"/>
      <c r="S433" s="7"/>
      <c r="T433" s="7"/>
      <c r="U433" s="7"/>
      <c r="V433" s="7"/>
      <c r="W433" s="7"/>
      <c r="X433" s="7"/>
    </row>
    <row r="434" spans="1:24" ht="19.5" customHeight="1">
      <c r="A434" s="7"/>
      <c r="B434" s="7"/>
      <c r="C434" s="7"/>
      <c r="D434" s="7"/>
      <c r="E434" s="7"/>
      <c r="F434" s="7"/>
      <c r="G434" s="7"/>
      <c r="H434" s="7"/>
      <c r="I434" s="7"/>
      <c r="J434" s="7"/>
      <c r="K434" s="7"/>
      <c r="L434" s="7"/>
      <c r="M434" s="246"/>
      <c r="N434" s="7"/>
      <c r="O434" s="7"/>
      <c r="P434" s="7"/>
      <c r="Q434" s="7"/>
      <c r="R434" s="7"/>
      <c r="S434" s="7"/>
      <c r="T434" s="7"/>
      <c r="U434" s="7"/>
      <c r="V434" s="7"/>
      <c r="W434" s="7"/>
      <c r="X434" s="7"/>
    </row>
    <row r="435" spans="1:24" ht="19.5" customHeight="1">
      <c r="A435" s="7"/>
      <c r="B435" s="7"/>
      <c r="C435" s="7"/>
      <c r="D435" s="7"/>
      <c r="E435" s="7"/>
      <c r="F435" s="7"/>
      <c r="G435" s="7"/>
      <c r="H435" s="7"/>
      <c r="I435" s="7"/>
      <c r="J435" s="7"/>
      <c r="K435" s="7"/>
      <c r="L435" s="7"/>
      <c r="M435" s="246"/>
      <c r="N435" s="7"/>
      <c r="O435" s="7"/>
      <c r="P435" s="7"/>
      <c r="Q435" s="7"/>
      <c r="R435" s="7"/>
      <c r="S435" s="7"/>
      <c r="T435" s="7"/>
      <c r="U435" s="7"/>
      <c r="V435" s="7"/>
      <c r="W435" s="7"/>
      <c r="X435" s="7"/>
    </row>
    <row r="436" spans="1:24" ht="19.5" customHeight="1">
      <c r="A436" s="7"/>
      <c r="B436" s="7"/>
      <c r="C436" s="7"/>
      <c r="D436" s="7"/>
      <c r="E436" s="7"/>
      <c r="F436" s="7"/>
      <c r="G436" s="7"/>
      <c r="H436" s="7"/>
      <c r="I436" s="7"/>
      <c r="J436" s="7"/>
      <c r="K436" s="7"/>
      <c r="L436" s="7"/>
      <c r="M436" s="246"/>
      <c r="N436" s="7"/>
      <c r="O436" s="7"/>
      <c r="P436" s="7"/>
      <c r="Q436" s="7"/>
      <c r="R436" s="7"/>
      <c r="S436" s="7"/>
      <c r="T436" s="7"/>
      <c r="U436" s="7"/>
      <c r="V436" s="7"/>
      <c r="W436" s="7"/>
      <c r="X436" s="7"/>
    </row>
    <row r="437" spans="1:24" ht="19.5" customHeight="1">
      <c r="A437" s="7"/>
      <c r="B437" s="7"/>
      <c r="C437" s="7"/>
      <c r="D437" s="7"/>
      <c r="E437" s="7"/>
      <c r="F437" s="7"/>
      <c r="G437" s="7"/>
      <c r="H437" s="7"/>
      <c r="I437" s="7"/>
      <c r="J437" s="7"/>
      <c r="K437" s="7"/>
      <c r="L437" s="7"/>
      <c r="M437" s="246"/>
      <c r="N437" s="7"/>
      <c r="O437" s="7"/>
      <c r="P437" s="7"/>
      <c r="Q437" s="7"/>
      <c r="R437" s="7"/>
      <c r="S437" s="7"/>
      <c r="T437" s="7"/>
      <c r="U437" s="7"/>
      <c r="V437" s="7"/>
      <c r="W437" s="7"/>
      <c r="X437" s="7"/>
    </row>
    <row r="438" spans="1:24" ht="19.5" customHeight="1">
      <c r="A438" s="7"/>
      <c r="B438" s="7"/>
      <c r="C438" s="7"/>
      <c r="D438" s="7"/>
      <c r="E438" s="7"/>
      <c r="F438" s="7"/>
      <c r="G438" s="7"/>
      <c r="H438" s="7"/>
      <c r="I438" s="7"/>
      <c r="J438" s="7"/>
      <c r="K438" s="7"/>
      <c r="L438" s="7"/>
      <c r="M438" s="246"/>
      <c r="N438" s="7"/>
      <c r="O438" s="7"/>
      <c r="P438" s="7"/>
      <c r="Q438" s="7"/>
      <c r="R438" s="7"/>
      <c r="S438" s="7"/>
      <c r="T438" s="7"/>
      <c r="U438" s="7"/>
      <c r="V438" s="7"/>
      <c r="W438" s="7"/>
      <c r="X438" s="7"/>
    </row>
    <row r="439" spans="1:24" ht="19.5" customHeight="1">
      <c r="A439" s="7"/>
      <c r="B439" s="7"/>
      <c r="C439" s="7"/>
      <c r="D439" s="7"/>
      <c r="E439" s="7"/>
      <c r="F439" s="7"/>
      <c r="G439" s="7"/>
      <c r="H439" s="7"/>
      <c r="I439" s="7"/>
      <c r="J439" s="7"/>
      <c r="K439" s="7"/>
      <c r="L439" s="7"/>
      <c r="M439" s="246"/>
      <c r="N439" s="7"/>
      <c r="O439" s="7"/>
      <c r="P439" s="7"/>
      <c r="Q439" s="7"/>
      <c r="R439" s="7"/>
      <c r="S439" s="7"/>
      <c r="T439" s="7"/>
      <c r="U439" s="7"/>
      <c r="V439" s="7"/>
      <c r="W439" s="7"/>
      <c r="X439" s="7"/>
    </row>
    <row r="440" spans="1:24" ht="19.5" customHeight="1">
      <c r="A440" s="7"/>
      <c r="B440" s="7"/>
      <c r="C440" s="7"/>
      <c r="D440" s="7"/>
      <c r="E440" s="7"/>
      <c r="F440" s="7"/>
      <c r="G440" s="7"/>
      <c r="H440" s="7"/>
      <c r="I440" s="7"/>
      <c r="J440" s="7"/>
      <c r="K440" s="7"/>
      <c r="L440" s="7"/>
      <c r="M440" s="246"/>
      <c r="N440" s="7"/>
      <c r="O440" s="7"/>
      <c r="P440" s="7"/>
      <c r="Q440" s="7"/>
      <c r="R440" s="7"/>
      <c r="S440" s="7"/>
      <c r="T440" s="7"/>
      <c r="U440" s="7"/>
      <c r="V440" s="7"/>
      <c r="W440" s="7"/>
      <c r="X440" s="7"/>
    </row>
    <row r="441" spans="1:24" ht="19.5" customHeight="1">
      <c r="A441" s="7"/>
      <c r="B441" s="7"/>
      <c r="C441" s="7"/>
      <c r="D441" s="7"/>
      <c r="E441" s="7"/>
      <c r="F441" s="7"/>
      <c r="G441" s="7"/>
      <c r="H441" s="7"/>
      <c r="I441" s="7"/>
      <c r="J441" s="7"/>
      <c r="K441" s="7"/>
      <c r="L441" s="7"/>
      <c r="M441" s="246"/>
      <c r="N441" s="7"/>
      <c r="O441" s="7"/>
      <c r="P441" s="7"/>
      <c r="Q441" s="7"/>
      <c r="R441" s="7"/>
      <c r="S441" s="7"/>
      <c r="T441" s="7"/>
      <c r="U441" s="7"/>
      <c r="V441" s="7"/>
      <c r="W441" s="7"/>
      <c r="X441" s="7"/>
    </row>
    <row r="442" spans="1:24" ht="19.5" customHeight="1">
      <c r="A442" s="7"/>
      <c r="B442" s="7"/>
      <c r="C442" s="7"/>
      <c r="D442" s="7"/>
      <c r="E442" s="7"/>
      <c r="F442" s="7"/>
      <c r="G442" s="7"/>
      <c r="H442" s="7"/>
      <c r="I442" s="7"/>
      <c r="J442" s="7"/>
      <c r="K442" s="7"/>
      <c r="L442" s="7"/>
      <c r="M442" s="246"/>
      <c r="N442" s="7"/>
      <c r="O442" s="7"/>
      <c r="P442" s="7"/>
      <c r="Q442" s="7"/>
      <c r="R442" s="7"/>
      <c r="S442" s="7"/>
      <c r="T442" s="7"/>
      <c r="U442" s="7"/>
      <c r="V442" s="7"/>
      <c r="W442" s="7"/>
      <c r="X442" s="7"/>
    </row>
    <row r="443" spans="1:24" ht="19.5" customHeight="1">
      <c r="A443" s="7"/>
      <c r="B443" s="7"/>
      <c r="C443" s="7"/>
      <c r="D443" s="7"/>
      <c r="E443" s="7"/>
      <c r="F443" s="7"/>
      <c r="G443" s="7"/>
      <c r="H443" s="7"/>
      <c r="I443" s="7"/>
      <c r="J443" s="7"/>
      <c r="K443" s="7"/>
      <c r="L443" s="7"/>
      <c r="M443" s="246"/>
      <c r="N443" s="7"/>
      <c r="O443" s="7"/>
      <c r="P443" s="7"/>
      <c r="Q443" s="7"/>
      <c r="R443" s="7"/>
      <c r="S443" s="7"/>
      <c r="T443" s="7"/>
      <c r="U443" s="7"/>
      <c r="V443" s="7"/>
      <c r="W443" s="7"/>
      <c r="X443" s="7"/>
    </row>
    <row r="444" spans="1:24" ht="19.5" customHeight="1">
      <c r="A444" s="7"/>
      <c r="B444" s="7"/>
      <c r="C444" s="7"/>
      <c r="D444" s="7"/>
      <c r="E444" s="7"/>
      <c r="F444" s="7"/>
      <c r="G444" s="7"/>
      <c r="H444" s="7"/>
      <c r="I444" s="7"/>
      <c r="J444" s="7"/>
      <c r="K444" s="7"/>
      <c r="L444" s="7"/>
      <c r="M444" s="246"/>
      <c r="N444" s="7"/>
      <c r="O444" s="7"/>
      <c r="P444" s="7"/>
      <c r="Q444" s="7"/>
      <c r="R444" s="7"/>
      <c r="S444" s="7"/>
      <c r="T444" s="7"/>
      <c r="U444" s="7"/>
      <c r="V444" s="7"/>
      <c r="W444" s="7"/>
      <c r="X444" s="7"/>
    </row>
    <row r="445" spans="1:24" ht="19.5" customHeight="1">
      <c r="A445" s="7"/>
      <c r="B445" s="7"/>
      <c r="C445" s="7"/>
      <c r="D445" s="7"/>
      <c r="E445" s="7"/>
      <c r="F445" s="7"/>
      <c r="G445" s="7"/>
      <c r="H445" s="7"/>
      <c r="I445" s="7"/>
      <c r="J445" s="7"/>
      <c r="K445" s="7"/>
      <c r="L445" s="7"/>
      <c r="M445" s="246"/>
      <c r="N445" s="7"/>
      <c r="O445" s="7"/>
      <c r="P445" s="7"/>
      <c r="Q445" s="7"/>
      <c r="R445" s="7"/>
      <c r="S445" s="7"/>
      <c r="T445" s="7"/>
      <c r="U445" s="7"/>
      <c r="V445" s="7"/>
      <c r="W445" s="7"/>
      <c r="X445" s="7"/>
    </row>
    <row r="446" spans="1:24" ht="19.5" customHeight="1">
      <c r="A446" s="7"/>
      <c r="B446" s="7"/>
      <c r="C446" s="7"/>
      <c r="D446" s="7"/>
      <c r="E446" s="7"/>
      <c r="F446" s="7"/>
      <c r="G446" s="7"/>
      <c r="H446" s="7"/>
      <c r="I446" s="7"/>
      <c r="J446" s="7"/>
      <c r="K446" s="7"/>
      <c r="L446" s="7"/>
      <c r="M446" s="246"/>
      <c r="N446" s="7"/>
      <c r="O446" s="7"/>
      <c r="P446" s="7"/>
      <c r="Q446" s="7"/>
      <c r="R446" s="7"/>
      <c r="S446" s="7"/>
      <c r="T446" s="7"/>
      <c r="U446" s="7"/>
      <c r="V446" s="7"/>
      <c r="W446" s="7"/>
      <c r="X446" s="7"/>
    </row>
    <row r="447" spans="1:24" ht="19.5" customHeight="1">
      <c r="A447" s="7"/>
      <c r="B447" s="7"/>
      <c r="C447" s="7"/>
      <c r="D447" s="7"/>
      <c r="E447" s="7"/>
      <c r="F447" s="7"/>
      <c r="G447" s="7"/>
      <c r="H447" s="7"/>
      <c r="I447" s="7"/>
      <c r="J447" s="7"/>
      <c r="K447" s="7"/>
      <c r="L447" s="7"/>
      <c r="M447" s="246"/>
      <c r="N447" s="7"/>
      <c r="O447" s="7"/>
      <c r="P447" s="7"/>
      <c r="Q447" s="7"/>
      <c r="R447" s="7"/>
      <c r="S447" s="7"/>
      <c r="T447" s="7"/>
      <c r="U447" s="7"/>
      <c r="V447" s="7"/>
      <c r="W447" s="7"/>
      <c r="X447" s="7"/>
    </row>
    <row r="448" spans="1:24" ht="19.5" customHeight="1">
      <c r="A448" s="7"/>
      <c r="B448" s="7"/>
      <c r="C448" s="7"/>
      <c r="D448" s="7"/>
      <c r="E448" s="7"/>
      <c r="F448" s="7"/>
      <c r="G448" s="7"/>
      <c r="H448" s="7"/>
      <c r="I448" s="7"/>
      <c r="J448" s="7"/>
      <c r="K448" s="7"/>
      <c r="L448" s="7"/>
      <c r="M448" s="246"/>
      <c r="N448" s="7"/>
      <c r="O448" s="7"/>
      <c r="P448" s="7"/>
      <c r="Q448" s="7"/>
      <c r="R448" s="7"/>
      <c r="S448" s="7"/>
      <c r="T448" s="7"/>
      <c r="U448" s="7"/>
      <c r="V448" s="7"/>
      <c r="W448" s="7"/>
      <c r="X448" s="7"/>
    </row>
    <row r="449" spans="1:24" ht="19.5" customHeight="1">
      <c r="A449" s="7"/>
      <c r="B449" s="7"/>
      <c r="C449" s="7"/>
      <c r="D449" s="7"/>
      <c r="E449" s="7"/>
      <c r="F449" s="7"/>
      <c r="G449" s="7"/>
      <c r="H449" s="7"/>
      <c r="I449" s="7"/>
      <c r="J449" s="7"/>
      <c r="K449" s="7"/>
      <c r="L449" s="7"/>
      <c r="M449" s="246"/>
      <c r="N449" s="7"/>
      <c r="O449" s="7"/>
      <c r="P449" s="7"/>
      <c r="Q449" s="7"/>
      <c r="R449" s="7"/>
      <c r="S449" s="7"/>
      <c r="T449" s="7"/>
      <c r="U449" s="7"/>
      <c r="V449" s="7"/>
      <c r="W449" s="7"/>
      <c r="X449" s="7"/>
    </row>
    <row r="450" spans="1:24" ht="19.5" customHeight="1">
      <c r="A450" s="7"/>
      <c r="B450" s="7"/>
      <c r="C450" s="7"/>
      <c r="D450" s="7"/>
      <c r="E450" s="7"/>
      <c r="F450" s="7"/>
      <c r="G450" s="7"/>
      <c r="H450" s="7"/>
      <c r="I450" s="7"/>
      <c r="J450" s="7"/>
      <c r="K450" s="7"/>
      <c r="L450" s="7"/>
      <c r="M450" s="246"/>
      <c r="N450" s="7"/>
      <c r="O450" s="7"/>
      <c r="P450" s="7"/>
      <c r="Q450" s="7"/>
      <c r="R450" s="7"/>
      <c r="S450" s="7"/>
      <c r="T450" s="7"/>
      <c r="U450" s="7"/>
      <c r="V450" s="7"/>
      <c r="W450" s="7"/>
      <c r="X450" s="7"/>
    </row>
    <row r="451" spans="1:24" ht="19.5" customHeight="1">
      <c r="A451" s="7"/>
      <c r="B451" s="7"/>
      <c r="C451" s="7"/>
      <c r="D451" s="7"/>
      <c r="E451" s="7"/>
      <c r="F451" s="7"/>
      <c r="G451" s="7"/>
      <c r="H451" s="7"/>
      <c r="I451" s="7"/>
      <c r="J451" s="7"/>
      <c r="K451" s="7"/>
      <c r="L451" s="7"/>
      <c r="M451" s="246"/>
      <c r="N451" s="7"/>
      <c r="O451" s="7"/>
      <c r="P451" s="7"/>
      <c r="Q451" s="7"/>
      <c r="R451" s="7"/>
      <c r="S451" s="7"/>
      <c r="T451" s="7"/>
      <c r="U451" s="7"/>
      <c r="V451" s="7"/>
      <c r="W451" s="7"/>
      <c r="X451" s="7"/>
    </row>
    <row r="452" spans="1:24" ht="19.5" customHeight="1">
      <c r="A452" s="7"/>
      <c r="B452" s="7"/>
      <c r="C452" s="7"/>
      <c r="D452" s="7"/>
      <c r="E452" s="7"/>
      <c r="F452" s="7"/>
      <c r="G452" s="7"/>
      <c r="H452" s="7"/>
      <c r="I452" s="7"/>
      <c r="J452" s="7"/>
      <c r="K452" s="7"/>
      <c r="L452" s="7"/>
      <c r="M452" s="246"/>
      <c r="N452" s="7"/>
      <c r="O452" s="7"/>
      <c r="P452" s="7"/>
      <c r="Q452" s="7"/>
      <c r="R452" s="7"/>
      <c r="S452" s="7"/>
      <c r="T452" s="7"/>
      <c r="U452" s="7"/>
      <c r="V452" s="7"/>
      <c r="W452" s="7"/>
      <c r="X452" s="7"/>
    </row>
    <row r="453" spans="1:24" ht="19.5" customHeight="1">
      <c r="A453" s="7"/>
      <c r="B453" s="7"/>
      <c r="C453" s="7"/>
      <c r="D453" s="7"/>
      <c r="E453" s="7"/>
      <c r="F453" s="7"/>
      <c r="G453" s="7"/>
      <c r="H453" s="7"/>
      <c r="I453" s="7"/>
      <c r="J453" s="7"/>
      <c r="K453" s="7"/>
      <c r="L453" s="7"/>
      <c r="M453" s="246"/>
      <c r="N453" s="7"/>
      <c r="O453" s="7"/>
      <c r="P453" s="7"/>
      <c r="Q453" s="7"/>
      <c r="R453" s="7"/>
      <c r="S453" s="7"/>
      <c r="T453" s="7"/>
      <c r="U453" s="7"/>
      <c r="V453" s="7"/>
      <c r="W453" s="7"/>
      <c r="X453" s="7"/>
    </row>
    <row r="454" spans="1:24" ht="19.5" customHeight="1">
      <c r="A454" s="7"/>
      <c r="B454" s="7"/>
      <c r="C454" s="7"/>
      <c r="D454" s="7"/>
      <c r="E454" s="7"/>
      <c r="F454" s="7"/>
      <c r="G454" s="7"/>
      <c r="H454" s="7"/>
      <c r="I454" s="7"/>
      <c r="J454" s="7"/>
      <c r="K454" s="7"/>
      <c r="L454" s="7"/>
      <c r="M454" s="246"/>
      <c r="N454" s="7"/>
      <c r="O454" s="7"/>
      <c r="P454" s="7"/>
      <c r="Q454" s="7"/>
      <c r="R454" s="7"/>
      <c r="S454" s="7"/>
      <c r="T454" s="7"/>
      <c r="U454" s="7"/>
      <c r="V454" s="7"/>
      <c r="W454" s="7"/>
      <c r="X454" s="7"/>
    </row>
    <row r="455" spans="1:24" ht="19.5" customHeight="1">
      <c r="A455" s="7"/>
      <c r="B455" s="7"/>
      <c r="C455" s="7"/>
      <c r="D455" s="7"/>
      <c r="E455" s="7"/>
      <c r="F455" s="7"/>
      <c r="G455" s="7"/>
      <c r="H455" s="7"/>
      <c r="I455" s="7"/>
      <c r="J455" s="7"/>
      <c r="K455" s="7"/>
      <c r="L455" s="7"/>
      <c r="M455" s="246"/>
      <c r="N455" s="7"/>
      <c r="O455" s="7"/>
      <c r="P455" s="7"/>
      <c r="Q455" s="7"/>
      <c r="R455" s="7"/>
      <c r="S455" s="7"/>
      <c r="T455" s="7"/>
      <c r="U455" s="7"/>
      <c r="V455" s="7"/>
      <c r="W455" s="7"/>
      <c r="X455" s="7"/>
    </row>
    <row r="456" spans="1:24" ht="19.5" customHeight="1">
      <c r="A456" s="7"/>
      <c r="B456" s="7"/>
      <c r="C456" s="7"/>
      <c r="D456" s="7"/>
      <c r="E456" s="7"/>
      <c r="F456" s="7"/>
      <c r="G456" s="7"/>
      <c r="H456" s="7"/>
      <c r="I456" s="7"/>
      <c r="J456" s="7"/>
      <c r="K456" s="7"/>
      <c r="L456" s="7"/>
      <c r="M456" s="246"/>
      <c r="N456" s="7"/>
      <c r="O456" s="7"/>
      <c r="P456" s="7"/>
      <c r="Q456" s="7"/>
      <c r="R456" s="7"/>
      <c r="S456" s="7"/>
      <c r="T456" s="7"/>
      <c r="U456" s="7"/>
      <c r="V456" s="7"/>
      <c r="W456" s="7"/>
      <c r="X456" s="7"/>
    </row>
    <row r="457" spans="1:24" ht="19.5" customHeight="1">
      <c r="A457" s="7"/>
      <c r="B457" s="7"/>
      <c r="C457" s="7"/>
      <c r="D457" s="7"/>
      <c r="E457" s="7"/>
      <c r="F457" s="7"/>
      <c r="G457" s="7"/>
      <c r="H457" s="7"/>
      <c r="I457" s="7"/>
      <c r="J457" s="7"/>
      <c r="K457" s="7"/>
      <c r="L457" s="7"/>
      <c r="M457" s="246"/>
      <c r="N457" s="7"/>
      <c r="O457" s="7"/>
      <c r="P457" s="7"/>
      <c r="Q457" s="7"/>
      <c r="R457" s="7"/>
      <c r="S457" s="7"/>
      <c r="T457" s="7"/>
      <c r="U457" s="7"/>
      <c r="V457" s="7"/>
      <c r="W457" s="7"/>
      <c r="X457" s="7"/>
    </row>
    <row r="458" spans="1:24" ht="19.5" customHeight="1">
      <c r="A458" s="7"/>
      <c r="B458" s="7"/>
      <c r="C458" s="7"/>
      <c r="D458" s="7"/>
      <c r="E458" s="7"/>
      <c r="F458" s="7"/>
      <c r="G458" s="7"/>
      <c r="H458" s="7"/>
      <c r="I458" s="7"/>
      <c r="J458" s="7"/>
      <c r="K458" s="7"/>
      <c r="L458" s="7"/>
      <c r="M458" s="246"/>
      <c r="N458" s="7"/>
      <c r="O458" s="7"/>
      <c r="P458" s="7"/>
      <c r="Q458" s="7"/>
      <c r="R458" s="7"/>
      <c r="S458" s="7"/>
      <c r="T458" s="7"/>
      <c r="U458" s="7"/>
      <c r="V458" s="7"/>
      <c r="W458" s="7"/>
      <c r="X458" s="7"/>
    </row>
    <row r="459" spans="1:24" ht="19.5" customHeight="1">
      <c r="A459" s="7"/>
      <c r="B459" s="7"/>
      <c r="C459" s="7"/>
      <c r="D459" s="7"/>
      <c r="E459" s="7"/>
      <c r="F459" s="7"/>
      <c r="G459" s="7"/>
      <c r="H459" s="7"/>
      <c r="I459" s="7"/>
      <c r="J459" s="7"/>
      <c r="K459" s="7"/>
      <c r="L459" s="7"/>
      <c r="M459" s="246"/>
      <c r="N459" s="7"/>
      <c r="O459" s="7"/>
      <c r="P459" s="7"/>
      <c r="Q459" s="7"/>
      <c r="R459" s="7"/>
      <c r="S459" s="7"/>
      <c r="T459" s="7"/>
      <c r="U459" s="7"/>
      <c r="V459" s="7"/>
      <c r="W459" s="7"/>
      <c r="X459" s="7"/>
    </row>
    <row r="460" spans="1:24" ht="19.5" customHeight="1">
      <c r="A460" s="7"/>
      <c r="B460" s="7"/>
      <c r="C460" s="7"/>
      <c r="D460" s="7"/>
      <c r="E460" s="7"/>
      <c r="F460" s="7"/>
      <c r="G460" s="7"/>
      <c r="H460" s="7"/>
      <c r="I460" s="7"/>
      <c r="J460" s="7"/>
      <c r="K460" s="7"/>
      <c r="L460" s="7"/>
      <c r="M460" s="246"/>
      <c r="N460" s="7"/>
      <c r="O460" s="7"/>
      <c r="P460" s="7"/>
      <c r="Q460" s="7"/>
      <c r="R460" s="7"/>
      <c r="S460" s="7"/>
      <c r="T460" s="7"/>
      <c r="U460" s="7"/>
      <c r="V460" s="7"/>
      <c r="W460" s="7"/>
      <c r="X460" s="7"/>
    </row>
    <row r="461" spans="1:24" ht="19.5" customHeight="1">
      <c r="A461" s="7"/>
      <c r="B461" s="7"/>
      <c r="C461" s="7"/>
      <c r="D461" s="7"/>
      <c r="E461" s="7"/>
      <c r="F461" s="7"/>
      <c r="G461" s="7"/>
      <c r="H461" s="7"/>
      <c r="I461" s="7"/>
      <c r="J461" s="7"/>
      <c r="K461" s="7"/>
      <c r="L461" s="7"/>
      <c r="M461" s="246"/>
      <c r="N461" s="7"/>
      <c r="O461" s="7"/>
      <c r="P461" s="7"/>
      <c r="Q461" s="7"/>
      <c r="R461" s="7"/>
      <c r="S461" s="7"/>
      <c r="T461" s="7"/>
      <c r="U461" s="7"/>
      <c r="V461" s="7"/>
      <c r="W461" s="7"/>
      <c r="X461" s="7"/>
    </row>
    <row r="462" spans="1:24" ht="19.5" customHeight="1">
      <c r="A462" s="7"/>
      <c r="B462" s="7"/>
      <c r="C462" s="7"/>
      <c r="D462" s="7"/>
      <c r="E462" s="7"/>
      <c r="F462" s="7"/>
      <c r="G462" s="7"/>
      <c r="H462" s="7"/>
      <c r="I462" s="7"/>
      <c r="J462" s="7"/>
      <c r="K462" s="7"/>
      <c r="L462" s="7"/>
      <c r="M462" s="246"/>
      <c r="N462" s="7"/>
      <c r="O462" s="7"/>
      <c r="P462" s="7"/>
      <c r="Q462" s="7"/>
      <c r="R462" s="7"/>
      <c r="S462" s="7"/>
      <c r="T462" s="7"/>
      <c r="U462" s="7"/>
      <c r="V462" s="7"/>
      <c r="W462" s="7"/>
      <c r="X462" s="7"/>
    </row>
    <row r="463" spans="1:24" ht="19.5" customHeight="1">
      <c r="A463" s="7"/>
      <c r="B463" s="7"/>
      <c r="C463" s="7"/>
      <c r="D463" s="7"/>
      <c r="E463" s="7"/>
      <c r="F463" s="7"/>
      <c r="G463" s="7"/>
      <c r="H463" s="7"/>
      <c r="I463" s="7"/>
      <c r="J463" s="7"/>
      <c r="K463" s="7"/>
      <c r="L463" s="7"/>
      <c r="M463" s="246"/>
      <c r="N463" s="7"/>
      <c r="O463" s="7"/>
      <c r="P463" s="7"/>
      <c r="Q463" s="7"/>
      <c r="R463" s="7"/>
      <c r="S463" s="7"/>
      <c r="T463" s="7"/>
      <c r="U463" s="7"/>
      <c r="V463" s="7"/>
      <c r="W463" s="7"/>
      <c r="X463" s="7"/>
    </row>
    <row r="464" spans="1:24" ht="19.5" customHeight="1">
      <c r="A464" s="7"/>
      <c r="B464" s="7"/>
      <c r="C464" s="7"/>
      <c r="D464" s="7"/>
      <c r="E464" s="7"/>
      <c r="F464" s="7"/>
      <c r="G464" s="7"/>
      <c r="H464" s="7"/>
      <c r="I464" s="7"/>
      <c r="J464" s="7"/>
      <c r="K464" s="7"/>
      <c r="L464" s="7"/>
      <c r="M464" s="246"/>
      <c r="N464" s="7"/>
      <c r="O464" s="7"/>
      <c r="P464" s="7"/>
      <c r="Q464" s="7"/>
      <c r="R464" s="7"/>
      <c r="S464" s="7"/>
      <c r="T464" s="7"/>
      <c r="U464" s="7"/>
      <c r="V464" s="7"/>
      <c r="W464" s="7"/>
      <c r="X464" s="7"/>
    </row>
    <row r="465" spans="1:24" ht="19.5" customHeight="1">
      <c r="A465" s="7"/>
      <c r="B465" s="7"/>
      <c r="C465" s="7"/>
      <c r="D465" s="7"/>
      <c r="E465" s="7"/>
      <c r="F465" s="7"/>
      <c r="G465" s="7"/>
      <c r="H465" s="7"/>
      <c r="I465" s="7"/>
      <c r="J465" s="7"/>
      <c r="K465" s="7"/>
      <c r="L465" s="7"/>
      <c r="M465" s="246"/>
      <c r="N465" s="7"/>
      <c r="O465" s="7"/>
      <c r="P465" s="7"/>
      <c r="Q465" s="7"/>
      <c r="R465" s="7"/>
      <c r="S465" s="7"/>
      <c r="T465" s="7"/>
      <c r="U465" s="7"/>
      <c r="V465" s="7"/>
      <c r="W465" s="7"/>
      <c r="X465" s="7"/>
    </row>
    <row r="466" spans="1:24" ht="19.5" customHeight="1">
      <c r="A466" s="7"/>
      <c r="B466" s="7"/>
      <c r="C466" s="7"/>
      <c r="D466" s="7"/>
      <c r="E466" s="7"/>
      <c r="F466" s="7"/>
      <c r="G466" s="7"/>
      <c r="H466" s="7"/>
      <c r="I466" s="7"/>
      <c r="J466" s="7"/>
      <c r="K466" s="7"/>
      <c r="L466" s="7"/>
      <c r="M466" s="246"/>
      <c r="N466" s="7"/>
      <c r="O466" s="7"/>
      <c r="P466" s="7"/>
      <c r="Q466" s="7"/>
      <c r="R466" s="7"/>
      <c r="S466" s="7"/>
      <c r="T466" s="7"/>
      <c r="U466" s="7"/>
      <c r="V466" s="7"/>
      <c r="W466" s="7"/>
      <c r="X466" s="7"/>
    </row>
    <row r="467" spans="1:24" ht="19.5" customHeight="1">
      <c r="A467" s="7"/>
      <c r="B467" s="7"/>
      <c r="C467" s="7"/>
      <c r="D467" s="7"/>
      <c r="E467" s="7"/>
      <c r="F467" s="7"/>
      <c r="G467" s="7"/>
      <c r="H467" s="7"/>
      <c r="I467" s="7"/>
      <c r="J467" s="7"/>
      <c r="K467" s="7"/>
      <c r="L467" s="7"/>
      <c r="M467" s="246"/>
      <c r="N467" s="7"/>
      <c r="O467" s="7"/>
      <c r="P467" s="7"/>
      <c r="Q467" s="7"/>
      <c r="R467" s="7"/>
      <c r="S467" s="7"/>
      <c r="T467" s="7"/>
      <c r="U467" s="7"/>
      <c r="V467" s="7"/>
      <c r="W467" s="7"/>
      <c r="X467" s="7"/>
    </row>
    <row r="468" spans="1:24" ht="19.5" customHeight="1">
      <c r="A468" s="7"/>
      <c r="B468" s="7"/>
      <c r="C468" s="7"/>
      <c r="D468" s="7"/>
      <c r="E468" s="7"/>
      <c r="F468" s="7"/>
      <c r="G468" s="7"/>
      <c r="H468" s="7"/>
      <c r="I468" s="7"/>
      <c r="J468" s="7"/>
      <c r="K468" s="7"/>
      <c r="L468" s="7"/>
      <c r="M468" s="246"/>
      <c r="N468" s="7"/>
      <c r="O468" s="7"/>
      <c r="P468" s="7"/>
      <c r="Q468" s="7"/>
      <c r="R468" s="7"/>
      <c r="S468" s="7"/>
      <c r="T468" s="7"/>
      <c r="U468" s="7"/>
      <c r="V468" s="7"/>
      <c r="W468" s="7"/>
      <c r="X468" s="7"/>
    </row>
    <row r="469" spans="1:24" ht="19.5" customHeight="1">
      <c r="A469" s="7"/>
      <c r="B469" s="7"/>
      <c r="C469" s="7"/>
      <c r="D469" s="7"/>
      <c r="E469" s="7"/>
      <c r="F469" s="7"/>
      <c r="G469" s="7"/>
      <c r="H469" s="7"/>
      <c r="I469" s="7"/>
      <c r="J469" s="7"/>
      <c r="K469" s="7"/>
      <c r="L469" s="7"/>
      <c r="M469" s="246"/>
      <c r="N469" s="7"/>
      <c r="O469" s="7"/>
      <c r="P469" s="7"/>
      <c r="Q469" s="7"/>
      <c r="R469" s="7"/>
      <c r="S469" s="7"/>
      <c r="T469" s="7"/>
      <c r="U469" s="7"/>
      <c r="V469" s="7"/>
      <c r="W469" s="7"/>
      <c r="X469" s="7"/>
    </row>
    <row r="470" spans="1:24" ht="19.5" customHeight="1">
      <c r="A470" s="7"/>
      <c r="B470" s="7"/>
      <c r="C470" s="7"/>
      <c r="D470" s="7"/>
      <c r="E470" s="7"/>
      <c r="F470" s="7"/>
      <c r="G470" s="7"/>
      <c r="H470" s="7"/>
      <c r="I470" s="7"/>
      <c r="J470" s="7"/>
      <c r="K470" s="7"/>
      <c r="L470" s="7"/>
      <c r="M470" s="246"/>
      <c r="N470" s="7"/>
      <c r="O470" s="7"/>
      <c r="P470" s="7"/>
      <c r="Q470" s="7"/>
      <c r="R470" s="7"/>
      <c r="S470" s="7"/>
      <c r="T470" s="7"/>
      <c r="U470" s="7"/>
      <c r="V470" s="7"/>
      <c r="W470" s="7"/>
      <c r="X470" s="7"/>
    </row>
    <row r="471" spans="1:24" ht="19.5" customHeight="1">
      <c r="A471" s="7"/>
      <c r="B471" s="7"/>
      <c r="C471" s="7"/>
      <c r="D471" s="7"/>
      <c r="E471" s="7"/>
      <c r="F471" s="7"/>
      <c r="G471" s="7"/>
      <c r="H471" s="7"/>
      <c r="I471" s="7"/>
      <c r="J471" s="7"/>
      <c r="K471" s="7"/>
      <c r="L471" s="7"/>
      <c r="M471" s="246"/>
      <c r="N471" s="7"/>
      <c r="O471" s="7"/>
      <c r="P471" s="7"/>
      <c r="Q471" s="7"/>
      <c r="R471" s="7"/>
      <c r="S471" s="7"/>
      <c r="T471" s="7"/>
      <c r="U471" s="7"/>
      <c r="V471" s="7"/>
      <c r="W471" s="7"/>
      <c r="X471" s="7"/>
    </row>
    <row r="472" spans="1:24" ht="19.5" customHeight="1">
      <c r="A472" s="7"/>
      <c r="B472" s="7"/>
      <c r="C472" s="7"/>
      <c r="D472" s="7"/>
      <c r="E472" s="7"/>
      <c r="F472" s="7"/>
      <c r="G472" s="7"/>
      <c r="H472" s="7"/>
      <c r="I472" s="7"/>
      <c r="J472" s="7"/>
      <c r="K472" s="7"/>
      <c r="L472" s="7"/>
      <c r="M472" s="246"/>
      <c r="N472" s="7"/>
      <c r="O472" s="7"/>
      <c r="P472" s="7"/>
      <c r="Q472" s="7"/>
      <c r="R472" s="7"/>
      <c r="S472" s="7"/>
      <c r="T472" s="7"/>
      <c r="U472" s="7"/>
      <c r="V472" s="7"/>
      <c r="W472" s="7"/>
      <c r="X472" s="7"/>
    </row>
    <row r="473" spans="1:24" ht="19.5" customHeight="1">
      <c r="A473" s="7"/>
      <c r="B473" s="7"/>
      <c r="C473" s="7"/>
      <c r="D473" s="7"/>
      <c r="E473" s="7"/>
      <c r="F473" s="7"/>
      <c r="G473" s="7"/>
      <c r="H473" s="7"/>
      <c r="I473" s="7"/>
      <c r="J473" s="7"/>
      <c r="K473" s="7"/>
      <c r="L473" s="7"/>
      <c r="M473" s="246"/>
      <c r="N473" s="7"/>
      <c r="O473" s="7"/>
      <c r="P473" s="7"/>
      <c r="Q473" s="7"/>
      <c r="R473" s="7"/>
      <c r="S473" s="7"/>
      <c r="T473" s="7"/>
      <c r="U473" s="7"/>
      <c r="V473" s="7"/>
      <c r="W473" s="7"/>
      <c r="X473" s="7"/>
    </row>
    <row r="474" spans="1:24" ht="19.5" customHeight="1">
      <c r="A474" s="7"/>
      <c r="B474" s="7"/>
      <c r="C474" s="7"/>
      <c r="D474" s="7"/>
      <c r="E474" s="7"/>
      <c r="F474" s="7"/>
      <c r="G474" s="7"/>
      <c r="H474" s="7"/>
      <c r="I474" s="7"/>
      <c r="J474" s="7"/>
      <c r="K474" s="7"/>
      <c r="L474" s="7"/>
      <c r="M474" s="246"/>
      <c r="N474" s="7"/>
      <c r="O474" s="7"/>
      <c r="P474" s="7"/>
      <c r="Q474" s="7"/>
      <c r="R474" s="7"/>
      <c r="S474" s="7"/>
      <c r="T474" s="7"/>
      <c r="U474" s="7"/>
      <c r="V474" s="7"/>
      <c r="W474" s="7"/>
      <c r="X474" s="7"/>
    </row>
    <row r="475" spans="1:24" ht="19.5" customHeight="1">
      <c r="A475" s="7"/>
      <c r="B475" s="7"/>
      <c r="C475" s="7"/>
      <c r="D475" s="7"/>
      <c r="E475" s="7"/>
      <c r="F475" s="7"/>
      <c r="G475" s="7"/>
      <c r="H475" s="7"/>
      <c r="I475" s="7"/>
      <c r="J475" s="7"/>
      <c r="K475" s="7"/>
      <c r="L475" s="7"/>
      <c r="M475" s="246"/>
      <c r="N475" s="7"/>
      <c r="O475" s="7"/>
      <c r="P475" s="7"/>
      <c r="Q475" s="7"/>
      <c r="R475" s="7"/>
      <c r="S475" s="7"/>
      <c r="T475" s="7"/>
      <c r="U475" s="7"/>
      <c r="V475" s="7"/>
      <c r="W475" s="7"/>
      <c r="X475" s="7"/>
    </row>
    <row r="476" spans="1:24" ht="19.5" customHeight="1">
      <c r="A476" s="7"/>
      <c r="B476" s="7"/>
      <c r="C476" s="7"/>
      <c r="D476" s="7"/>
      <c r="E476" s="7"/>
      <c r="F476" s="7"/>
      <c r="G476" s="7"/>
      <c r="H476" s="7"/>
      <c r="I476" s="7"/>
      <c r="J476" s="7"/>
      <c r="K476" s="7"/>
      <c r="L476" s="7"/>
      <c r="M476" s="246"/>
      <c r="N476" s="7"/>
      <c r="O476" s="7"/>
      <c r="P476" s="7"/>
      <c r="Q476" s="7"/>
      <c r="R476" s="7"/>
      <c r="S476" s="7"/>
      <c r="T476" s="7"/>
      <c r="U476" s="7"/>
      <c r="V476" s="7"/>
      <c r="W476" s="7"/>
      <c r="X476" s="7"/>
    </row>
    <row r="477" spans="1:24" ht="19.5" customHeight="1">
      <c r="A477" s="7"/>
      <c r="B477" s="7"/>
      <c r="C477" s="7"/>
      <c r="D477" s="7"/>
      <c r="E477" s="7"/>
      <c r="F477" s="7"/>
      <c r="G477" s="7"/>
      <c r="H477" s="7"/>
      <c r="I477" s="7"/>
      <c r="J477" s="7"/>
      <c r="K477" s="7"/>
      <c r="L477" s="7"/>
      <c r="M477" s="246"/>
      <c r="N477" s="7"/>
      <c r="O477" s="7"/>
      <c r="P477" s="7"/>
      <c r="Q477" s="7"/>
      <c r="R477" s="7"/>
      <c r="S477" s="7"/>
      <c r="T477" s="7"/>
      <c r="U477" s="7"/>
      <c r="V477" s="7"/>
      <c r="W477" s="7"/>
      <c r="X477" s="7"/>
    </row>
    <row r="478" spans="1:24" ht="19.5" customHeight="1">
      <c r="A478" s="7"/>
      <c r="B478" s="7"/>
      <c r="C478" s="7"/>
      <c r="D478" s="7"/>
      <c r="E478" s="7"/>
      <c r="F478" s="7"/>
      <c r="G478" s="7"/>
      <c r="H478" s="7"/>
      <c r="I478" s="7"/>
      <c r="J478" s="7"/>
      <c r="K478" s="7"/>
      <c r="L478" s="7"/>
      <c r="M478" s="246"/>
      <c r="N478" s="7"/>
      <c r="O478" s="7"/>
      <c r="P478" s="7"/>
      <c r="Q478" s="7"/>
      <c r="R478" s="7"/>
      <c r="S478" s="7"/>
      <c r="T478" s="7"/>
      <c r="U478" s="7"/>
      <c r="V478" s="7"/>
      <c r="W478" s="7"/>
      <c r="X478" s="7"/>
    </row>
    <row r="479" spans="1:24" ht="19.5" customHeight="1">
      <c r="A479" s="7"/>
      <c r="B479" s="7"/>
      <c r="C479" s="7"/>
      <c r="D479" s="7"/>
      <c r="E479" s="7"/>
      <c r="F479" s="7"/>
      <c r="G479" s="7"/>
      <c r="H479" s="7"/>
      <c r="I479" s="7"/>
      <c r="J479" s="7"/>
      <c r="K479" s="7"/>
      <c r="L479" s="7"/>
      <c r="M479" s="246"/>
      <c r="N479" s="7"/>
      <c r="O479" s="7"/>
      <c r="P479" s="7"/>
      <c r="Q479" s="7"/>
      <c r="R479" s="7"/>
      <c r="S479" s="7"/>
      <c r="T479" s="7"/>
      <c r="U479" s="7"/>
      <c r="V479" s="7"/>
      <c r="W479" s="7"/>
      <c r="X479" s="7"/>
    </row>
    <row r="480" spans="1:24" ht="19.5" customHeight="1">
      <c r="A480" s="7"/>
      <c r="B480" s="7"/>
      <c r="C480" s="7"/>
      <c r="D480" s="7"/>
      <c r="E480" s="7"/>
      <c r="F480" s="7"/>
      <c r="G480" s="7"/>
      <c r="H480" s="7"/>
      <c r="I480" s="7"/>
      <c r="J480" s="7"/>
      <c r="K480" s="7"/>
      <c r="L480" s="7"/>
      <c r="M480" s="246"/>
      <c r="N480" s="7"/>
      <c r="O480" s="7"/>
      <c r="P480" s="7"/>
      <c r="Q480" s="7"/>
      <c r="R480" s="7"/>
      <c r="S480" s="7"/>
      <c r="T480" s="7"/>
      <c r="U480" s="7"/>
      <c r="V480" s="7"/>
      <c r="W480" s="7"/>
      <c r="X480" s="7"/>
    </row>
    <row r="481" spans="1:24" ht="19.5" customHeight="1">
      <c r="A481" s="7"/>
      <c r="B481" s="7"/>
      <c r="C481" s="7"/>
      <c r="D481" s="7"/>
      <c r="E481" s="7"/>
      <c r="F481" s="7"/>
      <c r="G481" s="7"/>
      <c r="H481" s="7"/>
      <c r="I481" s="7"/>
      <c r="J481" s="7"/>
      <c r="K481" s="7"/>
      <c r="L481" s="7"/>
      <c r="M481" s="246"/>
      <c r="N481" s="7"/>
      <c r="O481" s="7"/>
      <c r="P481" s="7"/>
      <c r="Q481" s="7"/>
      <c r="R481" s="7"/>
      <c r="S481" s="7"/>
      <c r="T481" s="7"/>
      <c r="U481" s="7"/>
      <c r="V481" s="7"/>
      <c r="W481" s="7"/>
      <c r="X481" s="7"/>
    </row>
    <row r="482" spans="1:24" ht="19.5" customHeight="1">
      <c r="A482" s="7"/>
      <c r="B482" s="7"/>
      <c r="C482" s="7"/>
      <c r="D482" s="7"/>
      <c r="E482" s="7"/>
      <c r="F482" s="7"/>
      <c r="G482" s="7"/>
      <c r="H482" s="7"/>
      <c r="I482" s="7"/>
      <c r="J482" s="7"/>
      <c r="K482" s="7"/>
      <c r="L482" s="7"/>
      <c r="M482" s="246"/>
      <c r="N482" s="7"/>
      <c r="O482" s="7"/>
      <c r="P482" s="7"/>
      <c r="Q482" s="7"/>
      <c r="R482" s="7"/>
      <c r="S482" s="7"/>
      <c r="T482" s="7"/>
      <c r="U482" s="7"/>
      <c r="V482" s="7"/>
      <c r="W482" s="7"/>
      <c r="X482" s="7"/>
    </row>
    <row r="483" spans="1:24" ht="19.5" customHeight="1">
      <c r="A483" s="7"/>
      <c r="B483" s="7"/>
      <c r="C483" s="7"/>
      <c r="D483" s="7"/>
      <c r="E483" s="7"/>
      <c r="F483" s="7"/>
      <c r="G483" s="7"/>
      <c r="H483" s="7"/>
      <c r="I483" s="7"/>
      <c r="J483" s="7"/>
      <c r="K483" s="7"/>
      <c r="L483" s="7"/>
      <c r="M483" s="246"/>
      <c r="N483" s="7"/>
      <c r="O483" s="7"/>
      <c r="P483" s="7"/>
      <c r="Q483" s="7"/>
      <c r="R483" s="7"/>
      <c r="S483" s="7"/>
      <c r="T483" s="7"/>
      <c r="U483" s="7"/>
      <c r="V483" s="7"/>
      <c r="W483" s="7"/>
      <c r="X483" s="7"/>
    </row>
    <row r="484" spans="1:24" ht="19.5" customHeight="1">
      <c r="A484" s="7"/>
      <c r="B484" s="7"/>
      <c r="C484" s="7"/>
      <c r="D484" s="7"/>
      <c r="E484" s="7"/>
      <c r="F484" s="7"/>
      <c r="G484" s="7"/>
      <c r="H484" s="7"/>
      <c r="I484" s="7"/>
      <c r="J484" s="7"/>
      <c r="K484" s="7"/>
      <c r="L484" s="7"/>
      <c r="M484" s="246"/>
      <c r="N484" s="7"/>
      <c r="O484" s="7"/>
      <c r="P484" s="7"/>
      <c r="Q484" s="7"/>
      <c r="R484" s="7"/>
      <c r="S484" s="7"/>
      <c r="T484" s="7"/>
      <c r="U484" s="7"/>
      <c r="V484" s="7"/>
      <c r="W484" s="7"/>
      <c r="X484" s="7"/>
    </row>
    <row r="485" spans="1:24" ht="19.5" customHeight="1">
      <c r="A485" s="7"/>
      <c r="B485" s="7"/>
      <c r="C485" s="7"/>
      <c r="D485" s="7"/>
      <c r="E485" s="7"/>
      <c r="F485" s="7"/>
      <c r="G485" s="7"/>
      <c r="H485" s="7"/>
      <c r="I485" s="7"/>
      <c r="J485" s="7"/>
      <c r="K485" s="7"/>
      <c r="L485" s="7"/>
      <c r="M485" s="246"/>
      <c r="N485" s="7"/>
      <c r="O485" s="7"/>
      <c r="P485" s="7"/>
      <c r="Q485" s="7"/>
      <c r="R485" s="7"/>
      <c r="S485" s="7"/>
      <c r="T485" s="7"/>
      <c r="U485" s="7"/>
      <c r="V485" s="7"/>
      <c r="W485" s="7"/>
      <c r="X485" s="7"/>
    </row>
    <row r="486" spans="1:24" ht="19.5" customHeight="1">
      <c r="A486" s="7"/>
      <c r="B486" s="7"/>
      <c r="C486" s="7"/>
      <c r="D486" s="7"/>
      <c r="E486" s="7"/>
      <c r="F486" s="7"/>
      <c r="G486" s="7"/>
      <c r="H486" s="7"/>
      <c r="I486" s="7"/>
      <c r="J486" s="7"/>
      <c r="K486" s="7"/>
      <c r="L486" s="7"/>
      <c r="M486" s="246"/>
      <c r="N486" s="7"/>
      <c r="O486" s="7"/>
      <c r="P486" s="7"/>
      <c r="Q486" s="7"/>
      <c r="R486" s="7"/>
      <c r="S486" s="7"/>
      <c r="T486" s="7"/>
      <c r="U486" s="7"/>
      <c r="V486" s="7"/>
      <c r="W486" s="7"/>
      <c r="X486" s="7"/>
    </row>
    <row r="487" spans="1:24" ht="19.5" customHeight="1">
      <c r="A487" s="7"/>
      <c r="B487" s="7"/>
      <c r="C487" s="7"/>
      <c r="D487" s="7"/>
      <c r="E487" s="7"/>
      <c r="F487" s="7"/>
      <c r="G487" s="7"/>
      <c r="H487" s="7"/>
      <c r="I487" s="7"/>
      <c r="J487" s="7"/>
      <c r="K487" s="7"/>
      <c r="L487" s="7"/>
      <c r="M487" s="246"/>
      <c r="N487" s="7"/>
      <c r="O487" s="7"/>
      <c r="P487" s="7"/>
      <c r="Q487" s="7"/>
      <c r="R487" s="7"/>
      <c r="S487" s="7"/>
      <c r="T487" s="7"/>
      <c r="U487" s="7"/>
      <c r="V487" s="7"/>
      <c r="W487" s="7"/>
      <c r="X487" s="7"/>
    </row>
    <row r="488" spans="1:24" ht="19.5" customHeight="1">
      <c r="A488" s="7"/>
      <c r="B488" s="7"/>
      <c r="C488" s="7"/>
      <c r="D488" s="7"/>
      <c r="E488" s="7"/>
      <c r="F488" s="7"/>
      <c r="G488" s="7"/>
      <c r="H488" s="7"/>
      <c r="I488" s="7"/>
      <c r="J488" s="7"/>
      <c r="K488" s="7"/>
      <c r="L488" s="7"/>
      <c r="M488" s="246"/>
      <c r="N488" s="7"/>
      <c r="O488" s="7"/>
      <c r="P488" s="7"/>
      <c r="Q488" s="7"/>
      <c r="R488" s="7"/>
      <c r="S488" s="7"/>
      <c r="T488" s="7"/>
      <c r="U488" s="7"/>
      <c r="V488" s="7"/>
      <c r="W488" s="7"/>
      <c r="X488" s="7"/>
    </row>
    <row r="489" spans="1:24" ht="19.5" customHeight="1">
      <c r="A489" s="7"/>
      <c r="B489" s="7"/>
      <c r="C489" s="7"/>
      <c r="D489" s="7"/>
      <c r="E489" s="7"/>
      <c r="F489" s="7"/>
      <c r="G489" s="7"/>
      <c r="H489" s="7"/>
      <c r="I489" s="7"/>
      <c r="J489" s="7"/>
      <c r="K489" s="7"/>
      <c r="L489" s="7"/>
      <c r="M489" s="246"/>
      <c r="N489" s="7"/>
      <c r="O489" s="7"/>
      <c r="P489" s="7"/>
      <c r="Q489" s="7"/>
      <c r="R489" s="7"/>
      <c r="S489" s="7"/>
      <c r="T489" s="7"/>
      <c r="U489" s="7"/>
      <c r="V489" s="7"/>
      <c r="W489" s="7"/>
      <c r="X489" s="7"/>
    </row>
    <row r="490" spans="1:24" ht="19.5" customHeight="1">
      <c r="A490" s="7"/>
      <c r="B490" s="7"/>
      <c r="C490" s="7"/>
      <c r="D490" s="7"/>
      <c r="E490" s="7"/>
      <c r="F490" s="7"/>
      <c r="G490" s="7"/>
      <c r="H490" s="7"/>
      <c r="I490" s="7"/>
      <c r="J490" s="7"/>
      <c r="K490" s="7"/>
      <c r="L490" s="7"/>
      <c r="M490" s="246"/>
      <c r="N490" s="7"/>
      <c r="O490" s="7"/>
      <c r="P490" s="7"/>
      <c r="Q490" s="7"/>
      <c r="R490" s="7"/>
      <c r="S490" s="7"/>
      <c r="T490" s="7"/>
      <c r="U490" s="7"/>
      <c r="V490" s="7"/>
      <c r="W490" s="7"/>
      <c r="X490" s="7"/>
    </row>
    <row r="491" spans="1:24" ht="19.5" customHeight="1">
      <c r="A491" s="7"/>
      <c r="B491" s="7"/>
      <c r="C491" s="7"/>
      <c r="D491" s="7"/>
      <c r="E491" s="7"/>
      <c r="F491" s="7"/>
      <c r="G491" s="7"/>
      <c r="H491" s="7"/>
      <c r="I491" s="7"/>
      <c r="J491" s="7"/>
      <c r="K491" s="7"/>
      <c r="L491" s="7"/>
      <c r="M491" s="246"/>
      <c r="N491" s="7"/>
      <c r="O491" s="7"/>
      <c r="P491" s="7"/>
      <c r="Q491" s="7"/>
      <c r="R491" s="7"/>
      <c r="S491" s="7"/>
      <c r="T491" s="7"/>
      <c r="U491" s="7"/>
      <c r="V491" s="7"/>
      <c r="W491" s="7"/>
      <c r="X491" s="7"/>
    </row>
    <row r="492" spans="1:24" ht="19.5" customHeight="1">
      <c r="A492" s="7"/>
      <c r="B492" s="7"/>
      <c r="C492" s="7"/>
      <c r="D492" s="7"/>
      <c r="E492" s="7"/>
      <c r="F492" s="7"/>
      <c r="G492" s="7"/>
      <c r="H492" s="7"/>
      <c r="I492" s="7"/>
      <c r="J492" s="7"/>
      <c r="K492" s="7"/>
      <c r="L492" s="7"/>
      <c r="M492" s="246"/>
      <c r="N492" s="7"/>
      <c r="O492" s="7"/>
      <c r="P492" s="7"/>
      <c r="Q492" s="7"/>
      <c r="R492" s="7"/>
      <c r="S492" s="7"/>
      <c r="T492" s="7"/>
      <c r="U492" s="7"/>
      <c r="V492" s="7"/>
      <c r="W492" s="7"/>
      <c r="X492" s="7"/>
    </row>
    <row r="493" spans="1:24" ht="19.5" customHeight="1">
      <c r="A493" s="7"/>
      <c r="B493" s="7"/>
      <c r="C493" s="7"/>
      <c r="D493" s="7"/>
      <c r="E493" s="7"/>
      <c r="F493" s="7"/>
      <c r="G493" s="7"/>
      <c r="H493" s="7"/>
      <c r="I493" s="7"/>
      <c r="J493" s="7"/>
      <c r="K493" s="7"/>
      <c r="L493" s="7"/>
      <c r="M493" s="246"/>
      <c r="N493" s="7"/>
      <c r="O493" s="7"/>
      <c r="P493" s="7"/>
      <c r="Q493" s="7"/>
      <c r="R493" s="7"/>
      <c r="S493" s="7"/>
      <c r="T493" s="7"/>
      <c r="U493" s="7"/>
      <c r="V493" s="7"/>
      <c r="W493" s="7"/>
      <c r="X493" s="7"/>
    </row>
    <row r="494" spans="1:24" ht="19.5" customHeight="1">
      <c r="A494" s="7"/>
      <c r="B494" s="7"/>
      <c r="C494" s="7"/>
      <c r="D494" s="7"/>
      <c r="E494" s="7"/>
      <c r="F494" s="7"/>
      <c r="G494" s="7"/>
      <c r="H494" s="7"/>
      <c r="I494" s="7"/>
      <c r="J494" s="7"/>
      <c r="K494" s="7"/>
      <c r="L494" s="7"/>
      <c r="M494" s="246"/>
      <c r="N494" s="7"/>
      <c r="O494" s="7"/>
      <c r="P494" s="7"/>
      <c r="Q494" s="7"/>
      <c r="R494" s="7"/>
      <c r="S494" s="7"/>
      <c r="T494" s="7"/>
      <c r="U494" s="7"/>
      <c r="V494" s="7"/>
      <c r="W494" s="7"/>
      <c r="X494" s="7"/>
    </row>
    <row r="495" spans="1:24" ht="19.5" customHeight="1">
      <c r="A495" s="7"/>
      <c r="B495" s="7"/>
      <c r="C495" s="7"/>
      <c r="D495" s="7"/>
      <c r="E495" s="7"/>
      <c r="F495" s="7"/>
      <c r="G495" s="7"/>
      <c r="H495" s="7"/>
      <c r="I495" s="7"/>
      <c r="J495" s="7"/>
      <c r="K495" s="7"/>
      <c r="L495" s="7"/>
      <c r="M495" s="246"/>
      <c r="N495" s="7"/>
      <c r="O495" s="7"/>
      <c r="P495" s="7"/>
      <c r="Q495" s="7"/>
      <c r="R495" s="7"/>
      <c r="S495" s="7"/>
      <c r="T495" s="7"/>
      <c r="U495" s="7"/>
      <c r="V495" s="7"/>
      <c r="W495" s="7"/>
      <c r="X495" s="7"/>
    </row>
    <row r="496" spans="1:24" ht="19.5" customHeight="1">
      <c r="A496" s="7"/>
      <c r="B496" s="7"/>
      <c r="C496" s="7"/>
      <c r="D496" s="7"/>
      <c r="E496" s="7"/>
      <c r="F496" s="7"/>
      <c r="G496" s="7"/>
      <c r="H496" s="7"/>
      <c r="I496" s="7"/>
      <c r="J496" s="7"/>
      <c r="K496" s="7"/>
      <c r="L496" s="7"/>
      <c r="M496" s="246"/>
      <c r="N496" s="7"/>
      <c r="O496" s="7"/>
      <c r="P496" s="7"/>
      <c r="Q496" s="7"/>
      <c r="R496" s="7"/>
      <c r="S496" s="7"/>
      <c r="T496" s="7"/>
      <c r="U496" s="7"/>
      <c r="V496" s="7"/>
      <c r="W496" s="7"/>
      <c r="X496" s="7"/>
    </row>
    <row r="497" spans="1:24" ht="19.5" customHeight="1">
      <c r="A497" s="7"/>
      <c r="B497" s="7"/>
      <c r="C497" s="7"/>
      <c r="D497" s="7"/>
      <c r="E497" s="7"/>
      <c r="F497" s="7"/>
      <c r="G497" s="7"/>
      <c r="H497" s="7"/>
      <c r="I497" s="7"/>
      <c r="J497" s="7"/>
      <c r="K497" s="7"/>
      <c r="L497" s="7"/>
      <c r="M497" s="246"/>
      <c r="N497" s="7"/>
      <c r="O497" s="7"/>
      <c r="P497" s="7"/>
      <c r="Q497" s="7"/>
      <c r="R497" s="7"/>
      <c r="S497" s="7"/>
      <c r="T497" s="7"/>
      <c r="U497" s="7"/>
      <c r="V497" s="7"/>
      <c r="W497" s="7"/>
      <c r="X497" s="7"/>
    </row>
    <row r="498" spans="1:24" ht="19.5" customHeight="1">
      <c r="A498" s="7"/>
      <c r="B498" s="7"/>
      <c r="C498" s="7"/>
      <c r="D498" s="7"/>
      <c r="E498" s="7"/>
      <c r="F498" s="7"/>
      <c r="G498" s="7"/>
      <c r="H498" s="7"/>
      <c r="I498" s="7"/>
      <c r="J498" s="7"/>
      <c r="K498" s="7"/>
      <c r="L498" s="7"/>
      <c r="M498" s="246"/>
      <c r="N498" s="7"/>
      <c r="O498" s="7"/>
      <c r="P498" s="7"/>
      <c r="Q498" s="7"/>
      <c r="R498" s="7"/>
      <c r="S498" s="7"/>
      <c r="T498" s="7"/>
      <c r="U498" s="7"/>
      <c r="V498" s="7"/>
      <c r="W498" s="7"/>
      <c r="X498" s="7"/>
    </row>
    <row r="499" spans="1:24" ht="19.5" customHeight="1">
      <c r="A499" s="7"/>
      <c r="B499" s="7"/>
      <c r="C499" s="7"/>
      <c r="D499" s="7"/>
      <c r="E499" s="7"/>
      <c r="F499" s="7"/>
      <c r="G499" s="7"/>
      <c r="H499" s="7"/>
      <c r="I499" s="7"/>
      <c r="J499" s="7"/>
      <c r="K499" s="7"/>
      <c r="L499" s="7"/>
      <c r="M499" s="246"/>
      <c r="N499" s="7"/>
      <c r="O499" s="7"/>
      <c r="P499" s="7"/>
      <c r="Q499" s="7"/>
      <c r="R499" s="7"/>
      <c r="S499" s="7"/>
      <c r="T499" s="7"/>
      <c r="U499" s="7"/>
      <c r="V499" s="7"/>
      <c r="W499" s="7"/>
      <c r="X499" s="7"/>
    </row>
    <row r="500" spans="1:24" ht="19.5" customHeight="1">
      <c r="A500" s="7"/>
      <c r="B500" s="7"/>
      <c r="C500" s="7"/>
      <c r="D500" s="7"/>
      <c r="E500" s="7"/>
      <c r="F500" s="7"/>
      <c r="G500" s="7"/>
      <c r="H500" s="7"/>
      <c r="I500" s="7"/>
      <c r="J500" s="7"/>
      <c r="K500" s="7"/>
      <c r="L500" s="7"/>
      <c r="M500" s="246"/>
      <c r="N500" s="7"/>
      <c r="O500" s="7"/>
      <c r="P500" s="7"/>
      <c r="Q500" s="7"/>
      <c r="R500" s="7"/>
      <c r="S500" s="7"/>
      <c r="T500" s="7"/>
      <c r="U500" s="7"/>
      <c r="V500" s="7"/>
      <c r="W500" s="7"/>
      <c r="X500" s="7"/>
    </row>
    <row r="501" spans="1:24" ht="19.5" customHeight="1">
      <c r="A501" s="7"/>
      <c r="B501" s="7"/>
      <c r="C501" s="7"/>
      <c r="D501" s="7"/>
      <c r="E501" s="7"/>
      <c r="F501" s="7"/>
      <c r="G501" s="7"/>
      <c r="H501" s="7"/>
      <c r="I501" s="7"/>
      <c r="J501" s="7"/>
      <c r="K501" s="7"/>
      <c r="L501" s="7"/>
      <c r="M501" s="246"/>
      <c r="N501" s="7"/>
      <c r="O501" s="7"/>
      <c r="P501" s="7"/>
      <c r="Q501" s="7"/>
      <c r="R501" s="7"/>
      <c r="S501" s="7"/>
      <c r="T501" s="7"/>
      <c r="U501" s="7"/>
      <c r="V501" s="7"/>
      <c r="W501" s="7"/>
      <c r="X501" s="7"/>
    </row>
    <row r="502" spans="1:24" ht="19.5" customHeight="1">
      <c r="A502" s="7"/>
      <c r="B502" s="7"/>
      <c r="C502" s="7"/>
      <c r="D502" s="7"/>
      <c r="E502" s="7"/>
      <c r="F502" s="7"/>
      <c r="G502" s="7"/>
      <c r="H502" s="7"/>
      <c r="I502" s="7"/>
      <c r="J502" s="7"/>
      <c r="K502" s="7"/>
      <c r="L502" s="7"/>
      <c r="M502" s="246"/>
      <c r="N502" s="7"/>
      <c r="O502" s="7"/>
      <c r="P502" s="7"/>
      <c r="Q502" s="7"/>
      <c r="R502" s="7"/>
      <c r="S502" s="7"/>
      <c r="T502" s="7"/>
      <c r="U502" s="7"/>
      <c r="V502" s="7"/>
      <c r="W502" s="7"/>
      <c r="X502" s="7"/>
    </row>
    <row r="503" spans="1:24" ht="19.5" customHeight="1">
      <c r="A503" s="7"/>
      <c r="B503" s="7"/>
      <c r="C503" s="7"/>
      <c r="D503" s="7"/>
      <c r="E503" s="7"/>
      <c r="F503" s="7"/>
      <c r="G503" s="7"/>
      <c r="H503" s="7"/>
      <c r="I503" s="7"/>
      <c r="J503" s="7"/>
      <c r="K503" s="7"/>
      <c r="L503" s="7"/>
      <c r="M503" s="246"/>
      <c r="N503" s="7"/>
      <c r="O503" s="7"/>
      <c r="P503" s="7"/>
      <c r="Q503" s="7"/>
      <c r="R503" s="7"/>
      <c r="S503" s="7"/>
      <c r="T503" s="7"/>
      <c r="U503" s="7"/>
      <c r="V503" s="7"/>
      <c r="W503" s="7"/>
      <c r="X503" s="7"/>
    </row>
    <row r="504" spans="1:24" ht="19.5" customHeight="1">
      <c r="A504" s="7"/>
      <c r="B504" s="7"/>
      <c r="C504" s="7"/>
      <c r="D504" s="7"/>
      <c r="E504" s="7"/>
      <c r="F504" s="7"/>
      <c r="G504" s="7"/>
      <c r="H504" s="7"/>
      <c r="I504" s="7"/>
      <c r="J504" s="7"/>
      <c r="K504" s="7"/>
      <c r="L504" s="7"/>
      <c r="M504" s="246"/>
      <c r="N504" s="7"/>
      <c r="O504" s="7"/>
      <c r="P504" s="7"/>
      <c r="Q504" s="7"/>
      <c r="R504" s="7"/>
      <c r="S504" s="7"/>
      <c r="T504" s="7"/>
      <c r="U504" s="7"/>
      <c r="V504" s="7"/>
      <c r="W504" s="7"/>
      <c r="X504" s="7"/>
    </row>
    <row r="505" spans="1:24" ht="19.5" customHeight="1">
      <c r="A505" s="7"/>
      <c r="B505" s="7"/>
      <c r="C505" s="7"/>
      <c r="D505" s="7"/>
      <c r="E505" s="7"/>
      <c r="F505" s="7"/>
      <c r="G505" s="7"/>
      <c r="H505" s="7"/>
      <c r="I505" s="7"/>
      <c r="J505" s="7"/>
      <c r="K505" s="7"/>
      <c r="L505" s="7"/>
      <c r="M505" s="246"/>
      <c r="N505" s="7"/>
      <c r="O505" s="7"/>
      <c r="P505" s="7"/>
      <c r="Q505" s="7"/>
      <c r="R505" s="7"/>
      <c r="S505" s="7"/>
      <c r="T505" s="7"/>
      <c r="U505" s="7"/>
      <c r="V505" s="7"/>
      <c r="W505" s="7"/>
      <c r="X505" s="7"/>
    </row>
    <row r="506" spans="1:24" ht="19.5" customHeight="1">
      <c r="A506" s="7"/>
      <c r="B506" s="7"/>
      <c r="C506" s="7"/>
      <c r="D506" s="7"/>
      <c r="E506" s="7"/>
      <c r="F506" s="7"/>
      <c r="G506" s="7"/>
      <c r="H506" s="7"/>
      <c r="I506" s="7"/>
      <c r="J506" s="7"/>
      <c r="K506" s="7"/>
      <c r="L506" s="7"/>
      <c r="M506" s="246"/>
      <c r="N506" s="7"/>
      <c r="O506" s="7"/>
      <c r="P506" s="7"/>
      <c r="Q506" s="7"/>
      <c r="R506" s="7"/>
      <c r="S506" s="7"/>
      <c r="T506" s="7"/>
      <c r="U506" s="7"/>
      <c r="V506" s="7"/>
      <c r="W506" s="7"/>
      <c r="X506" s="7"/>
    </row>
    <row r="507" spans="1:24" ht="19.5" customHeight="1">
      <c r="A507" s="7"/>
      <c r="B507" s="7"/>
      <c r="C507" s="7"/>
      <c r="D507" s="7"/>
      <c r="E507" s="7"/>
      <c r="F507" s="7"/>
      <c r="G507" s="7"/>
      <c r="H507" s="7"/>
      <c r="I507" s="7"/>
      <c r="J507" s="7"/>
      <c r="K507" s="7"/>
      <c r="L507" s="7"/>
      <c r="M507" s="246"/>
      <c r="N507" s="7"/>
      <c r="O507" s="7"/>
      <c r="P507" s="7"/>
      <c r="Q507" s="7"/>
      <c r="R507" s="7"/>
      <c r="S507" s="7"/>
      <c r="T507" s="7"/>
      <c r="U507" s="7"/>
      <c r="V507" s="7"/>
      <c r="W507" s="7"/>
      <c r="X507" s="7"/>
    </row>
    <row r="508" spans="1:24" ht="19.5" customHeight="1">
      <c r="A508" s="7"/>
      <c r="B508" s="7"/>
      <c r="C508" s="7"/>
      <c r="D508" s="7"/>
      <c r="E508" s="7"/>
      <c r="F508" s="7"/>
      <c r="G508" s="7"/>
      <c r="H508" s="7"/>
      <c r="I508" s="7"/>
      <c r="J508" s="7"/>
      <c r="K508" s="7"/>
      <c r="L508" s="7"/>
      <c r="M508" s="246"/>
      <c r="N508" s="7"/>
      <c r="O508" s="7"/>
      <c r="P508" s="7"/>
      <c r="Q508" s="7"/>
      <c r="R508" s="7"/>
      <c r="S508" s="7"/>
      <c r="T508" s="7"/>
      <c r="U508" s="7"/>
      <c r="V508" s="7"/>
      <c r="W508" s="7"/>
      <c r="X508" s="7"/>
    </row>
    <row r="509" spans="1:24" ht="19.5" customHeight="1">
      <c r="A509" s="7"/>
      <c r="B509" s="7"/>
      <c r="C509" s="7"/>
      <c r="D509" s="7"/>
      <c r="E509" s="7"/>
      <c r="F509" s="7"/>
      <c r="G509" s="7"/>
      <c r="H509" s="7"/>
      <c r="I509" s="7"/>
      <c r="J509" s="7"/>
      <c r="K509" s="7"/>
      <c r="L509" s="7"/>
      <c r="M509" s="246"/>
      <c r="N509" s="7"/>
      <c r="O509" s="7"/>
      <c r="P509" s="7"/>
      <c r="Q509" s="7"/>
      <c r="R509" s="7"/>
      <c r="S509" s="7"/>
      <c r="T509" s="7"/>
      <c r="U509" s="7"/>
      <c r="V509" s="7"/>
      <c r="W509" s="7"/>
      <c r="X509" s="7"/>
    </row>
    <row r="510" spans="1:24" ht="19.5" customHeight="1">
      <c r="A510" s="7"/>
      <c r="B510" s="7"/>
      <c r="C510" s="7"/>
      <c r="D510" s="7"/>
      <c r="E510" s="7"/>
      <c r="F510" s="7"/>
      <c r="G510" s="7"/>
      <c r="H510" s="7"/>
      <c r="I510" s="7"/>
      <c r="J510" s="7"/>
      <c r="K510" s="7"/>
      <c r="L510" s="7"/>
      <c r="M510" s="246"/>
      <c r="N510" s="7"/>
      <c r="O510" s="7"/>
      <c r="P510" s="7"/>
      <c r="Q510" s="7"/>
      <c r="R510" s="7"/>
      <c r="S510" s="7"/>
      <c r="T510" s="7"/>
      <c r="U510" s="7"/>
      <c r="V510" s="7"/>
      <c r="W510" s="7"/>
      <c r="X510" s="7"/>
    </row>
    <row r="511" spans="1:24" ht="19.5" customHeight="1">
      <c r="A511" s="7"/>
      <c r="B511" s="7"/>
      <c r="C511" s="7"/>
      <c r="D511" s="7"/>
      <c r="E511" s="7"/>
      <c r="F511" s="7"/>
      <c r="G511" s="7"/>
      <c r="H511" s="7"/>
      <c r="I511" s="7"/>
      <c r="J511" s="7"/>
      <c r="K511" s="7"/>
      <c r="L511" s="7"/>
      <c r="M511" s="246"/>
      <c r="N511" s="7"/>
      <c r="O511" s="7"/>
      <c r="P511" s="7"/>
      <c r="Q511" s="7"/>
      <c r="R511" s="7"/>
      <c r="S511" s="7"/>
      <c r="T511" s="7"/>
      <c r="U511" s="7"/>
      <c r="V511" s="7"/>
      <c r="W511" s="7"/>
      <c r="X511" s="7"/>
    </row>
    <row r="512" spans="1:24" ht="19.5" customHeight="1">
      <c r="A512" s="7"/>
      <c r="B512" s="7"/>
      <c r="C512" s="7"/>
      <c r="D512" s="7"/>
      <c r="E512" s="7"/>
      <c r="F512" s="7"/>
      <c r="G512" s="7"/>
      <c r="H512" s="7"/>
      <c r="I512" s="7"/>
      <c r="J512" s="7"/>
      <c r="K512" s="7"/>
      <c r="L512" s="7"/>
      <c r="M512" s="246"/>
      <c r="N512" s="7"/>
      <c r="O512" s="7"/>
      <c r="P512" s="7"/>
      <c r="Q512" s="7"/>
      <c r="R512" s="7"/>
      <c r="S512" s="7"/>
      <c r="T512" s="7"/>
      <c r="U512" s="7"/>
      <c r="V512" s="7"/>
      <c r="W512" s="7"/>
      <c r="X512" s="7"/>
    </row>
    <row r="513" spans="1:24" ht="19.5" customHeight="1">
      <c r="A513" s="7"/>
      <c r="B513" s="7"/>
      <c r="C513" s="7"/>
      <c r="D513" s="7"/>
      <c r="E513" s="7"/>
      <c r="F513" s="7"/>
      <c r="G513" s="7"/>
      <c r="H513" s="7"/>
      <c r="I513" s="7"/>
      <c r="J513" s="7"/>
      <c r="K513" s="7"/>
      <c r="L513" s="7"/>
      <c r="M513" s="246"/>
      <c r="N513" s="7"/>
      <c r="O513" s="7"/>
      <c r="P513" s="7"/>
      <c r="Q513" s="7"/>
      <c r="R513" s="7"/>
      <c r="S513" s="7"/>
      <c r="T513" s="7"/>
      <c r="U513" s="7"/>
      <c r="V513" s="7"/>
      <c r="W513" s="7"/>
      <c r="X513" s="7"/>
    </row>
    <row r="514" spans="1:24" ht="19.5" customHeight="1">
      <c r="A514" s="7"/>
      <c r="B514" s="7"/>
      <c r="C514" s="7"/>
      <c r="D514" s="7"/>
      <c r="E514" s="7"/>
      <c r="F514" s="7"/>
      <c r="G514" s="7"/>
      <c r="H514" s="7"/>
      <c r="I514" s="7"/>
      <c r="J514" s="7"/>
      <c r="K514" s="7"/>
      <c r="L514" s="7"/>
      <c r="M514" s="246"/>
      <c r="N514" s="7"/>
      <c r="O514" s="7"/>
      <c r="P514" s="7"/>
      <c r="Q514" s="7"/>
      <c r="R514" s="7"/>
      <c r="S514" s="7"/>
      <c r="T514" s="7"/>
      <c r="U514" s="7"/>
      <c r="V514" s="7"/>
      <c r="W514" s="7"/>
      <c r="X514" s="7"/>
    </row>
    <row r="515" spans="1:24" ht="19.5" customHeight="1">
      <c r="A515" s="7"/>
      <c r="B515" s="7"/>
      <c r="C515" s="7"/>
      <c r="D515" s="7"/>
      <c r="E515" s="7"/>
      <c r="F515" s="7"/>
      <c r="G515" s="7"/>
      <c r="H515" s="7"/>
      <c r="I515" s="7"/>
      <c r="J515" s="7"/>
      <c r="K515" s="7"/>
      <c r="L515" s="7"/>
      <c r="M515" s="246"/>
      <c r="N515" s="7"/>
      <c r="O515" s="7"/>
      <c r="P515" s="7"/>
      <c r="Q515" s="7"/>
      <c r="R515" s="7"/>
      <c r="S515" s="7"/>
      <c r="T515" s="7"/>
      <c r="U515" s="7"/>
      <c r="V515" s="7"/>
      <c r="W515" s="7"/>
      <c r="X515" s="7"/>
    </row>
    <row r="516" spans="1:24" ht="19.5" customHeight="1">
      <c r="A516" s="7"/>
      <c r="B516" s="7"/>
      <c r="C516" s="7"/>
      <c r="D516" s="7"/>
      <c r="E516" s="7"/>
      <c r="F516" s="7"/>
      <c r="G516" s="7"/>
      <c r="H516" s="7"/>
      <c r="I516" s="7"/>
      <c r="J516" s="7"/>
      <c r="K516" s="7"/>
      <c r="L516" s="7"/>
      <c r="M516" s="246"/>
      <c r="N516" s="7"/>
      <c r="O516" s="7"/>
      <c r="P516" s="7"/>
      <c r="Q516" s="7"/>
      <c r="R516" s="7"/>
      <c r="S516" s="7"/>
      <c r="T516" s="7"/>
      <c r="U516" s="7"/>
      <c r="V516" s="7"/>
      <c r="W516" s="7"/>
      <c r="X516" s="7"/>
    </row>
    <row r="517" spans="1:24" ht="19.5" customHeight="1">
      <c r="A517" s="7"/>
      <c r="B517" s="7"/>
      <c r="C517" s="7"/>
      <c r="D517" s="7"/>
      <c r="E517" s="7"/>
      <c r="F517" s="7"/>
      <c r="G517" s="7"/>
      <c r="H517" s="7"/>
      <c r="I517" s="7"/>
      <c r="J517" s="7"/>
      <c r="K517" s="7"/>
      <c r="L517" s="7"/>
      <c r="M517" s="246"/>
      <c r="N517" s="7"/>
      <c r="O517" s="7"/>
      <c r="P517" s="7"/>
      <c r="Q517" s="7"/>
      <c r="R517" s="7"/>
      <c r="S517" s="7"/>
      <c r="T517" s="7"/>
      <c r="U517" s="7"/>
      <c r="V517" s="7"/>
      <c r="W517" s="7"/>
      <c r="X517" s="7"/>
    </row>
    <row r="518" spans="1:24" ht="19.5" customHeight="1">
      <c r="A518" s="7"/>
      <c r="B518" s="7"/>
      <c r="C518" s="7"/>
      <c r="D518" s="7"/>
      <c r="E518" s="7"/>
      <c r="F518" s="7"/>
      <c r="G518" s="7"/>
      <c r="H518" s="7"/>
      <c r="I518" s="7"/>
      <c r="J518" s="7"/>
      <c r="K518" s="7"/>
      <c r="L518" s="7"/>
      <c r="M518" s="246"/>
      <c r="N518" s="7"/>
      <c r="O518" s="7"/>
      <c r="P518" s="7"/>
      <c r="Q518" s="7"/>
      <c r="R518" s="7"/>
      <c r="S518" s="7"/>
      <c r="T518" s="7"/>
      <c r="U518" s="7"/>
      <c r="V518" s="7"/>
      <c r="W518" s="7"/>
      <c r="X518" s="7"/>
    </row>
    <row r="519" spans="1:24" ht="19.5" customHeight="1">
      <c r="A519" s="7"/>
      <c r="B519" s="7"/>
      <c r="C519" s="7"/>
      <c r="D519" s="7"/>
      <c r="E519" s="7"/>
      <c r="F519" s="7"/>
      <c r="G519" s="7"/>
      <c r="H519" s="7"/>
      <c r="I519" s="7"/>
      <c r="J519" s="7"/>
      <c r="K519" s="7"/>
      <c r="L519" s="7"/>
      <c r="M519" s="246"/>
      <c r="N519" s="7"/>
      <c r="O519" s="7"/>
      <c r="P519" s="7"/>
      <c r="Q519" s="7"/>
      <c r="R519" s="7"/>
      <c r="S519" s="7"/>
      <c r="T519" s="7"/>
      <c r="U519" s="7"/>
      <c r="V519" s="7"/>
      <c r="W519" s="7"/>
      <c r="X519" s="7"/>
    </row>
    <row r="520" spans="1:24" ht="19.5" customHeight="1">
      <c r="A520" s="7"/>
      <c r="B520" s="7"/>
      <c r="C520" s="7"/>
      <c r="D520" s="7"/>
      <c r="E520" s="7"/>
      <c r="F520" s="7"/>
      <c r="G520" s="7"/>
      <c r="H520" s="7"/>
      <c r="I520" s="7"/>
      <c r="J520" s="7"/>
      <c r="K520" s="7"/>
      <c r="L520" s="7"/>
      <c r="M520" s="246"/>
      <c r="N520" s="7"/>
      <c r="O520" s="7"/>
      <c r="P520" s="7"/>
      <c r="Q520" s="7"/>
      <c r="R520" s="7"/>
      <c r="S520" s="7"/>
      <c r="T520" s="7"/>
      <c r="U520" s="7"/>
      <c r="V520" s="7"/>
      <c r="W520" s="7"/>
      <c r="X520" s="7"/>
    </row>
    <row r="521" spans="1:24" ht="19.5" customHeight="1">
      <c r="A521" s="7"/>
      <c r="B521" s="7"/>
      <c r="C521" s="7"/>
      <c r="D521" s="7"/>
      <c r="E521" s="7"/>
      <c r="F521" s="7"/>
      <c r="G521" s="7"/>
      <c r="H521" s="7"/>
      <c r="I521" s="7"/>
      <c r="J521" s="7"/>
      <c r="K521" s="7"/>
      <c r="L521" s="7"/>
      <c r="M521" s="246"/>
      <c r="N521" s="7"/>
      <c r="O521" s="7"/>
      <c r="P521" s="7"/>
      <c r="Q521" s="7"/>
      <c r="R521" s="7"/>
      <c r="S521" s="7"/>
      <c r="T521" s="7"/>
      <c r="U521" s="7"/>
      <c r="V521" s="7"/>
      <c r="W521" s="7"/>
      <c r="X521" s="7"/>
    </row>
    <row r="522" spans="1:24" ht="19.5" customHeight="1">
      <c r="A522" s="7"/>
      <c r="B522" s="7"/>
      <c r="C522" s="7"/>
      <c r="D522" s="7"/>
      <c r="E522" s="7"/>
      <c r="F522" s="7"/>
      <c r="G522" s="7"/>
      <c r="H522" s="7"/>
      <c r="I522" s="7"/>
      <c r="J522" s="7"/>
      <c r="K522" s="7"/>
      <c r="L522" s="7"/>
      <c r="M522" s="246"/>
      <c r="N522" s="7"/>
      <c r="O522" s="7"/>
      <c r="P522" s="7"/>
      <c r="Q522" s="7"/>
      <c r="R522" s="7"/>
      <c r="S522" s="7"/>
      <c r="T522" s="7"/>
      <c r="U522" s="7"/>
      <c r="V522" s="7"/>
      <c r="W522" s="7"/>
      <c r="X522" s="7"/>
    </row>
    <row r="523" spans="1:24" ht="19.5" customHeight="1">
      <c r="A523" s="7"/>
      <c r="B523" s="7"/>
      <c r="C523" s="7"/>
      <c r="D523" s="7"/>
      <c r="E523" s="7"/>
      <c r="F523" s="7"/>
      <c r="G523" s="7"/>
      <c r="H523" s="7"/>
      <c r="I523" s="7"/>
      <c r="J523" s="7"/>
      <c r="K523" s="7"/>
      <c r="L523" s="7"/>
      <c r="M523" s="246"/>
      <c r="N523" s="7"/>
      <c r="O523" s="7"/>
      <c r="P523" s="7"/>
      <c r="Q523" s="7"/>
      <c r="R523" s="7"/>
      <c r="S523" s="7"/>
      <c r="T523" s="7"/>
      <c r="U523" s="7"/>
      <c r="V523" s="7"/>
      <c r="W523" s="7"/>
      <c r="X523" s="7"/>
    </row>
    <row r="524" spans="1:24" ht="19.5" customHeight="1">
      <c r="A524" s="7"/>
      <c r="B524" s="7"/>
      <c r="C524" s="7"/>
      <c r="D524" s="7"/>
      <c r="E524" s="7"/>
      <c r="F524" s="7"/>
      <c r="G524" s="7"/>
      <c r="H524" s="7"/>
      <c r="I524" s="7"/>
      <c r="J524" s="7"/>
      <c r="K524" s="7"/>
      <c r="L524" s="7"/>
      <c r="M524" s="246"/>
      <c r="N524" s="7"/>
      <c r="O524" s="7"/>
      <c r="P524" s="7"/>
      <c r="Q524" s="7"/>
      <c r="R524" s="7"/>
      <c r="S524" s="7"/>
      <c r="T524" s="7"/>
      <c r="U524" s="7"/>
      <c r="V524" s="7"/>
      <c r="W524" s="7"/>
      <c r="X524" s="7"/>
    </row>
    <row r="525" spans="1:24" ht="19.5" customHeight="1">
      <c r="A525" s="7"/>
      <c r="B525" s="7"/>
      <c r="C525" s="7"/>
      <c r="D525" s="7"/>
      <c r="E525" s="7"/>
      <c r="F525" s="7"/>
      <c r="G525" s="7"/>
      <c r="H525" s="7"/>
      <c r="I525" s="7"/>
      <c r="J525" s="7"/>
      <c r="K525" s="7"/>
      <c r="L525" s="7"/>
      <c r="M525" s="246"/>
      <c r="N525" s="7"/>
      <c r="O525" s="7"/>
      <c r="P525" s="7"/>
      <c r="Q525" s="7"/>
      <c r="R525" s="7"/>
      <c r="S525" s="7"/>
      <c r="T525" s="7"/>
      <c r="U525" s="7"/>
      <c r="V525" s="7"/>
      <c r="W525" s="7"/>
      <c r="X525" s="7"/>
    </row>
    <row r="526" spans="1:24" ht="19.5" customHeight="1">
      <c r="A526" s="7"/>
      <c r="B526" s="7"/>
      <c r="C526" s="7"/>
      <c r="D526" s="7"/>
      <c r="E526" s="7"/>
      <c r="F526" s="7"/>
      <c r="G526" s="7"/>
      <c r="H526" s="7"/>
      <c r="I526" s="7"/>
      <c r="J526" s="7"/>
      <c r="K526" s="7"/>
      <c r="L526" s="7"/>
      <c r="M526" s="246"/>
      <c r="N526" s="7"/>
      <c r="O526" s="7"/>
      <c r="P526" s="7"/>
      <c r="Q526" s="7"/>
      <c r="R526" s="7"/>
      <c r="S526" s="7"/>
      <c r="T526" s="7"/>
      <c r="U526" s="7"/>
      <c r="V526" s="7"/>
      <c r="W526" s="7"/>
      <c r="X526" s="7"/>
    </row>
    <row r="527" spans="1:24" ht="19.5" customHeight="1">
      <c r="A527" s="7"/>
      <c r="B527" s="7"/>
      <c r="C527" s="7"/>
      <c r="D527" s="7"/>
      <c r="E527" s="7"/>
      <c r="F527" s="7"/>
      <c r="G527" s="7"/>
      <c r="H527" s="7"/>
      <c r="I527" s="7"/>
      <c r="J527" s="7"/>
      <c r="K527" s="7"/>
      <c r="L527" s="7"/>
      <c r="M527" s="246"/>
      <c r="N527" s="7"/>
      <c r="O527" s="7"/>
      <c r="P527" s="7"/>
      <c r="Q527" s="7"/>
      <c r="R527" s="7"/>
      <c r="S527" s="7"/>
      <c r="T527" s="7"/>
      <c r="U527" s="7"/>
      <c r="V527" s="7"/>
      <c r="W527" s="7"/>
      <c r="X527" s="7"/>
    </row>
    <row r="528" spans="1:24" ht="19.5" customHeight="1">
      <c r="A528" s="7"/>
      <c r="B528" s="7"/>
      <c r="C528" s="7"/>
      <c r="D528" s="7"/>
      <c r="E528" s="7"/>
      <c r="F528" s="7"/>
      <c r="G528" s="7"/>
      <c r="H528" s="7"/>
      <c r="I528" s="7"/>
      <c r="J528" s="7"/>
      <c r="K528" s="7"/>
      <c r="L528" s="7"/>
      <c r="M528" s="246"/>
      <c r="N528" s="7"/>
      <c r="O528" s="7"/>
      <c r="P528" s="7"/>
      <c r="Q528" s="7"/>
      <c r="R528" s="7"/>
      <c r="S528" s="7"/>
      <c r="T528" s="7"/>
      <c r="U528" s="7"/>
      <c r="V528" s="7"/>
      <c r="W528" s="7"/>
      <c r="X528" s="7"/>
    </row>
    <row r="529" spans="1:24" ht="19.5" customHeight="1">
      <c r="A529" s="7"/>
      <c r="B529" s="7"/>
      <c r="C529" s="7"/>
      <c r="D529" s="7"/>
      <c r="E529" s="7"/>
      <c r="F529" s="7"/>
      <c r="G529" s="7"/>
      <c r="H529" s="7"/>
      <c r="I529" s="7"/>
      <c r="J529" s="7"/>
      <c r="K529" s="7"/>
      <c r="L529" s="7"/>
      <c r="M529" s="246"/>
      <c r="N529" s="7"/>
      <c r="O529" s="7"/>
      <c r="P529" s="7"/>
      <c r="Q529" s="7"/>
      <c r="R529" s="7"/>
      <c r="S529" s="7"/>
      <c r="T529" s="7"/>
      <c r="U529" s="7"/>
      <c r="V529" s="7"/>
      <c r="W529" s="7"/>
      <c r="X529" s="7"/>
    </row>
    <row r="530" spans="1:24" ht="19.5" customHeight="1">
      <c r="A530" s="7"/>
      <c r="B530" s="7"/>
      <c r="C530" s="7"/>
      <c r="D530" s="7"/>
      <c r="E530" s="7"/>
      <c r="F530" s="7"/>
      <c r="G530" s="7"/>
      <c r="H530" s="7"/>
      <c r="I530" s="7"/>
      <c r="J530" s="7"/>
      <c r="K530" s="7"/>
      <c r="L530" s="7"/>
      <c r="M530" s="246"/>
      <c r="N530" s="7"/>
      <c r="O530" s="7"/>
      <c r="P530" s="7"/>
      <c r="Q530" s="7"/>
      <c r="R530" s="7"/>
      <c r="S530" s="7"/>
      <c r="T530" s="7"/>
      <c r="U530" s="7"/>
      <c r="V530" s="7"/>
      <c r="W530" s="7"/>
      <c r="X530" s="7"/>
    </row>
    <row r="531" spans="1:24" ht="19.5" customHeight="1">
      <c r="A531" s="7"/>
      <c r="B531" s="7"/>
      <c r="C531" s="7"/>
      <c r="D531" s="7"/>
      <c r="E531" s="7"/>
      <c r="F531" s="7"/>
      <c r="G531" s="7"/>
      <c r="H531" s="7"/>
      <c r="I531" s="7"/>
      <c r="J531" s="7"/>
      <c r="K531" s="7"/>
      <c r="L531" s="7"/>
      <c r="M531" s="246"/>
      <c r="N531" s="7"/>
      <c r="O531" s="7"/>
      <c r="P531" s="7"/>
      <c r="Q531" s="7"/>
      <c r="R531" s="7"/>
      <c r="S531" s="7"/>
      <c r="T531" s="7"/>
      <c r="U531" s="7"/>
      <c r="V531" s="7"/>
      <c r="W531" s="7"/>
      <c r="X531" s="7"/>
    </row>
    <row r="532" spans="1:24" ht="19.5" customHeight="1">
      <c r="A532" s="7"/>
      <c r="B532" s="7"/>
      <c r="C532" s="7"/>
      <c r="D532" s="7"/>
      <c r="E532" s="7"/>
      <c r="F532" s="7"/>
      <c r="G532" s="7"/>
      <c r="H532" s="7"/>
      <c r="I532" s="7"/>
      <c r="J532" s="7"/>
      <c r="K532" s="7"/>
      <c r="L532" s="7"/>
      <c r="M532" s="246"/>
      <c r="N532" s="7"/>
      <c r="O532" s="7"/>
      <c r="P532" s="7"/>
      <c r="Q532" s="7"/>
      <c r="R532" s="7"/>
      <c r="S532" s="7"/>
      <c r="T532" s="7"/>
      <c r="U532" s="7"/>
      <c r="V532" s="7"/>
      <c r="W532" s="7"/>
      <c r="X532" s="7"/>
    </row>
    <row r="533" spans="1:24" ht="19.5" customHeight="1">
      <c r="A533" s="7"/>
      <c r="B533" s="7"/>
      <c r="C533" s="7"/>
      <c r="D533" s="7"/>
      <c r="E533" s="7"/>
      <c r="F533" s="7"/>
      <c r="G533" s="7"/>
      <c r="H533" s="7"/>
      <c r="I533" s="7"/>
      <c r="J533" s="7"/>
      <c r="K533" s="7"/>
      <c r="L533" s="7"/>
      <c r="M533" s="246"/>
      <c r="N533" s="7"/>
      <c r="O533" s="7"/>
      <c r="P533" s="7"/>
      <c r="Q533" s="7"/>
      <c r="R533" s="7"/>
      <c r="S533" s="7"/>
      <c r="T533" s="7"/>
      <c r="U533" s="7"/>
      <c r="V533" s="7"/>
      <c r="W533" s="7"/>
      <c r="X533" s="7"/>
    </row>
    <row r="534" spans="1:24" ht="19.5" customHeight="1">
      <c r="A534" s="7"/>
      <c r="B534" s="7"/>
      <c r="C534" s="7"/>
      <c r="D534" s="7"/>
      <c r="E534" s="7"/>
      <c r="F534" s="7"/>
      <c r="G534" s="7"/>
      <c r="H534" s="7"/>
      <c r="I534" s="7"/>
      <c r="J534" s="7"/>
      <c r="K534" s="7"/>
      <c r="L534" s="7"/>
      <c r="M534" s="246"/>
      <c r="N534" s="7"/>
      <c r="O534" s="7"/>
      <c r="P534" s="7"/>
      <c r="Q534" s="7"/>
      <c r="R534" s="7"/>
      <c r="S534" s="7"/>
      <c r="T534" s="7"/>
      <c r="U534" s="7"/>
      <c r="V534" s="7"/>
      <c r="W534" s="7"/>
      <c r="X534" s="7"/>
    </row>
    <row r="535" spans="1:24" ht="19.5" customHeight="1">
      <c r="A535" s="7"/>
      <c r="B535" s="7"/>
      <c r="C535" s="7"/>
      <c r="D535" s="7"/>
      <c r="E535" s="7"/>
      <c r="F535" s="7"/>
      <c r="G535" s="7"/>
      <c r="H535" s="7"/>
      <c r="I535" s="7"/>
      <c r="J535" s="7"/>
      <c r="K535" s="7"/>
      <c r="L535" s="7"/>
      <c r="M535" s="246"/>
      <c r="N535" s="7"/>
      <c r="O535" s="7"/>
      <c r="P535" s="7"/>
      <c r="Q535" s="7"/>
      <c r="R535" s="7"/>
      <c r="S535" s="7"/>
      <c r="T535" s="7"/>
      <c r="U535" s="7"/>
      <c r="V535" s="7"/>
      <c r="W535" s="7"/>
      <c r="X535" s="7"/>
    </row>
    <row r="536" spans="1:24" ht="19.5" customHeight="1">
      <c r="A536" s="7"/>
      <c r="B536" s="7"/>
      <c r="C536" s="7"/>
      <c r="D536" s="7"/>
      <c r="E536" s="7"/>
      <c r="F536" s="7"/>
      <c r="G536" s="7"/>
      <c r="H536" s="7"/>
      <c r="I536" s="7"/>
      <c r="J536" s="7"/>
      <c r="K536" s="7"/>
      <c r="L536" s="7"/>
      <c r="M536" s="246"/>
      <c r="N536" s="7"/>
      <c r="O536" s="7"/>
      <c r="P536" s="7"/>
      <c r="Q536" s="7"/>
      <c r="R536" s="7"/>
      <c r="S536" s="7"/>
      <c r="T536" s="7"/>
      <c r="U536" s="7"/>
      <c r="V536" s="7"/>
      <c r="W536" s="7"/>
      <c r="X536" s="7"/>
    </row>
    <row r="537" spans="1:24" ht="19.5" customHeight="1">
      <c r="A537" s="7"/>
      <c r="B537" s="7"/>
      <c r="C537" s="7"/>
      <c r="D537" s="7"/>
      <c r="E537" s="7"/>
      <c r="F537" s="7"/>
      <c r="G537" s="7"/>
      <c r="H537" s="7"/>
      <c r="I537" s="7"/>
      <c r="J537" s="7"/>
      <c r="K537" s="7"/>
      <c r="L537" s="7"/>
      <c r="M537" s="246"/>
      <c r="N537" s="7"/>
      <c r="O537" s="7"/>
      <c r="P537" s="7"/>
      <c r="Q537" s="7"/>
      <c r="R537" s="7"/>
      <c r="S537" s="7"/>
      <c r="T537" s="7"/>
      <c r="U537" s="7"/>
      <c r="V537" s="7"/>
      <c r="W537" s="7"/>
      <c r="X537" s="7"/>
    </row>
    <row r="538" spans="1:24" ht="19.5" customHeight="1">
      <c r="A538" s="7"/>
      <c r="B538" s="7"/>
      <c r="C538" s="7"/>
      <c r="D538" s="7"/>
      <c r="E538" s="7"/>
      <c r="F538" s="7"/>
      <c r="G538" s="7"/>
      <c r="H538" s="7"/>
      <c r="I538" s="7"/>
      <c r="J538" s="7"/>
      <c r="K538" s="7"/>
      <c r="L538" s="7"/>
      <c r="M538" s="246"/>
      <c r="N538" s="7"/>
      <c r="O538" s="7"/>
      <c r="P538" s="7"/>
      <c r="Q538" s="7"/>
      <c r="R538" s="7"/>
      <c r="S538" s="7"/>
      <c r="T538" s="7"/>
      <c r="U538" s="7"/>
      <c r="V538" s="7"/>
      <c r="W538" s="7"/>
      <c r="X538" s="7"/>
    </row>
    <row r="539" spans="1:24" ht="19.5" customHeight="1">
      <c r="A539" s="7"/>
      <c r="B539" s="7"/>
      <c r="C539" s="7"/>
      <c r="D539" s="7"/>
      <c r="E539" s="7"/>
      <c r="F539" s="7"/>
      <c r="G539" s="7"/>
      <c r="H539" s="7"/>
      <c r="I539" s="7"/>
      <c r="J539" s="7"/>
      <c r="K539" s="7"/>
      <c r="L539" s="7"/>
      <c r="M539" s="246"/>
      <c r="N539" s="7"/>
      <c r="O539" s="7"/>
      <c r="P539" s="7"/>
      <c r="Q539" s="7"/>
      <c r="R539" s="7"/>
      <c r="S539" s="7"/>
      <c r="T539" s="7"/>
      <c r="U539" s="7"/>
      <c r="V539" s="7"/>
      <c r="W539" s="7"/>
      <c r="X539" s="7"/>
    </row>
    <row r="540" spans="1:24" ht="19.5" customHeight="1">
      <c r="A540" s="7"/>
      <c r="B540" s="7"/>
      <c r="C540" s="7"/>
      <c r="D540" s="7"/>
      <c r="E540" s="7"/>
      <c r="F540" s="7"/>
      <c r="G540" s="7"/>
      <c r="H540" s="7"/>
      <c r="I540" s="7"/>
      <c r="J540" s="7"/>
      <c r="K540" s="7"/>
      <c r="L540" s="7"/>
      <c r="M540" s="246"/>
      <c r="N540" s="7"/>
      <c r="O540" s="7"/>
      <c r="P540" s="7"/>
      <c r="Q540" s="7"/>
      <c r="R540" s="7"/>
      <c r="S540" s="7"/>
      <c r="T540" s="7"/>
      <c r="U540" s="7"/>
      <c r="V540" s="7"/>
      <c r="W540" s="7"/>
      <c r="X540" s="7"/>
    </row>
    <row r="541" spans="1:24" ht="19.5" customHeight="1">
      <c r="A541" s="7"/>
      <c r="B541" s="7"/>
      <c r="C541" s="7"/>
      <c r="D541" s="7"/>
      <c r="E541" s="7"/>
      <c r="F541" s="7"/>
      <c r="G541" s="7"/>
      <c r="H541" s="7"/>
      <c r="I541" s="7"/>
      <c r="J541" s="7"/>
      <c r="K541" s="7"/>
      <c r="L541" s="7"/>
      <c r="M541" s="246"/>
      <c r="N541" s="7"/>
      <c r="O541" s="7"/>
      <c r="P541" s="7"/>
      <c r="Q541" s="7"/>
      <c r="R541" s="7"/>
      <c r="S541" s="7"/>
      <c r="T541" s="7"/>
      <c r="U541" s="7"/>
      <c r="V541" s="7"/>
      <c r="W541" s="7"/>
      <c r="X541" s="7"/>
    </row>
    <row r="542" spans="1:24" ht="19.5" customHeight="1">
      <c r="A542" s="7"/>
      <c r="B542" s="7"/>
      <c r="C542" s="7"/>
      <c r="D542" s="7"/>
      <c r="E542" s="7"/>
      <c r="F542" s="7"/>
      <c r="G542" s="7"/>
      <c r="H542" s="7"/>
      <c r="I542" s="7"/>
      <c r="J542" s="7"/>
      <c r="K542" s="7"/>
      <c r="L542" s="7"/>
      <c r="M542" s="246"/>
      <c r="N542" s="7"/>
      <c r="O542" s="7"/>
      <c r="P542" s="7"/>
      <c r="Q542" s="7"/>
      <c r="R542" s="7"/>
      <c r="S542" s="7"/>
      <c r="T542" s="7"/>
      <c r="U542" s="7"/>
      <c r="V542" s="7"/>
      <c r="W542" s="7"/>
      <c r="X542" s="7"/>
    </row>
    <row r="543" spans="1:24" ht="19.5" customHeight="1">
      <c r="A543" s="7"/>
      <c r="B543" s="7"/>
      <c r="C543" s="7"/>
      <c r="D543" s="7"/>
      <c r="E543" s="7"/>
      <c r="F543" s="7"/>
      <c r="G543" s="7"/>
      <c r="H543" s="7"/>
      <c r="I543" s="7"/>
      <c r="J543" s="7"/>
      <c r="K543" s="7"/>
      <c r="L543" s="7"/>
      <c r="M543" s="246"/>
      <c r="N543" s="7"/>
      <c r="O543" s="7"/>
      <c r="P543" s="7"/>
      <c r="Q543" s="7"/>
      <c r="R543" s="7"/>
      <c r="S543" s="7"/>
      <c r="T543" s="7"/>
      <c r="U543" s="7"/>
      <c r="V543" s="7"/>
      <c r="W543" s="7"/>
      <c r="X543" s="7"/>
    </row>
    <row r="544" spans="1:24" ht="19.5" customHeight="1">
      <c r="A544" s="7"/>
      <c r="B544" s="7"/>
      <c r="C544" s="7"/>
      <c r="D544" s="7"/>
      <c r="E544" s="7"/>
      <c r="F544" s="7"/>
      <c r="G544" s="7"/>
      <c r="H544" s="7"/>
      <c r="I544" s="7"/>
      <c r="J544" s="7"/>
      <c r="K544" s="7"/>
      <c r="L544" s="7"/>
      <c r="M544" s="246"/>
      <c r="N544" s="7"/>
      <c r="O544" s="7"/>
      <c r="P544" s="7"/>
      <c r="Q544" s="7"/>
      <c r="R544" s="7"/>
      <c r="S544" s="7"/>
      <c r="T544" s="7"/>
      <c r="U544" s="7"/>
      <c r="V544" s="7"/>
      <c r="W544" s="7"/>
      <c r="X544" s="7"/>
    </row>
    <row r="545" spans="1:24" ht="19.5" customHeight="1">
      <c r="A545" s="7"/>
      <c r="B545" s="7"/>
      <c r="C545" s="7"/>
      <c r="D545" s="7"/>
      <c r="E545" s="7"/>
      <c r="F545" s="7"/>
      <c r="G545" s="7"/>
      <c r="H545" s="7"/>
      <c r="I545" s="7"/>
      <c r="J545" s="7"/>
      <c r="K545" s="7"/>
      <c r="L545" s="7"/>
      <c r="M545" s="246"/>
      <c r="N545" s="7"/>
      <c r="O545" s="7"/>
      <c r="P545" s="7"/>
      <c r="Q545" s="7"/>
      <c r="R545" s="7"/>
      <c r="S545" s="7"/>
      <c r="T545" s="7"/>
      <c r="U545" s="7"/>
      <c r="V545" s="7"/>
      <c r="W545" s="7"/>
      <c r="X545" s="7"/>
    </row>
    <row r="546" spans="1:24" ht="19.5" customHeight="1">
      <c r="A546" s="7"/>
      <c r="B546" s="7"/>
      <c r="C546" s="7"/>
      <c r="D546" s="7"/>
      <c r="E546" s="7"/>
      <c r="F546" s="7"/>
      <c r="G546" s="7"/>
      <c r="H546" s="7"/>
      <c r="I546" s="7"/>
      <c r="J546" s="7"/>
      <c r="K546" s="7"/>
      <c r="L546" s="7"/>
      <c r="M546" s="246"/>
      <c r="N546" s="7"/>
      <c r="O546" s="7"/>
      <c r="P546" s="7"/>
      <c r="Q546" s="7"/>
      <c r="R546" s="7"/>
      <c r="S546" s="7"/>
      <c r="T546" s="7"/>
      <c r="U546" s="7"/>
      <c r="V546" s="7"/>
      <c r="W546" s="7"/>
      <c r="X546" s="7"/>
    </row>
    <row r="547" spans="1:24" ht="19.5" customHeight="1">
      <c r="A547" s="7"/>
      <c r="B547" s="7"/>
      <c r="C547" s="7"/>
      <c r="D547" s="7"/>
      <c r="E547" s="7"/>
      <c r="F547" s="7"/>
      <c r="G547" s="7"/>
      <c r="H547" s="7"/>
      <c r="I547" s="7"/>
      <c r="J547" s="7"/>
      <c r="K547" s="7"/>
      <c r="L547" s="7"/>
      <c r="M547" s="246"/>
      <c r="N547" s="7"/>
      <c r="O547" s="7"/>
      <c r="P547" s="7"/>
      <c r="Q547" s="7"/>
      <c r="R547" s="7"/>
      <c r="S547" s="7"/>
      <c r="T547" s="7"/>
      <c r="U547" s="7"/>
      <c r="V547" s="7"/>
      <c r="W547" s="7"/>
      <c r="X547" s="7"/>
    </row>
    <row r="548" spans="1:24" ht="19.5" customHeight="1">
      <c r="A548" s="7"/>
      <c r="B548" s="7"/>
      <c r="C548" s="7"/>
      <c r="D548" s="7"/>
      <c r="E548" s="7"/>
      <c r="F548" s="7"/>
      <c r="G548" s="7"/>
      <c r="H548" s="7"/>
      <c r="I548" s="7"/>
      <c r="J548" s="7"/>
      <c r="K548" s="7"/>
      <c r="L548" s="7"/>
      <c r="M548" s="246"/>
      <c r="N548" s="7"/>
      <c r="O548" s="7"/>
      <c r="P548" s="7"/>
      <c r="Q548" s="7"/>
      <c r="R548" s="7"/>
      <c r="S548" s="7"/>
      <c r="T548" s="7"/>
      <c r="U548" s="7"/>
      <c r="V548" s="7"/>
      <c r="W548" s="7"/>
      <c r="X548" s="7"/>
    </row>
    <row r="549" spans="1:24" ht="19.5" customHeight="1">
      <c r="A549" s="7"/>
      <c r="B549" s="7"/>
      <c r="C549" s="7"/>
      <c r="D549" s="7"/>
      <c r="E549" s="7"/>
      <c r="F549" s="7"/>
      <c r="G549" s="7"/>
      <c r="H549" s="7"/>
      <c r="I549" s="7"/>
      <c r="J549" s="7"/>
      <c r="K549" s="7"/>
      <c r="L549" s="7"/>
      <c r="M549" s="246"/>
      <c r="N549" s="7"/>
      <c r="O549" s="7"/>
      <c r="P549" s="7"/>
      <c r="Q549" s="7"/>
      <c r="R549" s="7"/>
      <c r="S549" s="7"/>
      <c r="T549" s="7"/>
      <c r="U549" s="7"/>
      <c r="V549" s="7"/>
      <c r="W549" s="7"/>
      <c r="X549" s="7"/>
    </row>
    <row r="550" spans="1:24" ht="19.5" customHeight="1">
      <c r="A550" s="7"/>
      <c r="B550" s="7"/>
      <c r="C550" s="7"/>
      <c r="D550" s="7"/>
      <c r="E550" s="7"/>
      <c r="F550" s="7"/>
      <c r="G550" s="7"/>
      <c r="H550" s="7"/>
      <c r="I550" s="7"/>
      <c r="J550" s="7"/>
      <c r="K550" s="7"/>
      <c r="L550" s="7"/>
      <c r="M550" s="246"/>
      <c r="N550" s="7"/>
      <c r="O550" s="7"/>
      <c r="P550" s="7"/>
      <c r="Q550" s="7"/>
      <c r="R550" s="7"/>
      <c r="S550" s="7"/>
      <c r="T550" s="7"/>
      <c r="U550" s="7"/>
      <c r="V550" s="7"/>
      <c r="W550" s="7"/>
      <c r="X550" s="7"/>
    </row>
    <row r="551" spans="1:24" ht="19.5" customHeight="1">
      <c r="A551" s="7"/>
      <c r="B551" s="7"/>
      <c r="C551" s="7"/>
      <c r="D551" s="7"/>
      <c r="E551" s="7"/>
      <c r="F551" s="7"/>
      <c r="G551" s="7"/>
      <c r="H551" s="7"/>
      <c r="I551" s="7"/>
      <c r="J551" s="7"/>
      <c r="K551" s="7"/>
      <c r="L551" s="7"/>
      <c r="M551" s="246"/>
      <c r="N551" s="7"/>
      <c r="O551" s="7"/>
      <c r="P551" s="7"/>
      <c r="Q551" s="7"/>
      <c r="R551" s="7"/>
      <c r="S551" s="7"/>
      <c r="T551" s="7"/>
      <c r="U551" s="7"/>
      <c r="V551" s="7"/>
      <c r="W551" s="7"/>
      <c r="X551" s="7"/>
    </row>
    <row r="552" spans="1:24" ht="19.5" customHeight="1">
      <c r="A552" s="7"/>
      <c r="B552" s="7"/>
      <c r="C552" s="7"/>
      <c r="D552" s="7"/>
      <c r="E552" s="7"/>
      <c r="F552" s="7"/>
      <c r="G552" s="7"/>
      <c r="H552" s="7"/>
      <c r="I552" s="7"/>
      <c r="J552" s="7"/>
      <c r="K552" s="7"/>
      <c r="L552" s="7"/>
      <c r="M552" s="246"/>
      <c r="N552" s="7"/>
      <c r="O552" s="7"/>
      <c r="P552" s="7"/>
      <c r="Q552" s="7"/>
      <c r="R552" s="7"/>
      <c r="S552" s="7"/>
      <c r="T552" s="7"/>
      <c r="U552" s="7"/>
      <c r="V552" s="7"/>
      <c r="W552" s="7"/>
      <c r="X552" s="7"/>
    </row>
    <row r="553" spans="1:24" ht="19.5" customHeight="1">
      <c r="A553" s="7"/>
      <c r="B553" s="7"/>
      <c r="C553" s="7"/>
      <c r="D553" s="7"/>
      <c r="E553" s="7"/>
      <c r="F553" s="7"/>
      <c r="G553" s="7"/>
      <c r="H553" s="7"/>
      <c r="I553" s="7"/>
      <c r="J553" s="7"/>
      <c r="K553" s="7"/>
      <c r="L553" s="7"/>
      <c r="M553" s="246"/>
      <c r="N553" s="7"/>
      <c r="O553" s="7"/>
      <c r="P553" s="7"/>
      <c r="Q553" s="7"/>
      <c r="R553" s="7"/>
      <c r="S553" s="7"/>
      <c r="T553" s="7"/>
      <c r="U553" s="7"/>
      <c r="V553" s="7"/>
      <c r="W553" s="7"/>
      <c r="X553" s="7"/>
    </row>
    <row r="554" spans="1:24" ht="19.5" customHeight="1">
      <c r="A554" s="7"/>
      <c r="B554" s="7"/>
      <c r="C554" s="7"/>
      <c r="D554" s="7"/>
      <c r="E554" s="7"/>
      <c r="F554" s="7"/>
      <c r="G554" s="7"/>
      <c r="H554" s="7"/>
      <c r="I554" s="7"/>
      <c r="J554" s="7"/>
      <c r="K554" s="7"/>
      <c r="L554" s="7"/>
      <c r="M554" s="246"/>
      <c r="N554" s="7"/>
      <c r="O554" s="7"/>
      <c r="P554" s="7"/>
      <c r="Q554" s="7"/>
      <c r="R554" s="7"/>
      <c r="S554" s="7"/>
      <c r="T554" s="7"/>
      <c r="U554" s="7"/>
      <c r="V554" s="7"/>
      <c r="W554" s="7"/>
      <c r="X554" s="7"/>
    </row>
    <row r="555" spans="1:24" ht="19.5" customHeight="1">
      <c r="A555" s="7"/>
      <c r="B555" s="7"/>
      <c r="C555" s="7"/>
      <c r="D555" s="7"/>
      <c r="E555" s="7"/>
      <c r="F555" s="7"/>
      <c r="G555" s="7"/>
      <c r="H555" s="7"/>
      <c r="I555" s="7"/>
      <c r="J555" s="7"/>
      <c r="K555" s="7"/>
      <c r="L555" s="7"/>
      <c r="M555" s="246"/>
      <c r="N555" s="7"/>
      <c r="O555" s="7"/>
      <c r="P555" s="7"/>
      <c r="Q555" s="7"/>
      <c r="R555" s="7"/>
      <c r="S555" s="7"/>
      <c r="T555" s="7"/>
      <c r="U555" s="7"/>
      <c r="V555" s="7"/>
      <c r="W555" s="7"/>
      <c r="X555" s="7"/>
    </row>
    <row r="556" spans="1:24" ht="19.5" customHeight="1">
      <c r="A556" s="7"/>
      <c r="B556" s="7"/>
      <c r="C556" s="7"/>
      <c r="D556" s="7"/>
      <c r="E556" s="7"/>
      <c r="F556" s="7"/>
      <c r="G556" s="7"/>
      <c r="H556" s="7"/>
      <c r="I556" s="7"/>
      <c r="J556" s="7"/>
      <c r="K556" s="7"/>
      <c r="L556" s="7"/>
      <c r="M556" s="246"/>
      <c r="N556" s="7"/>
      <c r="O556" s="7"/>
      <c r="P556" s="7"/>
      <c r="Q556" s="7"/>
      <c r="R556" s="7"/>
      <c r="S556" s="7"/>
      <c r="T556" s="7"/>
      <c r="U556" s="7"/>
      <c r="V556" s="7"/>
      <c r="W556" s="7"/>
      <c r="X556" s="7"/>
    </row>
    <row r="557" spans="1:24" ht="19.5" customHeight="1">
      <c r="A557" s="7"/>
      <c r="B557" s="7"/>
      <c r="C557" s="7"/>
      <c r="D557" s="7"/>
      <c r="E557" s="7"/>
      <c r="F557" s="7"/>
      <c r="G557" s="7"/>
      <c r="H557" s="7"/>
      <c r="I557" s="7"/>
      <c r="J557" s="7"/>
      <c r="K557" s="7"/>
      <c r="L557" s="7"/>
      <c r="M557" s="246"/>
      <c r="N557" s="7"/>
      <c r="O557" s="7"/>
      <c r="P557" s="7"/>
      <c r="Q557" s="7"/>
      <c r="R557" s="7"/>
      <c r="S557" s="7"/>
      <c r="T557" s="7"/>
      <c r="U557" s="7"/>
      <c r="V557" s="7"/>
      <c r="W557" s="7"/>
      <c r="X557" s="7"/>
    </row>
    <row r="558" spans="1:24" ht="19.5" customHeight="1">
      <c r="A558" s="7"/>
      <c r="B558" s="7"/>
      <c r="C558" s="7"/>
      <c r="D558" s="7"/>
      <c r="E558" s="7"/>
      <c r="F558" s="7"/>
      <c r="G558" s="7"/>
      <c r="H558" s="7"/>
      <c r="I558" s="7"/>
      <c r="J558" s="7"/>
      <c r="K558" s="7"/>
      <c r="L558" s="7"/>
      <c r="M558" s="246"/>
      <c r="N558" s="7"/>
      <c r="O558" s="7"/>
      <c r="P558" s="7"/>
      <c r="Q558" s="7"/>
      <c r="R558" s="7"/>
      <c r="S558" s="7"/>
      <c r="T558" s="7"/>
      <c r="U558" s="7"/>
      <c r="V558" s="7"/>
      <c r="W558" s="7"/>
      <c r="X558" s="7"/>
    </row>
    <row r="559" spans="1:24" ht="19.5" customHeight="1">
      <c r="A559" s="7"/>
      <c r="B559" s="7"/>
      <c r="C559" s="7"/>
      <c r="D559" s="7"/>
      <c r="E559" s="7"/>
      <c r="F559" s="7"/>
      <c r="G559" s="7"/>
      <c r="H559" s="7"/>
      <c r="I559" s="7"/>
      <c r="J559" s="7"/>
      <c r="K559" s="7"/>
      <c r="L559" s="7"/>
      <c r="M559" s="246"/>
      <c r="N559" s="7"/>
      <c r="O559" s="7"/>
      <c r="P559" s="7"/>
      <c r="Q559" s="7"/>
      <c r="R559" s="7"/>
      <c r="S559" s="7"/>
      <c r="T559" s="7"/>
      <c r="U559" s="7"/>
      <c r="V559" s="7"/>
      <c r="W559" s="7"/>
      <c r="X559" s="7"/>
    </row>
    <row r="560" spans="1:24" ht="19.5" customHeight="1">
      <c r="A560" s="7"/>
      <c r="B560" s="7"/>
      <c r="C560" s="7"/>
      <c r="D560" s="7"/>
      <c r="E560" s="7"/>
      <c r="F560" s="7"/>
      <c r="G560" s="7"/>
      <c r="H560" s="7"/>
      <c r="I560" s="7"/>
      <c r="J560" s="7"/>
      <c r="K560" s="7"/>
      <c r="L560" s="7"/>
      <c r="M560" s="246"/>
      <c r="N560" s="7"/>
      <c r="O560" s="7"/>
      <c r="P560" s="7"/>
      <c r="Q560" s="7"/>
      <c r="R560" s="7"/>
      <c r="S560" s="7"/>
      <c r="T560" s="7"/>
      <c r="U560" s="7"/>
      <c r="V560" s="7"/>
      <c r="W560" s="7"/>
      <c r="X560" s="7"/>
    </row>
    <row r="561" spans="1:24" ht="19.5" customHeight="1">
      <c r="A561" s="7"/>
      <c r="B561" s="7"/>
      <c r="C561" s="7"/>
      <c r="D561" s="7"/>
      <c r="E561" s="7"/>
      <c r="F561" s="7"/>
      <c r="G561" s="7"/>
      <c r="H561" s="7"/>
      <c r="I561" s="7"/>
      <c r="J561" s="7"/>
      <c r="K561" s="7"/>
      <c r="L561" s="7"/>
      <c r="M561" s="246"/>
      <c r="N561" s="7"/>
      <c r="O561" s="7"/>
      <c r="P561" s="7"/>
      <c r="Q561" s="7"/>
      <c r="R561" s="7"/>
      <c r="S561" s="7"/>
      <c r="T561" s="7"/>
      <c r="U561" s="7"/>
      <c r="V561" s="7"/>
      <c r="W561" s="7"/>
      <c r="X561" s="7"/>
    </row>
    <row r="562" spans="1:24" ht="19.5" customHeight="1">
      <c r="A562" s="7"/>
      <c r="B562" s="7"/>
      <c r="C562" s="7"/>
      <c r="D562" s="7"/>
      <c r="E562" s="7"/>
      <c r="F562" s="7"/>
      <c r="G562" s="7"/>
      <c r="H562" s="7"/>
      <c r="I562" s="7"/>
      <c r="J562" s="7"/>
      <c r="K562" s="7"/>
      <c r="L562" s="7"/>
      <c r="M562" s="246"/>
      <c r="N562" s="7"/>
      <c r="O562" s="7"/>
      <c r="P562" s="7"/>
      <c r="Q562" s="7"/>
      <c r="R562" s="7"/>
      <c r="S562" s="7"/>
      <c r="T562" s="7"/>
      <c r="U562" s="7"/>
      <c r="V562" s="7"/>
      <c r="W562" s="7"/>
      <c r="X562" s="7"/>
    </row>
    <row r="563" spans="1:24" ht="19.5" customHeight="1">
      <c r="A563" s="7"/>
      <c r="B563" s="7"/>
      <c r="C563" s="7"/>
      <c r="D563" s="7"/>
      <c r="E563" s="7"/>
      <c r="F563" s="7"/>
      <c r="G563" s="7"/>
      <c r="H563" s="7"/>
      <c r="I563" s="7"/>
      <c r="J563" s="7"/>
      <c r="K563" s="7"/>
      <c r="L563" s="7"/>
      <c r="M563" s="246"/>
      <c r="N563" s="7"/>
      <c r="O563" s="7"/>
      <c r="P563" s="7"/>
      <c r="Q563" s="7"/>
      <c r="R563" s="7"/>
      <c r="S563" s="7"/>
      <c r="T563" s="7"/>
      <c r="U563" s="7"/>
      <c r="V563" s="7"/>
      <c r="W563" s="7"/>
      <c r="X563" s="7"/>
    </row>
    <row r="564" spans="1:24" ht="19.5" customHeight="1">
      <c r="A564" s="7"/>
      <c r="B564" s="7"/>
      <c r="C564" s="7"/>
      <c r="D564" s="7"/>
      <c r="E564" s="7"/>
      <c r="F564" s="7"/>
      <c r="G564" s="7"/>
      <c r="H564" s="7"/>
      <c r="I564" s="7"/>
      <c r="J564" s="7"/>
      <c r="K564" s="7"/>
      <c r="L564" s="7"/>
      <c r="M564" s="246"/>
      <c r="N564" s="7"/>
      <c r="O564" s="7"/>
      <c r="P564" s="7"/>
      <c r="Q564" s="7"/>
      <c r="R564" s="7"/>
      <c r="S564" s="7"/>
      <c r="T564" s="7"/>
      <c r="U564" s="7"/>
      <c r="V564" s="7"/>
      <c r="W564" s="7"/>
      <c r="X564" s="7"/>
    </row>
    <row r="565" spans="1:24" ht="19.5" customHeight="1">
      <c r="A565" s="7"/>
      <c r="B565" s="7"/>
      <c r="C565" s="7"/>
      <c r="D565" s="7"/>
      <c r="E565" s="7"/>
      <c r="F565" s="7"/>
      <c r="G565" s="7"/>
      <c r="H565" s="7"/>
      <c r="I565" s="7"/>
      <c r="J565" s="7"/>
      <c r="K565" s="7"/>
      <c r="L565" s="7"/>
      <c r="M565" s="246"/>
      <c r="N565" s="7"/>
      <c r="O565" s="7"/>
      <c r="P565" s="7"/>
      <c r="Q565" s="7"/>
      <c r="R565" s="7"/>
      <c r="S565" s="7"/>
      <c r="T565" s="7"/>
      <c r="U565" s="7"/>
      <c r="V565" s="7"/>
      <c r="W565" s="7"/>
      <c r="X565" s="7"/>
    </row>
    <row r="566" spans="1:24" ht="19.5" customHeight="1">
      <c r="A566" s="7"/>
      <c r="B566" s="7"/>
      <c r="C566" s="7"/>
      <c r="D566" s="7"/>
      <c r="E566" s="7"/>
      <c r="F566" s="7"/>
      <c r="G566" s="7"/>
      <c r="H566" s="7"/>
      <c r="I566" s="7"/>
      <c r="J566" s="7"/>
      <c r="K566" s="7"/>
      <c r="L566" s="7"/>
      <c r="M566" s="246"/>
      <c r="N566" s="7"/>
      <c r="O566" s="7"/>
      <c r="P566" s="7"/>
      <c r="Q566" s="7"/>
      <c r="R566" s="7"/>
      <c r="S566" s="7"/>
      <c r="T566" s="7"/>
      <c r="U566" s="7"/>
      <c r="V566" s="7"/>
      <c r="W566" s="7"/>
      <c r="X566" s="7"/>
    </row>
    <row r="567" spans="1:24" ht="19.5" customHeight="1">
      <c r="A567" s="7"/>
      <c r="B567" s="7"/>
      <c r="C567" s="7"/>
      <c r="D567" s="7"/>
      <c r="E567" s="7"/>
      <c r="F567" s="7"/>
      <c r="G567" s="7"/>
      <c r="H567" s="7"/>
      <c r="I567" s="7"/>
      <c r="J567" s="7"/>
      <c r="K567" s="7"/>
      <c r="L567" s="7"/>
      <c r="M567" s="246"/>
      <c r="N567" s="7"/>
      <c r="O567" s="7"/>
      <c r="P567" s="7"/>
      <c r="Q567" s="7"/>
      <c r="R567" s="7"/>
      <c r="S567" s="7"/>
      <c r="T567" s="7"/>
      <c r="U567" s="7"/>
      <c r="V567" s="7"/>
      <c r="W567" s="7"/>
      <c r="X567" s="7"/>
    </row>
    <row r="568" spans="1:24" ht="19.5" customHeight="1">
      <c r="A568" s="7"/>
      <c r="B568" s="7"/>
      <c r="C568" s="7"/>
      <c r="D568" s="7"/>
      <c r="E568" s="7"/>
      <c r="F568" s="7"/>
      <c r="G568" s="7"/>
      <c r="H568" s="7"/>
      <c r="I568" s="7"/>
      <c r="J568" s="7"/>
      <c r="K568" s="7"/>
      <c r="L568" s="7"/>
      <c r="M568" s="246"/>
      <c r="N568" s="7"/>
      <c r="O568" s="7"/>
      <c r="P568" s="7"/>
      <c r="Q568" s="7"/>
      <c r="R568" s="7"/>
      <c r="S568" s="7"/>
      <c r="T568" s="7"/>
      <c r="U568" s="7"/>
      <c r="V568" s="7"/>
      <c r="W568" s="7"/>
      <c r="X568" s="7"/>
    </row>
    <row r="569" spans="1:24" ht="19.5" customHeight="1">
      <c r="A569" s="7"/>
      <c r="B569" s="7"/>
      <c r="C569" s="7"/>
      <c r="D569" s="7"/>
      <c r="E569" s="7"/>
      <c r="F569" s="7"/>
      <c r="G569" s="7"/>
      <c r="H569" s="7"/>
      <c r="I569" s="7"/>
      <c r="J569" s="7"/>
      <c r="K569" s="7"/>
      <c r="L569" s="7"/>
      <c r="M569" s="246"/>
      <c r="N569" s="7"/>
      <c r="O569" s="7"/>
      <c r="P569" s="7"/>
      <c r="Q569" s="7"/>
      <c r="R569" s="7"/>
      <c r="S569" s="7"/>
      <c r="T569" s="7"/>
      <c r="U569" s="7"/>
      <c r="V569" s="7"/>
      <c r="W569" s="7"/>
      <c r="X569" s="7"/>
    </row>
    <row r="570" spans="1:24" ht="19.5" customHeight="1">
      <c r="A570" s="7"/>
      <c r="B570" s="7"/>
      <c r="C570" s="7"/>
      <c r="D570" s="7"/>
      <c r="E570" s="7"/>
      <c r="F570" s="7"/>
      <c r="G570" s="7"/>
      <c r="H570" s="7"/>
      <c r="I570" s="7"/>
      <c r="J570" s="7"/>
      <c r="K570" s="7"/>
      <c r="L570" s="7"/>
      <c r="M570" s="246"/>
      <c r="N570" s="7"/>
      <c r="O570" s="7"/>
      <c r="P570" s="7"/>
      <c r="Q570" s="7"/>
      <c r="R570" s="7"/>
      <c r="S570" s="7"/>
      <c r="T570" s="7"/>
      <c r="U570" s="7"/>
      <c r="V570" s="7"/>
      <c r="W570" s="7"/>
      <c r="X570" s="7"/>
    </row>
    <row r="571" spans="1:24" ht="19.5" customHeight="1">
      <c r="A571" s="7"/>
      <c r="B571" s="7"/>
      <c r="C571" s="7"/>
      <c r="D571" s="7"/>
      <c r="E571" s="7"/>
      <c r="F571" s="7"/>
      <c r="G571" s="7"/>
      <c r="H571" s="7"/>
      <c r="I571" s="7"/>
      <c r="J571" s="7"/>
      <c r="K571" s="7"/>
      <c r="L571" s="7"/>
      <c r="M571" s="246"/>
      <c r="N571" s="7"/>
      <c r="O571" s="7"/>
      <c r="P571" s="7"/>
      <c r="Q571" s="7"/>
      <c r="R571" s="7"/>
      <c r="S571" s="7"/>
      <c r="T571" s="7"/>
      <c r="U571" s="7"/>
      <c r="V571" s="7"/>
      <c r="W571" s="7"/>
      <c r="X571" s="7"/>
    </row>
    <row r="572" spans="1:24" ht="19.5" customHeight="1">
      <c r="A572" s="7"/>
      <c r="B572" s="7"/>
      <c r="C572" s="7"/>
      <c r="D572" s="7"/>
      <c r="E572" s="7"/>
      <c r="F572" s="7"/>
      <c r="G572" s="7"/>
      <c r="H572" s="7"/>
      <c r="I572" s="7"/>
      <c r="J572" s="7"/>
      <c r="K572" s="7"/>
      <c r="L572" s="7"/>
      <c r="M572" s="246"/>
      <c r="N572" s="7"/>
      <c r="O572" s="7"/>
      <c r="P572" s="7"/>
      <c r="Q572" s="7"/>
      <c r="R572" s="7"/>
      <c r="S572" s="7"/>
      <c r="T572" s="7"/>
      <c r="U572" s="7"/>
      <c r="V572" s="7"/>
      <c r="W572" s="7"/>
      <c r="X572" s="7"/>
    </row>
    <row r="573" spans="1:24" ht="19.5" customHeight="1">
      <c r="A573" s="7"/>
      <c r="B573" s="7"/>
      <c r="C573" s="7"/>
      <c r="D573" s="7"/>
      <c r="E573" s="7"/>
      <c r="F573" s="7"/>
      <c r="G573" s="7"/>
      <c r="H573" s="7"/>
      <c r="I573" s="7"/>
      <c r="J573" s="7"/>
      <c r="K573" s="7"/>
      <c r="L573" s="7"/>
      <c r="M573" s="246"/>
      <c r="N573" s="7"/>
      <c r="O573" s="7"/>
      <c r="P573" s="7"/>
      <c r="Q573" s="7"/>
      <c r="R573" s="7"/>
      <c r="S573" s="7"/>
      <c r="T573" s="7"/>
      <c r="U573" s="7"/>
      <c r="V573" s="7"/>
      <c r="W573" s="7"/>
      <c r="X573" s="7"/>
    </row>
    <row r="574" spans="1:24" ht="19.5" customHeight="1">
      <c r="A574" s="7"/>
      <c r="B574" s="7"/>
      <c r="C574" s="7"/>
      <c r="D574" s="7"/>
      <c r="E574" s="7"/>
      <c r="F574" s="7"/>
      <c r="G574" s="7"/>
      <c r="H574" s="7"/>
      <c r="I574" s="7"/>
      <c r="J574" s="7"/>
      <c r="K574" s="7"/>
      <c r="L574" s="7"/>
      <c r="M574" s="246"/>
      <c r="N574" s="7"/>
      <c r="O574" s="7"/>
      <c r="P574" s="7"/>
      <c r="Q574" s="7"/>
      <c r="R574" s="7"/>
      <c r="S574" s="7"/>
      <c r="T574" s="7"/>
      <c r="U574" s="7"/>
      <c r="V574" s="7"/>
      <c r="W574" s="7"/>
      <c r="X574" s="7"/>
    </row>
    <row r="575" spans="1:24" ht="19.5" customHeight="1">
      <c r="A575" s="7"/>
      <c r="B575" s="7"/>
      <c r="C575" s="7"/>
      <c r="D575" s="7"/>
      <c r="E575" s="7"/>
      <c r="F575" s="7"/>
      <c r="G575" s="7"/>
      <c r="H575" s="7"/>
      <c r="I575" s="7"/>
      <c r="J575" s="7"/>
      <c r="K575" s="7"/>
      <c r="L575" s="7"/>
      <c r="M575" s="246"/>
      <c r="N575" s="7"/>
      <c r="O575" s="7"/>
      <c r="P575" s="7"/>
      <c r="Q575" s="7"/>
      <c r="R575" s="7"/>
      <c r="S575" s="7"/>
      <c r="T575" s="7"/>
      <c r="U575" s="7"/>
      <c r="V575" s="7"/>
      <c r="W575" s="7"/>
      <c r="X575" s="7"/>
    </row>
    <row r="576" spans="1:24" ht="19.5" customHeight="1">
      <c r="A576" s="7"/>
      <c r="B576" s="7"/>
      <c r="C576" s="7"/>
      <c r="D576" s="7"/>
      <c r="E576" s="7"/>
      <c r="F576" s="7"/>
      <c r="G576" s="7"/>
      <c r="H576" s="7"/>
      <c r="I576" s="7"/>
      <c r="J576" s="7"/>
      <c r="K576" s="7"/>
      <c r="L576" s="7"/>
      <c r="M576" s="246"/>
      <c r="N576" s="7"/>
      <c r="O576" s="7"/>
      <c r="P576" s="7"/>
      <c r="Q576" s="7"/>
      <c r="R576" s="7"/>
      <c r="S576" s="7"/>
      <c r="T576" s="7"/>
      <c r="U576" s="7"/>
      <c r="V576" s="7"/>
      <c r="W576" s="7"/>
      <c r="X576" s="7"/>
    </row>
    <row r="577" spans="1:24" ht="19.5" customHeight="1">
      <c r="A577" s="7"/>
      <c r="B577" s="7"/>
      <c r="C577" s="7"/>
      <c r="D577" s="7"/>
      <c r="E577" s="7"/>
      <c r="F577" s="7"/>
      <c r="G577" s="7"/>
      <c r="H577" s="7"/>
      <c r="I577" s="7"/>
      <c r="J577" s="7"/>
      <c r="K577" s="7"/>
      <c r="L577" s="7"/>
      <c r="M577" s="246"/>
      <c r="N577" s="7"/>
      <c r="O577" s="7"/>
      <c r="P577" s="7"/>
      <c r="Q577" s="7"/>
      <c r="R577" s="7"/>
      <c r="S577" s="7"/>
      <c r="T577" s="7"/>
      <c r="U577" s="7"/>
      <c r="V577" s="7"/>
      <c r="W577" s="7"/>
      <c r="X577" s="7"/>
    </row>
    <row r="578" spans="1:24" ht="19.5" customHeight="1">
      <c r="A578" s="7"/>
      <c r="B578" s="7"/>
      <c r="C578" s="7"/>
      <c r="D578" s="7"/>
      <c r="E578" s="7"/>
      <c r="F578" s="7"/>
      <c r="G578" s="7"/>
      <c r="H578" s="7"/>
      <c r="I578" s="7"/>
      <c r="J578" s="7"/>
      <c r="K578" s="7"/>
      <c r="L578" s="7"/>
      <c r="M578" s="246"/>
      <c r="N578" s="7"/>
      <c r="O578" s="7"/>
      <c r="P578" s="7"/>
      <c r="Q578" s="7"/>
      <c r="R578" s="7"/>
      <c r="S578" s="7"/>
      <c r="T578" s="7"/>
      <c r="U578" s="7"/>
      <c r="V578" s="7"/>
      <c r="W578" s="7"/>
      <c r="X578" s="7"/>
    </row>
    <row r="579" spans="1:24" ht="19.5" customHeight="1">
      <c r="A579" s="7"/>
      <c r="B579" s="7"/>
      <c r="C579" s="7"/>
      <c r="D579" s="7"/>
      <c r="E579" s="7"/>
      <c r="F579" s="7"/>
      <c r="G579" s="7"/>
      <c r="H579" s="7"/>
      <c r="I579" s="7"/>
      <c r="J579" s="7"/>
      <c r="K579" s="7"/>
      <c r="L579" s="7"/>
      <c r="M579" s="246"/>
      <c r="N579" s="7"/>
      <c r="O579" s="7"/>
      <c r="P579" s="7"/>
      <c r="Q579" s="7"/>
      <c r="R579" s="7"/>
      <c r="S579" s="7"/>
      <c r="T579" s="7"/>
      <c r="U579" s="7"/>
      <c r="V579" s="7"/>
      <c r="W579" s="7"/>
      <c r="X579" s="7"/>
    </row>
    <row r="580" spans="1:24" ht="19.5" customHeight="1">
      <c r="A580" s="7"/>
      <c r="B580" s="7"/>
      <c r="C580" s="7"/>
      <c r="D580" s="7"/>
      <c r="E580" s="7"/>
      <c r="F580" s="7"/>
      <c r="G580" s="7"/>
      <c r="H580" s="7"/>
      <c r="I580" s="7"/>
      <c r="J580" s="7"/>
      <c r="K580" s="7"/>
      <c r="L580" s="7"/>
      <c r="M580" s="246"/>
      <c r="N580" s="7"/>
      <c r="O580" s="7"/>
      <c r="P580" s="7"/>
      <c r="Q580" s="7"/>
      <c r="R580" s="7"/>
      <c r="S580" s="7"/>
      <c r="T580" s="7"/>
      <c r="U580" s="7"/>
      <c r="V580" s="7"/>
      <c r="W580" s="7"/>
      <c r="X580" s="7"/>
    </row>
    <row r="581" spans="1:24" ht="19.5" customHeight="1">
      <c r="A581" s="7"/>
      <c r="B581" s="7"/>
      <c r="C581" s="7"/>
      <c r="D581" s="7"/>
      <c r="E581" s="7"/>
      <c r="F581" s="7"/>
      <c r="G581" s="7"/>
      <c r="H581" s="7"/>
      <c r="I581" s="7"/>
      <c r="J581" s="7"/>
      <c r="K581" s="7"/>
      <c r="L581" s="7"/>
      <c r="M581" s="246"/>
      <c r="N581" s="7"/>
      <c r="O581" s="7"/>
      <c r="P581" s="7"/>
      <c r="Q581" s="7"/>
      <c r="R581" s="7"/>
      <c r="S581" s="7"/>
      <c r="T581" s="7"/>
      <c r="U581" s="7"/>
      <c r="V581" s="7"/>
      <c r="W581" s="7"/>
      <c r="X581" s="7"/>
    </row>
    <row r="582" spans="1:24" ht="19.5" customHeight="1">
      <c r="A582" s="7"/>
      <c r="B582" s="7"/>
      <c r="C582" s="7"/>
      <c r="D582" s="7"/>
      <c r="E582" s="7"/>
      <c r="F582" s="7"/>
      <c r="G582" s="7"/>
      <c r="H582" s="7"/>
      <c r="I582" s="7"/>
      <c r="J582" s="7"/>
      <c r="K582" s="7"/>
      <c r="L582" s="7"/>
      <c r="M582" s="246"/>
      <c r="N582" s="7"/>
      <c r="O582" s="7"/>
      <c r="P582" s="7"/>
      <c r="Q582" s="7"/>
      <c r="R582" s="7"/>
      <c r="S582" s="7"/>
      <c r="T582" s="7"/>
      <c r="U582" s="7"/>
      <c r="V582" s="7"/>
      <c r="W582" s="7"/>
      <c r="X582" s="7"/>
    </row>
    <row r="583" spans="1:24" ht="19.5" customHeight="1">
      <c r="A583" s="7"/>
      <c r="B583" s="7"/>
      <c r="C583" s="7"/>
      <c r="D583" s="7"/>
      <c r="E583" s="7"/>
      <c r="F583" s="7"/>
      <c r="G583" s="7"/>
      <c r="H583" s="7"/>
      <c r="I583" s="7"/>
      <c r="J583" s="7"/>
      <c r="K583" s="7"/>
      <c r="L583" s="7"/>
      <c r="M583" s="246"/>
      <c r="N583" s="7"/>
      <c r="O583" s="7"/>
      <c r="P583" s="7"/>
      <c r="Q583" s="7"/>
      <c r="R583" s="7"/>
      <c r="S583" s="7"/>
      <c r="T583" s="7"/>
      <c r="U583" s="7"/>
      <c r="V583" s="7"/>
      <c r="W583" s="7"/>
      <c r="X583" s="7"/>
    </row>
    <row r="584" spans="1:24" ht="19.5" customHeight="1">
      <c r="A584" s="7"/>
      <c r="B584" s="7"/>
      <c r="C584" s="7"/>
      <c r="D584" s="7"/>
      <c r="E584" s="7"/>
      <c r="F584" s="7"/>
      <c r="G584" s="7"/>
      <c r="H584" s="7"/>
      <c r="I584" s="7"/>
      <c r="J584" s="7"/>
      <c r="K584" s="7"/>
      <c r="L584" s="7"/>
      <c r="M584" s="246"/>
      <c r="N584" s="7"/>
      <c r="O584" s="7"/>
      <c r="P584" s="7"/>
      <c r="Q584" s="7"/>
      <c r="R584" s="7"/>
      <c r="S584" s="7"/>
      <c r="T584" s="7"/>
      <c r="U584" s="7"/>
      <c r="V584" s="7"/>
      <c r="W584" s="7"/>
      <c r="X584" s="7"/>
    </row>
    <row r="585" spans="1:24" ht="19.5" customHeight="1">
      <c r="A585" s="7"/>
      <c r="B585" s="7"/>
      <c r="C585" s="7"/>
      <c r="D585" s="7"/>
      <c r="E585" s="7"/>
      <c r="F585" s="7"/>
      <c r="G585" s="7"/>
      <c r="H585" s="7"/>
      <c r="I585" s="7"/>
      <c r="J585" s="7"/>
      <c r="K585" s="7"/>
      <c r="L585" s="7"/>
      <c r="M585" s="246"/>
      <c r="N585" s="7"/>
      <c r="O585" s="7"/>
      <c r="P585" s="7"/>
      <c r="Q585" s="7"/>
      <c r="R585" s="7"/>
      <c r="S585" s="7"/>
      <c r="T585" s="7"/>
      <c r="U585" s="7"/>
      <c r="V585" s="7"/>
      <c r="W585" s="7"/>
      <c r="X585" s="7"/>
    </row>
    <row r="586" spans="1:24" ht="19.5" customHeight="1">
      <c r="A586" s="7"/>
      <c r="B586" s="7"/>
      <c r="C586" s="7"/>
      <c r="D586" s="7"/>
      <c r="E586" s="7"/>
      <c r="F586" s="7"/>
      <c r="G586" s="7"/>
      <c r="H586" s="7"/>
      <c r="I586" s="7"/>
      <c r="J586" s="7"/>
      <c r="K586" s="7"/>
      <c r="L586" s="7"/>
      <c r="M586" s="246"/>
      <c r="N586" s="7"/>
      <c r="O586" s="7"/>
      <c r="P586" s="7"/>
      <c r="Q586" s="7"/>
      <c r="R586" s="7"/>
      <c r="S586" s="7"/>
      <c r="T586" s="7"/>
      <c r="U586" s="7"/>
      <c r="V586" s="7"/>
      <c r="W586" s="7"/>
      <c r="X586" s="7"/>
    </row>
    <row r="587" spans="1:24" ht="19.5" customHeight="1">
      <c r="A587" s="7"/>
      <c r="B587" s="7"/>
      <c r="C587" s="7"/>
      <c r="D587" s="7"/>
      <c r="E587" s="7"/>
      <c r="F587" s="7"/>
      <c r="G587" s="7"/>
      <c r="H587" s="7"/>
      <c r="I587" s="7"/>
      <c r="J587" s="7"/>
      <c r="K587" s="7"/>
      <c r="L587" s="7"/>
      <c r="M587" s="246"/>
      <c r="N587" s="7"/>
      <c r="O587" s="7"/>
      <c r="P587" s="7"/>
      <c r="Q587" s="7"/>
      <c r="R587" s="7"/>
      <c r="S587" s="7"/>
      <c r="T587" s="7"/>
      <c r="U587" s="7"/>
      <c r="V587" s="7"/>
      <c r="W587" s="7"/>
      <c r="X587" s="7"/>
    </row>
    <row r="588" spans="1:24" ht="19.5" customHeight="1">
      <c r="A588" s="7"/>
      <c r="B588" s="7"/>
      <c r="C588" s="7"/>
      <c r="D588" s="7"/>
      <c r="E588" s="7"/>
      <c r="F588" s="7"/>
      <c r="G588" s="7"/>
      <c r="H588" s="7"/>
      <c r="I588" s="7"/>
      <c r="J588" s="7"/>
      <c r="K588" s="7"/>
      <c r="L588" s="7"/>
      <c r="M588" s="246"/>
      <c r="N588" s="7"/>
      <c r="O588" s="7"/>
      <c r="P588" s="7"/>
      <c r="Q588" s="7"/>
      <c r="R588" s="7"/>
      <c r="S588" s="7"/>
      <c r="T588" s="7"/>
      <c r="U588" s="7"/>
      <c r="V588" s="7"/>
      <c r="W588" s="7"/>
      <c r="X588" s="7"/>
    </row>
    <row r="589" spans="1:24" ht="19.5" customHeight="1">
      <c r="A589" s="7"/>
      <c r="B589" s="7"/>
      <c r="C589" s="7"/>
      <c r="D589" s="7"/>
      <c r="E589" s="7"/>
      <c r="F589" s="7"/>
      <c r="G589" s="7"/>
      <c r="H589" s="7"/>
      <c r="I589" s="7"/>
      <c r="J589" s="7"/>
      <c r="K589" s="7"/>
      <c r="L589" s="7"/>
      <c r="M589" s="246"/>
      <c r="N589" s="7"/>
      <c r="O589" s="7"/>
      <c r="P589" s="7"/>
      <c r="Q589" s="7"/>
      <c r="R589" s="7"/>
      <c r="S589" s="7"/>
      <c r="T589" s="7"/>
      <c r="U589" s="7"/>
      <c r="V589" s="7"/>
      <c r="W589" s="7"/>
      <c r="X589" s="7"/>
    </row>
    <row r="590" spans="1:24" ht="19.5" customHeight="1">
      <c r="A590" s="7"/>
      <c r="B590" s="7"/>
      <c r="C590" s="7"/>
      <c r="D590" s="7"/>
      <c r="E590" s="7"/>
      <c r="F590" s="7"/>
      <c r="G590" s="7"/>
      <c r="H590" s="7"/>
      <c r="I590" s="7"/>
      <c r="J590" s="7"/>
      <c r="K590" s="7"/>
      <c r="L590" s="7"/>
      <c r="M590" s="246"/>
      <c r="N590" s="7"/>
      <c r="O590" s="7"/>
      <c r="P590" s="7"/>
      <c r="Q590" s="7"/>
      <c r="R590" s="7"/>
      <c r="S590" s="7"/>
      <c r="T590" s="7"/>
      <c r="U590" s="7"/>
      <c r="V590" s="7"/>
      <c r="W590" s="7"/>
      <c r="X590" s="7"/>
    </row>
    <row r="591" spans="1:24" ht="19.5" customHeight="1">
      <c r="A591" s="7"/>
      <c r="B591" s="7"/>
      <c r="C591" s="7"/>
      <c r="D591" s="7"/>
      <c r="E591" s="7"/>
      <c r="F591" s="7"/>
      <c r="G591" s="7"/>
      <c r="H591" s="7"/>
      <c r="I591" s="7"/>
      <c r="J591" s="7"/>
      <c r="K591" s="7"/>
      <c r="L591" s="7"/>
      <c r="M591" s="246"/>
      <c r="N591" s="7"/>
      <c r="O591" s="7"/>
      <c r="P591" s="7"/>
      <c r="Q591" s="7"/>
      <c r="R591" s="7"/>
      <c r="S591" s="7"/>
      <c r="T591" s="7"/>
      <c r="U591" s="7"/>
      <c r="V591" s="7"/>
      <c r="W591" s="7"/>
      <c r="X591" s="7"/>
    </row>
    <row r="592" spans="1:24" ht="19.5" customHeight="1">
      <c r="A592" s="7"/>
      <c r="B592" s="7"/>
      <c r="C592" s="7"/>
      <c r="D592" s="7"/>
      <c r="E592" s="7"/>
      <c r="F592" s="7"/>
      <c r="G592" s="7"/>
      <c r="H592" s="7"/>
      <c r="I592" s="7"/>
      <c r="J592" s="7"/>
      <c r="K592" s="7"/>
      <c r="L592" s="7"/>
      <c r="M592" s="246"/>
      <c r="N592" s="7"/>
      <c r="O592" s="7"/>
      <c r="P592" s="7"/>
      <c r="Q592" s="7"/>
      <c r="R592" s="7"/>
      <c r="S592" s="7"/>
      <c r="T592" s="7"/>
      <c r="U592" s="7"/>
      <c r="V592" s="7"/>
      <c r="W592" s="7"/>
      <c r="X592" s="7"/>
    </row>
    <row r="593" spans="1:24" ht="19.5" customHeight="1">
      <c r="A593" s="7"/>
      <c r="B593" s="7"/>
      <c r="C593" s="7"/>
      <c r="D593" s="7"/>
      <c r="E593" s="7"/>
      <c r="F593" s="7"/>
      <c r="G593" s="7"/>
      <c r="H593" s="7"/>
      <c r="I593" s="7"/>
      <c r="J593" s="7"/>
      <c r="K593" s="7"/>
      <c r="L593" s="7"/>
      <c r="M593" s="246"/>
      <c r="N593" s="7"/>
      <c r="O593" s="7"/>
      <c r="P593" s="7"/>
      <c r="Q593" s="7"/>
      <c r="R593" s="7"/>
      <c r="S593" s="7"/>
      <c r="T593" s="7"/>
      <c r="U593" s="7"/>
      <c r="V593" s="7"/>
      <c r="W593" s="7"/>
      <c r="X593" s="7"/>
    </row>
    <row r="594" spans="1:24" ht="19.5" customHeight="1">
      <c r="A594" s="7"/>
      <c r="B594" s="7"/>
      <c r="C594" s="7"/>
      <c r="D594" s="7"/>
      <c r="E594" s="7"/>
      <c r="F594" s="7"/>
      <c r="G594" s="7"/>
      <c r="H594" s="7"/>
      <c r="I594" s="7"/>
      <c r="J594" s="7"/>
      <c r="K594" s="7"/>
      <c r="L594" s="7"/>
      <c r="M594" s="246"/>
      <c r="N594" s="7"/>
      <c r="O594" s="7"/>
      <c r="P594" s="7"/>
      <c r="Q594" s="7"/>
      <c r="R594" s="7"/>
      <c r="S594" s="7"/>
      <c r="T594" s="7"/>
      <c r="U594" s="7"/>
      <c r="V594" s="7"/>
      <c r="W594" s="7"/>
      <c r="X594" s="7"/>
    </row>
    <row r="595" spans="1:24" ht="19.5" customHeight="1">
      <c r="A595" s="7"/>
      <c r="B595" s="7"/>
      <c r="C595" s="7"/>
      <c r="D595" s="7"/>
      <c r="E595" s="7"/>
      <c r="F595" s="7"/>
      <c r="G595" s="7"/>
      <c r="H595" s="7"/>
      <c r="I595" s="7"/>
      <c r="J595" s="7"/>
      <c r="K595" s="7"/>
      <c r="L595" s="7"/>
      <c r="M595" s="246"/>
      <c r="N595" s="7"/>
      <c r="O595" s="7"/>
      <c r="P595" s="7"/>
      <c r="Q595" s="7"/>
      <c r="R595" s="7"/>
      <c r="S595" s="7"/>
      <c r="T595" s="7"/>
      <c r="U595" s="7"/>
      <c r="V595" s="7"/>
      <c r="W595" s="7"/>
      <c r="X595" s="7"/>
    </row>
    <row r="596" spans="1:24" ht="19.5" customHeight="1">
      <c r="A596" s="7"/>
      <c r="B596" s="7"/>
      <c r="C596" s="7"/>
      <c r="D596" s="7"/>
      <c r="E596" s="7"/>
      <c r="F596" s="7"/>
      <c r="G596" s="7"/>
      <c r="H596" s="7"/>
      <c r="I596" s="7"/>
      <c r="J596" s="7"/>
      <c r="K596" s="7"/>
      <c r="L596" s="7"/>
      <c r="M596" s="246"/>
      <c r="N596" s="7"/>
      <c r="O596" s="7"/>
      <c r="P596" s="7"/>
      <c r="Q596" s="7"/>
      <c r="R596" s="7"/>
      <c r="S596" s="7"/>
      <c r="T596" s="7"/>
      <c r="U596" s="7"/>
      <c r="V596" s="7"/>
      <c r="W596" s="7"/>
      <c r="X596" s="7"/>
    </row>
    <row r="597" spans="1:24" ht="19.5" customHeight="1">
      <c r="A597" s="7"/>
      <c r="B597" s="7"/>
      <c r="C597" s="7"/>
      <c r="D597" s="7"/>
      <c r="E597" s="7"/>
      <c r="F597" s="7"/>
      <c r="G597" s="7"/>
      <c r="H597" s="7"/>
      <c r="I597" s="7"/>
      <c r="J597" s="7"/>
      <c r="K597" s="7"/>
      <c r="L597" s="7"/>
      <c r="M597" s="246"/>
      <c r="N597" s="7"/>
      <c r="O597" s="7"/>
      <c r="P597" s="7"/>
      <c r="Q597" s="7"/>
      <c r="R597" s="7"/>
      <c r="S597" s="7"/>
      <c r="T597" s="7"/>
      <c r="U597" s="7"/>
      <c r="V597" s="7"/>
      <c r="W597" s="7"/>
      <c r="X597" s="7"/>
    </row>
    <row r="598" spans="1:24" ht="19.5" customHeight="1">
      <c r="A598" s="7"/>
      <c r="B598" s="7"/>
      <c r="C598" s="7"/>
      <c r="D598" s="7"/>
      <c r="E598" s="7"/>
      <c r="F598" s="7"/>
      <c r="G598" s="7"/>
      <c r="H598" s="7"/>
      <c r="I598" s="7"/>
      <c r="J598" s="7"/>
      <c r="K598" s="7"/>
      <c r="L598" s="7"/>
      <c r="M598" s="246"/>
      <c r="N598" s="7"/>
      <c r="O598" s="7"/>
      <c r="P598" s="7"/>
      <c r="Q598" s="7"/>
      <c r="R598" s="7"/>
      <c r="S598" s="7"/>
      <c r="T598" s="7"/>
      <c r="U598" s="7"/>
      <c r="V598" s="7"/>
      <c r="W598" s="7"/>
      <c r="X598" s="7"/>
    </row>
    <row r="599" spans="1:24" ht="19.5" customHeight="1">
      <c r="A599" s="7"/>
      <c r="B599" s="7"/>
      <c r="C599" s="7"/>
      <c r="D599" s="7"/>
      <c r="E599" s="7"/>
      <c r="F599" s="7"/>
      <c r="G599" s="7"/>
      <c r="H599" s="7"/>
      <c r="I599" s="7"/>
      <c r="J599" s="7"/>
      <c r="K599" s="7"/>
      <c r="L599" s="7"/>
      <c r="M599" s="246"/>
      <c r="N599" s="7"/>
      <c r="O599" s="7"/>
      <c r="P599" s="7"/>
      <c r="Q599" s="7"/>
      <c r="R599" s="7"/>
      <c r="S599" s="7"/>
      <c r="T599" s="7"/>
      <c r="U599" s="7"/>
      <c r="V599" s="7"/>
      <c r="W599" s="7"/>
      <c r="X599" s="7"/>
    </row>
    <row r="600" spans="1:24" ht="19.5" customHeight="1">
      <c r="A600" s="7"/>
      <c r="B600" s="7"/>
      <c r="C600" s="7"/>
      <c r="D600" s="7"/>
      <c r="E600" s="7"/>
      <c r="F600" s="7"/>
      <c r="G600" s="7"/>
      <c r="H600" s="7"/>
      <c r="I600" s="7"/>
      <c r="J600" s="7"/>
      <c r="K600" s="7"/>
      <c r="L600" s="7"/>
      <c r="M600" s="246"/>
      <c r="N600" s="7"/>
      <c r="O600" s="7"/>
      <c r="P600" s="7"/>
      <c r="Q600" s="7"/>
      <c r="R600" s="7"/>
      <c r="S600" s="7"/>
      <c r="T600" s="7"/>
      <c r="U600" s="7"/>
      <c r="V600" s="7"/>
      <c r="W600" s="7"/>
      <c r="X600" s="7"/>
    </row>
    <row r="601" spans="1:24" ht="19.5" customHeight="1">
      <c r="A601" s="7"/>
      <c r="B601" s="7"/>
      <c r="C601" s="7"/>
      <c r="D601" s="7"/>
      <c r="E601" s="7"/>
      <c r="F601" s="7"/>
      <c r="G601" s="7"/>
      <c r="H601" s="7"/>
      <c r="I601" s="7"/>
      <c r="J601" s="7"/>
      <c r="K601" s="7"/>
      <c r="L601" s="7"/>
      <c r="M601" s="246"/>
      <c r="N601" s="7"/>
      <c r="O601" s="7"/>
      <c r="P601" s="7"/>
      <c r="Q601" s="7"/>
      <c r="R601" s="7"/>
      <c r="S601" s="7"/>
      <c r="T601" s="7"/>
      <c r="U601" s="7"/>
      <c r="V601" s="7"/>
      <c r="W601" s="7"/>
      <c r="X601" s="7"/>
    </row>
    <row r="602" spans="1:24" ht="19.5" customHeight="1">
      <c r="A602" s="7"/>
      <c r="B602" s="7"/>
      <c r="C602" s="7"/>
      <c r="D602" s="7"/>
      <c r="E602" s="7"/>
      <c r="F602" s="7"/>
      <c r="G602" s="7"/>
      <c r="H602" s="7"/>
      <c r="I602" s="7"/>
      <c r="J602" s="7"/>
      <c r="K602" s="7"/>
      <c r="L602" s="7"/>
      <c r="M602" s="246"/>
      <c r="N602" s="7"/>
      <c r="O602" s="7"/>
      <c r="P602" s="7"/>
      <c r="Q602" s="7"/>
      <c r="R602" s="7"/>
      <c r="S602" s="7"/>
      <c r="T602" s="7"/>
      <c r="U602" s="7"/>
      <c r="V602" s="7"/>
      <c r="W602" s="7"/>
      <c r="X602" s="7"/>
    </row>
    <row r="603" spans="1:24" ht="19.5" customHeight="1">
      <c r="A603" s="7"/>
      <c r="B603" s="7"/>
      <c r="C603" s="7"/>
      <c r="D603" s="7"/>
      <c r="E603" s="7"/>
      <c r="F603" s="7"/>
      <c r="G603" s="7"/>
      <c r="H603" s="7"/>
      <c r="I603" s="7"/>
      <c r="J603" s="7"/>
      <c r="K603" s="7"/>
      <c r="L603" s="7"/>
      <c r="M603" s="246"/>
      <c r="N603" s="7"/>
      <c r="O603" s="7"/>
      <c r="P603" s="7"/>
      <c r="Q603" s="7"/>
      <c r="R603" s="7"/>
      <c r="S603" s="7"/>
      <c r="T603" s="7"/>
      <c r="U603" s="7"/>
      <c r="V603" s="7"/>
      <c r="W603" s="7"/>
      <c r="X603" s="7"/>
    </row>
    <row r="604" spans="1:24" ht="19.5" customHeight="1">
      <c r="A604" s="7"/>
      <c r="B604" s="7"/>
      <c r="C604" s="7"/>
      <c r="D604" s="7"/>
      <c r="E604" s="7"/>
      <c r="F604" s="7"/>
      <c r="G604" s="7"/>
      <c r="H604" s="7"/>
      <c r="I604" s="7"/>
      <c r="J604" s="7"/>
      <c r="K604" s="7"/>
      <c r="L604" s="7"/>
      <c r="M604" s="246"/>
      <c r="N604" s="7"/>
      <c r="O604" s="7"/>
      <c r="P604" s="7"/>
      <c r="Q604" s="7"/>
      <c r="R604" s="7"/>
      <c r="S604" s="7"/>
      <c r="T604" s="7"/>
      <c r="U604" s="7"/>
      <c r="V604" s="7"/>
      <c r="W604" s="7"/>
      <c r="X604" s="7"/>
    </row>
    <row r="605" spans="1:24" ht="19.5" customHeight="1">
      <c r="A605" s="7"/>
      <c r="B605" s="7"/>
      <c r="C605" s="7"/>
      <c r="D605" s="7"/>
      <c r="E605" s="7"/>
      <c r="F605" s="7"/>
      <c r="G605" s="7"/>
      <c r="H605" s="7"/>
      <c r="I605" s="7"/>
      <c r="J605" s="7"/>
      <c r="K605" s="7"/>
      <c r="L605" s="7"/>
      <c r="M605" s="246"/>
      <c r="N605" s="7"/>
      <c r="O605" s="7"/>
      <c r="P605" s="7"/>
      <c r="Q605" s="7"/>
      <c r="R605" s="7"/>
      <c r="S605" s="7"/>
      <c r="T605" s="7"/>
      <c r="U605" s="7"/>
      <c r="V605" s="7"/>
      <c r="W605" s="7"/>
      <c r="X605" s="7"/>
    </row>
    <row r="606" spans="1:24" ht="19.5" customHeight="1">
      <c r="A606" s="7"/>
      <c r="B606" s="7"/>
      <c r="C606" s="7"/>
      <c r="D606" s="7"/>
      <c r="E606" s="7"/>
      <c r="F606" s="7"/>
      <c r="G606" s="7"/>
      <c r="H606" s="7"/>
      <c r="I606" s="7"/>
      <c r="J606" s="7"/>
      <c r="K606" s="7"/>
      <c r="L606" s="7"/>
      <c r="M606" s="246"/>
      <c r="N606" s="7"/>
      <c r="O606" s="7"/>
      <c r="P606" s="7"/>
      <c r="Q606" s="7"/>
      <c r="R606" s="7"/>
      <c r="S606" s="7"/>
      <c r="T606" s="7"/>
      <c r="U606" s="7"/>
      <c r="V606" s="7"/>
      <c r="W606" s="7"/>
      <c r="X606" s="7"/>
    </row>
    <row r="607" spans="1:24" ht="19.5" customHeight="1">
      <c r="A607" s="7"/>
      <c r="B607" s="7"/>
      <c r="C607" s="7"/>
      <c r="D607" s="7"/>
      <c r="E607" s="7"/>
      <c r="F607" s="7"/>
      <c r="G607" s="7"/>
      <c r="H607" s="7"/>
      <c r="I607" s="7"/>
      <c r="J607" s="7"/>
      <c r="K607" s="7"/>
      <c r="L607" s="7"/>
      <c r="M607" s="246"/>
      <c r="N607" s="7"/>
      <c r="O607" s="7"/>
      <c r="P607" s="7"/>
      <c r="Q607" s="7"/>
      <c r="R607" s="7"/>
      <c r="S607" s="7"/>
      <c r="T607" s="7"/>
      <c r="U607" s="7"/>
      <c r="V607" s="7"/>
      <c r="W607" s="7"/>
      <c r="X607" s="7"/>
    </row>
    <row r="608" spans="1:24" ht="19.5" customHeight="1">
      <c r="A608" s="7"/>
      <c r="B608" s="7"/>
      <c r="C608" s="7"/>
      <c r="D608" s="7"/>
      <c r="E608" s="7"/>
      <c r="F608" s="7"/>
      <c r="G608" s="7"/>
      <c r="H608" s="7"/>
      <c r="I608" s="7"/>
      <c r="J608" s="7"/>
      <c r="K608" s="7"/>
      <c r="L608" s="7"/>
      <c r="M608" s="246"/>
      <c r="N608" s="7"/>
      <c r="O608" s="7"/>
      <c r="P608" s="7"/>
      <c r="Q608" s="7"/>
      <c r="R608" s="7"/>
      <c r="S608" s="7"/>
      <c r="T608" s="7"/>
      <c r="U608" s="7"/>
      <c r="V608" s="7"/>
      <c r="W608" s="7"/>
      <c r="X608" s="7"/>
    </row>
    <row r="609" spans="1:24" ht="19.5" customHeight="1">
      <c r="A609" s="7"/>
      <c r="B609" s="7"/>
      <c r="C609" s="7"/>
      <c r="D609" s="7"/>
      <c r="E609" s="7"/>
      <c r="F609" s="7"/>
      <c r="G609" s="7"/>
      <c r="H609" s="7"/>
      <c r="I609" s="7"/>
      <c r="J609" s="7"/>
      <c r="K609" s="7"/>
      <c r="L609" s="7"/>
      <c r="M609" s="246"/>
      <c r="N609" s="7"/>
      <c r="O609" s="7"/>
      <c r="P609" s="7"/>
      <c r="Q609" s="7"/>
      <c r="R609" s="7"/>
      <c r="S609" s="7"/>
      <c r="T609" s="7"/>
      <c r="U609" s="7"/>
      <c r="V609" s="7"/>
      <c r="W609" s="7"/>
      <c r="X609" s="7"/>
    </row>
    <row r="610" spans="1:24" ht="19.5" customHeight="1">
      <c r="A610" s="7"/>
      <c r="B610" s="7"/>
      <c r="C610" s="7"/>
      <c r="D610" s="7"/>
      <c r="E610" s="7"/>
      <c r="F610" s="7"/>
      <c r="G610" s="7"/>
      <c r="H610" s="7"/>
      <c r="I610" s="7"/>
      <c r="J610" s="7"/>
      <c r="K610" s="7"/>
      <c r="L610" s="7"/>
      <c r="M610" s="246"/>
      <c r="N610" s="7"/>
      <c r="O610" s="7"/>
      <c r="P610" s="7"/>
      <c r="Q610" s="7"/>
      <c r="R610" s="7"/>
      <c r="S610" s="7"/>
      <c r="T610" s="7"/>
      <c r="U610" s="7"/>
      <c r="V610" s="7"/>
      <c r="W610" s="7"/>
      <c r="X610" s="7"/>
    </row>
    <row r="611" spans="1:24" ht="19.5" customHeight="1">
      <c r="A611" s="7"/>
      <c r="B611" s="7"/>
      <c r="C611" s="7"/>
      <c r="D611" s="7"/>
      <c r="E611" s="7"/>
      <c r="F611" s="7"/>
      <c r="G611" s="7"/>
      <c r="H611" s="7"/>
      <c r="I611" s="7"/>
      <c r="J611" s="7"/>
      <c r="K611" s="7"/>
      <c r="L611" s="7"/>
      <c r="M611" s="246"/>
      <c r="N611" s="7"/>
      <c r="O611" s="7"/>
      <c r="P611" s="7"/>
      <c r="Q611" s="7"/>
      <c r="R611" s="7"/>
      <c r="S611" s="7"/>
      <c r="T611" s="7"/>
      <c r="U611" s="7"/>
      <c r="V611" s="7"/>
      <c r="W611" s="7"/>
      <c r="X611" s="7"/>
    </row>
    <row r="612" spans="1:24" ht="19.5" customHeight="1">
      <c r="A612" s="7"/>
      <c r="B612" s="7"/>
      <c r="C612" s="7"/>
      <c r="D612" s="7"/>
      <c r="E612" s="7"/>
      <c r="F612" s="7"/>
      <c r="G612" s="7"/>
      <c r="H612" s="7"/>
      <c r="I612" s="7"/>
      <c r="J612" s="7"/>
      <c r="K612" s="7"/>
      <c r="L612" s="7"/>
      <c r="M612" s="246"/>
      <c r="N612" s="7"/>
      <c r="O612" s="7"/>
      <c r="P612" s="7"/>
      <c r="Q612" s="7"/>
      <c r="R612" s="7"/>
      <c r="S612" s="7"/>
      <c r="T612" s="7"/>
      <c r="U612" s="7"/>
      <c r="V612" s="7"/>
      <c r="W612" s="7"/>
      <c r="X612" s="7"/>
    </row>
    <row r="613" spans="1:24" ht="19.5" customHeight="1">
      <c r="A613" s="7"/>
      <c r="B613" s="7"/>
      <c r="C613" s="7"/>
      <c r="D613" s="7"/>
      <c r="E613" s="7"/>
      <c r="F613" s="7"/>
      <c r="G613" s="7"/>
      <c r="H613" s="7"/>
      <c r="I613" s="7"/>
      <c r="J613" s="7"/>
      <c r="K613" s="7"/>
      <c r="L613" s="7"/>
      <c r="M613" s="246"/>
      <c r="N613" s="7"/>
      <c r="O613" s="7"/>
      <c r="P613" s="7"/>
      <c r="Q613" s="7"/>
      <c r="R613" s="7"/>
      <c r="S613" s="7"/>
      <c r="T613" s="7"/>
      <c r="U613" s="7"/>
      <c r="V613" s="7"/>
      <c r="W613" s="7"/>
      <c r="X613" s="7"/>
    </row>
    <row r="614" spans="1:24" ht="19.5" customHeight="1">
      <c r="A614" s="7"/>
      <c r="B614" s="7"/>
      <c r="C614" s="7"/>
      <c r="D614" s="7"/>
      <c r="E614" s="7"/>
      <c r="F614" s="7"/>
      <c r="G614" s="7"/>
      <c r="H614" s="7"/>
      <c r="I614" s="7"/>
      <c r="J614" s="7"/>
      <c r="K614" s="7"/>
      <c r="L614" s="7"/>
      <c r="M614" s="246"/>
      <c r="N614" s="7"/>
      <c r="O614" s="7"/>
      <c r="P614" s="7"/>
      <c r="Q614" s="7"/>
      <c r="R614" s="7"/>
      <c r="S614" s="7"/>
      <c r="T614" s="7"/>
      <c r="U614" s="7"/>
      <c r="V614" s="7"/>
      <c r="W614" s="7"/>
      <c r="X614" s="7"/>
    </row>
    <row r="615" spans="1:24" ht="19.5" customHeight="1">
      <c r="A615" s="7"/>
      <c r="B615" s="7"/>
      <c r="C615" s="7"/>
      <c r="D615" s="7"/>
      <c r="E615" s="7"/>
      <c r="F615" s="7"/>
      <c r="G615" s="7"/>
      <c r="H615" s="7"/>
      <c r="I615" s="7"/>
      <c r="J615" s="7"/>
      <c r="K615" s="7"/>
      <c r="L615" s="7"/>
      <c r="M615" s="246"/>
      <c r="N615" s="7"/>
      <c r="O615" s="7"/>
      <c r="P615" s="7"/>
      <c r="Q615" s="7"/>
      <c r="R615" s="7"/>
      <c r="S615" s="7"/>
      <c r="T615" s="7"/>
      <c r="U615" s="7"/>
      <c r="V615" s="7"/>
      <c r="W615" s="7"/>
      <c r="X615" s="7"/>
    </row>
    <row r="616" spans="1:24" ht="19.5" customHeight="1">
      <c r="A616" s="7"/>
      <c r="B616" s="7"/>
      <c r="C616" s="7"/>
      <c r="D616" s="7"/>
      <c r="E616" s="7"/>
      <c r="F616" s="7"/>
      <c r="G616" s="7"/>
      <c r="H616" s="7"/>
      <c r="I616" s="7"/>
      <c r="J616" s="7"/>
      <c r="K616" s="7"/>
      <c r="L616" s="7"/>
      <c r="M616" s="246"/>
      <c r="N616" s="7"/>
      <c r="O616" s="7"/>
      <c r="P616" s="7"/>
      <c r="Q616" s="7"/>
      <c r="R616" s="7"/>
      <c r="S616" s="7"/>
      <c r="T616" s="7"/>
      <c r="U616" s="7"/>
      <c r="V616" s="7"/>
      <c r="W616" s="7"/>
      <c r="X616" s="7"/>
    </row>
    <row r="617" spans="1:24" ht="19.5" customHeight="1">
      <c r="A617" s="7"/>
      <c r="B617" s="7"/>
      <c r="C617" s="7"/>
      <c r="D617" s="7"/>
      <c r="E617" s="7"/>
      <c r="F617" s="7"/>
      <c r="G617" s="7"/>
      <c r="H617" s="7"/>
      <c r="I617" s="7"/>
      <c r="J617" s="7"/>
      <c r="K617" s="7"/>
      <c r="L617" s="7"/>
      <c r="M617" s="246"/>
      <c r="N617" s="7"/>
      <c r="O617" s="7"/>
      <c r="P617" s="7"/>
      <c r="Q617" s="7"/>
      <c r="R617" s="7"/>
      <c r="S617" s="7"/>
      <c r="T617" s="7"/>
      <c r="U617" s="7"/>
      <c r="V617" s="7"/>
      <c r="W617" s="7"/>
      <c r="X617" s="7"/>
    </row>
    <row r="618" spans="1:24" ht="19.5" customHeight="1">
      <c r="A618" s="7"/>
      <c r="B618" s="7"/>
      <c r="C618" s="7"/>
      <c r="D618" s="7"/>
      <c r="E618" s="7"/>
      <c r="F618" s="7"/>
      <c r="G618" s="7"/>
      <c r="H618" s="7"/>
      <c r="I618" s="7"/>
      <c r="J618" s="7"/>
      <c r="K618" s="7"/>
      <c r="L618" s="7"/>
      <c r="M618" s="246"/>
      <c r="N618" s="7"/>
      <c r="O618" s="7"/>
      <c r="P618" s="7"/>
      <c r="Q618" s="7"/>
      <c r="R618" s="7"/>
      <c r="S618" s="7"/>
      <c r="T618" s="7"/>
      <c r="U618" s="7"/>
      <c r="V618" s="7"/>
      <c r="W618" s="7"/>
      <c r="X618" s="7"/>
    </row>
    <row r="619" spans="1:24" ht="19.5" customHeight="1">
      <c r="A619" s="7"/>
      <c r="B619" s="7"/>
      <c r="C619" s="7"/>
      <c r="D619" s="7"/>
      <c r="E619" s="7"/>
      <c r="F619" s="7"/>
      <c r="G619" s="7"/>
      <c r="H619" s="7"/>
      <c r="I619" s="7"/>
      <c r="J619" s="7"/>
      <c r="K619" s="7"/>
      <c r="L619" s="7"/>
      <c r="M619" s="246"/>
      <c r="N619" s="7"/>
      <c r="O619" s="7"/>
      <c r="P619" s="7"/>
      <c r="Q619" s="7"/>
      <c r="R619" s="7"/>
      <c r="S619" s="7"/>
      <c r="T619" s="7"/>
      <c r="U619" s="7"/>
      <c r="V619" s="7"/>
      <c r="W619" s="7"/>
      <c r="X619" s="7"/>
    </row>
    <row r="620" spans="1:24" ht="19.5" customHeight="1">
      <c r="A620" s="7"/>
      <c r="B620" s="7"/>
      <c r="C620" s="7"/>
      <c r="D620" s="7"/>
      <c r="E620" s="7"/>
      <c r="F620" s="7"/>
      <c r="G620" s="7"/>
      <c r="H620" s="7"/>
      <c r="I620" s="7"/>
      <c r="J620" s="7"/>
      <c r="K620" s="7"/>
      <c r="L620" s="7"/>
      <c r="M620" s="246"/>
      <c r="N620" s="7"/>
      <c r="O620" s="7"/>
      <c r="P620" s="7"/>
      <c r="Q620" s="7"/>
      <c r="R620" s="7"/>
      <c r="S620" s="7"/>
      <c r="T620" s="7"/>
      <c r="U620" s="7"/>
      <c r="V620" s="7"/>
      <c r="W620" s="7"/>
      <c r="X620" s="7"/>
    </row>
    <row r="621" spans="1:24" ht="19.5" customHeight="1">
      <c r="A621" s="7"/>
      <c r="B621" s="7"/>
      <c r="C621" s="7"/>
      <c r="D621" s="7"/>
      <c r="E621" s="7"/>
      <c r="F621" s="7"/>
      <c r="G621" s="7"/>
      <c r="H621" s="7"/>
      <c r="I621" s="7"/>
      <c r="J621" s="7"/>
      <c r="K621" s="7"/>
      <c r="L621" s="7"/>
      <c r="M621" s="246"/>
      <c r="N621" s="7"/>
      <c r="O621" s="7"/>
      <c r="P621" s="7"/>
      <c r="Q621" s="7"/>
      <c r="R621" s="7"/>
      <c r="S621" s="7"/>
      <c r="T621" s="7"/>
      <c r="U621" s="7"/>
      <c r="V621" s="7"/>
      <c r="W621" s="7"/>
      <c r="X621" s="7"/>
    </row>
    <row r="622" spans="1:24" ht="19.5" customHeight="1">
      <c r="A622" s="7"/>
      <c r="B622" s="7"/>
      <c r="C622" s="7"/>
      <c r="D622" s="7"/>
      <c r="E622" s="7"/>
      <c r="F622" s="7"/>
      <c r="G622" s="7"/>
      <c r="H622" s="7"/>
      <c r="I622" s="7"/>
      <c r="J622" s="7"/>
      <c r="K622" s="7"/>
      <c r="L622" s="7"/>
      <c r="M622" s="246"/>
      <c r="N622" s="7"/>
      <c r="O622" s="7"/>
      <c r="P622" s="7"/>
      <c r="Q622" s="7"/>
      <c r="R622" s="7"/>
      <c r="S622" s="7"/>
      <c r="T622" s="7"/>
      <c r="U622" s="7"/>
      <c r="V622" s="7"/>
      <c r="W622" s="7"/>
      <c r="X622" s="7"/>
    </row>
    <row r="623" spans="1:24" ht="19.5" customHeight="1">
      <c r="A623" s="7"/>
      <c r="B623" s="7"/>
      <c r="C623" s="7"/>
      <c r="D623" s="7"/>
      <c r="E623" s="7"/>
      <c r="F623" s="7"/>
      <c r="G623" s="7"/>
      <c r="H623" s="7"/>
      <c r="I623" s="7"/>
      <c r="J623" s="7"/>
      <c r="K623" s="7"/>
      <c r="L623" s="7"/>
      <c r="M623" s="246"/>
      <c r="N623" s="7"/>
      <c r="O623" s="7"/>
      <c r="P623" s="7"/>
      <c r="Q623" s="7"/>
      <c r="R623" s="7"/>
      <c r="S623" s="7"/>
      <c r="T623" s="7"/>
      <c r="U623" s="7"/>
      <c r="V623" s="7"/>
      <c r="W623" s="7"/>
      <c r="X623" s="7"/>
    </row>
    <row r="624" spans="1:24" ht="19.5" customHeight="1">
      <c r="A624" s="7"/>
      <c r="B624" s="7"/>
      <c r="C624" s="7"/>
      <c r="D624" s="7"/>
      <c r="E624" s="7"/>
      <c r="F624" s="7"/>
      <c r="G624" s="7"/>
      <c r="H624" s="7"/>
      <c r="I624" s="7"/>
      <c r="J624" s="7"/>
      <c r="K624" s="7"/>
      <c r="L624" s="7"/>
      <c r="M624" s="246"/>
      <c r="N624" s="7"/>
      <c r="O624" s="7"/>
      <c r="P624" s="7"/>
      <c r="Q624" s="7"/>
      <c r="R624" s="7"/>
      <c r="S624" s="7"/>
      <c r="T624" s="7"/>
      <c r="U624" s="7"/>
      <c r="V624" s="7"/>
      <c r="W624" s="7"/>
      <c r="X624" s="7"/>
    </row>
    <row r="625" spans="1:24" ht="19.5" customHeight="1">
      <c r="A625" s="7"/>
      <c r="B625" s="7"/>
      <c r="C625" s="7"/>
      <c r="D625" s="7"/>
      <c r="E625" s="7"/>
      <c r="F625" s="7"/>
      <c r="G625" s="7"/>
      <c r="H625" s="7"/>
      <c r="I625" s="7"/>
      <c r="J625" s="7"/>
      <c r="K625" s="7"/>
      <c r="L625" s="7"/>
      <c r="M625" s="246"/>
      <c r="N625" s="7"/>
      <c r="O625" s="7"/>
      <c r="P625" s="7"/>
      <c r="Q625" s="7"/>
      <c r="R625" s="7"/>
      <c r="S625" s="7"/>
      <c r="T625" s="7"/>
      <c r="U625" s="7"/>
      <c r="V625" s="7"/>
      <c r="W625" s="7"/>
      <c r="X625" s="7"/>
    </row>
    <row r="626" spans="1:24" ht="19.5" customHeight="1">
      <c r="A626" s="7"/>
      <c r="B626" s="7"/>
      <c r="C626" s="7"/>
      <c r="D626" s="7"/>
      <c r="E626" s="7"/>
      <c r="F626" s="7"/>
      <c r="G626" s="7"/>
      <c r="H626" s="7"/>
      <c r="I626" s="7"/>
      <c r="J626" s="7"/>
      <c r="K626" s="7"/>
      <c r="L626" s="7"/>
      <c r="M626" s="246"/>
      <c r="N626" s="7"/>
      <c r="O626" s="7"/>
      <c r="P626" s="7"/>
      <c r="Q626" s="7"/>
      <c r="R626" s="7"/>
      <c r="S626" s="7"/>
      <c r="T626" s="7"/>
      <c r="U626" s="7"/>
      <c r="V626" s="7"/>
      <c r="W626" s="7"/>
      <c r="X626" s="7"/>
    </row>
    <row r="627" spans="1:24" ht="19.5" customHeight="1">
      <c r="A627" s="7"/>
      <c r="B627" s="7"/>
      <c r="C627" s="7"/>
      <c r="D627" s="7"/>
      <c r="E627" s="7"/>
      <c r="F627" s="7"/>
      <c r="G627" s="7"/>
      <c r="H627" s="7"/>
      <c r="I627" s="7"/>
      <c r="J627" s="7"/>
      <c r="K627" s="7"/>
      <c r="L627" s="7"/>
      <c r="M627" s="246"/>
      <c r="N627" s="7"/>
      <c r="O627" s="7"/>
      <c r="P627" s="7"/>
      <c r="Q627" s="7"/>
      <c r="R627" s="7"/>
      <c r="S627" s="7"/>
      <c r="T627" s="7"/>
      <c r="U627" s="7"/>
      <c r="V627" s="7"/>
      <c r="W627" s="7"/>
      <c r="X627" s="7"/>
    </row>
    <row r="628" spans="1:24" ht="19.5" customHeight="1">
      <c r="A628" s="7"/>
      <c r="B628" s="7"/>
      <c r="C628" s="7"/>
      <c r="D628" s="7"/>
      <c r="E628" s="7"/>
      <c r="F628" s="7"/>
      <c r="G628" s="7"/>
      <c r="H628" s="7"/>
      <c r="I628" s="7"/>
      <c r="J628" s="7"/>
      <c r="K628" s="7"/>
      <c r="L628" s="7"/>
      <c r="M628" s="246"/>
      <c r="N628" s="7"/>
      <c r="O628" s="7"/>
      <c r="P628" s="7"/>
      <c r="Q628" s="7"/>
      <c r="R628" s="7"/>
      <c r="S628" s="7"/>
      <c r="T628" s="7"/>
      <c r="U628" s="7"/>
      <c r="V628" s="7"/>
      <c r="W628" s="7"/>
      <c r="X628" s="7"/>
    </row>
    <row r="629" spans="1:24" ht="19.5" customHeight="1">
      <c r="A629" s="7"/>
      <c r="B629" s="7"/>
      <c r="C629" s="7"/>
      <c r="D629" s="7"/>
      <c r="E629" s="7"/>
      <c r="F629" s="7"/>
      <c r="G629" s="7"/>
      <c r="H629" s="7"/>
      <c r="I629" s="7"/>
      <c r="J629" s="7"/>
      <c r="K629" s="7"/>
      <c r="L629" s="7"/>
      <c r="M629" s="246"/>
      <c r="N629" s="7"/>
      <c r="O629" s="7"/>
      <c r="P629" s="7"/>
      <c r="Q629" s="7"/>
      <c r="R629" s="7"/>
      <c r="S629" s="7"/>
      <c r="T629" s="7"/>
      <c r="U629" s="7"/>
      <c r="V629" s="7"/>
      <c r="W629" s="7"/>
      <c r="X629" s="7"/>
    </row>
    <row r="630" spans="1:24" ht="19.5" customHeight="1">
      <c r="A630" s="7"/>
      <c r="B630" s="7"/>
      <c r="C630" s="7"/>
      <c r="D630" s="7"/>
      <c r="E630" s="7"/>
      <c r="F630" s="7"/>
      <c r="G630" s="7"/>
      <c r="H630" s="7"/>
      <c r="I630" s="7"/>
      <c r="J630" s="7"/>
      <c r="K630" s="7"/>
      <c r="L630" s="7"/>
      <c r="M630" s="246"/>
      <c r="N630" s="7"/>
      <c r="O630" s="7"/>
      <c r="P630" s="7"/>
      <c r="Q630" s="7"/>
      <c r="R630" s="7"/>
      <c r="S630" s="7"/>
      <c r="T630" s="7"/>
      <c r="U630" s="7"/>
      <c r="V630" s="7"/>
      <c r="W630" s="7"/>
      <c r="X630" s="7"/>
    </row>
    <row r="631" spans="1:24" ht="19.5" customHeight="1">
      <c r="A631" s="7"/>
      <c r="B631" s="7"/>
      <c r="C631" s="7"/>
      <c r="D631" s="7"/>
      <c r="E631" s="7"/>
      <c r="F631" s="7"/>
      <c r="G631" s="7"/>
      <c r="H631" s="7"/>
      <c r="I631" s="7"/>
      <c r="J631" s="7"/>
      <c r="K631" s="7"/>
      <c r="L631" s="7"/>
      <c r="M631" s="246"/>
      <c r="N631" s="7"/>
      <c r="O631" s="7"/>
      <c r="P631" s="7"/>
      <c r="Q631" s="7"/>
      <c r="R631" s="7"/>
      <c r="S631" s="7"/>
      <c r="T631" s="7"/>
      <c r="U631" s="7"/>
      <c r="V631" s="7"/>
      <c r="W631" s="7"/>
      <c r="X631" s="7"/>
    </row>
    <row r="632" spans="1:24" ht="19.5" customHeight="1">
      <c r="A632" s="7"/>
      <c r="B632" s="7"/>
      <c r="C632" s="7"/>
      <c r="D632" s="7"/>
      <c r="E632" s="7"/>
      <c r="F632" s="7"/>
      <c r="G632" s="7"/>
      <c r="H632" s="7"/>
      <c r="I632" s="7"/>
      <c r="J632" s="7"/>
      <c r="K632" s="7"/>
      <c r="L632" s="7"/>
      <c r="M632" s="246"/>
      <c r="N632" s="7"/>
      <c r="O632" s="7"/>
      <c r="P632" s="7"/>
      <c r="Q632" s="7"/>
      <c r="R632" s="7"/>
      <c r="S632" s="7"/>
      <c r="T632" s="7"/>
      <c r="U632" s="7"/>
      <c r="V632" s="7"/>
      <c r="W632" s="7"/>
      <c r="X632" s="7"/>
    </row>
    <row r="633" spans="1:24" ht="19.5" customHeight="1">
      <c r="A633" s="7"/>
      <c r="B633" s="7"/>
      <c r="C633" s="7"/>
      <c r="D633" s="7"/>
      <c r="E633" s="7"/>
      <c r="F633" s="7"/>
      <c r="G633" s="7"/>
      <c r="H633" s="7"/>
      <c r="I633" s="7"/>
      <c r="J633" s="7"/>
      <c r="K633" s="7"/>
      <c r="L633" s="7"/>
      <c r="M633" s="246"/>
      <c r="N633" s="7"/>
      <c r="O633" s="7"/>
      <c r="P633" s="7"/>
      <c r="Q633" s="7"/>
      <c r="R633" s="7"/>
      <c r="S633" s="7"/>
      <c r="T633" s="7"/>
      <c r="U633" s="7"/>
      <c r="V633" s="7"/>
      <c r="W633" s="7"/>
      <c r="X633" s="7"/>
    </row>
    <row r="634" spans="1:24" ht="19.5" customHeight="1">
      <c r="A634" s="7"/>
      <c r="B634" s="7"/>
      <c r="C634" s="7"/>
      <c r="D634" s="7"/>
      <c r="E634" s="7"/>
      <c r="F634" s="7"/>
      <c r="G634" s="7"/>
      <c r="H634" s="7"/>
      <c r="I634" s="7"/>
      <c r="J634" s="7"/>
      <c r="K634" s="7"/>
      <c r="L634" s="7"/>
      <c r="M634" s="246"/>
      <c r="N634" s="7"/>
      <c r="O634" s="7"/>
      <c r="P634" s="7"/>
      <c r="Q634" s="7"/>
      <c r="R634" s="7"/>
      <c r="S634" s="7"/>
      <c r="T634" s="7"/>
      <c r="U634" s="7"/>
      <c r="V634" s="7"/>
      <c r="W634" s="7"/>
      <c r="X634" s="7"/>
    </row>
    <row r="635" spans="1:24" ht="19.5" customHeight="1">
      <c r="A635" s="7"/>
      <c r="B635" s="7"/>
      <c r="C635" s="7"/>
      <c r="D635" s="7"/>
      <c r="E635" s="7"/>
      <c r="F635" s="7"/>
      <c r="G635" s="7"/>
      <c r="H635" s="7"/>
      <c r="I635" s="7"/>
      <c r="J635" s="7"/>
      <c r="K635" s="7"/>
      <c r="L635" s="7"/>
      <c r="M635" s="246"/>
      <c r="N635" s="7"/>
      <c r="O635" s="7"/>
      <c r="P635" s="7"/>
      <c r="Q635" s="7"/>
      <c r="R635" s="7"/>
      <c r="S635" s="7"/>
      <c r="T635" s="7"/>
      <c r="U635" s="7"/>
      <c r="V635" s="7"/>
      <c r="W635" s="7"/>
      <c r="X635" s="7"/>
    </row>
    <row r="636" spans="1:24" ht="19.5" customHeight="1">
      <c r="A636" s="7"/>
      <c r="B636" s="7"/>
      <c r="C636" s="7"/>
      <c r="D636" s="7"/>
      <c r="E636" s="7"/>
      <c r="F636" s="7"/>
      <c r="G636" s="7"/>
      <c r="H636" s="7"/>
      <c r="I636" s="7"/>
      <c r="J636" s="7"/>
      <c r="K636" s="7"/>
      <c r="L636" s="7"/>
      <c r="M636" s="246"/>
      <c r="N636" s="7"/>
      <c r="O636" s="7"/>
      <c r="P636" s="7"/>
      <c r="Q636" s="7"/>
      <c r="R636" s="7"/>
      <c r="S636" s="7"/>
      <c r="T636" s="7"/>
      <c r="U636" s="7"/>
      <c r="V636" s="7"/>
      <c r="W636" s="7"/>
      <c r="X636" s="7"/>
    </row>
    <row r="637" spans="1:24" ht="19.5" customHeight="1">
      <c r="A637" s="7"/>
      <c r="B637" s="7"/>
      <c r="C637" s="7"/>
      <c r="D637" s="7"/>
      <c r="E637" s="7"/>
      <c r="F637" s="7"/>
      <c r="G637" s="7"/>
      <c r="H637" s="7"/>
      <c r="I637" s="7"/>
      <c r="J637" s="7"/>
      <c r="K637" s="7"/>
      <c r="L637" s="7"/>
      <c r="M637" s="246"/>
      <c r="N637" s="7"/>
      <c r="O637" s="7"/>
      <c r="P637" s="7"/>
      <c r="Q637" s="7"/>
      <c r="R637" s="7"/>
      <c r="S637" s="7"/>
      <c r="T637" s="7"/>
      <c r="U637" s="7"/>
      <c r="V637" s="7"/>
      <c r="W637" s="7"/>
      <c r="X637" s="7"/>
    </row>
    <row r="638" spans="1:24" ht="19.5" customHeight="1">
      <c r="A638" s="7"/>
      <c r="B638" s="7"/>
      <c r="C638" s="7"/>
      <c r="D638" s="7"/>
      <c r="E638" s="7"/>
      <c r="F638" s="7"/>
      <c r="G638" s="7"/>
      <c r="H638" s="7"/>
      <c r="I638" s="7"/>
      <c r="J638" s="7"/>
      <c r="K638" s="7"/>
      <c r="L638" s="7"/>
      <c r="M638" s="246"/>
      <c r="N638" s="7"/>
      <c r="O638" s="7"/>
      <c r="P638" s="7"/>
      <c r="Q638" s="7"/>
      <c r="R638" s="7"/>
      <c r="S638" s="7"/>
      <c r="T638" s="7"/>
      <c r="U638" s="7"/>
      <c r="V638" s="7"/>
      <c r="W638" s="7"/>
      <c r="X638" s="7"/>
    </row>
    <row r="639" spans="1:24" ht="19.5" customHeight="1">
      <c r="A639" s="7"/>
      <c r="B639" s="7"/>
      <c r="C639" s="7"/>
      <c r="D639" s="7"/>
      <c r="E639" s="7"/>
      <c r="F639" s="7"/>
      <c r="G639" s="7"/>
      <c r="H639" s="7"/>
      <c r="I639" s="7"/>
      <c r="J639" s="7"/>
      <c r="K639" s="7"/>
      <c r="L639" s="7"/>
      <c r="M639" s="246"/>
      <c r="N639" s="7"/>
      <c r="O639" s="7"/>
      <c r="P639" s="7"/>
      <c r="Q639" s="7"/>
      <c r="R639" s="7"/>
      <c r="S639" s="7"/>
      <c r="T639" s="7"/>
      <c r="U639" s="7"/>
      <c r="V639" s="7"/>
      <c r="W639" s="7"/>
      <c r="X639" s="7"/>
    </row>
    <row r="640" spans="1:24" ht="19.5" customHeight="1">
      <c r="A640" s="7"/>
      <c r="B640" s="7"/>
      <c r="C640" s="7"/>
      <c r="D640" s="7"/>
      <c r="E640" s="7"/>
      <c r="F640" s="7"/>
      <c r="G640" s="7"/>
      <c r="H640" s="7"/>
      <c r="I640" s="7"/>
      <c r="J640" s="7"/>
      <c r="K640" s="7"/>
      <c r="L640" s="7"/>
      <c r="M640" s="246"/>
      <c r="N640" s="7"/>
      <c r="O640" s="7"/>
      <c r="P640" s="7"/>
      <c r="Q640" s="7"/>
      <c r="R640" s="7"/>
      <c r="S640" s="7"/>
      <c r="T640" s="7"/>
      <c r="U640" s="7"/>
      <c r="V640" s="7"/>
      <c r="W640" s="7"/>
      <c r="X640" s="7"/>
    </row>
    <row r="641" spans="1:24" ht="19.5" customHeight="1">
      <c r="A641" s="7"/>
      <c r="B641" s="7"/>
      <c r="C641" s="7"/>
      <c r="D641" s="7"/>
      <c r="E641" s="7"/>
      <c r="F641" s="7"/>
      <c r="G641" s="7"/>
      <c r="H641" s="7"/>
      <c r="I641" s="7"/>
      <c r="J641" s="7"/>
      <c r="K641" s="7"/>
      <c r="L641" s="7"/>
      <c r="M641" s="246"/>
      <c r="N641" s="7"/>
      <c r="O641" s="7"/>
      <c r="P641" s="7"/>
      <c r="Q641" s="7"/>
      <c r="R641" s="7"/>
      <c r="S641" s="7"/>
      <c r="T641" s="7"/>
      <c r="U641" s="7"/>
      <c r="V641" s="7"/>
      <c r="W641" s="7"/>
      <c r="X641" s="7"/>
    </row>
    <row r="642" spans="1:24" ht="19.5" customHeight="1">
      <c r="A642" s="7"/>
      <c r="B642" s="7"/>
      <c r="C642" s="7"/>
      <c r="D642" s="7"/>
      <c r="E642" s="7"/>
      <c r="F642" s="7"/>
      <c r="G642" s="7"/>
      <c r="H642" s="7"/>
      <c r="I642" s="7"/>
      <c r="J642" s="7"/>
      <c r="K642" s="7"/>
      <c r="L642" s="7"/>
      <c r="M642" s="246"/>
      <c r="N642" s="7"/>
      <c r="O642" s="7"/>
      <c r="P642" s="7"/>
      <c r="Q642" s="7"/>
      <c r="R642" s="7"/>
      <c r="S642" s="7"/>
      <c r="T642" s="7"/>
      <c r="U642" s="7"/>
      <c r="V642" s="7"/>
      <c r="W642" s="7"/>
      <c r="X642" s="7"/>
    </row>
    <row r="643" spans="1:24" ht="19.5" customHeight="1">
      <c r="A643" s="7"/>
      <c r="B643" s="7"/>
      <c r="C643" s="7"/>
      <c r="D643" s="7"/>
      <c r="E643" s="7"/>
      <c r="F643" s="7"/>
      <c r="G643" s="7"/>
      <c r="H643" s="7"/>
      <c r="I643" s="7"/>
      <c r="J643" s="7"/>
      <c r="K643" s="7"/>
      <c r="L643" s="7"/>
      <c r="M643" s="246"/>
      <c r="N643" s="7"/>
      <c r="O643" s="7"/>
      <c r="P643" s="7"/>
      <c r="Q643" s="7"/>
      <c r="R643" s="7"/>
      <c r="S643" s="7"/>
      <c r="T643" s="7"/>
      <c r="U643" s="7"/>
      <c r="V643" s="7"/>
      <c r="W643" s="7"/>
      <c r="X643" s="7"/>
    </row>
    <row r="644" spans="1:24" ht="19.5" customHeight="1">
      <c r="A644" s="7"/>
      <c r="B644" s="7"/>
      <c r="C644" s="7"/>
      <c r="D644" s="7"/>
      <c r="E644" s="7"/>
      <c r="F644" s="7"/>
      <c r="G644" s="7"/>
      <c r="H644" s="7"/>
      <c r="I644" s="7"/>
      <c r="J644" s="7"/>
      <c r="K644" s="7"/>
      <c r="L644" s="7"/>
      <c r="M644" s="246"/>
      <c r="N644" s="7"/>
      <c r="O644" s="7"/>
      <c r="P644" s="7"/>
      <c r="Q644" s="7"/>
      <c r="R644" s="7"/>
      <c r="S644" s="7"/>
      <c r="T644" s="7"/>
      <c r="U644" s="7"/>
      <c r="V644" s="7"/>
      <c r="W644" s="7"/>
      <c r="X644" s="7"/>
    </row>
    <row r="645" spans="1:24" ht="19.5" customHeight="1">
      <c r="A645" s="7"/>
      <c r="B645" s="7"/>
      <c r="C645" s="7"/>
      <c r="D645" s="7"/>
      <c r="E645" s="7"/>
      <c r="F645" s="7"/>
      <c r="G645" s="7"/>
      <c r="H645" s="7"/>
      <c r="I645" s="7"/>
      <c r="J645" s="7"/>
      <c r="K645" s="7"/>
      <c r="L645" s="7"/>
      <c r="M645" s="246"/>
      <c r="N645" s="7"/>
      <c r="O645" s="7"/>
      <c r="P645" s="7"/>
      <c r="Q645" s="7"/>
      <c r="R645" s="7"/>
      <c r="S645" s="7"/>
      <c r="T645" s="7"/>
      <c r="U645" s="7"/>
      <c r="V645" s="7"/>
      <c r="W645" s="7"/>
      <c r="X645" s="7"/>
    </row>
    <row r="646" spans="1:24" ht="19.5" customHeight="1">
      <c r="A646" s="7"/>
      <c r="B646" s="7"/>
      <c r="C646" s="7"/>
      <c r="D646" s="7"/>
      <c r="E646" s="7"/>
      <c r="F646" s="7"/>
      <c r="G646" s="7"/>
      <c r="H646" s="7"/>
      <c r="I646" s="7"/>
      <c r="J646" s="7"/>
      <c r="K646" s="7"/>
      <c r="L646" s="7"/>
      <c r="M646" s="246"/>
      <c r="N646" s="7"/>
      <c r="O646" s="7"/>
      <c r="P646" s="7"/>
      <c r="Q646" s="7"/>
      <c r="R646" s="7"/>
      <c r="S646" s="7"/>
      <c r="T646" s="7"/>
      <c r="U646" s="7"/>
      <c r="V646" s="7"/>
      <c r="W646" s="7"/>
      <c r="X646" s="7"/>
    </row>
    <row r="647" spans="1:24" ht="19.5" customHeight="1">
      <c r="A647" s="7"/>
      <c r="B647" s="7"/>
      <c r="C647" s="7"/>
      <c r="D647" s="7"/>
      <c r="E647" s="7"/>
      <c r="F647" s="7"/>
      <c r="G647" s="7"/>
      <c r="H647" s="7"/>
      <c r="I647" s="7"/>
      <c r="J647" s="7"/>
      <c r="K647" s="7"/>
      <c r="L647" s="7"/>
      <c r="M647" s="246"/>
      <c r="N647" s="7"/>
      <c r="O647" s="7"/>
      <c r="P647" s="7"/>
      <c r="Q647" s="7"/>
      <c r="R647" s="7"/>
      <c r="S647" s="7"/>
      <c r="T647" s="7"/>
      <c r="U647" s="7"/>
      <c r="V647" s="7"/>
      <c r="W647" s="7"/>
      <c r="X647" s="7"/>
    </row>
    <row r="648" spans="1:24" ht="19.5" customHeight="1">
      <c r="A648" s="7"/>
      <c r="B648" s="7"/>
      <c r="C648" s="7"/>
      <c r="D648" s="7"/>
      <c r="E648" s="7"/>
      <c r="F648" s="7"/>
      <c r="G648" s="7"/>
      <c r="H648" s="7"/>
      <c r="I648" s="7"/>
      <c r="J648" s="7"/>
      <c r="K648" s="7"/>
      <c r="L648" s="7"/>
      <c r="M648" s="246"/>
      <c r="N648" s="7"/>
      <c r="O648" s="7"/>
      <c r="P648" s="7"/>
      <c r="Q648" s="7"/>
      <c r="R648" s="7"/>
      <c r="S648" s="7"/>
      <c r="T648" s="7"/>
      <c r="U648" s="7"/>
      <c r="V648" s="7"/>
      <c r="W648" s="7"/>
      <c r="X648" s="7"/>
    </row>
    <row r="649" spans="1:24" ht="19.5" customHeight="1">
      <c r="A649" s="7"/>
      <c r="B649" s="7"/>
      <c r="C649" s="7"/>
      <c r="D649" s="7"/>
      <c r="E649" s="7"/>
      <c r="F649" s="7"/>
      <c r="G649" s="7"/>
      <c r="H649" s="7"/>
      <c r="I649" s="7"/>
      <c r="J649" s="7"/>
      <c r="K649" s="7"/>
      <c r="L649" s="7"/>
      <c r="M649" s="246"/>
      <c r="N649" s="7"/>
      <c r="O649" s="7"/>
      <c r="P649" s="7"/>
      <c r="Q649" s="7"/>
      <c r="R649" s="7"/>
      <c r="S649" s="7"/>
      <c r="T649" s="7"/>
      <c r="U649" s="7"/>
      <c r="V649" s="7"/>
      <c r="W649" s="7"/>
      <c r="X649" s="7"/>
    </row>
    <row r="650" spans="1:24" ht="19.5" customHeight="1">
      <c r="A650" s="7"/>
      <c r="B650" s="7"/>
      <c r="C650" s="7"/>
      <c r="D650" s="7"/>
      <c r="E650" s="7"/>
      <c r="F650" s="7"/>
      <c r="G650" s="7"/>
      <c r="H650" s="7"/>
      <c r="I650" s="7"/>
      <c r="J650" s="7"/>
      <c r="K650" s="7"/>
      <c r="L650" s="7"/>
      <c r="M650" s="246"/>
      <c r="N650" s="7"/>
      <c r="O650" s="7"/>
      <c r="P650" s="7"/>
      <c r="Q650" s="7"/>
      <c r="R650" s="7"/>
      <c r="S650" s="7"/>
      <c r="T650" s="7"/>
      <c r="U650" s="7"/>
      <c r="V650" s="7"/>
      <c r="W650" s="7"/>
      <c r="X650" s="7"/>
    </row>
    <row r="651" spans="1:24" ht="19.5" customHeight="1">
      <c r="A651" s="7"/>
      <c r="B651" s="7"/>
      <c r="C651" s="7"/>
      <c r="D651" s="7"/>
      <c r="E651" s="7"/>
      <c r="F651" s="7"/>
      <c r="G651" s="7"/>
      <c r="H651" s="7"/>
      <c r="I651" s="7"/>
      <c r="J651" s="7"/>
      <c r="K651" s="7"/>
      <c r="L651" s="7"/>
      <c r="M651" s="246"/>
      <c r="N651" s="7"/>
      <c r="O651" s="7"/>
      <c r="P651" s="7"/>
      <c r="Q651" s="7"/>
      <c r="R651" s="7"/>
      <c r="S651" s="7"/>
      <c r="T651" s="7"/>
      <c r="U651" s="7"/>
      <c r="V651" s="7"/>
      <c r="W651" s="7"/>
      <c r="X651" s="7"/>
    </row>
    <row r="652" spans="1:24" ht="19.5" customHeight="1">
      <c r="A652" s="7"/>
      <c r="B652" s="7"/>
      <c r="C652" s="7"/>
      <c r="D652" s="7"/>
      <c r="E652" s="7"/>
      <c r="F652" s="7"/>
      <c r="G652" s="7"/>
      <c r="H652" s="7"/>
      <c r="I652" s="7"/>
      <c r="J652" s="7"/>
      <c r="K652" s="7"/>
      <c r="L652" s="7"/>
      <c r="M652" s="246"/>
      <c r="N652" s="7"/>
      <c r="O652" s="7"/>
      <c r="P652" s="7"/>
      <c r="Q652" s="7"/>
      <c r="R652" s="7"/>
      <c r="S652" s="7"/>
      <c r="T652" s="7"/>
      <c r="U652" s="7"/>
      <c r="V652" s="7"/>
      <c r="W652" s="7"/>
      <c r="X652" s="7"/>
    </row>
    <row r="653" spans="1:24" ht="19.5" customHeight="1">
      <c r="A653" s="7"/>
      <c r="B653" s="7"/>
      <c r="C653" s="7"/>
      <c r="D653" s="7"/>
      <c r="E653" s="7"/>
      <c r="F653" s="7"/>
      <c r="G653" s="7"/>
      <c r="H653" s="7"/>
      <c r="I653" s="7"/>
      <c r="J653" s="7"/>
      <c r="K653" s="7"/>
      <c r="L653" s="7"/>
      <c r="M653" s="246"/>
      <c r="N653" s="7"/>
      <c r="O653" s="7"/>
      <c r="P653" s="7"/>
      <c r="Q653" s="7"/>
      <c r="R653" s="7"/>
      <c r="S653" s="7"/>
      <c r="T653" s="7"/>
      <c r="U653" s="7"/>
      <c r="V653" s="7"/>
      <c r="W653" s="7"/>
      <c r="X653" s="7"/>
    </row>
    <row r="654" spans="1:24" ht="19.5" customHeight="1">
      <c r="A654" s="7"/>
      <c r="B654" s="7"/>
      <c r="C654" s="7"/>
      <c r="D654" s="7"/>
      <c r="E654" s="7"/>
      <c r="F654" s="7"/>
      <c r="G654" s="7"/>
      <c r="H654" s="7"/>
      <c r="I654" s="7"/>
      <c r="J654" s="7"/>
      <c r="K654" s="7"/>
      <c r="L654" s="7"/>
      <c r="M654" s="246"/>
      <c r="N654" s="7"/>
      <c r="O654" s="7"/>
      <c r="P654" s="7"/>
      <c r="Q654" s="7"/>
      <c r="R654" s="7"/>
      <c r="S654" s="7"/>
      <c r="T654" s="7"/>
      <c r="U654" s="7"/>
      <c r="V654" s="7"/>
      <c r="W654" s="7"/>
      <c r="X654" s="7"/>
    </row>
    <row r="655" spans="1:24" ht="19.5" customHeight="1">
      <c r="A655" s="7"/>
      <c r="B655" s="7"/>
      <c r="C655" s="7"/>
      <c r="D655" s="7"/>
      <c r="E655" s="7"/>
      <c r="F655" s="7"/>
      <c r="G655" s="7"/>
      <c r="H655" s="7"/>
      <c r="I655" s="7"/>
      <c r="J655" s="7"/>
      <c r="K655" s="7"/>
      <c r="L655" s="7"/>
      <c r="M655" s="246"/>
      <c r="N655" s="7"/>
      <c r="O655" s="7"/>
      <c r="P655" s="7"/>
      <c r="Q655" s="7"/>
      <c r="R655" s="7"/>
      <c r="S655" s="7"/>
      <c r="T655" s="7"/>
      <c r="U655" s="7"/>
      <c r="V655" s="7"/>
      <c r="W655" s="7"/>
      <c r="X655" s="7"/>
    </row>
    <row r="656" spans="1:24" ht="19.5" customHeight="1">
      <c r="A656" s="7"/>
      <c r="B656" s="7"/>
      <c r="C656" s="7"/>
      <c r="D656" s="7"/>
      <c r="E656" s="7"/>
      <c r="F656" s="7"/>
      <c r="G656" s="7"/>
      <c r="H656" s="7"/>
      <c r="I656" s="7"/>
      <c r="J656" s="7"/>
      <c r="K656" s="7"/>
      <c r="L656" s="7"/>
      <c r="M656" s="246"/>
      <c r="N656" s="7"/>
      <c r="O656" s="7"/>
      <c r="P656" s="7"/>
      <c r="Q656" s="7"/>
      <c r="R656" s="7"/>
      <c r="S656" s="7"/>
      <c r="T656" s="7"/>
      <c r="U656" s="7"/>
      <c r="V656" s="7"/>
      <c r="W656" s="7"/>
      <c r="X656" s="7"/>
    </row>
    <row r="657" spans="1:24" ht="19.5" customHeight="1">
      <c r="A657" s="7"/>
      <c r="B657" s="7"/>
      <c r="C657" s="7"/>
      <c r="D657" s="7"/>
      <c r="E657" s="7"/>
      <c r="F657" s="7"/>
      <c r="G657" s="7"/>
      <c r="H657" s="7"/>
      <c r="I657" s="7"/>
      <c r="J657" s="7"/>
      <c r="K657" s="7"/>
      <c r="L657" s="7"/>
      <c r="M657" s="246"/>
      <c r="N657" s="7"/>
      <c r="O657" s="7"/>
      <c r="P657" s="7"/>
      <c r="Q657" s="7"/>
      <c r="R657" s="7"/>
      <c r="S657" s="7"/>
      <c r="T657" s="7"/>
      <c r="U657" s="7"/>
      <c r="V657" s="7"/>
      <c r="W657" s="7"/>
      <c r="X657" s="7"/>
    </row>
    <row r="658" spans="1:24" ht="19.5" customHeight="1">
      <c r="A658" s="7"/>
      <c r="B658" s="7"/>
      <c r="C658" s="7"/>
      <c r="D658" s="7"/>
      <c r="E658" s="7"/>
      <c r="F658" s="7"/>
      <c r="G658" s="7"/>
      <c r="H658" s="7"/>
      <c r="I658" s="7"/>
      <c r="J658" s="7"/>
      <c r="K658" s="7"/>
      <c r="L658" s="7"/>
      <c r="M658" s="246"/>
      <c r="N658" s="7"/>
      <c r="O658" s="7"/>
      <c r="P658" s="7"/>
      <c r="Q658" s="7"/>
      <c r="R658" s="7"/>
      <c r="S658" s="7"/>
      <c r="T658" s="7"/>
      <c r="U658" s="7"/>
      <c r="V658" s="7"/>
      <c r="W658" s="7"/>
      <c r="X658" s="7"/>
    </row>
    <row r="659" spans="1:24" ht="19.5" customHeight="1">
      <c r="A659" s="7"/>
      <c r="B659" s="7"/>
      <c r="C659" s="7"/>
      <c r="D659" s="7"/>
      <c r="E659" s="7"/>
      <c r="F659" s="7"/>
      <c r="G659" s="7"/>
      <c r="H659" s="7"/>
      <c r="I659" s="7"/>
      <c r="J659" s="7"/>
      <c r="K659" s="7"/>
      <c r="L659" s="7"/>
      <c r="M659" s="246"/>
      <c r="N659" s="7"/>
      <c r="O659" s="7"/>
      <c r="P659" s="7"/>
      <c r="Q659" s="7"/>
      <c r="R659" s="7"/>
      <c r="S659" s="7"/>
      <c r="T659" s="7"/>
      <c r="U659" s="7"/>
      <c r="V659" s="7"/>
      <c r="W659" s="7"/>
      <c r="X659" s="7"/>
    </row>
    <row r="660" spans="1:24" ht="19.5" customHeight="1">
      <c r="A660" s="7"/>
      <c r="B660" s="7"/>
      <c r="C660" s="7"/>
      <c r="D660" s="7"/>
      <c r="E660" s="7"/>
      <c r="F660" s="7"/>
      <c r="G660" s="7"/>
      <c r="H660" s="7"/>
      <c r="I660" s="7"/>
      <c r="J660" s="7"/>
      <c r="K660" s="7"/>
      <c r="L660" s="7"/>
      <c r="M660" s="246"/>
      <c r="N660" s="7"/>
      <c r="O660" s="7"/>
      <c r="P660" s="7"/>
      <c r="Q660" s="7"/>
      <c r="R660" s="7"/>
      <c r="S660" s="7"/>
      <c r="T660" s="7"/>
      <c r="U660" s="7"/>
      <c r="V660" s="7"/>
      <c r="W660" s="7"/>
      <c r="X660" s="7"/>
    </row>
    <row r="661" spans="1:24" ht="19.5" customHeight="1">
      <c r="A661" s="7"/>
      <c r="B661" s="7"/>
      <c r="C661" s="7"/>
      <c r="D661" s="7"/>
      <c r="E661" s="7"/>
      <c r="F661" s="7"/>
      <c r="G661" s="7"/>
      <c r="H661" s="7"/>
      <c r="I661" s="7"/>
      <c r="J661" s="7"/>
      <c r="K661" s="7"/>
      <c r="L661" s="7"/>
      <c r="M661" s="246"/>
      <c r="N661" s="7"/>
      <c r="O661" s="7"/>
      <c r="P661" s="7"/>
      <c r="Q661" s="7"/>
      <c r="R661" s="7"/>
      <c r="S661" s="7"/>
      <c r="T661" s="7"/>
      <c r="U661" s="7"/>
      <c r="V661" s="7"/>
      <c r="W661" s="7"/>
      <c r="X661" s="7"/>
    </row>
    <row r="662" spans="1:24" ht="19.5" customHeight="1">
      <c r="A662" s="7"/>
      <c r="B662" s="7"/>
      <c r="C662" s="7"/>
      <c r="D662" s="7"/>
      <c r="E662" s="7"/>
      <c r="F662" s="7"/>
      <c r="G662" s="7"/>
      <c r="H662" s="7"/>
      <c r="I662" s="7"/>
      <c r="J662" s="7"/>
      <c r="K662" s="7"/>
      <c r="L662" s="7"/>
      <c r="M662" s="246"/>
      <c r="N662" s="7"/>
      <c r="O662" s="7"/>
      <c r="P662" s="7"/>
      <c r="Q662" s="7"/>
      <c r="R662" s="7"/>
      <c r="S662" s="7"/>
      <c r="T662" s="7"/>
      <c r="U662" s="7"/>
      <c r="V662" s="7"/>
      <c r="W662" s="7"/>
      <c r="X662" s="7"/>
    </row>
    <row r="663" spans="1:24" ht="19.5" customHeight="1">
      <c r="A663" s="7"/>
      <c r="B663" s="7"/>
      <c r="C663" s="7"/>
      <c r="D663" s="7"/>
      <c r="E663" s="7"/>
      <c r="F663" s="7"/>
      <c r="G663" s="7"/>
      <c r="H663" s="7"/>
      <c r="I663" s="7"/>
      <c r="J663" s="7"/>
      <c r="K663" s="7"/>
      <c r="L663" s="7"/>
      <c r="M663" s="246"/>
      <c r="N663" s="7"/>
      <c r="O663" s="7"/>
      <c r="P663" s="7"/>
      <c r="Q663" s="7"/>
      <c r="R663" s="7"/>
      <c r="S663" s="7"/>
      <c r="T663" s="7"/>
      <c r="U663" s="7"/>
      <c r="V663" s="7"/>
      <c r="W663" s="7"/>
      <c r="X663" s="7"/>
    </row>
    <row r="664" spans="1:24" ht="19.5" customHeight="1">
      <c r="A664" s="7"/>
      <c r="B664" s="7"/>
      <c r="C664" s="7"/>
      <c r="D664" s="7"/>
      <c r="E664" s="7"/>
      <c r="F664" s="7"/>
      <c r="G664" s="7"/>
      <c r="H664" s="7"/>
      <c r="I664" s="7"/>
      <c r="J664" s="7"/>
      <c r="K664" s="7"/>
      <c r="L664" s="7"/>
      <c r="M664" s="246"/>
      <c r="N664" s="7"/>
      <c r="O664" s="7"/>
      <c r="P664" s="7"/>
      <c r="Q664" s="7"/>
      <c r="R664" s="7"/>
      <c r="S664" s="7"/>
      <c r="T664" s="7"/>
      <c r="U664" s="7"/>
      <c r="V664" s="7"/>
      <c r="W664" s="7"/>
      <c r="X664" s="7"/>
    </row>
    <row r="665" spans="1:24" ht="19.5" customHeight="1">
      <c r="A665" s="7"/>
      <c r="B665" s="7"/>
      <c r="C665" s="7"/>
      <c r="D665" s="7"/>
      <c r="E665" s="7"/>
      <c r="F665" s="7"/>
      <c r="G665" s="7"/>
      <c r="H665" s="7"/>
      <c r="I665" s="7"/>
      <c r="J665" s="7"/>
      <c r="K665" s="7"/>
      <c r="L665" s="7"/>
      <c r="M665" s="246"/>
      <c r="N665" s="7"/>
      <c r="O665" s="7"/>
      <c r="P665" s="7"/>
      <c r="Q665" s="7"/>
      <c r="R665" s="7"/>
      <c r="S665" s="7"/>
      <c r="T665" s="7"/>
      <c r="U665" s="7"/>
      <c r="V665" s="7"/>
      <c r="W665" s="7"/>
      <c r="X665" s="7"/>
    </row>
    <row r="666" spans="1:24" ht="19.5" customHeight="1">
      <c r="A666" s="7"/>
      <c r="B666" s="7"/>
      <c r="C666" s="7"/>
      <c r="D666" s="7"/>
      <c r="E666" s="7"/>
      <c r="F666" s="7"/>
      <c r="G666" s="7"/>
      <c r="H666" s="7"/>
      <c r="I666" s="7"/>
      <c r="J666" s="7"/>
      <c r="K666" s="7"/>
      <c r="L666" s="7"/>
      <c r="M666" s="246"/>
      <c r="N666" s="7"/>
      <c r="O666" s="7"/>
      <c r="P666" s="7"/>
      <c r="Q666" s="7"/>
      <c r="R666" s="7"/>
      <c r="S666" s="7"/>
      <c r="T666" s="7"/>
      <c r="U666" s="7"/>
      <c r="V666" s="7"/>
      <c r="W666" s="7"/>
      <c r="X666" s="7"/>
    </row>
    <row r="667" spans="1:24" ht="19.5" customHeight="1">
      <c r="A667" s="7"/>
      <c r="B667" s="7"/>
      <c r="C667" s="7"/>
      <c r="D667" s="7"/>
      <c r="E667" s="7"/>
      <c r="F667" s="7"/>
      <c r="G667" s="7"/>
      <c r="H667" s="7"/>
      <c r="I667" s="7"/>
      <c r="J667" s="7"/>
      <c r="K667" s="7"/>
      <c r="L667" s="7"/>
      <c r="M667" s="246"/>
      <c r="N667" s="7"/>
      <c r="O667" s="7"/>
      <c r="P667" s="7"/>
      <c r="Q667" s="7"/>
      <c r="R667" s="7"/>
      <c r="S667" s="7"/>
      <c r="T667" s="7"/>
      <c r="U667" s="7"/>
      <c r="V667" s="7"/>
      <c r="W667" s="7"/>
      <c r="X667" s="7"/>
    </row>
    <row r="668" spans="1:24" ht="19.5" customHeight="1">
      <c r="A668" s="7"/>
      <c r="B668" s="7"/>
      <c r="C668" s="7"/>
      <c r="D668" s="7"/>
      <c r="E668" s="7"/>
      <c r="F668" s="7"/>
      <c r="G668" s="7"/>
      <c r="H668" s="7"/>
      <c r="I668" s="7"/>
      <c r="J668" s="7"/>
      <c r="K668" s="7"/>
      <c r="L668" s="7"/>
      <c r="M668" s="246"/>
      <c r="N668" s="7"/>
      <c r="O668" s="7"/>
      <c r="P668" s="7"/>
      <c r="Q668" s="7"/>
      <c r="R668" s="7"/>
      <c r="S668" s="7"/>
      <c r="T668" s="7"/>
      <c r="U668" s="7"/>
      <c r="V668" s="7"/>
      <c r="W668" s="7"/>
      <c r="X668" s="7"/>
    </row>
    <row r="669" spans="1:24" ht="19.5" customHeight="1">
      <c r="A669" s="7"/>
      <c r="B669" s="7"/>
      <c r="C669" s="7"/>
      <c r="D669" s="7"/>
      <c r="E669" s="7"/>
      <c r="F669" s="7"/>
      <c r="G669" s="7"/>
      <c r="H669" s="7"/>
      <c r="I669" s="7"/>
      <c r="J669" s="7"/>
      <c r="K669" s="7"/>
      <c r="L669" s="7"/>
      <c r="M669" s="246"/>
      <c r="N669" s="7"/>
      <c r="O669" s="7"/>
      <c r="P669" s="7"/>
      <c r="Q669" s="7"/>
      <c r="R669" s="7"/>
      <c r="S669" s="7"/>
      <c r="T669" s="7"/>
      <c r="U669" s="7"/>
      <c r="V669" s="7"/>
      <c r="W669" s="7"/>
      <c r="X669" s="7"/>
    </row>
    <row r="670" spans="1:24" ht="19.5" customHeight="1">
      <c r="A670" s="7"/>
      <c r="B670" s="7"/>
      <c r="C670" s="7"/>
      <c r="D670" s="7"/>
      <c r="E670" s="7"/>
      <c r="F670" s="7"/>
      <c r="G670" s="7"/>
      <c r="H670" s="7"/>
      <c r="I670" s="7"/>
      <c r="J670" s="7"/>
      <c r="K670" s="7"/>
      <c r="L670" s="7"/>
      <c r="M670" s="246"/>
      <c r="N670" s="7"/>
      <c r="O670" s="7"/>
      <c r="P670" s="7"/>
      <c r="Q670" s="7"/>
      <c r="R670" s="7"/>
      <c r="S670" s="7"/>
      <c r="T670" s="7"/>
      <c r="U670" s="7"/>
      <c r="V670" s="7"/>
      <c r="W670" s="7"/>
      <c r="X670" s="7"/>
    </row>
    <row r="671" spans="1:24" ht="19.5" customHeight="1">
      <c r="A671" s="7"/>
      <c r="B671" s="7"/>
      <c r="C671" s="7"/>
      <c r="D671" s="7"/>
      <c r="E671" s="7"/>
      <c r="F671" s="7"/>
      <c r="G671" s="7"/>
      <c r="H671" s="7"/>
      <c r="I671" s="7"/>
      <c r="J671" s="7"/>
      <c r="K671" s="7"/>
      <c r="L671" s="7"/>
      <c r="M671" s="246"/>
      <c r="N671" s="7"/>
      <c r="O671" s="7"/>
      <c r="P671" s="7"/>
      <c r="Q671" s="7"/>
      <c r="R671" s="7"/>
      <c r="S671" s="7"/>
      <c r="T671" s="7"/>
      <c r="U671" s="7"/>
      <c r="V671" s="7"/>
      <c r="W671" s="7"/>
      <c r="X671" s="7"/>
    </row>
    <row r="672" spans="1:24" ht="19.5" customHeight="1">
      <c r="A672" s="7"/>
      <c r="B672" s="7"/>
      <c r="C672" s="7"/>
      <c r="D672" s="7"/>
      <c r="E672" s="7"/>
      <c r="F672" s="7"/>
      <c r="G672" s="7"/>
      <c r="H672" s="7"/>
      <c r="I672" s="7"/>
      <c r="J672" s="7"/>
      <c r="K672" s="7"/>
      <c r="L672" s="7"/>
      <c r="M672" s="246"/>
      <c r="N672" s="7"/>
      <c r="O672" s="7"/>
      <c r="P672" s="7"/>
      <c r="Q672" s="7"/>
      <c r="R672" s="7"/>
      <c r="S672" s="7"/>
      <c r="T672" s="7"/>
      <c r="U672" s="7"/>
      <c r="V672" s="7"/>
      <c r="W672" s="7"/>
      <c r="X672" s="7"/>
    </row>
    <row r="673" spans="1:24" ht="19.5" customHeight="1">
      <c r="A673" s="7"/>
      <c r="B673" s="7"/>
      <c r="C673" s="7"/>
      <c r="D673" s="7"/>
      <c r="E673" s="7"/>
      <c r="F673" s="7"/>
      <c r="G673" s="7"/>
      <c r="H673" s="7"/>
      <c r="I673" s="7"/>
      <c r="J673" s="7"/>
      <c r="K673" s="7"/>
      <c r="L673" s="7"/>
      <c r="M673" s="246"/>
      <c r="N673" s="7"/>
      <c r="O673" s="7"/>
      <c r="P673" s="7"/>
      <c r="Q673" s="7"/>
      <c r="R673" s="7"/>
      <c r="S673" s="7"/>
      <c r="T673" s="7"/>
      <c r="U673" s="7"/>
      <c r="V673" s="7"/>
      <c r="W673" s="7"/>
      <c r="X673" s="7"/>
    </row>
    <row r="674" spans="1:24" ht="19.5" customHeight="1">
      <c r="A674" s="7"/>
      <c r="B674" s="7"/>
      <c r="C674" s="7"/>
      <c r="D674" s="7"/>
      <c r="E674" s="7"/>
      <c r="F674" s="7"/>
      <c r="G674" s="7"/>
      <c r="H674" s="7"/>
      <c r="I674" s="7"/>
      <c r="J674" s="7"/>
      <c r="K674" s="7"/>
      <c r="L674" s="7"/>
      <c r="M674" s="246"/>
      <c r="N674" s="7"/>
      <c r="O674" s="7"/>
      <c r="P674" s="7"/>
      <c r="Q674" s="7"/>
      <c r="R674" s="7"/>
      <c r="S674" s="7"/>
      <c r="T674" s="7"/>
      <c r="U674" s="7"/>
      <c r="V674" s="7"/>
      <c r="W674" s="7"/>
      <c r="X674" s="7"/>
    </row>
    <row r="675" spans="1:24" ht="19.5" customHeight="1">
      <c r="A675" s="7"/>
      <c r="B675" s="7"/>
      <c r="C675" s="7"/>
      <c r="D675" s="7"/>
      <c r="E675" s="7"/>
      <c r="F675" s="7"/>
      <c r="G675" s="7"/>
      <c r="H675" s="7"/>
      <c r="I675" s="7"/>
      <c r="J675" s="7"/>
      <c r="K675" s="7"/>
      <c r="L675" s="7"/>
      <c r="M675" s="246"/>
      <c r="N675" s="7"/>
      <c r="O675" s="7"/>
      <c r="P675" s="7"/>
      <c r="Q675" s="7"/>
      <c r="R675" s="7"/>
      <c r="S675" s="7"/>
      <c r="T675" s="7"/>
      <c r="U675" s="7"/>
      <c r="V675" s="7"/>
      <c r="W675" s="7"/>
      <c r="X675" s="7"/>
    </row>
    <row r="676" spans="1:24" ht="19.5" customHeight="1">
      <c r="A676" s="7"/>
      <c r="B676" s="7"/>
      <c r="C676" s="7"/>
      <c r="D676" s="7"/>
      <c r="E676" s="7"/>
      <c r="F676" s="7"/>
      <c r="G676" s="7"/>
      <c r="H676" s="7"/>
      <c r="I676" s="7"/>
      <c r="J676" s="7"/>
      <c r="K676" s="7"/>
      <c r="L676" s="7"/>
      <c r="M676" s="246"/>
      <c r="N676" s="7"/>
      <c r="O676" s="7"/>
      <c r="P676" s="7"/>
      <c r="Q676" s="7"/>
      <c r="R676" s="7"/>
      <c r="S676" s="7"/>
      <c r="T676" s="7"/>
      <c r="U676" s="7"/>
      <c r="V676" s="7"/>
      <c r="W676" s="7"/>
      <c r="X676" s="7"/>
    </row>
    <row r="677" spans="1:24" ht="19.5" customHeight="1">
      <c r="A677" s="7"/>
      <c r="B677" s="7"/>
      <c r="C677" s="7"/>
      <c r="D677" s="7"/>
      <c r="E677" s="7"/>
      <c r="F677" s="7"/>
      <c r="G677" s="7"/>
      <c r="H677" s="7"/>
      <c r="I677" s="7"/>
      <c r="J677" s="7"/>
      <c r="K677" s="7"/>
      <c r="L677" s="7"/>
      <c r="M677" s="246"/>
      <c r="N677" s="7"/>
      <c r="O677" s="7"/>
      <c r="P677" s="7"/>
      <c r="Q677" s="7"/>
      <c r="R677" s="7"/>
      <c r="S677" s="7"/>
      <c r="T677" s="7"/>
      <c r="U677" s="7"/>
      <c r="V677" s="7"/>
      <c r="W677" s="7"/>
      <c r="X677" s="7"/>
    </row>
    <row r="678" spans="1:24" ht="19.5" customHeight="1">
      <c r="A678" s="7"/>
      <c r="B678" s="7"/>
      <c r="C678" s="7"/>
      <c r="D678" s="7"/>
      <c r="E678" s="7"/>
      <c r="F678" s="7"/>
      <c r="G678" s="7"/>
      <c r="H678" s="7"/>
      <c r="I678" s="7"/>
      <c r="J678" s="7"/>
      <c r="K678" s="7"/>
      <c r="L678" s="7"/>
      <c r="M678" s="246"/>
      <c r="N678" s="7"/>
      <c r="O678" s="7"/>
      <c r="P678" s="7"/>
      <c r="Q678" s="7"/>
      <c r="R678" s="7"/>
      <c r="S678" s="7"/>
      <c r="T678" s="7"/>
      <c r="U678" s="7"/>
      <c r="V678" s="7"/>
      <c r="W678" s="7"/>
      <c r="X678" s="7"/>
    </row>
    <row r="679" spans="1:24" ht="19.5" customHeight="1">
      <c r="A679" s="7"/>
      <c r="B679" s="7"/>
      <c r="C679" s="7"/>
      <c r="D679" s="7"/>
      <c r="E679" s="7"/>
      <c r="F679" s="7"/>
      <c r="G679" s="7"/>
      <c r="H679" s="7"/>
      <c r="I679" s="7"/>
      <c r="J679" s="7"/>
      <c r="K679" s="7"/>
      <c r="L679" s="7"/>
      <c r="M679" s="246"/>
      <c r="N679" s="7"/>
      <c r="O679" s="7"/>
      <c r="P679" s="7"/>
      <c r="Q679" s="7"/>
      <c r="R679" s="7"/>
      <c r="S679" s="7"/>
      <c r="T679" s="7"/>
      <c r="U679" s="7"/>
      <c r="V679" s="7"/>
      <c r="W679" s="7"/>
      <c r="X679" s="7"/>
    </row>
    <row r="680" spans="1:24" ht="19.5" customHeight="1">
      <c r="A680" s="7"/>
      <c r="B680" s="7"/>
      <c r="C680" s="7"/>
      <c r="D680" s="7"/>
      <c r="E680" s="7"/>
      <c r="F680" s="7"/>
      <c r="G680" s="7"/>
      <c r="H680" s="7"/>
      <c r="I680" s="7"/>
      <c r="J680" s="7"/>
      <c r="K680" s="7"/>
      <c r="L680" s="7"/>
      <c r="M680" s="246"/>
      <c r="N680" s="7"/>
      <c r="O680" s="7"/>
      <c r="P680" s="7"/>
      <c r="Q680" s="7"/>
      <c r="R680" s="7"/>
      <c r="S680" s="7"/>
      <c r="T680" s="7"/>
      <c r="U680" s="7"/>
      <c r="V680" s="7"/>
      <c r="W680" s="7"/>
      <c r="X680" s="7"/>
    </row>
    <row r="681" spans="1:24" ht="19.5" customHeight="1">
      <c r="A681" s="7"/>
      <c r="B681" s="7"/>
      <c r="C681" s="7"/>
      <c r="D681" s="7"/>
      <c r="E681" s="7"/>
      <c r="F681" s="7"/>
      <c r="G681" s="7"/>
      <c r="H681" s="7"/>
      <c r="I681" s="7"/>
      <c r="J681" s="7"/>
      <c r="K681" s="7"/>
      <c r="L681" s="7"/>
      <c r="M681" s="246"/>
      <c r="N681" s="7"/>
      <c r="O681" s="7"/>
      <c r="P681" s="7"/>
      <c r="Q681" s="7"/>
      <c r="R681" s="7"/>
      <c r="S681" s="7"/>
      <c r="T681" s="7"/>
      <c r="U681" s="7"/>
      <c r="V681" s="7"/>
      <c r="W681" s="7"/>
      <c r="X681" s="7"/>
    </row>
    <row r="682" spans="1:24" ht="19.5" customHeight="1">
      <c r="A682" s="7"/>
      <c r="B682" s="7"/>
      <c r="C682" s="7"/>
      <c r="D682" s="7"/>
      <c r="E682" s="7"/>
      <c r="F682" s="7"/>
      <c r="G682" s="7"/>
      <c r="H682" s="7"/>
      <c r="I682" s="7"/>
      <c r="J682" s="7"/>
      <c r="K682" s="7"/>
      <c r="L682" s="7"/>
      <c r="M682" s="246"/>
      <c r="N682" s="7"/>
      <c r="O682" s="7"/>
      <c r="P682" s="7"/>
      <c r="Q682" s="7"/>
      <c r="R682" s="7"/>
      <c r="S682" s="7"/>
      <c r="T682" s="7"/>
      <c r="U682" s="7"/>
      <c r="V682" s="7"/>
      <c r="W682" s="7"/>
      <c r="X682" s="7"/>
    </row>
    <row r="683" spans="1:24" ht="19.5" customHeight="1">
      <c r="A683" s="7"/>
      <c r="B683" s="7"/>
      <c r="C683" s="7"/>
      <c r="D683" s="7"/>
      <c r="E683" s="7"/>
      <c r="F683" s="7"/>
      <c r="G683" s="7"/>
      <c r="H683" s="7"/>
      <c r="I683" s="7"/>
      <c r="J683" s="7"/>
      <c r="K683" s="7"/>
      <c r="L683" s="7"/>
      <c r="M683" s="246"/>
      <c r="N683" s="7"/>
      <c r="O683" s="7"/>
      <c r="P683" s="7"/>
      <c r="Q683" s="7"/>
      <c r="R683" s="7"/>
      <c r="S683" s="7"/>
      <c r="T683" s="7"/>
      <c r="U683" s="7"/>
      <c r="V683" s="7"/>
      <c r="W683" s="7"/>
      <c r="X683" s="7"/>
    </row>
    <row r="684" spans="1:24" ht="19.5" customHeight="1">
      <c r="A684" s="7"/>
      <c r="B684" s="7"/>
      <c r="C684" s="7"/>
      <c r="D684" s="7"/>
      <c r="E684" s="7"/>
      <c r="F684" s="7"/>
      <c r="G684" s="7"/>
      <c r="H684" s="7"/>
      <c r="I684" s="7"/>
      <c r="J684" s="7"/>
      <c r="K684" s="7"/>
      <c r="L684" s="7"/>
      <c r="M684" s="246"/>
      <c r="N684" s="7"/>
      <c r="O684" s="7"/>
      <c r="P684" s="7"/>
      <c r="Q684" s="7"/>
      <c r="R684" s="7"/>
      <c r="S684" s="7"/>
      <c r="T684" s="7"/>
      <c r="U684" s="7"/>
      <c r="V684" s="7"/>
      <c r="W684" s="7"/>
      <c r="X684" s="7"/>
    </row>
    <row r="685" spans="1:24" ht="19.5" customHeight="1">
      <c r="A685" s="7"/>
      <c r="B685" s="7"/>
      <c r="C685" s="7"/>
      <c r="D685" s="7"/>
      <c r="E685" s="7"/>
      <c r="F685" s="7"/>
      <c r="G685" s="7"/>
      <c r="H685" s="7"/>
      <c r="I685" s="7"/>
      <c r="J685" s="7"/>
      <c r="K685" s="7"/>
      <c r="L685" s="7"/>
      <c r="M685" s="246"/>
      <c r="N685" s="7"/>
      <c r="O685" s="7"/>
      <c r="P685" s="7"/>
      <c r="Q685" s="7"/>
      <c r="R685" s="7"/>
      <c r="S685" s="7"/>
      <c r="T685" s="7"/>
      <c r="U685" s="7"/>
      <c r="V685" s="7"/>
      <c r="W685" s="7"/>
      <c r="X685" s="7"/>
    </row>
    <row r="686" spans="1:24" ht="19.5" customHeight="1">
      <c r="A686" s="7"/>
      <c r="B686" s="7"/>
      <c r="C686" s="7"/>
      <c r="D686" s="7"/>
      <c r="E686" s="7"/>
      <c r="F686" s="7"/>
      <c r="G686" s="7"/>
      <c r="H686" s="7"/>
      <c r="I686" s="7"/>
      <c r="J686" s="7"/>
      <c r="K686" s="7"/>
      <c r="L686" s="7"/>
      <c r="M686" s="246"/>
      <c r="N686" s="7"/>
      <c r="O686" s="7"/>
      <c r="P686" s="7"/>
      <c r="Q686" s="7"/>
      <c r="R686" s="7"/>
      <c r="S686" s="7"/>
      <c r="T686" s="7"/>
      <c r="U686" s="7"/>
      <c r="V686" s="7"/>
      <c r="W686" s="7"/>
      <c r="X686" s="7"/>
    </row>
    <row r="687" spans="1:24" ht="19.5" customHeight="1">
      <c r="A687" s="7"/>
      <c r="B687" s="7"/>
      <c r="C687" s="7"/>
      <c r="D687" s="7"/>
      <c r="E687" s="7"/>
      <c r="F687" s="7"/>
      <c r="G687" s="7"/>
      <c r="H687" s="7"/>
      <c r="I687" s="7"/>
      <c r="J687" s="7"/>
      <c r="K687" s="7"/>
      <c r="L687" s="7"/>
      <c r="M687" s="246"/>
      <c r="N687" s="7"/>
      <c r="O687" s="7"/>
      <c r="P687" s="7"/>
      <c r="Q687" s="7"/>
      <c r="R687" s="7"/>
      <c r="S687" s="7"/>
      <c r="T687" s="7"/>
      <c r="U687" s="7"/>
      <c r="V687" s="7"/>
      <c r="W687" s="7"/>
      <c r="X687" s="7"/>
    </row>
    <row r="688" spans="1:24" ht="19.5" customHeight="1">
      <c r="A688" s="7"/>
      <c r="B688" s="7"/>
      <c r="C688" s="7"/>
      <c r="D688" s="7"/>
      <c r="E688" s="7"/>
      <c r="F688" s="7"/>
      <c r="G688" s="7"/>
      <c r="H688" s="7"/>
      <c r="I688" s="7"/>
      <c r="J688" s="7"/>
      <c r="K688" s="7"/>
      <c r="L688" s="7"/>
      <c r="M688" s="246"/>
      <c r="N688" s="7"/>
      <c r="O688" s="7"/>
      <c r="P688" s="7"/>
      <c r="Q688" s="7"/>
      <c r="R688" s="7"/>
      <c r="S688" s="7"/>
      <c r="T688" s="7"/>
      <c r="U688" s="7"/>
      <c r="V688" s="7"/>
      <c r="W688" s="7"/>
      <c r="X688" s="7"/>
    </row>
    <row r="689" spans="1:24" ht="19.5" customHeight="1">
      <c r="A689" s="7"/>
      <c r="B689" s="7"/>
      <c r="C689" s="7"/>
      <c r="D689" s="7"/>
      <c r="E689" s="7"/>
      <c r="F689" s="7"/>
      <c r="G689" s="7"/>
      <c r="H689" s="7"/>
      <c r="I689" s="7"/>
      <c r="J689" s="7"/>
      <c r="K689" s="7"/>
      <c r="L689" s="7"/>
      <c r="M689" s="246"/>
      <c r="N689" s="7"/>
      <c r="O689" s="7"/>
      <c r="P689" s="7"/>
      <c r="Q689" s="7"/>
      <c r="R689" s="7"/>
      <c r="S689" s="7"/>
      <c r="T689" s="7"/>
      <c r="U689" s="7"/>
      <c r="V689" s="7"/>
      <c r="W689" s="7"/>
      <c r="X689" s="7"/>
    </row>
    <row r="690" spans="1:24" ht="19.5" customHeight="1">
      <c r="A690" s="7"/>
      <c r="B690" s="7"/>
      <c r="C690" s="7"/>
      <c r="D690" s="7"/>
      <c r="E690" s="7"/>
      <c r="F690" s="7"/>
      <c r="G690" s="7"/>
      <c r="H690" s="7"/>
      <c r="I690" s="7"/>
      <c r="J690" s="7"/>
      <c r="K690" s="7"/>
      <c r="L690" s="7"/>
      <c r="M690" s="246"/>
      <c r="N690" s="7"/>
      <c r="O690" s="7"/>
      <c r="P690" s="7"/>
      <c r="Q690" s="7"/>
      <c r="R690" s="7"/>
      <c r="S690" s="7"/>
      <c r="T690" s="7"/>
      <c r="U690" s="7"/>
      <c r="V690" s="7"/>
      <c r="W690" s="7"/>
      <c r="X690" s="7"/>
    </row>
    <row r="691" spans="1:24" ht="19.5" customHeight="1">
      <c r="A691" s="7"/>
      <c r="B691" s="7"/>
      <c r="C691" s="7"/>
      <c r="D691" s="7"/>
      <c r="E691" s="7"/>
      <c r="F691" s="7"/>
      <c r="G691" s="7"/>
      <c r="H691" s="7"/>
      <c r="I691" s="7"/>
      <c r="J691" s="7"/>
      <c r="K691" s="7"/>
      <c r="L691" s="7"/>
      <c r="M691" s="246"/>
      <c r="N691" s="7"/>
      <c r="O691" s="7"/>
      <c r="P691" s="7"/>
      <c r="Q691" s="7"/>
      <c r="R691" s="7"/>
      <c r="S691" s="7"/>
      <c r="T691" s="7"/>
      <c r="U691" s="7"/>
      <c r="V691" s="7"/>
      <c r="W691" s="7"/>
      <c r="X691" s="7"/>
    </row>
    <row r="692" spans="1:24" ht="19.5" customHeight="1">
      <c r="A692" s="7"/>
      <c r="B692" s="7"/>
      <c r="C692" s="7"/>
      <c r="D692" s="7"/>
      <c r="E692" s="7"/>
      <c r="F692" s="7"/>
      <c r="G692" s="7"/>
      <c r="H692" s="7"/>
      <c r="I692" s="7"/>
      <c r="J692" s="7"/>
      <c r="K692" s="7"/>
      <c r="L692" s="7"/>
      <c r="M692" s="246"/>
      <c r="N692" s="7"/>
      <c r="O692" s="7"/>
      <c r="P692" s="7"/>
      <c r="Q692" s="7"/>
      <c r="R692" s="7"/>
      <c r="S692" s="7"/>
      <c r="T692" s="7"/>
      <c r="U692" s="7"/>
      <c r="V692" s="7"/>
      <c r="W692" s="7"/>
      <c r="X692" s="7"/>
    </row>
    <row r="693" spans="1:24" ht="19.5" customHeight="1">
      <c r="A693" s="7"/>
      <c r="B693" s="7"/>
      <c r="C693" s="7"/>
      <c r="D693" s="7"/>
      <c r="E693" s="7"/>
      <c r="F693" s="7"/>
      <c r="G693" s="7"/>
      <c r="H693" s="7"/>
      <c r="I693" s="7"/>
      <c r="J693" s="7"/>
      <c r="K693" s="7"/>
      <c r="L693" s="7"/>
      <c r="M693" s="246"/>
      <c r="N693" s="7"/>
      <c r="O693" s="7"/>
      <c r="P693" s="7"/>
      <c r="Q693" s="7"/>
      <c r="R693" s="7"/>
      <c r="S693" s="7"/>
      <c r="T693" s="7"/>
      <c r="U693" s="7"/>
      <c r="V693" s="7"/>
      <c r="W693" s="7"/>
      <c r="X693" s="7"/>
    </row>
    <row r="694" spans="1:24" ht="19.5" customHeight="1">
      <c r="A694" s="7"/>
      <c r="B694" s="7"/>
      <c r="C694" s="7"/>
      <c r="D694" s="7"/>
      <c r="E694" s="7"/>
      <c r="F694" s="7"/>
      <c r="G694" s="7"/>
      <c r="H694" s="7"/>
      <c r="I694" s="7"/>
      <c r="J694" s="7"/>
      <c r="K694" s="7"/>
      <c r="L694" s="7"/>
      <c r="M694" s="246"/>
      <c r="N694" s="7"/>
      <c r="O694" s="7"/>
      <c r="P694" s="7"/>
      <c r="Q694" s="7"/>
      <c r="R694" s="7"/>
      <c r="S694" s="7"/>
      <c r="T694" s="7"/>
      <c r="U694" s="7"/>
      <c r="V694" s="7"/>
      <c r="W694" s="7"/>
      <c r="X694" s="7"/>
    </row>
    <row r="695" spans="1:24" ht="19.5" customHeight="1">
      <c r="A695" s="7"/>
      <c r="B695" s="7"/>
      <c r="C695" s="7"/>
      <c r="D695" s="7"/>
      <c r="E695" s="7"/>
      <c r="F695" s="7"/>
      <c r="G695" s="7"/>
      <c r="H695" s="7"/>
      <c r="I695" s="7"/>
      <c r="J695" s="7"/>
      <c r="K695" s="7"/>
      <c r="L695" s="7"/>
      <c r="M695" s="246"/>
      <c r="N695" s="7"/>
      <c r="O695" s="7"/>
      <c r="P695" s="7"/>
      <c r="Q695" s="7"/>
      <c r="R695" s="7"/>
      <c r="S695" s="7"/>
      <c r="T695" s="7"/>
      <c r="U695" s="7"/>
      <c r="V695" s="7"/>
      <c r="W695" s="7"/>
      <c r="X695" s="7"/>
    </row>
    <row r="696" spans="1:24" ht="19.5" customHeight="1">
      <c r="A696" s="7"/>
      <c r="B696" s="7"/>
      <c r="C696" s="7"/>
      <c r="D696" s="7"/>
      <c r="E696" s="7"/>
      <c r="F696" s="7"/>
      <c r="G696" s="7"/>
      <c r="H696" s="7"/>
      <c r="I696" s="7"/>
      <c r="J696" s="7"/>
      <c r="K696" s="7"/>
      <c r="L696" s="7"/>
      <c r="M696" s="246"/>
      <c r="N696" s="7"/>
      <c r="O696" s="7"/>
      <c r="P696" s="7"/>
      <c r="Q696" s="7"/>
      <c r="R696" s="7"/>
      <c r="S696" s="7"/>
      <c r="T696" s="7"/>
      <c r="U696" s="7"/>
      <c r="V696" s="7"/>
      <c r="W696" s="7"/>
      <c r="X696" s="7"/>
    </row>
    <row r="697" spans="1:24" ht="19.5" customHeight="1">
      <c r="A697" s="7"/>
      <c r="B697" s="7"/>
      <c r="C697" s="7"/>
      <c r="D697" s="7"/>
      <c r="E697" s="7"/>
      <c r="F697" s="7"/>
      <c r="G697" s="7"/>
      <c r="H697" s="7"/>
      <c r="I697" s="7"/>
      <c r="J697" s="7"/>
      <c r="K697" s="7"/>
      <c r="L697" s="7"/>
      <c r="M697" s="246"/>
      <c r="N697" s="7"/>
      <c r="O697" s="7"/>
      <c r="P697" s="7"/>
      <c r="Q697" s="7"/>
      <c r="R697" s="7"/>
      <c r="S697" s="7"/>
      <c r="T697" s="7"/>
      <c r="U697" s="7"/>
      <c r="V697" s="7"/>
      <c r="W697" s="7"/>
      <c r="X697" s="7"/>
    </row>
    <row r="698" spans="1:24" ht="19.5" customHeight="1">
      <c r="A698" s="7"/>
      <c r="B698" s="7"/>
      <c r="C698" s="7"/>
      <c r="D698" s="7"/>
      <c r="E698" s="7"/>
      <c r="F698" s="7"/>
      <c r="G698" s="7"/>
      <c r="H698" s="7"/>
      <c r="I698" s="7"/>
      <c r="J698" s="7"/>
      <c r="K698" s="7"/>
      <c r="L698" s="7"/>
      <c r="M698" s="246"/>
      <c r="N698" s="7"/>
      <c r="O698" s="7"/>
      <c r="P698" s="7"/>
      <c r="Q698" s="7"/>
      <c r="R698" s="7"/>
      <c r="S698" s="7"/>
      <c r="T698" s="7"/>
      <c r="U698" s="7"/>
      <c r="V698" s="7"/>
      <c r="W698" s="7"/>
      <c r="X698" s="7"/>
    </row>
    <row r="699" spans="1:24" ht="19.5" customHeight="1">
      <c r="A699" s="7"/>
      <c r="B699" s="7"/>
      <c r="C699" s="7"/>
      <c r="D699" s="7"/>
      <c r="E699" s="7"/>
      <c r="F699" s="7"/>
      <c r="G699" s="7"/>
      <c r="H699" s="7"/>
      <c r="I699" s="7"/>
      <c r="J699" s="7"/>
      <c r="K699" s="7"/>
      <c r="L699" s="7"/>
      <c r="M699" s="246"/>
      <c r="N699" s="7"/>
      <c r="O699" s="7"/>
      <c r="P699" s="7"/>
      <c r="Q699" s="7"/>
      <c r="R699" s="7"/>
      <c r="S699" s="7"/>
      <c r="T699" s="7"/>
      <c r="U699" s="7"/>
      <c r="V699" s="7"/>
      <c r="W699" s="7"/>
      <c r="X699" s="7"/>
    </row>
    <row r="700" spans="1:24" ht="19.5" customHeight="1">
      <c r="A700" s="7"/>
      <c r="B700" s="7"/>
      <c r="C700" s="7"/>
      <c r="D700" s="7"/>
      <c r="E700" s="7"/>
      <c r="F700" s="7"/>
      <c r="G700" s="7"/>
      <c r="H700" s="7"/>
      <c r="I700" s="7"/>
      <c r="J700" s="7"/>
      <c r="K700" s="7"/>
      <c r="L700" s="7"/>
      <c r="M700" s="246"/>
      <c r="N700" s="7"/>
      <c r="O700" s="7"/>
      <c r="P700" s="7"/>
      <c r="Q700" s="7"/>
      <c r="R700" s="7"/>
      <c r="S700" s="7"/>
      <c r="T700" s="7"/>
      <c r="U700" s="7"/>
      <c r="V700" s="7"/>
      <c r="W700" s="7"/>
      <c r="X700" s="7"/>
    </row>
    <row r="701" spans="1:24" ht="19.5" customHeight="1">
      <c r="A701" s="7"/>
      <c r="B701" s="7"/>
      <c r="C701" s="7"/>
      <c r="D701" s="7"/>
      <c r="E701" s="7"/>
      <c r="F701" s="7"/>
      <c r="G701" s="7"/>
      <c r="H701" s="7"/>
      <c r="I701" s="7"/>
      <c r="J701" s="7"/>
      <c r="K701" s="7"/>
      <c r="L701" s="7"/>
      <c r="M701" s="246"/>
      <c r="N701" s="7"/>
      <c r="O701" s="7"/>
      <c r="P701" s="7"/>
      <c r="Q701" s="7"/>
      <c r="R701" s="7"/>
      <c r="S701" s="7"/>
      <c r="T701" s="7"/>
      <c r="U701" s="7"/>
      <c r="V701" s="7"/>
      <c r="W701" s="7"/>
      <c r="X701" s="7"/>
    </row>
    <row r="702" spans="1:24" ht="19.5" customHeight="1">
      <c r="A702" s="7"/>
      <c r="B702" s="7"/>
      <c r="C702" s="7"/>
      <c r="D702" s="7"/>
      <c r="E702" s="7"/>
      <c r="F702" s="7"/>
      <c r="G702" s="7"/>
      <c r="H702" s="7"/>
      <c r="I702" s="7"/>
      <c r="J702" s="7"/>
      <c r="K702" s="7"/>
      <c r="L702" s="7"/>
      <c r="M702" s="246"/>
      <c r="N702" s="7"/>
      <c r="O702" s="7"/>
      <c r="P702" s="7"/>
      <c r="Q702" s="7"/>
      <c r="R702" s="7"/>
      <c r="S702" s="7"/>
      <c r="T702" s="7"/>
      <c r="U702" s="7"/>
      <c r="V702" s="7"/>
      <c r="W702" s="7"/>
      <c r="X702" s="7"/>
    </row>
    <row r="703" spans="1:24" ht="19.5" customHeight="1">
      <c r="A703" s="7"/>
      <c r="B703" s="7"/>
      <c r="C703" s="7"/>
      <c r="D703" s="7"/>
      <c r="E703" s="7"/>
      <c r="F703" s="7"/>
      <c r="G703" s="7"/>
      <c r="H703" s="7"/>
      <c r="I703" s="7"/>
      <c r="J703" s="7"/>
      <c r="K703" s="7"/>
      <c r="L703" s="7"/>
      <c r="M703" s="246"/>
      <c r="N703" s="7"/>
      <c r="O703" s="7"/>
      <c r="P703" s="7"/>
      <c r="Q703" s="7"/>
      <c r="R703" s="7"/>
      <c r="S703" s="7"/>
      <c r="T703" s="7"/>
      <c r="U703" s="7"/>
      <c r="V703" s="7"/>
      <c r="W703" s="7"/>
      <c r="X703" s="7"/>
    </row>
    <row r="704" spans="1:24" ht="19.5" customHeight="1">
      <c r="A704" s="7"/>
      <c r="B704" s="7"/>
      <c r="C704" s="7"/>
      <c r="D704" s="7"/>
      <c r="E704" s="7"/>
      <c r="F704" s="7"/>
      <c r="G704" s="7"/>
      <c r="H704" s="7"/>
      <c r="I704" s="7"/>
      <c r="J704" s="7"/>
      <c r="K704" s="7"/>
      <c r="L704" s="7"/>
      <c r="M704" s="246"/>
      <c r="N704" s="7"/>
      <c r="O704" s="7"/>
      <c r="P704" s="7"/>
      <c r="Q704" s="7"/>
      <c r="R704" s="7"/>
      <c r="S704" s="7"/>
      <c r="T704" s="7"/>
      <c r="U704" s="7"/>
      <c r="V704" s="7"/>
      <c r="W704" s="7"/>
      <c r="X704" s="7"/>
    </row>
    <row r="705" spans="1:24" ht="19.5" customHeight="1">
      <c r="A705" s="7"/>
      <c r="B705" s="7"/>
      <c r="C705" s="7"/>
      <c r="D705" s="7"/>
      <c r="E705" s="7"/>
      <c r="F705" s="7"/>
      <c r="G705" s="7"/>
      <c r="H705" s="7"/>
      <c r="I705" s="7"/>
      <c r="J705" s="7"/>
      <c r="K705" s="7"/>
      <c r="L705" s="7"/>
      <c r="M705" s="246"/>
      <c r="N705" s="7"/>
      <c r="O705" s="7"/>
      <c r="P705" s="7"/>
      <c r="Q705" s="7"/>
      <c r="R705" s="7"/>
      <c r="S705" s="7"/>
      <c r="T705" s="7"/>
      <c r="U705" s="7"/>
      <c r="V705" s="7"/>
      <c r="W705" s="7"/>
      <c r="X705" s="7"/>
    </row>
    <row r="706" spans="1:24" ht="19.5" customHeight="1">
      <c r="A706" s="7"/>
      <c r="B706" s="7"/>
      <c r="C706" s="7"/>
      <c r="D706" s="7"/>
      <c r="E706" s="7"/>
      <c r="F706" s="7"/>
      <c r="G706" s="7"/>
      <c r="H706" s="7"/>
      <c r="I706" s="7"/>
      <c r="J706" s="7"/>
      <c r="K706" s="7"/>
      <c r="L706" s="7"/>
      <c r="M706" s="246"/>
      <c r="N706" s="7"/>
      <c r="O706" s="7"/>
      <c r="P706" s="7"/>
      <c r="Q706" s="7"/>
      <c r="R706" s="7"/>
      <c r="S706" s="7"/>
      <c r="T706" s="7"/>
      <c r="U706" s="7"/>
      <c r="V706" s="7"/>
      <c r="W706" s="7"/>
      <c r="X706" s="7"/>
    </row>
    <row r="707" spans="1:24" ht="19.5" customHeight="1">
      <c r="A707" s="7"/>
      <c r="B707" s="7"/>
      <c r="C707" s="7"/>
      <c r="D707" s="7"/>
      <c r="E707" s="7"/>
      <c r="F707" s="7"/>
      <c r="G707" s="7"/>
      <c r="H707" s="7"/>
      <c r="I707" s="7"/>
      <c r="J707" s="7"/>
      <c r="K707" s="7"/>
      <c r="L707" s="7"/>
      <c r="M707" s="246"/>
      <c r="N707" s="7"/>
      <c r="O707" s="7"/>
      <c r="P707" s="7"/>
      <c r="Q707" s="7"/>
      <c r="R707" s="7"/>
      <c r="S707" s="7"/>
      <c r="T707" s="7"/>
      <c r="U707" s="7"/>
      <c r="V707" s="7"/>
      <c r="W707" s="7"/>
      <c r="X707" s="7"/>
    </row>
    <row r="708" spans="1:24" ht="19.5" customHeight="1">
      <c r="A708" s="7"/>
      <c r="B708" s="7"/>
      <c r="C708" s="7"/>
      <c r="D708" s="7"/>
      <c r="E708" s="7"/>
      <c r="F708" s="7"/>
      <c r="G708" s="7"/>
      <c r="H708" s="7"/>
      <c r="I708" s="7"/>
      <c r="J708" s="7"/>
      <c r="K708" s="7"/>
      <c r="L708" s="7"/>
      <c r="M708" s="246"/>
      <c r="N708" s="7"/>
      <c r="O708" s="7"/>
      <c r="P708" s="7"/>
      <c r="Q708" s="7"/>
      <c r="R708" s="7"/>
      <c r="S708" s="7"/>
      <c r="T708" s="7"/>
      <c r="U708" s="7"/>
      <c r="V708" s="7"/>
      <c r="W708" s="7"/>
      <c r="X708" s="7"/>
    </row>
    <row r="709" spans="1:24" ht="19.5" customHeight="1">
      <c r="A709" s="7"/>
      <c r="B709" s="7"/>
      <c r="C709" s="7"/>
      <c r="D709" s="7"/>
      <c r="E709" s="7"/>
      <c r="F709" s="7"/>
      <c r="G709" s="7"/>
      <c r="H709" s="7"/>
      <c r="I709" s="7"/>
      <c r="J709" s="7"/>
      <c r="K709" s="7"/>
      <c r="L709" s="7"/>
      <c r="M709" s="246"/>
      <c r="N709" s="7"/>
      <c r="O709" s="7"/>
      <c r="P709" s="7"/>
      <c r="Q709" s="7"/>
      <c r="R709" s="7"/>
      <c r="S709" s="7"/>
      <c r="T709" s="7"/>
      <c r="U709" s="7"/>
      <c r="V709" s="7"/>
      <c r="W709" s="7"/>
      <c r="X709" s="7"/>
    </row>
    <row r="710" spans="1:24" ht="19.5" customHeight="1">
      <c r="A710" s="7"/>
      <c r="B710" s="7"/>
      <c r="C710" s="7"/>
      <c r="D710" s="7"/>
      <c r="E710" s="7"/>
      <c r="F710" s="7"/>
      <c r="G710" s="7"/>
      <c r="H710" s="7"/>
      <c r="I710" s="7"/>
      <c r="J710" s="7"/>
      <c r="K710" s="7"/>
      <c r="L710" s="7"/>
      <c r="M710" s="246"/>
      <c r="N710" s="7"/>
      <c r="O710" s="7"/>
      <c r="P710" s="7"/>
      <c r="Q710" s="7"/>
      <c r="R710" s="7"/>
      <c r="S710" s="7"/>
      <c r="T710" s="7"/>
      <c r="U710" s="7"/>
      <c r="V710" s="7"/>
      <c r="W710" s="7"/>
      <c r="X710" s="7"/>
    </row>
    <row r="711" spans="1:24" ht="19.5" customHeight="1">
      <c r="A711" s="7"/>
      <c r="B711" s="7"/>
      <c r="C711" s="7"/>
      <c r="D711" s="7"/>
      <c r="E711" s="7"/>
      <c r="F711" s="7"/>
      <c r="G711" s="7"/>
      <c r="H711" s="7"/>
      <c r="I711" s="7"/>
      <c r="J711" s="7"/>
      <c r="K711" s="7"/>
      <c r="L711" s="7"/>
      <c r="M711" s="246"/>
      <c r="N711" s="7"/>
      <c r="O711" s="7"/>
      <c r="P711" s="7"/>
      <c r="Q711" s="7"/>
      <c r="R711" s="7"/>
      <c r="S711" s="7"/>
      <c r="T711" s="7"/>
      <c r="U711" s="7"/>
      <c r="V711" s="7"/>
      <c r="W711" s="7"/>
      <c r="X711" s="7"/>
    </row>
    <row r="712" spans="1:24" ht="19.5" customHeight="1">
      <c r="A712" s="7"/>
      <c r="B712" s="7"/>
      <c r="C712" s="7"/>
      <c r="D712" s="7"/>
      <c r="E712" s="7"/>
      <c r="F712" s="7"/>
      <c r="G712" s="7"/>
      <c r="H712" s="7"/>
      <c r="I712" s="7"/>
      <c r="J712" s="7"/>
      <c r="K712" s="7"/>
      <c r="L712" s="7"/>
      <c r="M712" s="246"/>
      <c r="N712" s="7"/>
      <c r="O712" s="7"/>
      <c r="P712" s="7"/>
      <c r="Q712" s="7"/>
      <c r="R712" s="7"/>
      <c r="S712" s="7"/>
      <c r="T712" s="7"/>
      <c r="U712" s="7"/>
      <c r="V712" s="7"/>
      <c r="W712" s="7"/>
      <c r="X712" s="7"/>
    </row>
    <row r="713" spans="1:24" ht="19.5" customHeight="1">
      <c r="A713" s="7"/>
      <c r="B713" s="7"/>
      <c r="C713" s="7"/>
      <c r="D713" s="7"/>
      <c r="E713" s="7"/>
      <c r="F713" s="7"/>
      <c r="G713" s="7"/>
      <c r="H713" s="7"/>
      <c r="I713" s="7"/>
      <c r="J713" s="7"/>
      <c r="K713" s="7"/>
      <c r="L713" s="7"/>
      <c r="M713" s="246"/>
      <c r="N713" s="7"/>
      <c r="O713" s="7"/>
      <c r="P713" s="7"/>
      <c r="Q713" s="7"/>
      <c r="R713" s="7"/>
      <c r="S713" s="7"/>
      <c r="T713" s="7"/>
      <c r="U713" s="7"/>
      <c r="V713" s="7"/>
      <c r="W713" s="7"/>
      <c r="X713" s="7"/>
    </row>
    <row r="714" spans="1:24" ht="19.5" customHeight="1">
      <c r="A714" s="7"/>
      <c r="B714" s="7"/>
      <c r="C714" s="7"/>
      <c r="D714" s="7"/>
      <c r="E714" s="7"/>
      <c r="F714" s="7"/>
      <c r="G714" s="7"/>
      <c r="H714" s="7"/>
      <c r="I714" s="7"/>
      <c r="J714" s="7"/>
      <c r="K714" s="7"/>
      <c r="L714" s="7"/>
      <c r="M714" s="246"/>
      <c r="N714" s="7"/>
      <c r="O714" s="7"/>
      <c r="P714" s="7"/>
      <c r="Q714" s="7"/>
      <c r="R714" s="7"/>
      <c r="S714" s="7"/>
      <c r="T714" s="7"/>
      <c r="U714" s="7"/>
      <c r="V714" s="7"/>
      <c r="W714" s="7"/>
      <c r="X714" s="7"/>
    </row>
    <row r="715" spans="1:24" ht="19.5" customHeight="1">
      <c r="A715" s="7"/>
      <c r="B715" s="7"/>
      <c r="C715" s="7"/>
      <c r="D715" s="7"/>
      <c r="E715" s="7"/>
      <c r="F715" s="7"/>
      <c r="G715" s="7"/>
      <c r="H715" s="7"/>
      <c r="I715" s="7"/>
      <c r="J715" s="7"/>
      <c r="K715" s="7"/>
      <c r="L715" s="7"/>
      <c r="M715" s="246"/>
      <c r="N715" s="7"/>
      <c r="O715" s="7"/>
      <c r="P715" s="7"/>
      <c r="Q715" s="7"/>
      <c r="R715" s="7"/>
      <c r="S715" s="7"/>
      <c r="T715" s="7"/>
      <c r="U715" s="7"/>
      <c r="V715" s="7"/>
      <c r="W715" s="7"/>
      <c r="X715" s="7"/>
    </row>
    <row r="716" spans="1:24" ht="19.5" customHeight="1">
      <c r="A716" s="7"/>
      <c r="B716" s="7"/>
      <c r="C716" s="7"/>
      <c r="D716" s="7"/>
      <c r="E716" s="7"/>
      <c r="F716" s="7"/>
      <c r="G716" s="7"/>
      <c r="H716" s="7"/>
      <c r="I716" s="7"/>
      <c r="J716" s="7"/>
      <c r="K716" s="7"/>
      <c r="L716" s="7"/>
      <c r="M716" s="246"/>
      <c r="N716" s="7"/>
      <c r="O716" s="7"/>
      <c r="P716" s="7"/>
      <c r="Q716" s="7"/>
      <c r="R716" s="7"/>
      <c r="S716" s="7"/>
      <c r="T716" s="7"/>
      <c r="U716" s="7"/>
      <c r="V716" s="7"/>
      <c r="W716" s="7"/>
      <c r="X716" s="7"/>
    </row>
    <row r="717" spans="1:24" ht="19.5" customHeight="1">
      <c r="A717" s="7"/>
      <c r="B717" s="7"/>
      <c r="C717" s="7"/>
      <c r="D717" s="7"/>
      <c r="E717" s="7"/>
      <c r="F717" s="7"/>
      <c r="G717" s="7"/>
      <c r="H717" s="7"/>
      <c r="I717" s="7"/>
      <c r="J717" s="7"/>
      <c r="K717" s="7"/>
      <c r="L717" s="7"/>
      <c r="M717" s="246"/>
      <c r="N717" s="7"/>
      <c r="O717" s="7"/>
      <c r="P717" s="7"/>
      <c r="Q717" s="7"/>
      <c r="R717" s="7"/>
      <c r="S717" s="7"/>
      <c r="T717" s="7"/>
      <c r="U717" s="7"/>
      <c r="V717" s="7"/>
      <c r="W717" s="7"/>
      <c r="X717" s="7"/>
    </row>
    <row r="718" spans="1:24" ht="19.5" customHeight="1">
      <c r="A718" s="7"/>
      <c r="B718" s="7"/>
      <c r="C718" s="7"/>
      <c r="D718" s="7"/>
      <c r="E718" s="7"/>
      <c r="F718" s="7"/>
      <c r="G718" s="7"/>
      <c r="H718" s="7"/>
      <c r="I718" s="7"/>
      <c r="J718" s="7"/>
      <c r="K718" s="7"/>
      <c r="L718" s="7"/>
      <c r="M718" s="246"/>
      <c r="N718" s="7"/>
      <c r="O718" s="7"/>
      <c r="P718" s="7"/>
      <c r="Q718" s="7"/>
      <c r="R718" s="7"/>
      <c r="S718" s="7"/>
      <c r="T718" s="7"/>
      <c r="U718" s="7"/>
      <c r="V718" s="7"/>
      <c r="W718" s="7"/>
      <c r="X718" s="7"/>
    </row>
    <row r="719" spans="1:24" ht="19.5" customHeight="1">
      <c r="A719" s="7"/>
      <c r="B719" s="7"/>
      <c r="C719" s="7"/>
      <c r="D719" s="7"/>
      <c r="E719" s="7"/>
      <c r="F719" s="7"/>
      <c r="G719" s="7"/>
      <c r="H719" s="7"/>
      <c r="I719" s="7"/>
      <c r="J719" s="7"/>
      <c r="K719" s="7"/>
      <c r="L719" s="7"/>
      <c r="M719" s="246"/>
      <c r="N719" s="7"/>
      <c r="O719" s="7"/>
      <c r="P719" s="7"/>
      <c r="Q719" s="7"/>
      <c r="R719" s="7"/>
      <c r="S719" s="7"/>
      <c r="T719" s="7"/>
      <c r="U719" s="7"/>
      <c r="V719" s="7"/>
      <c r="W719" s="7"/>
      <c r="X719" s="7"/>
    </row>
    <row r="720" spans="1:24" ht="19.5" customHeight="1">
      <c r="A720" s="7"/>
      <c r="B720" s="7"/>
      <c r="C720" s="7"/>
      <c r="D720" s="7"/>
      <c r="E720" s="7"/>
      <c r="F720" s="7"/>
      <c r="G720" s="7"/>
      <c r="H720" s="7"/>
      <c r="I720" s="7"/>
      <c r="J720" s="7"/>
      <c r="K720" s="7"/>
      <c r="L720" s="7"/>
      <c r="M720" s="246"/>
      <c r="N720" s="7"/>
      <c r="O720" s="7"/>
      <c r="P720" s="7"/>
      <c r="Q720" s="7"/>
      <c r="R720" s="7"/>
      <c r="S720" s="7"/>
      <c r="T720" s="7"/>
      <c r="U720" s="7"/>
      <c r="V720" s="7"/>
      <c r="W720" s="7"/>
      <c r="X720" s="7"/>
    </row>
    <row r="721" spans="1:24" ht="19.5" customHeight="1">
      <c r="A721" s="7"/>
      <c r="B721" s="7"/>
      <c r="C721" s="7"/>
      <c r="D721" s="7"/>
      <c r="E721" s="7"/>
      <c r="F721" s="7"/>
      <c r="G721" s="7"/>
      <c r="H721" s="7"/>
      <c r="I721" s="7"/>
      <c r="J721" s="7"/>
      <c r="K721" s="7"/>
      <c r="L721" s="7"/>
      <c r="M721" s="246"/>
      <c r="N721" s="7"/>
      <c r="O721" s="7"/>
      <c r="P721" s="7"/>
      <c r="Q721" s="7"/>
      <c r="R721" s="7"/>
      <c r="S721" s="7"/>
      <c r="T721" s="7"/>
      <c r="U721" s="7"/>
      <c r="V721" s="7"/>
      <c r="W721" s="7"/>
      <c r="X721" s="7"/>
    </row>
    <row r="722" spans="1:24" ht="19.5" customHeight="1">
      <c r="A722" s="7"/>
      <c r="B722" s="7"/>
      <c r="C722" s="7"/>
      <c r="D722" s="7"/>
      <c r="E722" s="7"/>
      <c r="F722" s="7"/>
      <c r="G722" s="7"/>
      <c r="H722" s="7"/>
      <c r="I722" s="7"/>
      <c r="J722" s="7"/>
      <c r="K722" s="7"/>
      <c r="L722" s="7"/>
      <c r="M722" s="246"/>
      <c r="N722" s="7"/>
      <c r="O722" s="7"/>
      <c r="P722" s="7"/>
      <c r="Q722" s="7"/>
      <c r="R722" s="7"/>
      <c r="S722" s="7"/>
      <c r="T722" s="7"/>
      <c r="U722" s="7"/>
      <c r="V722" s="7"/>
      <c r="W722" s="7"/>
      <c r="X722" s="7"/>
    </row>
    <row r="723" spans="1:24" ht="19.5" customHeight="1">
      <c r="A723" s="7"/>
      <c r="B723" s="7"/>
      <c r="C723" s="7"/>
      <c r="D723" s="7"/>
      <c r="E723" s="7"/>
      <c r="F723" s="7"/>
      <c r="G723" s="7"/>
      <c r="H723" s="7"/>
      <c r="I723" s="7"/>
      <c r="J723" s="7"/>
      <c r="K723" s="7"/>
      <c r="L723" s="7"/>
      <c r="M723" s="246"/>
      <c r="N723" s="7"/>
      <c r="O723" s="7"/>
      <c r="P723" s="7"/>
      <c r="Q723" s="7"/>
      <c r="R723" s="7"/>
      <c r="S723" s="7"/>
      <c r="T723" s="7"/>
      <c r="U723" s="7"/>
      <c r="V723" s="7"/>
      <c r="W723" s="7"/>
      <c r="X723" s="7"/>
    </row>
    <row r="724" spans="1:24" ht="19.5" customHeight="1">
      <c r="A724" s="7"/>
      <c r="B724" s="7"/>
      <c r="C724" s="7"/>
      <c r="D724" s="7"/>
      <c r="E724" s="7"/>
      <c r="F724" s="7"/>
      <c r="G724" s="7"/>
      <c r="H724" s="7"/>
      <c r="I724" s="7"/>
      <c r="J724" s="7"/>
      <c r="K724" s="7"/>
      <c r="L724" s="7"/>
      <c r="M724" s="246"/>
      <c r="N724" s="7"/>
      <c r="O724" s="7"/>
      <c r="P724" s="7"/>
      <c r="Q724" s="7"/>
      <c r="R724" s="7"/>
      <c r="S724" s="7"/>
      <c r="T724" s="7"/>
      <c r="U724" s="7"/>
      <c r="V724" s="7"/>
      <c r="W724" s="7"/>
      <c r="X724" s="7"/>
    </row>
    <row r="725" spans="1:24" ht="19.5" customHeight="1">
      <c r="A725" s="7"/>
      <c r="B725" s="7"/>
      <c r="C725" s="7"/>
      <c r="D725" s="7"/>
      <c r="E725" s="7"/>
      <c r="F725" s="7"/>
      <c r="G725" s="7"/>
      <c r="H725" s="7"/>
      <c r="I725" s="7"/>
      <c r="J725" s="7"/>
      <c r="K725" s="7"/>
      <c r="L725" s="7"/>
      <c r="M725" s="246"/>
      <c r="N725" s="7"/>
      <c r="O725" s="7"/>
      <c r="P725" s="7"/>
      <c r="Q725" s="7"/>
      <c r="R725" s="7"/>
      <c r="S725" s="7"/>
      <c r="T725" s="7"/>
      <c r="U725" s="7"/>
      <c r="V725" s="7"/>
      <c r="W725" s="7"/>
      <c r="X725" s="7"/>
    </row>
    <row r="726" spans="1:24" ht="19.5" customHeight="1">
      <c r="A726" s="7"/>
      <c r="B726" s="7"/>
      <c r="C726" s="7"/>
      <c r="D726" s="7"/>
      <c r="E726" s="7"/>
      <c r="F726" s="7"/>
      <c r="G726" s="7"/>
      <c r="H726" s="7"/>
      <c r="I726" s="7"/>
      <c r="J726" s="7"/>
      <c r="K726" s="7"/>
      <c r="L726" s="7"/>
      <c r="M726" s="246"/>
      <c r="N726" s="7"/>
      <c r="O726" s="7"/>
      <c r="P726" s="7"/>
      <c r="Q726" s="7"/>
      <c r="R726" s="7"/>
      <c r="S726" s="7"/>
      <c r="T726" s="7"/>
      <c r="U726" s="7"/>
      <c r="V726" s="7"/>
      <c r="W726" s="7"/>
      <c r="X726" s="7"/>
    </row>
    <row r="727" spans="1:24" ht="19.5" customHeight="1">
      <c r="A727" s="7"/>
      <c r="B727" s="7"/>
      <c r="C727" s="7"/>
      <c r="D727" s="7"/>
      <c r="E727" s="7"/>
      <c r="F727" s="7"/>
      <c r="G727" s="7"/>
      <c r="H727" s="7"/>
      <c r="I727" s="7"/>
      <c r="J727" s="7"/>
      <c r="K727" s="7"/>
      <c r="L727" s="7"/>
      <c r="M727" s="246"/>
      <c r="N727" s="7"/>
      <c r="O727" s="7"/>
      <c r="P727" s="7"/>
      <c r="Q727" s="7"/>
      <c r="R727" s="7"/>
      <c r="S727" s="7"/>
      <c r="T727" s="7"/>
      <c r="U727" s="7"/>
      <c r="V727" s="7"/>
      <c r="W727" s="7"/>
      <c r="X727" s="7"/>
    </row>
    <row r="728" spans="1:24" ht="19.5" customHeight="1">
      <c r="A728" s="7"/>
      <c r="B728" s="7"/>
      <c r="C728" s="7"/>
      <c r="D728" s="7"/>
      <c r="E728" s="7"/>
      <c r="F728" s="7"/>
      <c r="G728" s="7"/>
      <c r="H728" s="7"/>
      <c r="I728" s="7"/>
      <c r="J728" s="7"/>
      <c r="K728" s="7"/>
      <c r="L728" s="7"/>
      <c r="M728" s="246"/>
      <c r="N728" s="7"/>
      <c r="O728" s="7"/>
      <c r="P728" s="7"/>
      <c r="Q728" s="7"/>
      <c r="R728" s="7"/>
      <c r="S728" s="7"/>
      <c r="T728" s="7"/>
      <c r="U728" s="7"/>
      <c r="V728" s="7"/>
      <c r="W728" s="7"/>
      <c r="X728" s="7"/>
    </row>
    <row r="729" spans="1:24" ht="19.5" customHeight="1">
      <c r="A729" s="7"/>
      <c r="B729" s="7"/>
      <c r="C729" s="7"/>
      <c r="D729" s="7"/>
      <c r="E729" s="7"/>
      <c r="F729" s="7"/>
      <c r="G729" s="7"/>
      <c r="H729" s="7"/>
      <c r="I729" s="7"/>
      <c r="J729" s="7"/>
      <c r="K729" s="7"/>
      <c r="L729" s="7"/>
      <c r="M729" s="246"/>
      <c r="N729" s="7"/>
      <c r="O729" s="7"/>
      <c r="P729" s="7"/>
      <c r="Q729" s="7"/>
      <c r="R729" s="7"/>
      <c r="S729" s="7"/>
      <c r="T729" s="7"/>
      <c r="U729" s="7"/>
      <c r="V729" s="7"/>
      <c r="W729" s="7"/>
      <c r="X729" s="7"/>
    </row>
    <row r="730" spans="1:24" ht="19.5" customHeight="1">
      <c r="A730" s="7"/>
      <c r="B730" s="7"/>
      <c r="C730" s="7"/>
      <c r="D730" s="7"/>
      <c r="E730" s="7"/>
      <c r="F730" s="7"/>
      <c r="G730" s="7"/>
      <c r="H730" s="7"/>
      <c r="I730" s="7"/>
      <c r="J730" s="7"/>
      <c r="K730" s="7"/>
      <c r="L730" s="7"/>
      <c r="M730" s="246"/>
      <c r="N730" s="7"/>
      <c r="O730" s="7"/>
      <c r="P730" s="7"/>
      <c r="Q730" s="7"/>
      <c r="R730" s="7"/>
      <c r="S730" s="7"/>
      <c r="T730" s="7"/>
      <c r="U730" s="7"/>
      <c r="V730" s="7"/>
      <c r="W730" s="7"/>
      <c r="X730" s="7"/>
    </row>
    <row r="731" spans="1:24" ht="19.5" customHeight="1">
      <c r="A731" s="7"/>
      <c r="B731" s="7"/>
      <c r="C731" s="7"/>
      <c r="D731" s="7"/>
      <c r="E731" s="7"/>
      <c r="F731" s="7"/>
      <c r="G731" s="7"/>
      <c r="H731" s="7"/>
      <c r="I731" s="7"/>
      <c r="J731" s="7"/>
      <c r="K731" s="7"/>
      <c r="L731" s="7"/>
      <c r="M731" s="246"/>
      <c r="N731" s="7"/>
      <c r="O731" s="7"/>
      <c r="P731" s="7"/>
      <c r="Q731" s="7"/>
      <c r="R731" s="7"/>
      <c r="S731" s="7"/>
      <c r="T731" s="7"/>
      <c r="U731" s="7"/>
      <c r="V731" s="7"/>
      <c r="W731" s="7"/>
      <c r="X731" s="7"/>
    </row>
    <row r="732" spans="1:24" ht="19.5" customHeight="1">
      <c r="A732" s="7"/>
      <c r="B732" s="7"/>
      <c r="C732" s="7"/>
      <c r="D732" s="7"/>
      <c r="E732" s="7"/>
      <c r="F732" s="7"/>
      <c r="G732" s="7"/>
      <c r="H732" s="7"/>
      <c r="I732" s="7"/>
      <c r="J732" s="7"/>
      <c r="K732" s="7"/>
      <c r="L732" s="7"/>
      <c r="M732" s="246"/>
      <c r="N732" s="7"/>
      <c r="O732" s="7"/>
      <c r="P732" s="7"/>
      <c r="Q732" s="7"/>
      <c r="R732" s="7"/>
      <c r="S732" s="7"/>
      <c r="T732" s="7"/>
      <c r="U732" s="7"/>
      <c r="V732" s="7"/>
      <c r="W732" s="7"/>
      <c r="X732" s="7"/>
    </row>
    <row r="733" spans="1:24" ht="19.5" customHeight="1">
      <c r="A733" s="7"/>
      <c r="B733" s="7"/>
      <c r="C733" s="7"/>
      <c r="D733" s="7"/>
      <c r="E733" s="7"/>
      <c r="F733" s="7"/>
      <c r="G733" s="7"/>
      <c r="H733" s="7"/>
      <c r="I733" s="7"/>
      <c r="J733" s="7"/>
      <c r="K733" s="7"/>
      <c r="L733" s="7"/>
      <c r="M733" s="246"/>
      <c r="N733" s="7"/>
      <c r="O733" s="7"/>
      <c r="P733" s="7"/>
      <c r="Q733" s="7"/>
      <c r="R733" s="7"/>
      <c r="S733" s="7"/>
      <c r="T733" s="7"/>
      <c r="U733" s="7"/>
      <c r="V733" s="7"/>
      <c r="W733" s="7"/>
      <c r="X733" s="7"/>
    </row>
    <row r="734" spans="1:24" ht="19.5" customHeight="1">
      <c r="A734" s="7"/>
      <c r="B734" s="7"/>
      <c r="C734" s="7"/>
      <c r="D734" s="7"/>
      <c r="E734" s="7"/>
      <c r="F734" s="7"/>
      <c r="G734" s="7"/>
      <c r="H734" s="7"/>
      <c r="I734" s="7"/>
      <c r="J734" s="7"/>
      <c r="K734" s="7"/>
      <c r="L734" s="7"/>
      <c r="M734" s="246"/>
      <c r="N734" s="7"/>
      <c r="O734" s="7"/>
      <c r="P734" s="7"/>
      <c r="Q734" s="7"/>
      <c r="R734" s="7"/>
      <c r="S734" s="7"/>
      <c r="T734" s="7"/>
      <c r="U734" s="7"/>
      <c r="V734" s="7"/>
      <c r="W734" s="7"/>
      <c r="X734" s="7"/>
    </row>
    <row r="735" spans="1:24" ht="19.5" customHeight="1">
      <c r="A735" s="7"/>
      <c r="B735" s="7"/>
      <c r="C735" s="7"/>
      <c r="D735" s="7"/>
      <c r="E735" s="7"/>
      <c r="F735" s="7"/>
      <c r="G735" s="7"/>
      <c r="H735" s="7"/>
      <c r="I735" s="7"/>
      <c r="J735" s="7"/>
      <c r="K735" s="7"/>
      <c r="L735" s="7"/>
      <c r="M735" s="246"/>
      <c r="N735" s="7"/>
      <c r="O735" s="7"/>
      <c r="P735" s="7"/>
      <c r="Q735" s="7"/>
      <c r="R735" s="7"/>
      <c r="S735" s="7"/>
      <c r="T735" s="7"/>
      <c r="U735" s="7"/>
      <c r="V735" s="7"/>
      <c r="W735" s="7"/>
      <c r="X735" s="7"/>
    </row>
    <row r="736" spans="1:24" ht="19.5" customHeight="1">
      <c r="A736" s="7"/>
      <c r="B736" s="7"/>
      <c r="C736" s="7"/>
      <c r="D736" s="7"/>
      <c r="E736" s="7"/>
      <c r="F736" s="7"/>
      <c r="G736" s="7"/>
      <c r="H736" s="7"/>
      <c r="I736" s="7"/>
      <c r="J736" s="7"/>
      <c r="K736" s="7"/>
      <c r="L736" s="7"/>
      <c r="M736" s="246"/>
      <c r="N736" s="7"/>
      <c r="O736" s="7"/>
      <c r="P736" s="7"/>
      <c r="Q736" s="7"/>
      <c r="R736" s="7"/>
      <c r="S736" s="7"/>
      <c r="T736" s="7"/>
      <c r="U736" s="7"/>
      <c r="V736" s="7"/>
      <c r="W736" s="7"/>
      <c r="X736" s="7"/>
    </row>
    <row r="737" spans="1:24" ht="19.5" customHeight="1">
      <c r="A737" s="7"/>
      <c r="B737" s="7"/>
      <c r="C737" s="7"/>
      <c r="D737" s="7"/>
      <c r="E737" s="7"/>
      <c r="F737" s="7"/>
      <c r="G737" s="7"/>
      <c r="H737" s="7"/>
      <c r="I737" s="7"/>
      <c r="J737" s="7"/>
      <c r="K737" s="7"/>
      <c r="L737" s="7"/>
      <c r="M737" s="246"/>
      <c r="N737" s="7"/>
      <c r="O737" s="7"/>
      <c r="P737" s="7"/>
      <c r="Q737" s="7"/>
      <c r="R737" s="7"/>
      <c r="S737" s="7"/>
      <c r="T737" s="7"/>
      <c r="U737" s="7"/>
      <c r="V737" s="7"/>
      <c r="W737" s="7"/>
      <c r="X737" s="7"/>
    </row>
    <row r="738" spans="1:24" ht="19.5" customHeight="1">
      <c r="A738" s="7"/>
      <c r="B738" s="7"/>
      <c r="C738" s="7"/>
      <c r="D738" s="7"/>
      <c r="E738" s="7"/>
      <c r="F738" s="7"/>
      <c r="G738" s="7"/>
      <c r="H738" s="7"/>
      <c r="I738" s="7"/>
      <c r="J738" s="7"/>
      <c r="K738" s="7"/>
      <c r="L738" s="7"/>
      <c r="M738" s="246"/>
      <c r="N738" s="7"/>
      <c r="O738" s="7"/>
      <c r="P738" s="7"/>
      <c r="Q738" s="7"/>
      <c r="R738" s="7"/>
      <c r="S738" s="7"/>
      <c r="T738" s="7"/>
      <c r="U738" s="7"/>
      <c r="V738" s="7"/>
      <c r="W738" s="7"/>
      <c r="X738" s="7"/>
    </row>
    <row r="739" spans="1:24" ht="19.5" customHeight="1">
      <c r="A739" s="7"/>
      <c r="B739" s="7"/>
      <c r="C739" s="7"/>
      <c r="D739" s="7"/>
      <c r="E739" s="7"/>
      <c r="F739" s="7"/>
      <c r="G739" s="7"/>
      <c r="H739" s="7"/>
      <c r="I739" s="7"/>
      <c r="J739" s="7"/>
      <c r="K739" s="7"/>
      <c r="L739" s="7"/>
      <c r="M739" s="246"/>
      <c r="N739" s="7"/>
      <c r="O739" s="7"/>
      <c r="P739" s="7"/>
      <c r="Q739" s="7"/>
      <c r="R739" s="7"/>
      <c r="S739" s="7"/>
      <c r="T739" s="7"/>
      <c r="U739" s="7"/>
      <c r="V739" s="7"/>
      <c r="W739" s="7"/>
      <c r="X739" s="7"/>
    </row>
    <row r="740" spans="1:24" ht="19.5" customHeight="1">
      <c r="A740" s="7"/>
      <c r="B740" s="7"/>
      <c r="C740" s="7"/>
      <c r="D740" s="7"/>
      <c r="E740" s="7"/>
      <c r="F740" s="7"/>
      <c r="G740" s="7"/>
      <c r="H740" s="7"/>
      <c r="I740" s="7"/>
      <c r="J740" s="7"/>
      <c r="K740" s="7"/>
      <c r="L740" s="7"/>
      <c r="M740" s="246"/>
      <c r="N740" s="7"/>
      <c r="O740" s="7"/>
      <c r="P740" s="7"/>
      <c r="Q740" s="7"/>
      <c r="R740" s="7"/>
      <c r="S740" s="7"/>
      <c r="T740" s="7"/>
      <c r="U740" s="7"/>
      <c r="V740" s="7"/>
      <c r="W740" s="7"/>
      <c r="X740" s="7"/>
    </row>
    <row r="741" spans="1:24" ht="19.5" customHeight="1">
      <c r="A741" s="7"/>
      <c r="B741" s="7"/>
      <c r="C741" s="7"/>
      <c r="D741" s="7"/>
      <c r="E741" s="7"/>
      <c r="F741" s="7"/>
      <c r="G741" s="7"/>
      <c r="H741" s="7"/>
      <c r="I741" s="7"/>
      <c r="J741" s="7"/>
      <c r="K741" s="7"/>
      <c r="L741" s="7"/>
      <c r="M741" s="246"/>
      <c r="N741" s="7"/>
      <c r="O741" s="7"/>
      <c r="P741" s="7"/>
      <c r="Q741" s="7"/>
      <c r="R741" s="7"/>
      <c r="S741" s="7"/>
      <c r="T741" s="7"/>
      <c r="U741" s="7"/>
      <c r="V741" s="7"/>
      <c r="W741" s="7"/>
      <c r="X741" s="7"/>
    </row>
    <row r="742" spans="1:24" ht="19.5" customHeight="1">
      <c r="A742" s="7"/>
      <c r="B742" s="7"/>
      <c r="C742" s="7"/>
      <c r="D742" s="7"/>
      <c r="E742" s="7"/>
      <c r="F742" s="7"/>
      <c r="G742" s="7"/>
      <c r="H742" s="7"/>
      <c r="I742" s="7"/>
      <c r="J742" s="7"/>
      <c r="K742" s="7"/>
      <c r="L742" s="7"/>
      <c r="M742" s="246"/>
      <c r="N742" s="7"/>
      <c r="O742" s="7"/>
      <c r="P742" s="7"/>
      <c r="Q742" s="7"/>
      <c r="R742" s="7"/>
      <c r="S742" s="7"/>
      <c r="T742" s="7"/>
      <c r="U742" s="7"/>
      <c r="V742" s="7"/>
      <c r="W742" s="7"/>
      <c r="X742" s="7"/>
    </row>
    <row r="743" spans="1:24" ht="19.5" customHeight="1">
      <c r="A743" s="7"/>
      <c r="B743" s="7"/>
      <c r="C743" s="7"/>
      <c r="D743" s="7"/>
      <c r="E743" s="7"/>
      <c r="F743" s="7"/>
      <c r="G743" s="7"/>
      <c r="H743" s="7"/>
      <c r="I743" s="7"/>
      <c r="J743" s="7"/>
      <c r="K743" s="7"/>
      <c r="L743" s="7"/>
      <c r="M743" s="246"/>
      <c r="N743" s="7"/>
      <c r="O743" s="7"/>
      <c r="P743" s="7"/>
      <c r="Q743" s="7"/>
      <c r="R743" s="7"/>
      <c r="S743" s="7"/>
      <c r="T743" s="7"/>
      <c r="U743" s="7"/>
      <c r="V743" s="7"/>
      <c r="W743" s="7"/>
      <c r="X743" s="7"/>
    </row>
    <row r="744" spans="1:24" ht="19.5" customHeight="1">
      <c r="A744" s="7"/>
      <c r="B744" s="7"/>
      <c r="C744" s="7"/>
      <c r="D744" s="7"/>
      <c r="E744" s="7"/>
      <c r="F744" s="7"/>
      <c r="G744" s="7"/>
      <c r="H744" s="7"/>
      <c r="I744" s="7"/>
      <c r="J744" s="7"/>
      <c r="K744" s="7"/>
      <c r="L744" s="7"/>
      <c r="M744" s="246"/>
      <c r="N744" s="7"/>
      <c r="O744" s="7"/>
      <c r="P744" s="7"/>
      <c r="Q744" s="7"/>
      <c r="R744" s="7"/>
      <c r="S744" s="7"/>
      <c r="T744" s="7"/>
      <c r="U744" s="7"/>
      <c r="V744" s="7"/>
      <c r="W744" s="7"/>
      <c r="X744" s="7"/>
    </row>
    <row r="745" spans="1:24" ht="19.5" customHeight="1">
      <c r="A745" s="7"/>
      <c r="B745" s="7"/>
      <c r="C745" s="7"/>
      <c r="D745" s="7"/>
      <c r="E745" s="7"/>
      <c r="F745" s="7"/>
      <c r="G745" s="7"/>
      <c r="H745" s="7"/>
      <c r="I745" s="7"/>
      <c r="J745" s="7"/>
      <c r="K745" s="7"/>
      <c r="L745" s="7"/>
      <c r="M745" s="246"/>
      <c r="N745" s="7"/>
      <c r="O745" s="7"/>
      <c r="P745" s="7"/>
      <c r="Q745" s="7"/>
      <c r="R745" s="7"/>
      <c r="S745" s="7"/>
      <c r="T745" s="7"/>
      <c r="U745" s="7"/>
      <c r="V745" s="7"/>
      <c r="W745" s="7"/>
      <c r="X745" s="7"/>
    </row>
    <row r="746" spans="1:24" ht="19.5" customHeight="1">
      <c r="A746" s="7"/>
      <c r="B746" s="7"/>
      <c r="C746" s="7"/>
      <c r="D746" s="7"/>
      <c r="E746" s="7"/>
      <c r="F746" s="7"/>
      <c r="G746" s="7"/>
      <c r="H746" s="7"/>
      <c r="I746" s="7"/>
      <c r="J746" s="7"/>
      <c r="K746" s="7"/>
      <c r="L746" s="7"/>
      <c r="M746" s="246"/>
      <c r="N746" s="7"/>
      <c r="O746" s="7"/>
      <c r="P746" s="7"/>
      <c r="Q746" s="7"/>
      <c r="R746" s="7"/>
      <c r="S746" s="7"/>
      <c r="T746" s="7"/>
      <c r="U746" s="7"/>
      <c r="V746" s="7"/>
      <c r="W746" s="7"/>
      <c r="X746" s="7"/>
    </row>
    <row r="747" spans="1:24" ht="19.5" customHeight="1">
      <c r="A747" s="7"/>
      <c r="B747" s="7"/>
      <c r="C747" s="7"/>
      <c r="D747" s="7"/>
      <c r="E747" s="7"/>
      <c r="F747" s="7"/>
      <c r="G747" s="7"/>
      <c r="H747" s="7"/>
      <c r="I747" s="7"/>
      <c r="J747" s="7"/>
      <c r="K747" s="7"/>
      <c r="L747" s="7"/>
      <c r="M747" s="246"/>
      <c r="N747" s="7"/>
      <c r="O747" s="7"/>
      <c r="P747" s="7"/>
      <c r="Q747" s="7"/>
      <c r="R747" s="7"/>
      <c r="S747" s="7"/>
      <c r="T747" s="7"/>
      <c r="U747" s="7"/>
      <c r="V747" s="7"/>
      <c r="W747" s="7"/>
      <c r="X747" s="7"/>
    </row>
    <row r="748" spans="1:24" ht="19.5" customHeight="1">
      <c r="A748" s="7"/>
      <c r="B748" s="7"/>
      <c r="C748" s="7"/>
      <c r="D748" s="7"/>
      <c r="E748" s="7"/>
      <c r="F748" s="7"/>
      <c r="G748" s="7"/>
      <c r="H748" s="7"/>
      <c r="I748" s="7"/>
      <c r="J748" s="7"/>
      <c r="K748" s="7"/>
      <c r="L748" s="7"/>
      <c r="M748" s="246"/>
      <c r="N748" s="7"/>
      <c r="O748" s="7"/>
      <c r="P748" s="7"/>
      <c r="Q748" s="7"/>
      <c r="R748" s="7"/>
      <c r="S748" s="7"/>
      <c r="T748" s="7"/>
      <c r="U748" s="7"/>
      <c r="V748" s="7"/>
      <c r="W748" s="7"/>
      <c r="X748" s="7"/>
    </row>
    <row r="749" spans="1:24" ht="19.5" customHeight="1">
      <c r="A749" s="7"/>
      <c r="B749" s="7"/>
      <c r="C749" s="7"/>
      <c r="D749" s="7"/>
      <c r="E749" s="7"/>
      <c r="F749" s="7"/>
      <c r="G749" s="7"/>
      <c r="H749" s="7"/>
      <c r="I749" s="7"/>
      <c r="J749" s="7"/>
      <c r="K749" s="7"/>
      <c r="L749" s="7"/>
      <c r="M749" s="246"/>
      <c r="N749" s="7"/>
      <c r="O749" s="7"/>
      <c r="P749" s="7"/>
      <c r="Q749" s="7"/>
      <c r="R749" s="7"/>
      <c r="S749" s="7"/>
      <c r="T749" s="7"/>
      <c r="U749" s="7"/>
      <c r="V749" s="7"/>
      <c r="W749" s="7"/>
      <c r="X749" s="7"/>
    </row>
    <row r="750" spans="1:24" ht="19.5" customHeight="1">
      <c r="A750" s="7"/>
      <c r="B750" s="7"/>
      <c r="C750" s="7"/>
      <c r="D750" s="7"/>
      <c r="E750" s="7"/>
      <c r="F750" s="7"/>
      <c r="G750" s="7"/>
      <c r="H750" s="7"/>
      <c r="I750" s="7"/>
      <c r="J750" s="7"/>
      <c r="K750" s="7"/>
      <c r="L750" s="7"/>
      <c r="M750" s="246"/>
      <c r="N750" s="7"/>
      <c r="O750" s="7"/>
      <c r="P750" s="7"/>
      <c r="Q750" s="7"/>
      <c r="R750" s="7"/>
      <c r="S750" s="7"/>
      <c r="T750" s="7"/>
      <c r="U750" s="7"/>
      <c r="V750" s="7"/>
      <c r="W750" s="7"/>
      <c r="X750" s="7"/>
    </row>
    <row r="751" spans="1:24" ht="19.5" customHeight="1">
      <c r="A751" s="7"/>
      <c r="B751" s="7"/>
      <c r="C751" s="7"/>
      <c r="D751" s="7"/>
      <c r="E751" s="7"/>
      <c r="F751" s="7"/>
      <c r="G751" s="7"/>
      <c r="H751" s="7"/>
      <c r="I751" s="7"/>
      <c r="J751" s="7"/>
      <c r="K751" s="7"/>
      <c r="L751" s="7"/>
      <c r="M751" s="246"/>
      <c r="N751" s="7"/>
      <c r="O751" s="7"/>
      <c r="P751" s="7"/>
      <c r="Q751" s="7"/>
      <c r="R751" s="7"/>
      <c r="S751" s="7"/>
      <c r="T751" s="7"/>
      <c r="U751" s="7"/>
      <c r="V751" s="7"/>
      <c r="W751" s="7"/>
      <c r="X751" s="7"/>
    </row>
    <row r="752" spans="1:24" ht="19.5" customHeight="1">
      <c r="A752" s="7"/>
      <c r="B752" s="7"/>
      <c r="C752" s="7"/>
      <c r="D752" s="7"/>
      <c r="E752" s="7"/>
      <c r="F752" s="7"/>
      <c r="G752" s="7"/>
      <c r="H752" s="7"/>
      <c r="I752" s="7"/>
      <c r="J752" s="7"/>
      <c r="K752" s="7"/>
      <c r="L752" s="7"/>
      <c r="M752" s="246"/>
      <c r="N752" s="7"/>
      <c r="O752" s="7"/>
      <c r="P752" s="7"/>
      <c r="Q752" s="7"/>
      <c r="R752" s="7"/>
      <c r="S752" s="7"/>
      <c r="T752" s="7"/>
      <c r="U752" s="7"/>
      <c r="V752" s="7"/>
      <c r="W752" s="7"/>
      <c r="X752" s="7"/>
    </row>
    <row r="753" spans="1:24" ht="19.5" customHeight="1">
      <c r="A753" s="7"/>
      <c r="B753" s="7"/>
      <c r="C753" s="7"/>
      <c r="D753" s="7"/>
      <c r="E753" s="7"/>
      <c r="F753" s="7"/>
      <c r="G753" s="7"/>
      <c r="H753" s="7"/>
      <c r="I753" s="7"/>
      <c r="J753" s="7"/>
      <c r="K753" s="7"/>
      <c r="L753" s="7"/>
      <c r="M753" s="246"/>
      <c r="N753" s="7"/>
      <c r="O753" s="7"/>
      <c r="P753" s="7"/>
      <c r="Q753" s="7"/>
      <c r="R753" s="7"/>
      <c r="S753" s="7"/>
      <c r="T753" s="7"/>
      <c r="U753" s="7"/>
      <c r="V753" s="7"/>
      <c r="W753" s="7"/>
      <c r="X753" s="7"/>
    </row>
    <row r="754" spans="1:24" ht="19.5" customHeight="1">
      <c r="A754" s="7"/>
      <c r="B754" s="7"/>
      <c r="C754" s="7"/>
      <c r="D754" s="7"/>
      <c r="E754" s="7"/>
      <c r="F754" s="7"/>
      <c r="G754" s="7"/>
      <c r="H754" s="7"/>
      <c r="I754" s="7"/>
      <c r="J754" s="7"/>
      <c r="K754" s="7"/>
      <c r="L754" s="7"/>
      <c r="M754" s="246"/>
      <c r="N754" s="7"/>
      <c r="O754" s="7"/>
      <c r="P754" s="7"/>
      <c r="Q754" s="7"/>
      <c r="R754" s="7"/>
      <c r="S754" s="7"/>
      <c r="T754" s="7"/>
      <c r="U754" s="7"/>
      <c r="V754" s="7"/>
      <c r="W754" s="7"/>
      <c r="X754" s="7"/>
    </row>
    <row r="755" spans="1:24" ht="19.5" customHeight="1">
      <c r="A755" s="7"/>
      <c r="B755" s="7"/>
      <c r="C755" s="7"/>
      <c r="D755" s="7"/>
      <c r="E755" s="7"/>
      <c r="F755" s="7"/>
      <c r="G755" s="7"/>
      <c r="H755" s="7"/>
      <c r="I755" s="7"/>
      <c r="J755" s="7"/>
      <c r="K755" s="7"/>
      <c r="L755" s="7"/>
      <c r="M755" s="246"/>
      <c r="N755" s="7"/>
      <c r="O755" s="7"/>
      <c r="P755" s="7"/>
      <c r="Q755" s="7"/>
      <c r="R755" s="7"/>
      <c r="S755" s="7"/>
      <c r="T755" s="7"/>
      <c r="U755" s="7"/>
      <c r="V755" s="7"/>
      <c r="W755" s="7"/>
      <c r="X755" s="7"/>
    </row>
    <row r="756" spans="1:24" ht="19.5" customHeight="1">
      <c r="A756" s="7"/>
      <c r="B756" s="7"/>
      <c r="C756" s="7"/>
      <c r="D756" s="7"/>
      <c r="E756" s="7"/>
      <c r="F756" s="7"/>
      <c r="G756" s="7"/>
      <c r="H756" s="7"/>
      <c r="I756" s="7"/>
      <c r="J756" s="7"/>
      <c r="K756" s="7"/>
      <c r="L756" s="7"/>
      <c r="M756" s="246"/>
      <c r="N756" s="7"/>
      <c r="O756" s="7"/>
      <c r="P756" s="7"/>
      <c r="Q756" s="7"/>
      <c r="R756" s="7"/>
      <c r="S756" s="7"/>
      <c r="T756" s="7"/>
      <c r="U756" s="7"/>
      <c r="V756" s="7"/>
      <c r="W756" s="7"/>
      <c r="X756" s="7"/>
    </row>
    <row r="757" spans="1:24" ht="19.5" customHeight="1">
      <c r="A757" s="7"/>
      <c r="B757" s="7"/>
      <c r="C757" s="7"/>
      <c r="D757" s="7"/>
      <c r="E757" s="7"/>
      <c r="F757" s="7"/>
      <c r="G757" s="7"/>
      <c r="H757" s="7"/>
      <c r="I757" s="7"/>
      <c r="J757" s="7"/>
      <c r="K757" s="7"/>
      <c r="L757" s="7"/>
      <c r="M757" s="246"/>
      <c r="N757" s="7"/>
      <c r="O757" s="7"/>
      <c r="P757" s="7"/>
      <c r="Q757" s="7"/>
      <c r="R757" s="7"/>
      <c r="S757" s="7"/>
      <c r="T757" s="7"/>
      <c r="U757" s="7"/>
      <c r="V757" s="7"/>
      <c r="W757" s="7"/>
      <c r="X757" s="7"/>
    </row>
    <row r="758" spans="1:24" ht="19.5" customHeight="1">
      <c r="A758" s="7"/>
      <c r="B758" s="7"/>
      <c r="C758" s="7"/>
      <c r="D758" s="7"/>
      <c r="E758" s="7"/>
      <c r="F758" s="7"/>
      <c r="G758" s="7"/>
      <c r="H758" s="7"/>
      <c r="I758" s="7"/>
      <c r="J758" s="7"/>
      <c r="K758" s="7"/>
      <c r="L758" s="7"/>
      <c r="M758" s="246"/>
      <c r="N758" s="7"/>
      <c r="O758" s="7"/>
      <c r="P758" s="7"/>
      <c r="Q758" s="7"/>
      <c r="R758" s="7"/>
      <c r="S758" s="7"/>
      <c r="T758" s="7"/>
      <c r="U758" s="7"/>
      <c r="V758" s="7"/>
      <c r="W758" s="7"/>
      <c r="X758" s="7"/>
    </row>
    <row r="759" spans="1:24" ht="19.5" customHeight="1">
      <c r="A759" s="7"/>
      <c r="B759" s="7"/>
      <c r="C759" s="7"/>
      <c r="D759" s="7"/>
      <c r="E759" s="7"/>
      <c r="F759" s="7"/>
      <c r="G759" s="7"/>
      <c r="H759" s="7"/>
      <c r="I759" s="7"/>
      <c r="J759" s="7"/>
      <c r="K759" s="7"/>
      <c r="L759" s="7"/>
      <c r="M759" s="246"/>
      <c r="N759" s="7"/>
      <c r="O759" s="7"/>
      <c r="P759" s="7"/>
      <c r="Q759" s="7"/>
      <c r="R759" s="7"/>
      <c r="S759" s="7"/>
      <c r="T759" s="7"/>
      <c r="U759" s="7"/>
      <c r="V759" s="7"/>
      <c r="W759" s="7"/>
      <c r="X759" s="7"/>
    </row>
    <row r="760" spans="1:24" ht="19.5" customHeight="1">
      <c r="A760" s="7"/>
      <c r="B760" s="7"/>
      <c r="C760" s="7"/>
      <c r="D760" s="7"/>
      <c r="E760" s="7"/>
      <c r="F760" s="7"/>
      <c r="G760" s="7"/>
      <c r="H760" s="7"/>
      <c r="I760" s="7"/>
      <c r="J760" s="7"/>
      <c r="K760" s="7"/>
      <c r="L760" s="7"/>
      <c r="M760" s="246"/>
      <c r="N760" s="7"/>
      <c r="O760" s="7"/>
      <c r="P760" s="7"/>
      <c r="Q760" s="7"/>
      <c r="R760" s="7"/>
      <c r="S760" s="7"/>
      <c r="T760" s="7"/>
      <c r="U760" s="7"/>
      <c r="V760" s="7"/>
      <c r="W760" s="7"/>
      <c r="X760" s="7"/>
    </row>
    <row r="761" spans="1:24" ht="19.5" customHeight="1">
      <c r="A761" s="7"/>
      <c r="B761" s="7"/>
      <c r="C761" s="7"/>
      <c r="D761" s="7"/>
      <c r="E761" s="7"/>
      <c r="F761" s="7"/>
      <c r="G761" s="7"/>
      <c r="H761" s="7"/>
      <c r="I761" s="7"/>
      <c r="J761" s="7"/>
      <c r="K761" s="7"/>
      <c r="L761" s="7"/>
      <c r="M761" s="246"/>
      <c r="N761" s="7"/>
      <c r="O761" s="7"/>
      <c r="P761" s="7"/>
      <c r="Q761" s="7"/>
      <c r="R761" s="7"/>
      <c r="S761" s="7"/>
      <c r="T761" s="7"/>
      <c r="U761" s="7"/>
      <c r="V761" s="7"/>
      <c r="W761" s="7"/>
      <c r="X761" s="7"/>
    </row>
    <row r="762" spans="1:24" ht="19.5" customHeight="1">
      <c r="A762" s="7"/>
      <c r="B762" s="7"/>
      <c r="C762" s="7"/>
      <c r="D762" s="7"/>
      <c r="E762" s="7"/>
      <c r="F762" s="7"/>
      <c r="G762" s="7"/>
      <c r="H762" s="7"/>
      <c r="I762" s="7"/>
      <c r="J762" s="7"/>
      <c r="K762" s="7"/>
      <c r="L762" s="7"/>
      <c r="M762" s="246"/>
      <c r="N762" s="7"/>
      <c r="O762" s="7"/>
      <c r="P762" s="7"/>
      <c r="Q762" s="7"/>
      <c r="R762" s="7"/>
      <c r="S762" s="7"/>
      <c r="T762" s="7"/>
      <c r="U762" s="7"/>
      <c r="V762" s="7"/>
      <c r="W762" s="7"/>
      <c r="X762" s="7"/>
    </row>
    <row r="763" spans="1:24" ht="19.5" customHeight="1">
      <c r="A763" s="7"/>
      <c r="B763" s="7"/>
      <c r="C763" s="7"/>
      <c r="D763" s="7"/>
      <c r="E763" s="7"/>
      <c r="F763" s="7"/>
      <c r="G763" s="7"/>
      <c r="H763" s="7"/>
      <c r="I763" s="7"/>
      <c r="J763" s="7"/>
      <c r="K763" s="7"/>
      <c r="L763" s="7"/>
      <c r="M763" s="246"/>
      <c r="N763" s="7"/>
      <c r="O763" s="7"/>
      <c r="P763" s="7"/>
      <c r="Q763" s="7"/>
      <c r="R763" s="7"/>
      <c r="S763" s="7"/>
      <c r="T763" s="7"/>
      <c r="U763" s="7"/>
      <c r="V763" s="7"/>
      <c r="W763" s="7"/>
      <c r="X763" s="7"/>
    </row>
    <row r="764" spans="1:24" ht="19.5" customHeight="1">
      <c r="A764" s="7"/>
      <c r="B764" s="7"/>
      <c r="C764" s="7"/>
      <c r="D764" s="7"/>
      <c r="E764" s="7"/>
      <c r="F764" s="7"/>
      <c r="G764" s="7"/>
      <c r="H764" s="7"/>
      <c r="I764" s="7"/>
      <c r="J764" s="7"/>
      <c r="K764" s="7"/>
      <c r="L764" s="7"/>
      <c r="M764" s="246"/>
      <c r="N764" s="7"/>
      <c r="O764" s="7"/>
      <c r="P764" s="7"/>
      <c r="Q764" s="7"/>
      <c r="R764" s="7"/>
      <c r="S764" s="7"/>
      <c r="T764" s="7"/>
      <c r="U764" s="7"/>
      <c r="V764" s="7"/>
      <c r="W764" s="7"/>
      <c r="X764" s="7"/>
    </row>
    <row r="765" spans="1:24" ht="19.5" customHeight="1">
      <c r="A765" s="7"/>
      <c r="B765" s="7"/>
      <c r="C765" s="7"/>
      <c r="D765" s="7"/>
      <c r="E765" s="7"/>
      <c r="F765" s="7"/>
      <c r="G765" s="7"/>
      <c r="H765" s="7"/>
      <c r="I765" s="7"/>
      <c r="J765" s="7"/>
      <c r="K765" s="7"/>
      <c r="L765" s="7"/>
      <c r="M765" s="246"/>
      <c r="N765" s="7"/>
      <c r="O765" s="7"/>
      <c r="P765" s="7"/>
      <c r="Q765" s="7"/>
      <c r="R765" s="7"/>
      <c r="S765" s="7"/>
      <c r="T765" s="7"/>
      <c r="U765" s="7"/>
      <c r="V765" s="7"/>
      <c r="W765" s="7"/>
      <c r="X765" s="7"/>
    </row>
    <row r="766" spans="1:24" ht="19.5" customHeight="1">
      <c r="A766" s="7"/>
      <c r="B766" s="7"/>
      <c r="C766" s="7"/>
      <c r="D766" s="7"/>
      <c r="E766" s="7"/>
      <c r="F766" s="7"/>
      <c r="G766" s="7"/>
      <c r="H766" s="7"/>
      <c r="I766" s="7"/>
      <c r="J766" s="7"/>
      <c r="K766" s="7"/>
      <c r="L766" s="7"/>
      <c r="M766" s="246"/>
      <c r="N766" s="7"/>
      <c r="O766" s="7"/>
      <c r="P766" s="7"/>
      <c r="Q766" s="7"/>
      <c r="R766" s="7"/>
      <c r="S766" s="7"/>
      <c r="T766" s="7"/>
      <c r="U766" s="7"/>
      <c r="V766" s="7"/>
      <c r="W766" s="7"/>
      <c r="X766" s="7"/>
    </row>
    <row r="767" spans="1:24" ht="19.5" customHeight="1">
      <c r="A767" s="7"/>
      <c r="B767" s="7"/>
      <c r="C767" s="7"/>
      <c r="D767" s="7"/>
      <c r="E767" s="7"/>
      <c r="F767" s="7"/>
      <c r="G767" s="7"/>
      <c r="H767" s="7"/>
      <c r="I767" s="7"/>
      <c r="J767" s="7"/>
      <c r="K767" s="7"/>
      <c r="L767" s="7"/>
      <c r="M767" s="246"/>
      <c r="N767" s="7"/>
      <c r="O767" s="7"/>
      <c r="P767" s="7"/>
      <c r="Q767" s="7"/>
      <c r="R767" s="7"/>
      <c r="S767" s="7"/>
      <c r="T767" s="7"/>
      <c r="U767" s="7"/>
      <c r="V767" s="7"/>
      <c r="W767" s="7"/>
      <c r="X767" s="7"/>
    </row>
    <row r="768" spans="1:24" ht="19.5" customHeight="1">
      <c r="A768" s="7"/>
      <c r="B768" s="7"/>
      <c r="C768" s="7"/>
      <c r="D768" s="7"/>
      <c r="E768" s="7"/>
      <c r="F768" s="7"/>
      <c r="G768" s="7"/>
      <c r="H768" s="7"/>
      <c r="I768" s="7"/>
      <c r="J768" s="7"/>
      <c r="K768" s="7"/>
      <c r="L768" s="7"/>
      <c r="M768" s="246"/>
      <c r="N768" s="7"/>
      <c r="O768" s="7"/>
      <c r="P768" s="7"/>
      <c r="Q768" s="7"/>
      <c r="R768" s="7"/>
      <c r="S768" s="7"/>
      <c r="T768" s="7"/>
      <c r="U768" s="7"/>
      <c r="V768" s="7"/>
      <c r="W768" s="7"/>
      <c r="X768" s="7"/>
    </row>
    <row r="769" spans="1:24" ht="19.5" customHeight="1">
      <c r="A769" s="7"/>
      <c r="B769" s="7"/>
      <c r="C769" s="7"/>
      <c r="D769" s="7"/>
      <c r="E769" s="7"/>
      <c r="F769" s="7"/>
      <c r="G769" s="7"/>
      <c r="H769" s="7"/>
      <c r="I769" s="7"/>
      <c r="J769" s="7"/>
      <c r="K769" s="7"/>
      <c r="L769" s="7"/>
      <c r="M769" s="246"/>
      <c r="N769" s="7"/>
      <c r="O769" s="7"/>
      <c r="P769" s="7"/>
      <c r="Q769" s="7"/>
      <c r="R769" s="7"/>
      <c r="S769" s="7"/>
      <c r="T769" s="7"/>
      <c r="U769" s="7"/>
      <c r="V769" s="7"/>
      <c r="W769" s="7"/>
      <c r="X769" s="7"/>
    </row>
    <row r="770" spans="1:24" ht="19.5" customHeight="1">
      <c r="A770" s="7"/>
      <c r="B770" s="7"/>
      <c r="C770" s="7"/>
      <c r="D770" s="7"/>
      <c r="E770" s="7"/>
      <c r="F770" s="7"/>
      <c r="G770" s="7"/>
      <c r="H770" s="7"/>
      <c r="I770" s="7"/>
      <c r="J770" s="7"/>
      <c r="K770" s="7"/>
      <c r="L770" s="7"/>
      <c r="M770" s="246"/>
      <c r="N770" s="7"/>
      <c r="O770" s="7"/>
      <c r="P770" s="7"/>
      <c r="Q770" s="7"/>
      <c r="R770" s="7"/>
      <c r="S770" s="7"/>
      <c r="T770" s="7"/>
      <c r="U770" s="7"/>
      <c r="V770" s="7"/>
      <c r="W770" s="7"/>
      <c r="X770" s="7"/>
    </row>
    <row r="771" spans="1:24" ht="19.5" customHeight="1">
      <c r="A771" s="7"/>
      <c r="B771" s="7"/>
      <c r="C771" s="7"/>
      <c r="D771" s="7"/>
      <c r="E771" s="7"/>
      <c r="F771" s="7"/>
      <c r="G771" s="7"/>
      <c r="H771" s="7"/>
      <c r="I771" s="7"/>
      <c r="J771" s="7"/>
      <c r="K771" s="7"/>
      <c r="L771" s="7"/>
      <c r="M771" s="246"/>
      <c r="N771" s="7"/>
      <c r="O771" s="7"/>
      <c r="P771" s="7"/>
      <c r="Q771" s="7"/>
      <c r="R771" s="7"/>
      <c r="S771" s="7"/>
      <c r="T771" s="7"/>
      <c r="U771" s="7"/>
      <c r="V771" s="7"/>
      <c r="W771" s="7"/>
      <c r="X771" s="7"/>
    </row>
    <row r="772" spans="1:24" ht="19.5" customHeight="1">
      <c r="A772" s="7"/>
      <c r="B772" s="7"/>
      <c r="C772" s="7"/>
      <c r="D772" s="7"/>
      <c r="E772" s="7"/>
      <c r="F772" s="7"/>
      <c r="G772" s="7"/>
      <c r="H772" s="7"/>
      <c r="I772" s="7"/>
      <c r="J772" s="7"/>
      <c r="K772" s="7"/>
      <c r="L772" s="7"/>
      <c r="M772" s="246"/>
      <c r="N772" s="7"/>
      <c r="O772" s="7"/>
      <c r="P772" s="7"/>
      <c r="Q772" s="7"/>
      <c r="R772" s="7"/>
      <c r="S772" s="7"/>
      <c r="T772" s="7"/>
      <c r="U772" s="7"/>
      <c r="V772" s="7"/>
      <c r="W772" s="7"/>
      <c r="X772" s="7"/>
    </row>
    <row r="773" spans="1:24" ht="19.5" customHeight="1">
      <c r="A773" s="7"/>
      <c r="B773" s="7"/>
      <c r="C773" s="7"/>
      <c r="D773" s="7"/>
      <c r="E773" s="7"/>
      <c r="F773" s="7"/>
      <c r="G773" s="7"/>
      <c r="H773" s="7"/>
      <c r="I773" s="7"/>
      <c r="J773" s="7"/>
      <c r="K773" s="7"/>
      <c r="L773" s="7"/>
      <c r="M773" s="246"/>
      <c r="N773" s="7"/>
      <c r="O773" s="7"/>
      <c r="P773" s="7"/>
      <c r="Q773" s="7"/>
      <c r="R773" s="7"/>
      <c r="S773" s="7"/>
      <c r="T773" s="7"/>
      <c r="U773" s="7"/>
      <c r="V773" s="7"/>
      <c r="W773" s="7"/>
      <c r="X773" s="7"/>
    </row>
    <row r="774" spans="1:24" ht="19.5" customHeight="1">
      <c r="A774" s="7"/>
      <c r="B774" s="7"/>
      <c r="C774" s="7"/>
      <c r="D774" s="7"/>
      <c r="E774" s="7"/>
      <c r="F774" s="7"/>
      <c r="G774" s="7"/>
      <c r="H774" s="7"/>
      <c r="I774" s="7"/>
      <c r="J774" s="7"/>
      <c r="K774" s="7"/>
      <c r="L774" s="7"/>
      <c r="M774" s="246"/>
      <c r="N774" s="7"/>
      <c r="O774" s="7"/>
      <c r="P774" s="7"/>
      <c r="Q774" s="7"/>
      <c r="R774" s="7"/>
      <c r="S774" s="7"/>
      <c r="T774" s="7"/>
      <c r="U774" s="7"/>
      <c r="V774" s="7"/>
      <c r="W774" s="7"/>
      <c r="X774" s="7"/>
    </row>
    <row r="775" spans="1:24" ht="19.5" customHeight="1">
      <c r="A775" s="7"/>
      <c r="B775" s="7"/>
      <c r="C775" s="7"/>
      <c r="D775" s="7"/>
      <c r="E775" s="7"/>
      <c r="F775" s="7"/>
      <c r="G775" s="7"/>
      <c r="H775" s="7"/>
      <c r="I775" s="7"/>
      <c r="J775" s="7"/>
      <c r="K775" s="7"/>
      <c r="L775" s="7"/>
      <c r="M775" s="246"/>
      <c r="N775" s="7"/>
      <c r="O775" s="7"/>
      <c r="P775" s="7"/>
      <c r="Q775" s="7"/>
      <c r="R775" s="7"/>
      <c r="S775" s="7"/>
      <c r="T775" s="7"/>
      <c r="U775" s="7"/>
      <c r="V775" s="7"/>
      <c r="W775" s="7"/>
      <c r="X775" s="7"/>
    </row>
    <row r="776" spans="1:24" ht="19.5" customHeight="1">
      <c r="A776" s="7"/>
      <c r="B776" s="7"/>
      <c r="C776" s="7"/>
      <c r="D776" s="7"/>
      <c r="E776" s="7"/>
      <c r="F776" s="7"/>
      <c r="G776" s="7"/>
      <c r="H776" s="7"/>
      <c r="I776" s="7"/>
      <c r="J776" s="7"/>
      <c r="K776" s="7"/>
      <c r="L776" s="7"/>
      <c r="M776" s="246"/>
      <c r="N776" s="7"/>
      <c r="O776" s="7"/>
      <c r="P776" s="7"/>
      <c r="Q776" s="7"/>
      <c r="R776" s="7"/>
      <c r="S776" s="7"/>
      <c r="T776" s="7"/>
      <c r="U776" s="7"/>
      <c r="V776" s="7"/>
      <c r="W776" s="7"/>
      <c r="X776" s="7"/>
    </row>
    <row r="777" spans="1:24" ht="19.5" customHeight="1">
      <c r="A777" s="7"/>
      <c r="B777" s="7"/>
      <c r="C777" s="7"/>
      <c r="D777" s="7"/>
      <c r="E777" s="7"/>
      <c r="F777" s="7"/>
      <c r="G777" s="7"/>
      <c r="H777" s="7"/>
      <c r="I777" s="7"/>
      <c r="J777" s="7"/>
      <c r="K777" s="7"/>
      <c r="L777" s="7"/>
      <c r="M777" s="246"/>
      <c r="N777" s="7"/>
      <c r="O777" s="7"/>
      <c r="P777" s="7"/>
      <c r="Q777" s="7"/>
      <c r="R777" s="7"/>
      <c r="S777" s="7"/>
      <c r="T777" s="7"/>
      <c r="U777" s="7"/>
      <c r="V777" s="7"/>
      <c r="W777" s="7"/>
      <c r="X777" s="7"/>
    </row>
    <row r="778" spans="1:24" ht="19.5" customHeight="1">
      <c r="A778" s="7"/>
      <c r="B778" s="7"/>
      <c r="C778" s="7"/>
      <c r="D778" s="7"/>
      <c r="E778" s="7"/>
      <c r="F778" s="7"/>
      <c r="G778" s="7"/>
      <c r="H778" s="7"/>
      <c r="I778" s="7"/>
      <c r="J778" s="7"/>
      <c r="K778" s="7"/>
      <c r="L778" s="7"/>
      <c r="M778" s="246"/>
      <c r="N778" s="7"/>
      <c r="O778" s="7"/>
      <c r="P778" s="7"/>
      <c r="Q778" s="7"/>
      <c r="R778" s="7"/>
      <c r="S778" s="7"/>
      <c r="T778" s="7"/>
      <c r="U778" s="7"/>
      <c r="V778" s="7"/>
      <c r="W778" s="7"/>
      <c r="X778" s="7"/>
    </row>
    <row r="779" spans="1:24" ht="19.5" customHeight="1">
      <c r="A779" s="7"/>
      <c r="B779" s="7"/>
      <c r="C779" s="7"/>
      <c r="D779" s="7"/>
      <c r="E779" s="7"/>
      <c r="F779" s="7"/>
      <c r="G779" s="7"/>
      <c r="H779" s="7"/>
      <c r="I779" s="7"/>
      <c r="J779" s="7"/>
      <c r="K779" s="7"/>
      <c r="L779" s="7"/>
      <c r="M779" s="246"/>
      <c r="N779" s="7"/>
      <c r="O779" s="7"/>
      <c r="P779" s="7"/>
      <c r="Q779" s="7"/>
      <c r="R779" s="7"/>
      <c r="S779" s="7"/>
      <c r="T779" s="7"/>
      <c r="U779" s="7"/>
      <c r="V779" s="7"/>
      <c r="W779" s="7"/>
      <c r="X779" s="7"/>
    </row>
    <row r="780" spans="1:24" ht="19.5" customHeight="1">
      <c r="A780" s="7"/>
      <c r="B780" s="7"/>
      <c r="C780" s="7"/>
      <c r="D780" s="7"/>
      <c r="E780" s="7"/>
      <c r="F780" s="7"/>
      <c r="G780" s="7"/>
      <c r="H780" s="7"/>
      <c r="I780" s="7"/>
      <c r="J780" s="7"/>
      <c r="K780" s="7"/>
      <c r="L780" s="7"/>
      <c r="M780" s="246"/>
      <c r="N780" s="7"/>
      <c r="O780" s="7"/>
      <c r="P780" s="7"/>
      <c r="Q780" s="7"/>
      <c r="R780" s="7"/>
      <c r="S780" s="7"/>
      <c r="T780" s="7"/>
      <c r="U780" s="7"/>
      <c r="V780" s="7"/>
      <c r="W780" s="7"/>
      <c r="X780" s="7"/>
    </row>
    <row r="781" spans="1:24" ht="19.5" customHeight="1">
      <c r="A781" s="7"/>
      <c r="B781" s="7"/>
      <c r="C781" s="7"/>
      <c r="D781" s="7"/>
      <c r="E781" s="7"/>
      <c r="F781" s="7"/>
      <c r="G781" s="7"/>
      <c r="H781" s="7"/>
      <c r="I781" s="7"/>
      <c r="J781" s="7"/>
      <c r="K781" s="7"/>
      <c r="L781" s="7"/>
      <c r="M781" s="246"/>
      <c r="N781" s="7"/>
      <c r="O781" s="7"/>
      <c r="P781" s="7"/>
      <c r="Q781" s="7"/>
      <c r="R781" s="7"/>
      <c r="S781" s="7"/>
      <c r="T781" s="7"/>
      <c r="U781" s="7"/>
      <c r="V781" s="7"/>
      <c r="W781" s="7"/>
      <c r="X781" s="7"/>
    </row>
    <row r="782" spans="1:24" ht="19.5" customHeight="1">
      <c r="A782" s="7"/>
      <c r="B782" s="7"/>
      <c r="C782" s="7"/>
      <c r="D782" s="7"/>
      <c r="E782" s="7"/>
      <c r="F782" s="7"/>
      <c r="G782" s="7"/>
      <c r="H782" s="7"/>
      <c r="I782" s="7"/>
      <c r="J782" s="7"/>
      <c r="K782" s="7"/>
      <c r="L782" s="7"/>
      <c r="M782" s="246"/>
      <c r="N782" s="7"/>
      <c r="O782" s="7"/>
      <c r="P782" s="7"/>
      <c r="Q782" s="7"/>
      <c r="R782" s="7"/>
      <c r="S782" s="7"/>
      <c r="T782" s="7"/>
      <c r="U782" s="7"/>
      <c r="V782" s="7"/>
      <c r="W782" s="7"/>
      <c r="X782" s="7"/>
    </row>
    <row r="783" spans="1:24" ht="19.5" customHeight="1">
      <c r="A783" s="7"/>
      <c r="B783" s="7"/>
      <c r="C783" s="7"/>
      <c r="D783" s="7"/>
      <c r="E783" s="7"/>
      <c r="F783" s="7"/>
      <c r="G783" s="7"/>
      <c r="H783" s="7"/>
      <c r="I783" s="7"/>
      <c r="J783" s="7"/>
      <c r="K783" s="7"/>
      <c r="L783" s="7"/>
      <c r="M783" s="246"/>
      <c r="N783" s="7"/>
      <c r="O783" s="7"/>
      <c r="P783" s="7"/>
      <c r="Q783" s="7"/>
      <c r="R783" s="7"/>
      <c r="S783" s="7"/>
      <c r="T783" s="7"/>
      <c r="U783" s="7"/>
      <c r="V783" s="7"/>
      <c r="W783" s="7"/>
      <c r="X783" s="7"/>
    </row>
    <row r="784" spans="1:24" ht="19.5" customHeight="1">
      <c r="A784" s="7"/>
      <c r="B784" s="7"/>
      <c r="C784" s="7"/>
      <c r="D784" s="7"/>
      <c r="E784" s="7"/>
      <c r="F784" s="7"/>
      <c r="G784" s="7"/>
      <c r="H784" s="7"/>
      <c r="I784" s="7"/>
      <c r="J784" s="7"/>
      <c r="K784" s="7"/>
      <c r="L784" s="7"/>
      <c r="M784" s="246"/>
      <c r="N784" s="7"/>
      <c r="O784" s="7"/>
      <c r="P784" s="7"/>
      <c r="Q784" s="7"/>
      <c r="R784" s="7"/>
      <c r="S784" s="7"/>
      <c r="T784" s="7"/>
      <c r="U784" s="7"/>
      <c r="V784" s="7"/>
      <c r="W784" s="7"/>
      <c r="X784" s="7"/>
    </row>
    <row r="785" spans="1:24" ht="19.5" customHeight="1">
      <c r="A785" s="7"/>
      <c r="B785" s="7"/>
      <c r="C785" s="7"/>
      <c r="D785" s="7"/>
      <c r="E785" s="7"/>
      <c r="F785" s="7"/>
      <c r="G785" s="7"/>
      <c r="H785" s="7"/>
      <c r="I785" s="7"/>
      <c r="J785" s="7"/>
      <c r="K785" s="7"/>
      <c r="L785" s="7"/>
      <c r="M785" s="246"/>
      <c r="N785" s="7"/>
      <c r="O785" s="7"/>
      <c r="P785" s="7"/>
      <c r="Q785" s="7"/>
      <c r="R785" s="7"/>
      <c r="S785" s="7"/>
      <c r="T785" s="7"/>
      <c r="U785" s="7"/>
      <c r="V785" s="7"/>
      <c r="W785" s="7"/>
      <c r="X785" s="7"/>
    </row>
    <row r="786" spans="1:24" ht="19.5" customHeight="1">
      <c r="A786" s="7"/>
      <c r="B786" s="7"/>
      <c r="C786" s="7"/>
      <c r="D786" s="7"/>
      <c r="E786" s="7"/>
      <c r="F786" s="7"/>
      <c r="G786" s="7"/>
      <c r="H786" s="7"/>
      <c r="I786" s="7"/>
      <c r="J786" s="7"/>
      <c r="K786" s="7"/>
      <c r="L786" s="7"/>
      <c r="M786" s="246"/>
      <c r="N786" s="7"/>
      <c r="O786" s="7"/>
      <c r="P786" s="7"/>
      <c r="Q786" s="7"/>
      <c r="R786" s="7"/>
      <c r="S786" s="7"/>
      <c r="T786" s="7"/>
      <c r="U786" s="7"/>
      <c r="V786" s="7"/>
      <c r="W786" s="7"/>
      <c r="X786" s="7"/>
    </row>
    <row r="787" spans="1:24" ht="19.5" customHeight="1">
      <c r="A787" s="7"/>
      <c r="B787" s="7"/>
      <c r="C787" s="7"/>
      <c r="D787" s="7"/>
      <c r="E787" s="7"/>
      <c r="F787" s="7"/>
      <c r="G787" s="7"/>
      <c r="H787" s="7"/>
      <c r="I787" s="7"/>
      <c r="J787" s="7"/>
      <c r="K787" s="7"/>
      <c r="L787" s="7"/>
      <c r="M787" s="246"/>
      <c r="N787" s="7"/>
      <c r="O787" s="7"/>
      <c r="P787" s="7"/>
      <c r="Q787" s="7"/>
      <c r="R787" s="7"/>
      <c r="S787" s="7"/>
      <c r="T787" s="7"/>
      <c r="U787" s="7"/>
      <c r="V787" s="7"/>
      <c r="W787" s="7"/>
      <c r="X787" s="7"/>
    </row>
    <row r="788" spans="1:24" ht="19.5" customHeight="1">
      <c r="A788" s="7"/>
      <c r="B788" s="7"/>
      <c r="C788" s="7"/>
      <c r="D788" s="7"/>
      <c r="E788" s="7"/>
      <c r="F788" s="7"/>
      <c r="G788" s="7"/>
      <c r="H788" s="7"/>
      <c r="I788" s="7"/>
      <c r="J788" s="7"/>
      <c r="K788" s="7"/>
      <c r="L788" s="7"/>
      <c r="M788" s="246"/>
      <c r="N788" s="7"/>
      <c r="O788" s="7"/>
      <c r="P788" s="7"/>
      <c r="Q788" s="7"/>
      <c r="R788" s="7"/>
      <c r="S788" s="7"/>
      <c r="T788" s="7"/>
      <c r="U788" s="7"/>
      <c r="V788" s="7"/>
      <c r="W788" s="7"/>
      <c r="X788" s="7"/>
    </row>
    <row r="789" spans="1:24" ht="19.5" customHeight="1">
      <c r="A789" s="7"/>
      <c r="B789" s="7"/>
      <c r="C789" s="7"/>
      <c r="D789" s="7"/>
      <c r="E789" s="7"/>
      <c r="F789" s="7"/>
      <c r="G789" s="7"/>
      <c r="H789" s="7"/>
      <c r="I789" s="7"/>
      <c r="J789" s="7"/>
      <c r="K789" s="7"/>
      <c r="L789" s="7"/>
      <c r="M789" s="246"/>
      <c r="N789" s="7"/>
      <c r="O789" s="7"/>
      <c r="P789" s="7"/>
      <c r="Q789" s="7"/>
      <c r="R789" s="7"/>
      <c r="S789" s="7"/>
      <c r="T789" s="7"/>
      <c r="U789" s="7"/>
      <c r="V789" s="7"/>
      <c r="W789" s="7"/>
      <c r="X789" s="7"/>
    </row>
    <row r="790" spans="1:24" ht="19.5" customHeight="1">
      <c r="A790" s="7"/>
      <c r="B790" s="7"/>
      <c r="C790" s="7"/>
      <c r="D790" s="7"/>
      <c r="E790" s="7"/>
      <c r="F790" s="7"/>
      <c r="G790" s="7"/>
      <c r="H790" s="7"/>
      <c r="I790" s="7"/>
      <c r="J790" s="7"/>
      <c r="K790" s="7"/>
      <c r="L790" s="7"/>
      <c r="M790" s="246"/>
      <c r="N790" s="7"/>
      <c r="O790" s="7"/>
      <c r="P790" s="7"/>
      <c r="Q790" s="7"/>
      <c r="R790" s="7"/>
      <c r="S790" s="7"/>
      <c r="T790" s="7"/>
      <c r="U790" s="7"/>
      <c r="V790" s="7"/>
      <c r="W790" s="7"/>
      <c r="X790" s="7"/>
    </row>
    <row r="791" spans="1:24" ht="19.5" customHeight="1">
      <c r="A791" s="7"/>
      <c r="B791" s="7"/>
      <c r="C791" s="7"/>
      <c r="D791" s="7"/>
      <c r="E791" s="7"/>
      <c r="F791" s="7"/>
      <c r="G791" s="7"/>
      <c r="H791" s="7"/>
      <c r="I791" s="7"/>
      <c r="J791" s="7"/>
      <c r="K791" s="7"/>
      <c r="L791" s="7"/>
      <c r="M791" s="246"/>
      <c r="N791" s="7"/>
      <c r="O791" s="7"/>
      <c r="P791" s="7"/>
      <c r="Q791" s="7"/>
      <c r="R791" s="7"/>
      <c r="S791" s="7"/>
      <c r="T791" s="7"/>
      <c r="U791" s="7"/>
      <c r="V791" s="7"/>
      <c r="W791" s="7"/>
      <c r="X791" s="7"/>
    </row>
    <row r="792" spans="1:24" ht="19.5" customHeight="1">
      <c r="A792" s="7"/>
      <c r="B792" s="7"/>
      <c r="C792" s="7"/>
      <c r="D792" s="7"/>
      <c r="E792" s="7"/>
      <c r="F792" s="7"/>
      <c r="G792" s="7"/>
      <c r="H792" s="7"/>
      <c r="I792" s="7"/>
      <c r="J792" s="7"/>
      <c r="K792" s="7"/>
      <c r="L792" s="7"/>
      <c r="M792" s="246"/>
      <c r="N792" s="7"/>
      <c r="O792" s="7"/>
      <c r="P792" s="7"/>
      <c r="Q792" s="7"/>
      <c r="R792" s="7"/>
      <c r="S792" s="7"/>
      <c r="T792" s="7"/>
      <c r="U792" s="7"/>
      <c r="V792" s="7"/>
      <c r="W792" s="7"/>
      <c r="X792" s="7"/>
    </row>
    <row r="793" spans="1:24" ht="19.5" customHeight="1">
      <c r="A793" s="7"/>
      <c r="B793" s="7"/>
      <c r="C793" s="7"/>
      <c r="D793" s="7"/>
      <c r="E793" s="7"/>
      <c r="F793" s="7"/>
      <c r="G793" s="7"/>
      <c r="H793" s="7"/>
      <c r="I793" s="7"/>
      <c r="J793" s="7"/>
      <c r="K793" s="7"/>
      <c r="L793" s="7"/>
      <c r="M793" s="246"/>
      <c r="N793" s="7"/>
      <c r="O793" s="7"/>
      <c r="P793" s="7"/>
      <c r="Q793" s="7"/>
      <c r="R793" s="7"/>
      <c r="S793" s="7"/>
      <c r="T793" s="7"/>
      <c r="U793" s="7"/>
      <c r="V793" s="7"/>
      <c r="W793" s="7"/>
      <c r="X793" s="7"/>
    </row>
    <row r="794" spans="1:24" ht="19.5" customHeight="1">
      <c r="A794" s="7"/>
      <c r="B794" s="7"/>
      <c r="C794" s="7"/>
      <c r="D794" s="7"/>
      <c r="E794" s="7"/>
      <c r="F794" s="7"/>
      <c r="G794" s="7"/>
      <c r="H794" s="7"/>
      <c r="I794" s="7"/>
      <c r="J794" s="7"/>
      <c r="K794" s="7"/>
      <c r="L794" s="7"/>
      <c r="M794" s="246"/>
      <c r="N794" s="7"/>
      <c r="O794" s="7"/>
      <c r="P794" s="7"/>
      <c r="Q794" s="7"/>
      <c r="R794" s="7"/>
      <c r="S794" s="7"/>
      <c r="T794" s="7"/>
      <c r="U794" s="7"/>
      <c r="V794" s="7"/>
      <c r="W794" s="7"/>
      <c r="X794" s="7"/>
    </row>
    <row r="795" spans="1:24" ht="19.5" customHeight="1">
      <c r="A795" s="7"/>
      <c r="B795" s="7"/>
      <c r="C795" s="7"/>
      <c r="D795" s="7"/>
      <c r="E795" s="7"/>
      <c r="F795" s="7"/>
      <c r="G795" s="7"/>
      <c r="H795" s="7"/>
      <c r="I795" s="7"/>
      <c r="J795" s="7"/>
      <c r="K795" s="7"/>
      <c r="L795" s="7"/>
      <c r="M795" s="246"/>
      <c r="N795" s="7"/>
      <c r="O795" s="7"/>
      <c r="P795" s="7"/>
      <c r="Q795" s="7"/>
      <c r="R795" s="7"/>
      <c r="S795" s="7"/>
      <c r="T795" s="7"/>
      <c r="U795" s="7"/>
      <c r="V795" s="7"/>
      <c r="W795" s="7"/>
      <c r="X795" s="7"/>
    </row>
    <row r="796" spans="1:24" ht="19.5" customHeight="1">
      <c r="A796" s="7"/>
      <c r="B796" s="7"/>
      <c r="C796" s="7"/>
      <c r="D796" s="7"/>
      <c r="E796" s="7"/>
      <c r="F796" s="7"/>
      <c r="G796" s="7"/>
      <c r="H796" s="7"/>
      <c r="I796" s="7"/>
      <c r="J796" s="7"/>
      <c r="K796" s="7"/>
      <c r="L796" s="7"/>
      <c r="M796" s="246"/>
      <c r="N796" s="7"/>
      <c r="O796" s="7"/>
      <c r="P796" s="7"/>
      <c r="Q796" s="7"/>
      <c r="R796" s="7"/>
      <c r="S796" s="7"/>
      <c r="T796" s="7"/>
      <c r="U796" s="7"/>
      <c r="V796" s="7"/>
      <c r="W796" s="7"/>
      <c r="X796" s="7"/>
    </row>
    <row r="797" spans="1:24" ht="19.5" customHeight="1">
      <c r="A797" s="7"/>
      <c r="B797" s="7"/>
      <c r="C797" s="7"/>
      <c r="D797" s="7"/>
      <c r="E797" s="7"/>
      <c r="F797" s="7"/>
      <c r="G797" s="7"/>
      <c r="H797" s="7"/>
      <c r="I797" s="7"/>
      <c r="J797" s="7"/>
      <c r="K797" s="7"/>
      <c r="L797" s="7"/>
      <c r="M797" s="246"/>
      <c r="N797" s="7"/>
      <c r="O797" s="7"/>
      <c r="P797" s="7"/>
      <c r="Q797" s="7"/>
      <c r="R797" s="7"/>
      <c r="S797" s="7"/>
      <c r="T797" s="7"/>
      <c r="U797" s="7"/>
      <c r="V797" s="7"/>
      <c r="W797" s="7"/>
      <c r="X797" s="7"/>
    </row>
    <row r="798" spans="1:24" ht="19.5" customHeight="1">
      <c r="A798" s="7"/>
      <c r="B798" s="7"/>
      <c r="C798" s="7"/>
      <c r="D798" s="7"/>
      <c r="E798" s="7"/>
      <c r="F798" s="7"/>
      <c r="G798" s="7"/>
      <c r="H798" s="7"/>
      <c r="I798" s="7"/>
      <c r="J798" s="7"/>
      <c r="K798" s="7"/>
      <c r="L798" s="7"/>
      <c r="M798" s="246"/>
      <c r="N798" s="7"/>
      <c r="O798" s="7"/>
      <c r="P798" s="7"/>
      <c r="Q798" s="7"/>
      <c r="R798" s="7"/>
      <c r="S798" s="7"/>
      <c r="T798" s="7"/>
      <c r="U798" s="7"/>
      <c r="V798" s="7"/>
      <c r="W798" s="7"/>
      <c r="X798" s="7"/>
    </row>
    <row r="799" spans="1:24" ht="19.5" customHeight="1">
      <c r="A799" s="7"/>
      <c r="B799" s="7"/>
      <c r="C799" s="7"/>
      <c r="D799" s="7"/>
      <c r="E799" s="7"/>
      <c r="F799" s="7"/>
      <c r="G799" s="7"/>
      <c r="H799" s="7"/>
      <c r="I799" s="7"/>
      <c r="J799" s="7"/>
      <c r="K799" s="7"/>
      <c r="L799" s="7"/>
      <c r="M799" s="246"/>
      <c r="N799" s="7"/>
      <c r="O799" s="7"/>
      <c r="P799" s="7"/>
      <c r="Q799" s="7"/>
      <c r="R799" s="7"/>
      <c r="S799" s="7"/>
      <c r="T799" s="7"/>
      <c r="U799" s="7"/>
      <c r="V799" s="7"/>
      <c r="W799" s="7"/>
      <c r="X799" s="7"/>
    </row>
    <row r="800" spans="1:24" ht="19.5" customHeight="1">
      <c r="A800" s="7"/>
      <c r="B800" s="7"/>
      <c r="C800" s="7"/>
      <c r="D800" s="7"/>
      <c r="E800" s="7"/>
      <c r="F800" s="7"/>
      <c r="G800" s="7"/>
      <c r="H800" s="7"/>
      <c r="I800" s="7"/>
      <c r="J800" s="7"/>
      <c r="K800" s="7"/>
      <c r="L800" s="7"/>
      <c r="M800" s="246"/>
      <c r="N800" s="7"/>
      <c r="O800" s="7"/>
      <c r="P800" s="7"/>
      <c r="Q800" s="7"/>
      <c r="R800" s="7"/>
      <c r="S800" s="7"/>
      <c r="T800" s="7"/>
      <c r="U800" s="7"/>
      <c r="V800" s="7"/>
      <c r="W800" s="7"/>
      <c r="X800" s="7"/>
    </row>
    <row r="801" spans="1:24" ht="19.5" customHeight="1">
      <c r="A801" s="7"/>
      <c r="B801" s="7"/>
      <c r="C801" s="7"/>
      <c r="D801" s="7"/>
      <c r="E801" s="7"/>
      <c r="F801" s="7"/>
      <c r="G801" s="7"/>
      <c r="H801" s="7"/>
      <c r="I801" s="7"/>
      <c r="J801" s="7"/>
      <c r="K801" s="7"/>
      <c r="L801" s="7"/>
      <c r="M801" s="246"/>
      <c r="N801" s="7"/>
      <c r="O801" s="7"/>
      <c r="P801" s="7"/>
      <c r="Q801" s="7"/>
      <c r="R801" s="7"/>
      <c r="S801" s="7"/>
      <c r="T801" s="7"/>
      <c r="U801" s="7"/>
      <c r="V801" s="7"/>
      <c r="W801" s="7"/>
      <c r="X801" s="7"/>
    </row>
    <row r="802" spans="1:24" ht="19.5" customHeight="1">
      <c r="A802" s="7"/>
      <c r="B802" s="7"/>
      <c r="C802" s="7"/>
      <c r="D802" s="7"/>
      <c r="E802" s="7"/>
      <c r="F802" s="7"/>
      <c r="G802" s="7"/>
      <c r="H802" s="7"/>
      <c r="I802" s="7"/>
      <c r="J802" s="7"/>
      <c r="K802" s="7"/>
      <c r="L802" s="7"/>
      <c r="M802" s="246"/>
      <c r="N802" s="7"/>
      <c r="O802" s="7"/>
      <c r="P802" s="7"/>
      <c r="Q802" s="7"/>
      <c r="R802" s="7"/>
      <c r="S802" s="7"/>
      <c r="T802" s="7"/>
      <c r="U802" s="7"/>
      <c r="V802" s="7"/>
      <c r="W802" s="7"/>
      <c r="X802" s="7"/>
    </row>
    <row r="803" spans="1:24" ht="19.5" customHeight="1">
      <c r="A803" s="7"/>
      <c r="B803" s="7"/>
      <c r="C803" s="7"/>
      <c r="D803" s="7"/>
      <c r="E803" s="7"/>
      <c r="F803" s="7"/>
      <c r="G803" s="7"/>
      <c r="H803" s="7"/>
      <c r="I803" s="7"/>
      <c r="J803" s="7"/>
      <c r="K803" s="7"/>
      <c r="L803" s="7"/>
      <c r="M803" s="246"/>
      <c r="N803" s="7"/>
      <c r="O803" s="7"/>
      <c r="P803" s="7"/>
      <c r="Q803" s="7"/>
      <c r="R803" s="7"/>
      <c r="S803" s="7"/>
      <c r="T803" s="7"/>
      <c r="U803" s="7"/>
      <c r="V803" s="7"/>
      <c r="W803" s="7"/>
      <c r="X803" s="7"/>
    </row>
    <row r="804" spans="1:24" ht="19.5" customHeight="1">
      <c r="A804" s="7"/>
      <c r="B804" s="7"/>
      <c r="C804" s="7"/>
      <c r="D804" s="7"/>
      <c r="E804" s="7"/>
      <c r="F804" s="7"/>
      <c r="G804" s="7"/>
      <c r="H804" s="7"/>
      <c r="I804" s="7"/>
      <c r="J804" s="7"/>
      <c r="K804" s="7"/>
      <c r="L804" s="7"/>
      <c r="M804" s="246"/>
      <c r="N804" s="7"/>
      <c r="O804" s="7"/>
      <c r="P804" s="7"/>
      <c r="Q804" s="7"/>
      <c r="R804" s="7"/>
      <c r="S804" s="7"/>
      <c r="T804" s="7"/>
      <c r="U804" s="7"/>
      <c r="V804" s="7"/>
      <c r="W804" s="7"/>
      <c r="X804" s="7"/>
    </row>
    <row r="805" spans="1:24" ht="19.5" customHeight="1">
      <c r="A805" s="7"/>
      <c r="B805" s="7"/>
      <c r="C805" s="7"/>
      <c r="D805" s="7"/>
      <c r="E805" s="7"/>
      <c r="F805" s="7"/>
      <c r="G805" s="7"/>
      <c r="H805" s="7"/>
      <c r="I805" s="7"/>
      <c r="J805" s="7"/>
      <c r="K805" s="7"/>
      <c r="L805" s="7"/>
      <c r="M805" s="246"/>
      <c r="N805" s="7"/>
      <c r="O805" s="7"/>
      <c r="P805" s="7"/>
      <c r="Q805" s="7"/>
      <c r="R805" s="7"/>
      <c r="S805" s="7"/>
      <c r="T805" s="7"/>
      <c r="U805" s="7"/>
      <c r="V805" s="7"/>
      <c r="W805" s="7"/>
      <c r="X805" s="7"/>
    </row>
    <row r="806" spans="1:24" ht="19.5" customHeight="1">
      <c r="A806" s="7"/>
      <c r="B806" s="7"/>
      <c r="C806" s="7"/>
      <c r="D806" s="7"/>
      <c r="E806" s="7"/>
      <c r="F806" s="7"/>
      <c r="G806" s="7"/>
      <c r="H806" s="7"/>
      <c r="I806" s="7"/>
      <c r="J806" s="7"/>
      <c r="K806" s="7"/>
      <c r="L806" s="7"/>
      <c r="M806" s="246"/>
      <c r="N806" s="7"/>
      <c r="O806" s="7"/>
      <c r="P806" s="7"/>
      <c r="Q806" s="7"/>
      <c r="R806" s="7"/>
      <c r="S806" s="7"/>
      <c r="T806" s="7"/>
      <c r="U806" s="7"/>
      <c r="V806" s="7"/>
      <c r="W806" s="7"/>
      <c r="X806" s="7"/>
    </row>
    <row r="807" spans="1:24" ht="19.5" customHeight="1">
      <c r="A807" s="7"/>
      <c r="B807" s="7"/>
      <c r="C807" s="7"/>
      <c r="D807" s="7"/>
      <c r="E807" s="7"/>
      <c r="F807" s="7"/>
      <c r="G807" s="7"/>
      <c r="H807" s="7"/>
      <c r="I807" s="7"/>
      <c r="J807" s="7"/>
      <c r="K807" s="7"/>
      <c r="L807" s="7"/>
      <c r="M807" s="246"/>
      <c r="N807" s="7"/>
      <c r="O807" s="7"/>
      <c r="P807" s="7"/>
      <c r="Q807" s="7"/>
      <c r="R807" s="7"/>
      <c r="S807" s="7"/>
      <c r="T807" s="7"/>
      <c r="U807" s="7"/>
      <c r="V807" s="7"/>
      <c r="W807" s="7"/>
      <c r="X807" s="7"/>
    </row>
    <row r="808" spans="1:24" ht="19.5" customHeight="1">
      <c r="A808" s="7"/>
      <c r="B808" s="7"/>
      <c r="C808" s="7"/>
      <c r="D808" s="7"/>
      <c r="E808" s="7"/>
      <c r="F808" s="7"/>
      <c r="G808" s="7"/>
      <c r="H808" s="7"/>
      <c r="I808" s="7"/>
      <c r="J808" s="7"/>
      <c r="K808" s="7"/>
      <c r="L808" s="7"/>
      <c r="M808" s="246"/>
      <c r="N808" s="7"/>
      <c r="O808" s="7"/>
      <c r="P808" s="7"/>
      <c r="Q808" s="7"/>
      <c r="R808" s="7"/>
      <c r="S808" s="7"/>
      <c r="T808" s="7"/>
      <c r="U808" s="7"/>
      <c r="V808" s="7"/>
      <c r="W808" s="7"/>
      <c r="X808" s="7"/>
    </row>
    <row r="809" spans="1:24" ht="19.5" customHeight="1">
      <c r="A809" s="7"/>
      <c r="B809" s="7"/>
      <c r="C809" s="7"/>
      <c r="D809" s="7"/>
      <c r="E809" s="7"/>
      <c r="F809" s="7"/>
      <c r="G809" s="7"/>
      <c r="H809" s="7"/>
      <c r="I809" s="7"/>
      <c r="J809" s="7"/>
      <c r="K809" s="7"/>
      <c r="L809" s="7"/>
      <c r="M809" s="246"/>
      <c r="N809" s="7"/>
      <c r="O809" s="7"/>
      <c r="P809" s="7"/>
      <c r="Q809" s="7"/>
      <c r="R809" s="7"/>
      <c r="S809" s="7"/>
      <c r="T809" s="7"/>
      <c r="U809" s="7"/>
      <c r="V809" s="7"/>
      <c r="W809" s="7"/>
      <c r="X809" s="7"/>
    </row>
    <row r="810" spans="1:24" ht="12.75"/>
    <row r="811" spans="1:24" ht="12.75"/>
    <row r="812" spans="1:24" ht="12.75"/>
    <row r="813" spans="1:24" ht="12.75"/>
    <row r="814" spans="1:24" ht="12.75"/>
    <row r="815" spans="1:24" ht="12.75"/>
    <row r="816" spans="1:24" ht="12.75"/>
    <row r="817" ht="12.75"/>
    <row r="821" ht="12.75"/>
    <row r="822" ht="12.75"/>
    <row r="824" ht="12.75"/>
    <row r="825"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sheetData>
  <mergeCells count="8">
    <mergeCell ref="O6:R6"/>
    <mergeCell ref="J6:M6"/>
    <mergeCell ref="X6:AA6"/>
    <mergeCell ref="AC6:AF6"/>
    <mergeCell ref="B3:D3"/>
    <mergeCell ref="B6:D6"/>
    <mergeCell ref="F6:H6"/>
    <mergeCell ref="T6:V6"/>
  </mergeCells>
  <hyperlinks>
    <hyperlink ref="S6" location="Zyklus!L15" display="    C2" xr:uid="{00000000-0004-0000-0400-000000000000}"/>
    <hyperlink ref="N6" location="Zyklus!L23" display="    C2" xr:uid="{00000000-0004-0000-0400-000001000000}"/>
    <hyperlink ref="AB6" location="Zyklus!L4" display="    C2" xr:uid="{00000000-0004-0000-0400-000002000000}"/>
    <hyperlink ref="AG6" location="Zyklus!L4" display="    C2" xr:uid="{94854867-91F7-460D-AA80-DC511ACC3DEF}"/>
  </hyperlinks>
  <pageMargins left="0.7" right="0.7" top="0.78740157499999996" bottom="0.78740157499999996"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D21EC-621E-4F2A-8123-8D87CD8DAC02}">
  <dimension ref="A1:XFD240"/>
  <sheetViews>
    <sheetView showGridLines="0" topLeftCell="A238" zoomScale="73" zoomScaleNormal="73" workbookViewId="0">
      <selection activeCell="C8" sqref="C8:D8"/>
    </sheetView>
  </sheetViews>
  <sheetFormatPr baseColWidth="10" defaultRowHeight="12.75"/>
  <cols>
    <col min="1" max="10" width="25.7109375" style="291" customWidth="1"/>
    <col min="11" max="11" width="8.7109375" style="291" customWidth="1"/>
    <col min="12" max="12" width="23.5703125" style="291" customWidth="1"/>
    <col min="13" max="19" width="20.7109375" style="291" customWidth="1"/>
    <col min="20" max="16384" width="11.42578125" style="291"/>
  </cols>
  <sheetData>
    <row r="1" spans="1:32" ht="40.5" customHeight="1">
      <c r="A1" s="391"/>
      <c r="B1" s="391"/>
      <c r="C1" s="391"/>
      <c r="D1" s="391"/>
      <c r="E1" s="391"/>
      <c r="F1" s="391"/>
      <c r="G1" s="391"/>
      <c r="H1" s="391"/>
      <c r="I1" s="391"/>
      <c r="J1" s="391"/>
      <c r="K1" s="288"/>
      <c r="L1" s="289"/>
      <c r="M1" s="289"/>
      <c r="N1" s="289"/>
      <c r="O1" s="289"/>
      <c r="P1" s="289"/>
      <c r="Q1" s="289"/>
      <c r="R1" s="509"/>
      <c r="S1" s="509"/>
      <c r="T1" s="509"/>
      <c r="U1" s="509"/>
      <c r="V1" s="509"/>
      <c r="W1" s="509"/>
      <c r="X1" s="509"/>
      <c r="Y1" s="509"/>
      <c r="Z1" s="290"/>
      <c r="AA1" s="290"/>
      <c r="AB1" s="290"/>
      <c r="AC1" s="290"/>
      <c r="AD1" s="290"/>
      <c r="AE1" s="290"/>
      <c r="AF1" s="290"/>
    </row>
    <row r="2" spans="1:32" ht="24.95" customHeight="1">
      <c r="A2" s="391"/>
      <c r="B2" s="391"/>
      <c r="C2" s="391"/>
      <c r="D2" s="391"/>
      <c r="E2" s="391"/>
      <c r="F2" s="391"/>
      <c r="G2" s="391"/>
      <c r="H2" s="391"/>
      <c r="I2" s="391"/>
      <c r="J2" s="391"/>
      <c r="K2" s="1073"/>
      <c r="L2" s="1073"/>
      <c r="M2" s="1073"/>
      <c r="N2" s="1073"/>
      <c r="O2" s="1073"/>
      <c r="P2" s="1073"/>
      <c r="Q2" s="507"/>
      <c r="R2" s="507"/>
      <c r="S2" s="507"/>
      <c r="T2" s="509"/>
      <c r="U2" s="509"/>
      <c r="V2" s="509"/>
      <c r="W2" s="509"/>
      <c r="X2" s="509"/>
      <c r="Y2" s="509"/>
      <c r="Z2" s="290"/>
      <c r="AA2" s="290"/>
      <c r="AB2" s="290"/>
      <c r="AC2" s="290"/>
      <c r="AD2" s="290"/>
      <c r="AE2" s="290"/>
    </row>
    <row r="3" spans="1:32" ht="37.5" customHeight="1">
      <c r="A3" s="391"/>
      <c r="B3" s="391"/>
      <c r="C3" s="391"/>
      <c r="D3" s="391"/>
      <c r="E3" s="391"/>
      <c r="F3" s="391"/>
      <c r="G3" s="391"/>
      <c r="H3" s="391"/>
      <c r="I3" s="391"/>
      <c r="J3" s="391"/>
      <c r="K3" s="1073"/>
      <c r="L3" s="1073"/>
      <c r="M3" s="1073"/>
      <c r="N3" s="1073"/>
      <c r="O3" s="1073"/>
      <c r="P3" s="1073"/>
      <c r="Q3" s="507"/>
      <c r="R3" s="507"/>
      <c r="S3" s="507"/>
      <c r="T3" s="509"/>
      <c r="U3" s="509"/>
      <c r="V3" s="509"/>
      <c r="W3" s="509"/>
      <c r="X3" s="509"/>
      <c r="Y3" s="509"/>
      <c r="Z3" s="290"/>
      <c r="AA3" s="290"/>
      <c r="AB3" s="290"/>
      <c r="AC3" s="290"/>
      <c r="AD3" s="290"/>
      <c r="AE3" s="290"/>
    </row>
    <row r="4" spans="1:32" ht="30" customHeight="1">
      <c r="A4" s="391"/>
      <c r="B4" s="391"/>
      <c r="C4" s="391"/>
      <c r="D4" s="391"/>
      <c r="E4" s="391"/>
      <c r="F4" s="391"/>
      <c r="G4" s="391"/>
      <c r="H4" s="391"/>
      <c r="I4" s="391"/>
      <c r="J4" s="391"/>
      <c r="K4" s="507"/>
      <c r="L4" s="507"/>
      <c r="M4" s="507"/>
      <c r="N4" s="507"/>
      <c r="O4" s="507"/>
      <c r="P4" s="507"/>
      <c r="Q4" s="507"/>
      <c r="R4" s="507"/>
      <c r="S4" s="507"/>
      <c r="T4" s="509"/>
      <c r="U4" s="509"/>
      <c r="V4" s="509"/>
      <c r="W4" s="509"/>
      <c r="X4" s="509"/>
      <c r="Y4" s="509"/>
      <c r="Z4" s="290"/>
      <c r="AA4" s="290"/>
      <c r="AB4" s="290"/>
      <c r="AC4" s="290"/>
      <c r="AD4" s="290"/>
      <c r="AE4" s="290"/>
    </row>
    <row r="5" spans="1:32" ht="27.75" customHeight="1">
      <c r="A5" s="398"/>
      <c r="B5" s="398"/>
      <c r="C5" s="398"/>
      <c r="D5" s="398"/>
      <c r="E5" s="399"/>
      <c r="F5" s="399"/>
      <c r="G5" s="391"/>
      <c r="H5" s="391"/>
      <c r="I5" s="391"/>
      <c r="J5" s="391"/>
      <c r="K5" s="507"/>
      <c r="L5" s="1059" t="s">
        <v>229</v>
      </c>
      <c r="M5" s="1059"/>
      <c r="N5" s="1059"/>
      <c r="O5" s="1059"/>
      <c r="P5" s="1059"/>
      <c r="Q5" s="1059"/>
      <c r="R5" s="507"/>
      <c r="S5" s="507"/>
      <c r="T5" s="509"/>
      <c r="U5" s="509"/>
      <c r="V5" s="509"/>
      <c r="W5" s="509"/>
      <c r="X5" s="509"/>
      <c r="Y5" s="509"/>
      <c r="Z5" s="290"/>
      <c r="AA5" s="290"/>
      <c r="AB5" s="290"/>
      <c r="AC5" s="290"/>
      <c r="AD5" s="290"/>
      <c r="AE5" s="290"/>
    </row>
    <row r="6" spans="1:32" ht="30" customHeight="1">
      <c r="A6" s="1093" t="s">
        <v>372</v>
      </c>
      <c r="B6" s="1093"/>
      <c r="C6" s="397"/>
      <c r="D6" s="393"/>
      <c r="E6" s="394"/>
      <c r="F6" s="394"/>
      <c r="G6" s="393"/>
      <c r="H6" s="391"/>
      <c r="I6" s="391"/>
      <c r="J6" s="391"/>
      <c r="K6" s="507"/>
      <c r="L6" s="509"/>
      <c r="M6" s="508"/>
      <c r="N6" s="508"/>
      <c r="O6" s="508"/>
      <c r="P6" s="508"/>
      <c r="Q6" s="508"/>
      <c r="R6" s="507"/>
      <c r="S6" s="507"/>
      <c r="T6" s="509"/>
      <c r="U6" s="509"/>
      <c r="V6" s="509"/>
      <c r="W6" s="509"/>
      <c r="X6" s="509"/>
      <c r="Y6" s="509"/>
      <c r="Z6" s="290"/>
      <c r="AA6" s="290"/>
      <c r="AB6" s="290"/>
      <c r="AC6" s="290"/>
      <c r="AD6" s="290"/>
      <c r="AE6" s="290"/>
    </row>
    <row r="7" spans="1:32" ht="30" customHeight="1">
      <c r="A7" s="390"/>
      <c r="B7" s="391"/>
      <c r="C7" s="391"/>
      <c r="D7" s="391"/>
      <c r="E7" s="390"/>
      <c r="F7" s="391"/>
      <c r="G7" s="395"/>
      <c r="H7" s="391"/>
      <c r="I7" s="391"/>
      <c r="J7" s="391"/>
      <c r="K7" s="507"/>
      <c r="L7" s="535" t="str">
        <f>Maximalkraftwerte!D8</f>
        <v>Übung</v>
      </c>
      <c r="M7" s="535" t="s">
        <v>167</v>
      </c>
      <c r="N7" s="536" t="str">
        <f>Maximalkraftwerte!F8</f>
        <v>Gewicht</v>
      </c>
      <c r="O7" s="536" t="s">
        <v>56</v>
      </c>
      <c r="P7" s="536" t="str">
        <f>Maximalkraftwerte!H8</f>
        <v>RPE</v>
      </c>
      <c r="Q7" s="536" t="str">
        <f>Maximalkraftwerte!I8</f>
        <v>1 RM Formel</v>
      </c>
      <c r="R7" s="507"/>
      <c r="S7" s="507"/>
      <c r="T7" s="509"/>
      <c r="U7" s="509"/>
      <c r="V7" s="509"/>
      <c r="W7" s="509"/>
      <c r="X7" s="509"/>
      <c r="Y7" s="509"/>
      <c r="Z7" s="290"/>
      <c r="AA7" s="290"/>
      <c r="AB7" s="290"/>
      <c r="AC7" s="290"/>
      <c r="AD7" s="290"/>
      <c r="AE7" s="290"/>
    </row>
    <row r="8" spans="1:32" ht="30" customHeight="1">
      <c r="A8" s="1068" t="s">
        <v>320</v>
      </c>
      <c r="B8" s="1068"/>
      <c r="C8" s="1069" t="s">
        <v>2</v>
      </c>
      <c r="D8" s="1070"/>
      <c r="E8" s="393"/>
      <c r="F8" s="393"/>
      <c r="G8" s="393"/>
      <c r="H8" s="391"/>
      <c r="I8" s="391"/>
      <c r="J8" s="391"/>
      <c r="K8" s="507"/>
      <c r="L8" s="537" t="str">
        <f>IF(ISBLANK(Maximalkraftwerte!D9),"",Maximalkraftwerte!D9)</f>
        <v>LH Bankdrücken</v>
      </c>
      <c r="M8" s="538">
        <f>IF(ISBLANK(Maximalkraftwerte!E9),"",Maximalkraftwerte!E9)</f>
        <v>116.12903225806451</v>
      </c>
      <c r="N8" s="539">
        <f>IF(ISBLANK(Maximalkraftwerte!F9),"",Maximalkraftwerte!F9)</f>
        <v>100</v>
      </c>
      <c r="O8" s="539">
        <f>IF(ISBLANK(Maximalkraftwerte!G9),"",Maximalkraftwerte!G9)</f>
        <v>6</v>
      </c>
      <c r="P8" s="539">
        <f>IF(ISBLANK(Maximalkraftwerte!H9),"",Maximalkraftwerte!H9)</f>
        <v>10</v>
      </c>
      <c r="Q8" s="539" t="str">
        <f>IF(ISBLANK(Maximalkraftwerte!I9),"",Maximalkraftwerte!I9)</f>
        <v>Br</v>
      </c>
      <c r="R8" s="507"/>
      <c r="S8" s="507"/>
      <c r="T8" s="509"/>
      <c r="U8" s="509"/>
      <c r="V8" s="509"/>
      <c r="W8" s="509"/>
      <c r="X8" s="509"/>
      <c r="Y8" s="509"/>
      <c r="Z8" s="290"/>
      <c r="AA8" s="290"/>
      <c r="AB8" s="290"/>
      <c r="AC8" s="290"/>
      <c r="AD8" s="290"/>
      <c r="AE8" s="290"/>
    </row>
    <row r="9" spans="1:32" ht="30" customHeight="1">
      <c r="A9" s="390"/>
      <c r="B9" s="390"/>
      <c r="C9" s="390"/>
      <c r="D9" s="391"/>
      <c r="E9" s="400"/>
      <c r="F9" s="391"/>
      <c r="G9" s="391"/>
      <c r="H9" s="391"/>
      <c r="I9" s="391"/>
      <c r="J9" s="391"/>
      <c r="K9" s="507"/>
      <c r="L9" s="540" t="str">
        <f>IF(ISBLANK(Maximalkraftwerte!D10),"",Maximalkraftwerte!D10)</f>
        <v>LH Rudern</v>
      </c>
      <c r="M9" s="541">
        <f>IF(ISBLANK(Maximalkraftwerte!E10),"",Maximalkraftwerte!E10)</f>
        <v>122.14285714285714</v>
      </c>
      <c r="N9" s="542">
        <f>IF(ISBLANK(Maximalkraftwerte!F10),"",Maximalkraftwerte!F10)</f>
        <v>95</v>
      </c>
      <c r="O9" s="542">
        <f>IF(ISBLANK(Maximalkraftwerte!G10),"",Maximalkraftwerte!G10)</f>
        <v>9</v>
      </c>
      <c r="P9" s="542">
        <f>IF(ISBLANK(Maximalkraftwerte!H10),"",Maximalkraftwerte!H10)</f>
        <v>10</v>
      </c>
      <c r="Q9" s="542" t="str">
        <f>IF(ISBLANK(Maximalkraftwerte!I10),"",Maximalkraftwerte!I10)</f>
        <v>Br</v>
      </c>
      <c r="R9" s="507"/>
      <c r="S9" s="507"/>
      <c r="T9" s="509"/>
      <c r="U9" s="509"/>
      <c r="V9" s="509"/>
      <c r="W9" s="509"/>
      <c r="X9" s="509"/>
      <c r="Y9" s="509"/>
      <c r="Z9" s="290"/>
      <c r="AA9" s="290"/>
      <c r="AB9" s="290"/>
      <c r="AC9" s="290"/>
      <c r="AD9" s="290"/>
      <c r="AE9" s="290"/>
    </row>
    <row r="10" spans="1:32" ht="30" customHeight="1">
      <c r="A10" s="401"/>
      <c r="B10" s="401"/>
      <c r="C10" s="401"/>
      <c r="D10" s="401"/>
      <c r="E10" s="401"/>
      <c r="F10" s="401"/>
      <c r="G10" s="401"/>
      <c r="H10" s="391"/>
      <c r="I10" s="391"/>
      <c r="J10" s="391"/>
      <c r="K10" s="507"/>
      <c r="L10" s="537" t="str">
        <f>IF(ISBLANK(Maximalkraftwerte!D11),"",Maximalkraftwerte!D11)</f>
        <v>Latzug</v>
      </c>
      <c r="M10" s="538">
        <f>IF(ISBLANK(Maximalkraftwerte!E11),"",Maximalkraftwerte!E11)</f>
        <v>109.28571428571429</v>
      </c>
      <c r="N10" s="539">
        <f>IF(ISBLANK(Maximalkraftwerte!F11),"",Maximalkraftwerte!F11)</f>
        <v>85</v>
      </c>
      <c r="O10" s="539">
        <f>IF(ISBLANK(Maximalkraftwerte!G11),"",Maximalkraftwerte!G11)</f>
        <v>9</v>
      </c>
      <c r="P10" s="539">
        <f>IF(ISBLANK(Maximalkraftwerte!H11),"",Maximalkraftwerte!H11)</f>
        <v>10</v>
      </c>
      <c r="Q10" s="539" t="str">
        <f>IF(ISBLANK(Maximalkraftwerte!I11),"",Maximalkraftwerte!I11)</f>
        <v>Br</v>
      </c>
      <c r="R10" s="507"/>
      <c r="S10" s="507"/>
      <c r="T10" s="509"/>
      <c r="U10" s="509"/>
      <c r="V10" s="509"/>
      <c r="W10" s="509"/>
      <c r="X10" s="509"/>
      <c r="Y10" s="509"/>
      <c r="Z10" s="290"/>
      <c r="AA10" s="290"/>
      <c r="AB10" s="290"/>
      <c r="AC10" s="290"/>
      <c r="AD10" s="290"/>
      <c r="AE10" s="290"/>
    </row>
    <row r="11" spans="1:32" ht="30" customHeight="1">
      <c r="A11" s="1091" t="s">
        <v>321</v>
      </c>
      <c r="B11" s="1091"/>
      <c r="C11" s="1052" t="s">
        <v>407</v>
      </c>
      <c r="D11" s="1053"/>
      <c r="E11" s="402"/>
      <c r="F11" s="402"/>
      <c r="G11" s="402"/>
      <c r="H11" s="391"/>
      <c r="I11" s="391"/>
      <c r="J11" s="391"/>
      <c r="K11" s="507"/>
      <c r="L11" s="540" t="str">
        <f>IF(ISBLANK(Maximalkraftwerte!D12),"",Maximalkraftwerte!D12)</f>
        <v>KH Bankdrücken</v>
      </c>
      <c r="M11" s="541">
        <f>IF(ISBLANK(Maximalkraftwerte!E12),"",Maximalkraftwerte!E12)</f>
        <v>54</v>
      </c>
      <c r="N11" s="542">
        <f>IF(ISBLANK(Maximalkraftwerte!F12),"",Maximalkraftwerte!F12)</f>
        <v>42</v>
      </c>
      <c r="O11" s="542">
        <f>IF(ISBLANK(Maximalkraftwerte!G12),"",Maximalkraftwerte!G12)</f>
        <v>9</v>
      </c>
      <c r="P11" s="542">
        <f>IF(ISBLANK(Maximalkraftwerte!H12),"",Maximalkraftwerte!H12)</f>
        <v>10</v>
      </c>
      <c r="Q11" s="542" t="str">
        <f>IF(ISBLANK(Maximalkraftwerte!I12),"",Maximalkraftwerte!I12)</f>
        <v>Br</v>
      </c>
      <c r="R11" s="507"/>
      <c r="S11" s="507"/>
      <c r="T11" s="509"/>
      <c r="U11" s="509"/>
      <c r="V11" s="509"/>
      <c r="W11" s="509"/>
      <c r="X11" s="509"/>
      <c r="Y11" s="509"/>
      <c r="Z11" s="290"/>
      <c r="AA11" s="290"/>
      <c r="AB11" s="290"/>
      <c r="AC11" s="290"/>
      <c r="AD11" s="290"/>
      <c r="AE11" s="290"/>
    </row>
    <row r="12" spans="1:32" ht="30" customHeight="1">
      <c r="A12" s="401"/>
      <c r="B12" s="401"/>
      <c r="C12" s="401"/>
      <c r="D12" s="401"/>
      <c r="E12" s="402"/>
      <c r="F12" s="402"/>
      <c r="G12" s="402"/>
      <c r="H12" s="391"/>
      <c r="I12" s="391"/>
      <c r="J12" s="391"/>
      <c r="K12" s="507"/>
      <c r="L12" s="537" t="str">
        <f>IF(ISBLANK(Maximalkraftwerte!D13),"",Maximalkraftwerte!D13)</f>
        <v>Rudern Kabelzug</v>
      </c>
      <c r="M12" s="538">
        <f>IF(ISBLANK(Maximalkraftwerte!E13),"",Maximalkraftwerte!E13)</f>
        <v>83.571428571428569</v>
      </c>
      <c r="N12" s="539">
        <f>IF(ISBLANK(Maximalkraftwerte!F13),"",Maximalkraftwerte!F13)</f>
        <v>65</v>
      </c>
      <c r="O12" s="539">
        <f>IF(ISBLANK(Maximalkraftwerte!G13),"",Maximalkraftwerte!G13)</f>
        <v>9</v>
      </c>
      <c r="P12" s="539">
        <f>IF(ISBLANK(Maximalkraftwerte!H13),"",Maximalkraftwerte!H13)</f>
        <v>10</v>
      </c>
      <c r="Q12" s="539" t="str">
        <f>IF(ISBLANK(Maximalkraftwerte!I13),"",Maximalkraftwerte!I13)</f>
        <v>Br</v>
      </c>
      <c r="R12" s="507"/>
      <c r="S12" s="507"/>
      <c r="T12" s="509"/>
      <c r="U12" s="509"/>
      <c r="V12" s="509"/>
      <c r="W12" s="509"/>
      <c r="X12" s="509"/>
      <c r="Y12" s="509"/>
      <c r="Z12" s="290"/>
      <c r="AA12" s="290"/>
      <c r="AB12" s="290"/>
      <c r="AC12" s="290"/>
      <c r="AD12" s="290"/>
      <c r="AE12" s="290"/>
    </row>
    <row r="13" spans="1:32" ht="30" customHeight="1">
      <c r="A13" s="1091" t="s">
        <v>322</v>
      </c>
      <c r="B13" s="1091"/>
      <c r="C13" s="1140">
        <v>2.5</v>
      </c>
      <c r="D13" s="1141"/>
      <c r="E13" s="645" t="str">
        <f>"Empfohlen "&amp;VLOOKUP($C$8,Übungsübersicht!E8:J52,3,FALSE)&amp;" "&amp;Dashboard!$C$24</f>
        <v>Empfohlen 2,5 [Kg]</v>
      </c>
      <c r="F13" s="402"/>
      <c r="G13" s="402"/>
      <c r="H13" s="391"/>
      <c r="I13" s="391"/>
      <c r="J13" s="391"/>
      <c r="K13" s="507"/>
      <c r="L13" s="540" t="str">
        <f>IF(ISBLANK(Maximalkraftwerte!D14),"",Maximalkraftwerte!D14)</f>
        <v>LH Schulterdrücken</v>
      </c>
      <c r="M13" s="541">
        <f>IF(ISBLANK(Maximalkraftwerte!E14),"",Maximalkraftwerte!E14)</f>
        <v>93.103448275862064</v>
      </c>
      <c r="N13" s="542">
        <f>IF(ISBLANK(Maximalkraftwerte!F14),"",Maximalkraftwerte!F14)</f>
        <v>75</v>
      </c>
      <c r="O13" s="542">
        <f>IF(ISBLANK(Maximalkraftwerte!G14),"",Maximalkraftwerte!G14)</f>
        <v>8</v>
      </c>
      <c r="P13" s="542">
        <f>IF(ISBLANK(Maximalkraftwerte!H14),"",Maximalkraftwerte!H14)</f>
        <v>10</v>
      </c>
      <c r="Q13" s="542" t="str">
        <f>IF(ISBLANK(Maximalkraftwerte!I14),"",Maximalkraftwerte!I14)</f>
        <v>Br</v>
      </c>
      <c r="R13" s="507"/>
      <c r="S13" s="507"/>
      <c r="T13" s="509"/>
      <c r="U13" s="509"/>
      <c r="V13" s="509"/>
      <c r="W13" s="509"/>
      <c r="X13" s="509"/>
      <c r="Y13" s="509"/>
      <c r="Z13" s="290"/>
      <c r="AA13" s="290"/>
      <c r="AB13" s="290"/>
      <c r="AC13" s="290"/>
      <c r="AD13" s="290"/>
      <c r="AE13" s="290"/>
    </row>
    <row r="14" spans="1:32" ht="30" customHeight="1">
      <c r="A14" s="402"/>
      <c r="B14" s="402"/>
      <c r="C14" s="402"/>
      <c r="D14" s="402"/>
      <c r="E14" s="402"/>
      <c r="F14" s="402"/>
      <c r="G14" s="402"/>
      <c r="H14" s="391"/>
      <c r="I14" s="391"/>
      <c r="J14" s="391"/>
      <c r="K14" s="507"/>
      <c r="L14" s="537" t="str">
        <f>IF(ISBLANK(Maximalkraftwerte!D15),"",Maximalkraftwerte!D15)</f>
        <v>Kniebeuge</v>
      </c>
      <c r="M14" s="538">
        <f>IF(ISBLANK(Maximalkraftwerte!E15),"",Maximalkraftwerte!E15)</f>
        <v>142.75862068965517</v>
      </c>
      <c r="N14" s="539">
        <f>IF(ISBLANK(Maximalkraftwerte!F15),"",Maximalkraftwerte!F15)</f>
        <v>115</v>
      </c>
      <c r="O14" s="539">
        <f>IF(ISBLANK(Maximalkraftwerte!G15),"",Maximalkraftwerte!G15)</f>
        <v>8</v>
      </c>
      <c r="P14" s="539">
        <f>IF(ISBLANK(Maximalkraftwerte!H15),"",Maximalkraftwerte!H15)</f>
        <v>10</v>
      </c>
      <c r="Q14" s="539" t="str">
        <f>IF(ISBLANK(Maximalkraftwerte!I15),"",Maximalkraftwerte!I15)</f>
        <v>Br</v>
      </c>
      <c r="R14" s="507"/>
      <c r="S14" s="507"/>
      <c r="T14" s="509"/>
      <c r="U14" s="509"/>
      <c r="V14" s="509"/>
      <c r="W14" s="509"/>
      <c r="X14" s="509"/>
      <c r="Y14" s="509"/>
      <c r="Z14" s="290"/>
      <c r="AA14" s="290"/>
      <c r="AB14" s="290"/>
      <c r="AC14" s="290"/>
      <c r="AD14" s="290"/>
      <c r="AE14" s="290"/>
    </row>
    <row r="15" spans="1:32" ht="30" customHeight="1">
      <c r="A15" s="393"/>
      <c r="B15" s="393"/>
      <c r="C15" s="393"/>
      <c r="D15" s="393"/>
      <c r="E15" s="391"/>
      <c r="F15" s="391"/>
      <c r="G15" s="391"/>
      <c r="H15" s="391"/>
      <c r="I15" s="391"/>
      <c r="J15" s="391"/>
      <c r="K15" s="507"/>
      <c r="L15" s="540" t="str">
        <f>IF(ISBLANK(Maximalkraftwerte!D16),"",Maximalkraftwerte!D16)</f>
        <v>Bein Presse</v>
      </c>
      <c r="M15" s="541">
        <f>IF(ISBLANK(Maximalkraftwerte!E16),"",Maximalkraftwerte!E16)</f>
        <v>336</v>
      </c>
      <c r="N15" s="542">
        <f>IF(ISBLANK(Maximalkraftwerte!F16),"",Maximalkraftwerte!F16)</f>
        <v>240</v>
      </c>
      <c r="O15" s="542">
        <f>IF(ISBLANK(Maximalkraftwerte!G16),"",Maximalkraftwerte!G16)</f>
        <v>12</v>
      </c>
      <c r="P15" s="542">
        <f>IF(ISBLANK(Maximalkraftwerte!H16),"",Maximalkraftwerte!H16)</f>
        <v>10</v>
      </c>
      <c r="Q15" s="542" t="str">
        <f>IF(ISBLANK(Maximalkraftwerte!I16),"",Maximalkraftwerte!I16)</f>
        <v>Ep</v>
      </c>
      <c r="R15" s="507"/>
      <c r="S15" s="507"/>
      <c r="T15" s="509"/>
      <c r="U15" s="509"/>
      <c r="V15" s="509"/>
      <c r="W15" s="509"/>
      <c r="X15" s="509"/>
      <c r="Y15" s="509"/>
      <c r="Z15" s="290"/>
      <c r="AA15" s="290"/>
      <c r="AB15" s="290"/>
      <c r="AC15" s="290"/>
      <c r="AD15" s="290"/>
      <c r="AE15" s="290"/>
    </row>
    <row r="16" spans="1:32" ht="30" customHeight="1">
      <c r="A16" s="393"/>
      <c r="B16" s="393"/>
      <c r="C16" s="393"/>
      <c r="D16" s="393"/>
      <c r="E16" s="391"/>
      <c r="F16" s="391"/>
      <c r="G16" s="391"/>
      <c r="H16" s="391"/>
      <c r="I16" s="391"/>
      <c r="J16" s="391"/>
      <c r="K16" s="507"/>
      <c r="L16" s="537" t="str">
        <f>IF(ISBLANK(Maximalkraftwerte!D17),"",Maximalkraftwerte!D17)</f>
        <v>Rumänisches Kreuzheben</v>
      </c>
      <c r="M16" s="538">
        <f>IF(ISBLANK(Maximalkraftwerte!E17),"",Maximalkraftwerte!E17)</f>
        <v>160</v>
      </c>
      <c r="N16" s="539">
        <f>IF(ISBLANK(Maximalkraftwerte!F17),"",Maximalkraftwerte!F17)</f>
        <v>120</v>
      </c>
      <c r="O16" s="539">
        <f>IF(ISBLANK(Maximalkraftwerte!G17),"",Maximalkraftwerte!G17)</f>
        <v>10</v>
      </c>
      <c r="P16" s="539">
        <f>IF(ISBLANK(Maximalkraftwerte!H17),"",Maximalkraftwerte!H17)</f>
        <v>10</v>
      </c>
      <c r="Q16" s="539" t="str">
        <f>IF(ISBLANK(Maximalkraftwerte!I17),"",Maximalkraftwerte!I17)</f>
        <v>Ep</v>
      </c>
      <c r="R16" s="507"/>
      <c r="S16" s="507"/>
      <c r="T16" s="509"/>
      <c r="U16" s="509"/>
      <c r="V16" s="509"/>
      <c r="W16" s="509"/>
      <c r="X16" s="509"/>
      <c r="Y16" s="509"/>
      <c r="Z16" s="290"/>
      <c r="AA16" s="290"/>
      <c r="AB16" s="290"/>
      <c r="AC16" s="290"/>
      <c r="AD16" s="290"/>
      <c r="AE16" s="290"/>
    </row>
    <row r="17" spans="1:31" ht="30" customHeight="1">
      <c r="A17" s="398"/>
      <c r="B17" s="398"/>
      <c r="C17" s="398"/>
      <c r="D17" s="398"/>
      <c r="E17" s="399"/>
      <c r="F17" s="399"/>
      <c r="G17" s="394"/>
      <c r="H17" s="391"/>
      <c r="I17" s="391"/>
      <c r="J17" s="391"/>
      <c r="K17" s="507"/>
      <c r="L17" s="540" t="str">
        <f>IF(ISBLANK(Maximalkraftwerte!D18),"",Maximalkraftwerte!D18)</f>
        <v>Brust Presse</v>
      </c>
      <c r="M17" s="541">
        <f>IF(ISBLANK(Maximalkraftwerte!E18),"",Maximalkraftwerte!E18)</f>
        <v>136.66666666666666</v>
      </c>
      <c r="N17" s="542">
        <f>IF(ISBLANK(Maximalkraftwerte!F18),"",Maximalkraftwerte!F18)</f>
        <v>102.5</v>
      </c>
      <c r="O17" s="542">
        <f>IF(ISBLANK(Maximalkraftwerte!G18),"",Maximalkraftwerte!G18)</f>
        <v>10</v>
      </c>
      <c r="P17" s="542">
        <f>IF(ISBLANK(Maximalkraftwerte!H18),"",Maximalkraftwerte!H18)</f>
        <v>10</v>
      </c>
      <c r="Q17" s="542" t="str">
        <f>IF(ISBLANK(Maximalkraftwerte!I18),"",Maximalkraftwerte!I18)</f>
        <v>Ep</v>
      </c>
      <c r="R17" s="507"/>
      <c r="S17" s="507"/>
      <c r="T17" s="509"/>
      <c r="U17" s="509"/>
      <c r="V17" s="509"/>
      <c r="W17" s="509"/>
      <c r="X17" s="509"/>
      <c r="Y17" s="509"/>
      <c r="Z17" s="290"/>
      <c r="AA17" s="290"/>
      <c r="AB17" s="290"/>
      <c r="AC17" s="290"/>
      <c r="AD17" s="290"/>
      <c r="AE17" s="290"/>
    </row>
    <row r="18" spans="1:31" ht="30" customHeight="1">
      <c r="A18" s="1093" t="s">
        <v>371</v>
      </c>
      <c r="B18" s="1093"/>
      <c r="C18" s="397"/>
      <c r="D18" s="393"/>
      <c r="E18" s="391"/>
      <c r="F18" s="391"/>
      <c r="G18" s="391"/>
      <c r="H18" s="391"/>
      <c r="I18" s="391"/>
      <c r="J18" s="391"/>
      <c r="K18" s="507"/>
      <c r="L18" s="537" t="str">
        <f>IF(ISBLANK(Maximalkraftwerte!D19),"",Maximalkraftwerte!D19)</f>
        <v>Kniebeuge UK1</v>
      </c>
      <c r="M18" s="538">
        <f>IF(ISBLANK(Maximalkraftwerte!E19),"",Maximalkraftwerte!E19)</f>
        <v>142.75862068965517</v>
      </c>
      <c r="N18" s="539">
        <f>IF(ISBLANK(Maximalkraftwerte!F19),"",Maximalkraftwerte!F19)</f>
        <v>115</v>
      </c>
      <c r="O18" s="539">
        <f>IF(ISBLANK(Maximalkraftwerte!G19),"",Maximalkraftwerte!G19)</f>
        <v>8</v>
      </c>
      <c r="P18" s="539">
        <f>IF(ISBLANK(Maximalkraftwerte!H19),"",Maximalkraftwerte!H19)</f>
        <v>10</v>
      </c>
      <c r="Q18" s="539" t="str">
        <f>IF(ISBLANK(Maximalkraftwerte!I19),"",Maximalkraftwerte!I19)</f>
        <v>Br</v>
      </c>
      <c r="R18" s="507"/>
      <c r="S18" s="507"/>
      <c r="T18" s="509"/>
      <c r="U18" s="509"/>
      <c r="V18" s="509"/>
      <c r="W18" s="509"/>
      <c r="X18" s="509"/>
      <c r="Y18" s="509"/>
      <c r="Z18" s="290"/>
      <c r="AA18" s="290"/>
      <c r="AB18" s="290"/>
      <c r="AC18" s="290"/>
      <c r="AD18" s="290"/>
      <c r="AE18" s="290"/>
    </row>
    <row r="19" spans="1:31" ht="30" customHeight="1" thickBot="1">
      <c r="A19" s="395"/>
      <c r="B19" s="395"/>
      <c r="C19" s="397"/>
      <c r="D19" s="393"/>
      <c r="E19" s="395"/>
      <c r="F19" s="501"/>
      <c r="G19" s="395"/>
      <c r="H19" s="395"/>
      <c r="I19" s="395"/>
      <c r="J19" s="395"/>
      <c r="K19" s="507"/>
      <c r="L19" s="541" t="str">
        <f>IF(ISBLANK(Maximalkraftwerte!D20),"",Maximalkraftwerte!D20)</f>
        <v/>
      </c>
      <c r="M19" s="541" t="str">
        <f>IF(ISBLANK(Maximalkraftwerte!E20),"",Maximalkraftwerte!E20)</f>
        <v/>
      </c>
      <c r="N19" s="541" t="str">
        <f>IF(ISBLANK(Maximalkraftwerte!F20),"",Maximalkraftwerte!F20)</f>
        <v/>
      </c>
      <c r="O19" s="541" t="str">
        <f>IF(ISBLANK(Maximalkraftwerte!G20),"",Maximalkraftwerte!G20)</f>
        <v/>
      </c>
      <c r="P19" s="542" t="str">
        <f>IF(ISBLANK(Maximalkraftwerte!H20),"",Maximalkraftwerte!H20)</f>
        <v/>
      </c>
      <c r="Q19" s="542" t="str">
        <f>IF(ISBLANK(Maximalkraftwerte!I20),"",Maximalkraftwerte!I20)</f>
        <v/>
      </c>
      <c r="R19" s="507"/>
      <c r="S19" s="507"/>
      <c r="T19" s="509"/>
      <c r="U19" s="509"/>
      <c r="V19" s="509"/>
      <c r="W19" s="509"/>
      <c r="X19" s="509"/>
      <c r="Y19" s="509"/>
      <c r="Z19" s="290"/>
      <c r="AA19" s="290"/>
      <c r="AB19" s="290"/>
      <c r="AC19" s="290"/>
      <c r="AD19" s="290"/>
      <c r="AE19" s="290"/>
    </row>
    <row r="20" spans="1:31" ht="30" customHeight="1" thickBot="1">
      <c r="A20" s="391"/>
      <c r="B20" s="391"/>
      <c r="C20" s="505" t="s">
        <v>330</v>
      </c>
      <c r="D20" s="643"/>
      <c r="E20" s="391"/>
      <c r="F20" s="391"/>
      <c r="G20" s="391"/>
      <c r="H20" s="391"/>
      <c r="I20" s="391"/>
      <c r="J20" s="391"/>
      <c r="K20" s="507"/>
      <c r="L20" s="537" t="str">
        <f>IF(ISBLANK(Maximalkraftwerte!D21),"",Maximalkraftwerte!D21)</f>
        <v/>
      </c>
      <c r="M20" s="538" t="str">
        <f>IF(ISBLANK(Maximalkraftwerte!E21),"",Maximalkraftwerte!E21)</f>
        <v/>
      </c>
      <c r="N20" s="539" t="str">
        <f>IF(ISBLANK(Maximalkraftwerte!F21),"",Maximalkraftwerte!F21)</f>
        <v/>
      </c>
      <c r="O20" s="539" t="str">
        <f>IF(ISBLANK(Maximalkraftwerte!G21),"",Maximalkraftwerte!G21)</f>
        <v/>
      </c>
      <c r="P20" s="539" t="str">
        <f>IF(ISBLANK(Maximalkraftwerte!H21),"",Maximalkraftwerte!H21)</f>
        <v/>
      </c>
      <c r="Q20" s="539" t="str">
        <f>IF(ISBLANK(Maximalkraftwerte!I21),"",Maximalkraftwerte!I21)</f>
        <v/>
      </c>
      <c r="R20" s="507"/>
      <c r="S20" s="507"/>
      <c r="T20" s="509"/>
      <c r="U20" s="509"/>
      <c r="V20" s="509"/>
      <c r="W20" s="509"/>
      <c r="X20" s="509"/>
      <c r="Y20" s="509"/>
      <c r="Z20" s="290"/>
      <c r="AA20" s="290"/>
      <c r="AB20" s="290"/>
      <c r="AC20" s="290"/>
      <c r="AD20" s="290"/>
      <c r="AE20" s="290"/>
    </row>
    <row r="21" spans="1:31" ht="30" customHeight="1">
      <c r="A21" s="1060" t="s">
        <v>57</v>
      </c>
      <c r="B21" s="1061"/>
      <c r="C21" s="718">
        <v>100</v>
      </c>
      <c r="D21" s="639" t="str">
        <f>IF(C21&lt;0,"ERROR",IF(C21=0,"EINGEBEN",""))</f>
        <v/>
      </c>
      <c r="E21" s="387"/>
      <c r="F21" s="583"/>
      <c r="G21" s="391"/>
      <c r="H21" s="1088" t="s">
        <v>376</v>
      </c>
      <c r="I21" s="1089"/>
      <c r="J21" s="391"/>
      <c r="K21" s="507"/>
      <c r="L21" s="541" t="str">
        <f>IF(ISBLANK(Maximalkraftwerte!D22),"",Maximalkraftwerte!D22)</f>
        <v/>
      </c>
      <c r="M21" s="541" t="str">
        <f>IF(ISBLANK(Maximalkraftwerte!E22),"",Maximalkraftwerte!E22)</f>
        <v/>
      </c>
      <c r="N21" s="541" t="str">
        <f>IF(ISBLANK(Maximalkraftwerte!F22),"",Maximalkraftwerte!F22)</f>
        <v/>
      </c>
      <c r="O21" s="541" t="str">
        <f>IF(ISBLANK(Maximalkraftwerte!G22),"",Maximalkraftwerte!G22)</f>
        <v/>
      </c>
      <c r="P21" s="542" t="str">
        <f>IF(ISBLANK(Maximalkraftwerte!H22),"",Maximalkraftwerte!H22)</f>
        <v/>
      </c>
      <c r="Q21" s="542" t="str">
        <f>IF(ISBLANK(Maximalkraftwerte!I22),"",Maximalkraftwerte!I22)</f>
        <v/>
      </c>
      <c r="R21" s="507"/>
      <c r="S21" s="507"/>
      <c r="T21" s="509"/>
      <c r="U21" s="509"/>
      <c r="V21" s="509"/>
      <c r="W21" s="509"/>
      <c r="X21" s="509"/>
      <c r="Y21" s="509"/>
      <c r="Z21" s="290"/>
      <c r="AA21" s="290"/>
      <c r="AB21" s="290"/>
      <c r="AC21" s="290"/>
      <c r="AD21" s="290"/>
      <c r="AE21" s="290"/>
    </row>
    <row r="22" spans="1:31" ht="30" customHeight="1">
      <c r="A22" s="1062" t="s">
        <v>48</v>
      </c>
      <c r="B22" s="1063"/>
      <c r="C22" s="502">
        <v>6</v>
      </c>
      <c r="D22" s="641" t="str">
        <f>IF(C22&gt;20,"Nur Wdh. 1-20",IF(C22&lt;0,"ERROR",IF(C22=0,"EINGEBEN","")))</f>
        <v/>
      </c>
      <c r="E22" s="404" t="s">
        <v>213</v>
      </c>
      <c r="F22" s="583"/>
      <c r="G22" s="391"/>
      <c r="H22" s="793" t="str">
        <f>IF(ISNA(MROUND(VLOOKUP($C$8,Maximalkraftwerte!$D$9:$I$23,2,FALSE),0.1)&amp;" "&amp;Dashboard!$C$24),"",MROUND(VLOOKUP($C$8,Maximalkraftwerte!$D$9:$I$23,2,FALSE),0.1)&amp;" "&amp;Dashboard!$C$24)</f>
        <v>116,1 [Kg]</v>
      </c>
      <c r="I22" s="794" t="str">
        <f>IF(ISNA("1 RM Formel "&amp;VLOOKUP($C$8,Maximalkraftwerte!D5:$I$24,6,FALSE)),"","1 RM Formel "&amp;VLOOKUP($C$8,Maximalkraftwerte!D5:$I$24,6,FALSE))</f>
        <v>1 RM Formel Br</v>
      </c>
      <c r="J22" s="391"/>
      <c r="K22" s="507"/>
      <c r="L22" s="537" t="str">
        <f>IF(ISBLANK(Maximalkraftwerte!D23),"",Maximalkraftwerte!D23)</f>
        <v/>
      </c>
      <c r="M22" s="538" t="str">
        <f>IF(ISBLANK(Maximalkraftwerte!E23),"",Maximalkraftwerte!E23)</f>
        <v/>
      </c>
      <c r="N22" s="539" t="str">
        <f>IF(ISBLANK(Maximalkraftwerte!F23),"",Maximalkraftwerte!F23)</f>
        <v/>
      </c>
      <c r="O22" s="539" t="str">
        <f>IF(ISBLANK(Maximalkraftwerte!G23),"",Maximalkraftwerte!G23)</f>
        <v/>
      </c>
      <c r="P22" s="539" t="str">
        <f>IF(ISBLANK(Maximalkraftwerte!H23),"",Maximalkraftwerte!H23)</f>
        <v/>
      </c>
      <c r="Q22" s="539" t="str">
        <f>IF(ISBLANK(Maximalkraftwerte!I23),"",Maximalkraftwerte!I23)</f>
        <v/>
      </c>
      <c r="R22" s="507"/>
      <c r="S22" s="507"/>
      <c r="T22" s="509"/>
      <c r="U22" s="509"/>
      <c r="V22" s="509"/>
      <c r="W22" s="509"/>
      <c r="X22" s="509"/>
      <c r="Y22" s="509"/>
      <c r="Z22" s="290"/>
      <c r="AA22" s="290"/>
      <c r="AB22" s="290"/>
      <c r="AC22" s="290"/>
      <c r="AD22" s="290"/>
      <c r="AE22" s="290"/>
    </row>
    <row r="23" spans="1:31" ht="30" customHeight="1" thickBot="1">
      <c r="A23" s="1064" t="s">
        <v>212</v>
      </c>
      <c r="B23" s="1065"/>
      <c r="C23" s="504">
        <v>10</v>
      </c>
      <c r="D23" s="640" t="str">
        <f>IF(C23=0,"EINGEBEN",IF(C23&gt;10,"NUR RPE WERTE VON 1-10",IF(C23&lt;0,"NUR RPE WERTE VON 1-10","")))</f>
        <v/>
      </c>
      <c r="E23" s="405" t="s">
        <v>319</v>
      </c>
      <c r="F23" s="583"/>
      <c r="G23" s="391"/>
      <c r="H23" s="1104" t="s">
        <v>377</v>
      </c>
      <c r="I23" s="1105"/>
      <c r="J23" s="391"/>
      <c r="K23" s="507"/>
      <c r="L23" s="509"/>
      <c r="M23" s="509"/>
      <c r="N23" s="606"/>
      <c r="O23" s="607"/>
      <c r="P23" s="509"/>
      <c r="Q23" s="509"/>
      <c r="R23" s="507"/>
      <c r="S23" s="507"/>
      <c r="T23" s="509"/>
      <c r="U23" s="509"/>
      <c r="V23" s="509"/>
      <c r="W23" s="509"/>
      <c r="X23" s="509"/>
      <c r="Y23" s="509"/>
      <c r="Z23" s="290"/>
      <c r="AA23" s="290"/>
      <c r="AB23" s="290"/>
      <c r="AC23" s="290"/>
      <c r="AD23" s="290"/>
      <c r="AE23" s="290"/>
    </row>
    <row r="24" spans="1:31" ht="30" customHeight="1" thickBot="1">
      <c r="A24" s="1066" t="s">
        <v>329</v>
      </c>
      <c r="B24" s="1067"/>
      <c r="C24" s="503">
        <f>IF(C22&lt;0,"ERROR",IF(C23&gt;10,"ERROR",IF(C23&lt;0,"ERROR",IF(C23=0,"",(10-C23)+C22))))</f>
        <v>6</v>
      </c>
      <c r="D24" s="642"/>
      <c r="E24" s="388"/>
      <c r="F24" s="583"/>
      <c r="G24" s="391"/>
      <c r="H24" s="1102" t="s">
        <v>375</v>
      </c>
      <c r="I24" s="1103"/>
      <c r="J24" s="391"/>
      <c r="K24" s="507"/>
      <c r="L24" s="509"/>
      <c r="M24" s="1098" t="s">
        <v>336</v>
      </c>
      <c r="N24" s="1099"/>
      <c r="O24" s="608" t="s">
        <v>229</v>
      </c>
      <c r="P24" s="509"/>
      <c r="Q24" s="509"/>
      <c r="R24" s="507"/>
      <c r="S24" s="507"/>
      <c r="T24" s="509"/>
      <c r="U24" s="509"/>
      <c r="V24" s="509"/>
      <c r="W24" s="509"/>
      <c r="X24" s="509"/>
      <c r="Y24" s="509"/>
      <c r="Z24" s="290"/>
      <c r="AA24" s="290"/>
      <c r="AB24" s="290"/>
      <c r="AC24" s="290"/>
      <c r="AD24" s="290"/>
      <c r="AE24" s="290"/>
    </row>
    <row r="25" spans="1:31" ht="30" customHeight="1">
      <c r="A25" s="394"/>
      <c r="B25" s="781" t="s">
        <v>318</v>
      </c>
      <c r="C25" s="725" t="str">
        <f>IF(C22&lt;1,"",IF(C22&gt;20,"",IF(C22=0,"",IF(C21=0,"",IF(C23&gt;10,"ERROR",IF($C23&lt;0,"ERROR",IF(AND($C$11="Epley",C23=0),ROUNDDOWN(C21*(1+(C22/30)),0)&amp;" "&amp;Dashboard!$C$24,IF($C$11="Epley",ROUNDDOWN(C21*(1+((C22+(10-C23))/30)),0)&amp;" "&amp;Dashboard!$C$24,IF(C23=0,ROUNDDOWN(C21*36/(37-C22),0)&amp;" "&amp;Dashboard!$C$24,ROUNDDOWN(C21*36/(37-(C22+(10-C23))),0)&amp;" "&amp;Dashboard!$C$24)))))))))</f>
        <v>120 [Kg]</v>
      </c>
      <c r="D25" s="726">
        <f>IF(C22&lt;1,"",IF(C22&gt;20,"",IF(C22=0,"",IF(C21=0,"",IF(C23&gt;10,"ERROR",IF(C23&lt;0,"ERROR",IF(AND($C$11="Epley",C23=0),(C21*(1+(C22/30))),IF($C$11="Epley",(C21*(1+((C22+(10-C23))/30))),IF(C23=0,C21*36/(37-C22),(C21*36/(37-(C22+(10-C23)))))))))))))</f>
        <v>120</v>
      </c>
      <c r="E25" s="573"/>
      <c r="F25" s="391"/>
      <c r="G25" s="391"/>
      <c r="H25" s="843"/>
      <c r="I25" s="843"/>
      <c r="J25" s="391"/>
      <c r="K25" s="507"/>
      <c r="L25" s="509"/>
      <c r="M25" s="509"/>
      <c r="N25" s="509"/>
      <c r="O25" s="509"/>
      <c r="P25" s="509"/>
      <c r="Q25" s="509"/>
      <c r="R25" s="507"/>
      <c r="S25" s="507"/>
      <c r="T25" s="509"/>
      <c r="U25" s="509"/>
      <c r="V25" s="509"/>
      <c r="W25" s="509"/>
      <c r="X25" s="509"/>
      <c r="Y25" s="509"/>
      <c r="Z25" s="290"/>
      <c r="AA25" s="290"/>
      <c r="AB25" s="290"/>
      <c r="AC25" s="290"/>
      <c r="AD25" s="290"/>
      <c r="AE25" s="290"/>
    </row>
    <row r="26" spans="1:31" ht="24.75" customHeight="1">
      <c r="A26" s="394"/>
      <c r="B26" s="394"/>
      <c r="C26" s="394"/>
      <c r="D26" s="394"/>
      <c r="E26" s="391"/>
      <c r="F26" s="391"/>
      <c r="G26" s="391"/>
      <c r="H26" s="391"/>
      <c r="I26" s="391"/>
      <c r="J26" s="391"/>
      <c r="K26" s="507"/>
      <c r="L26" s="509"/>
      <c r="M26" s="509"/>
      <c r="N26" s="509"/>
      <c r="O26" s="509"/>
      <c r="P26" s="509"/>
      <c r="Q26" s="509"/>
      <c r="R26" s="507"/>
      <c r="S26" s="507"/>
      <c r="T26" s="509"/>
      <c r="U26" s="509"/>
      <c r="V26" s="509"/>
      <c r="W26" s="509"/>
      <c r="X26" s="509"/>
      <c r="Y26" s="509"/>
      <c r="Z26" s="290"/>
      <c r="AA26" s="290"/>
      <c r="AB26" s="290"/>
      <c r="AC26" s="290"/>
      <c r="AD26" s="290"/>
      <c r="AE26" s="290"/>
    </row>
    <row r="27" spans="1:31">
      <c r="A27" s="389"/>
      <c r="B27" s="392" t="str">
        <f>IF(Dashboard!$C$39="AUS","",IF(B28&lt;&gt;"","Anfänger",""))</f>
        <v>Anfänger</v>
      </c>
      <c r="C27" s="392" t="str">
        <f>IF(Dashboard!$C$39="AUS","",IF(C28&lt;&gt;"","Fortgeschritten",""))</f>
        <v>Fortgeschritten</v>
      </c>
      <c r="D27" s="392" t="str">
        <f>IF(Dashboard!$C$39="AUS","",IF(D28&lt;&gt;"","Elite",""))</f>
        <v>Elite</v>
      </c>
      <c r="E27" s="391"/>
      <c r="F27" s="391"/>
      <c r="G27" s="391"/>
      <c r="H27" s="391"/>
      <c r="I27" s="391"/>
      <c r="J27" s="391"/>
      <c r="K27" s="507"/>
      <c r="L27" s="509"/>
      <c r="M27" s="509"/>
      <c r="N27" s="509"/>
      <c r="O27" s="509"/>
      <c r="P27" s="509"/>
      <c r="Q27" s="509"/>
      <c r="R27" s="507"/>
      <c r="S27" s="507"/>
      <c r="T27" s="509"/>
      <c r="U27" s="509"/>
      <c r="V27" s="509"/>
      <c r="W27" s="509"/>
      <c r="X27" s="509"/>
      <c r="Y27" s="509"/>
      <c r="Z27" s="290"/>
      <c r="AA27" s="290"/>
      <c r="AB27" s="290"/>
      <c r="AC27" s="290"/>
      <c r="AD27" s="290"/>
      <c r="AE27" s="290"/>
    </row>
    <row r="28" spans="1:31" ht="30" customHeight="1">
      <c r="A28" s="390"/>
      <c r="B28" s="391">
        <f>IF(Dashboard!$C$39="AUS","",IF(ISERROR((('Funktions-Tabelle'!O14/Dashboard!C20)/VLOOKUP($C$8,'Funktions-Tabelle'!$O$6:$U$10,3,FALSE))*100),"",((('Funktions-Tabelle'!O14/Dashboard!C20)/VLOOKUP($C$8,'Funktions-Tabelle'!$O$6:$U$10,3,FALSE))*100)))</f>
        <v>146.52014652014651</v>
      </c>
      <c r="C28" s="391">
        <f>IF(Dashboard!$C$39="AUS","",IF(ISERROR(((('Funktions-Tabelle'!O14/Dashboard!C20)-VLOOKUP($C$8,'Funktions-Tabelle'!$O$6:$U$10,3,FALSE))/(VLOOKUP($C$8,'Funktions-Tabelle'!$O$6:$U$10,5,FALSE)-VLOOKUP($C$8,'Funktions-Tabelle'!$O$6:$U$10,3,FALSE)))*100),"",(((('Funktions-Tabelle'!O14/Dashboard!C20)-VLOOKUP($C$8,'Funktions-Tabelle'!$O$6:$U$10,3,FALSE))/(VLOOKUP($C$8,'Funktions-Tabelle'!$O$6:$U$10,5,FALSE)-VLOOKUP($C$8,'Funktions-Tabelle'!$O$6:$U$10,3,FALSE)))*100)))</f>
        <v>83.736263736263751</v>
      </c>
      <c r="D28" s="391">
        <f>IF(Dashboard!$C$39="AUS","",IF(ISERROR(((('Funktions-Tabelle'!O14/Dashboard!C20)-VLOOKUP($C$8,'Funktions-Tabelle'!$O$6:$U$10,5,FALSE))/(VLOOKUP($C$8,'Funktions-Tabelle'!$O$6:$U$10,7,FALSE)-VLOOKUP($C$8,'Funktions-Tabelle'!$O$6:$U$10,5,FALSE)))*100),"",(((('Funktions-Tabelle'!O14/Dashboard!C20)-VLOOKUP($C$8,'Funktions-Tabelle'!$O$6:$U$10,5,FALSE))/(VLOOKUP($C$8,'Funktions-Tabelle'!$O$6:$U$10,7,FALSE)-VLOOKUP($C$8,'Funktions-Tabelle'!$O$6:$U$10,5,FALSE)))*100)))</f>
        <v>-13.55311355311354</v>
      </c>
      <c r="E28" s="391"/>
      <c r="F28" s="391"/>
      <c r="G28" s="391"/>
      <c r="H28" s="391"/>
      <c r="I28" s="391"/>
      <c r="J28" s="391"/>
      <c r="K28" s="507"/>
      <c r="L28" s="509"/>
      <c r="M28" s="509"/>
      <c r="N28" s="509"/>
      <c r="O28" s="509"/>
      <c r="P28" s="509"/>
      <c r="Q28" s="509"/>
      <c r="R28" s="507"/>
      <c r="S28" s="507"/>
      <c r="T28" s="509"/>
      <c r="U28" s="509"/>
      <c r="V28" s="509"/>
      <c r="W28" s="509"/>
      <c r="X28" s="509"/>
      <c r="Y28" s="509"/>
      <c r="Z28" s="290"/>
      <c r="AA28" s="290"/>
      <c r="AB28" s="290"/>
      <c r="AC28" s="290"/>
      <c r="AD28" s="290"/>
      <c r="AE28" s="290"/>
    </row>
    <row r="29" spans="1:31" ht="10.5" customHeight="1">
      <c r="A29" s="393"/>
      <c r="B29" s="390"/>
      <c r="C29" s="390"/>
      <c r="D29" s="390"/>
      <c r="E29" s="391"/>
      <c r="F29" s="391"/>
      <c r="G29" s="391"/>
      <c r="H29" s="391"/>
      <c r="I29" s="391"/>
      <c r="J29" s="391"/>
      <c r="K29" s="507"/>
      <c r="L29" s="509"/>
      <c r="M29" s="509"/>
      <c r="N29" s="509"/>
      <c r="O29" s="507"/>
      <c r="P29" s="507"/>
      <c r="Q29" s="507"/>
      <c r="R29" s="507"/>
      <c r="S29" s="507"/>
      <c r="T29" s="509"/>
      <c r="U29" s="509"/>
      <c r="V29" s="509"/>
      <c r="W29" s="509"/>
      <c r="X29" s="509"/>
      <c r="Y29" s="509"/>
      <c r="Z29" s="290"/>
      <c r="AA29" s="290"/>
      <c r="AB29" s="290"/>
      <c r="AC29" s="290"/>
      <c r="AD29" s="290"/>
      <c r="AE29" s="290"/>
    </row>
    <row r="30" spans="1:31" ht="30" customHeight="1">
      <c r="A30" s="391"/>
      <c r="B30" s="1054" t="str">
        <f>IF(Dashboard!$C$39="AUS","",IFERROR(IF(OR($C$8='Funktions-Tabelle'!$O$6,$C$8='Funktions-Tabelle'!$O$7,$C$8='Funktions-Tabelle'!$O$8,$C$8='Funktions-Tabelle'!$O$9,$C$8='Funktions-Tabelle'!$O$10),("Du "&amp;'Funktions-Tabelle'!$R$14&amp;" "&amp;ROUND('Funktions-Tabelle'!O14/Dashboard!C20,2)&amp;" x dein Körpergewicht "&amp;"("&amp;ROUND('Funktions-Tabelle'!$O$14,1)&amp;" "&amp;Dashboard!$C$24&amp;")"&amp;" "&amp;"für 5 Wiederholungen."),""),""))</f>
        <v>Du drückst 1,32 x dein Körpergewicht (102,9 [Kg]) für 5 Wiederholungen.</v>
      </c>
      <c r="C30" s="1054"/>
      <c r="D30" s="1054"/>
      <c r="E30" s="1054"/>
      <c r="F30" s="391"/>
      <c r="G30" s="391"/>
      <c r="H30" s="391"/>
      <c r="I30" s="391"/>
      <c r="J30" s="391"/>
      <c r="K30" s="507"/>
      <c r="L30" s="509"/>
      <c r="M30" s="509"/>
      <c r="N30" s="509"/>
      <c r="O30" s="509"/>
      <c r="P30" s="509"/>
      <c r="Q30" s="507"/>
      <c r="R30" s="507"/>
      <c r="S30" s="507"/>
      <c r="T30" s="509"/>
      <c r="U30" s="509"/>
      <c r="V30" s="509"/>
      <c r="W30" s="509"/>
      <c r="X30" s="509"/>
      <c r="Y30" s="509"/>
      <c r="Z30" s="290"/>
      <c r="AA30" s="290"/>
      <c r="AB30" s="290"/>
      <c r="AC30" s="290"/>
      <c r="AD30" s="290"/>
      <c r="AE30" s="290"/>
    </row>
    <row r="31" spans="1:31" ht="30" customHeight="1">
      <c r="A31" s="390"/>
      <c r="B31" s="1142" t="str">
        <f>IF(Dashboard!$C$39="AUS","",IFERROR('Funktions-Tabelle'!$R$17,""))</f>
        <v>Drücke 5x 109,2 [Kg] um das Elite- Level zu erreichen.</v>
      </c>
      <c r="C31" s="1142"/>
      <c r="D31" s="1142"/>
      <c r="E31" s="1142"/>
      <c r="F31" s="390"/>
      <c r="G31" s="390"/>
      <c r="H31" s="390"/>
      <c r="I31" s="390"/>
      <c r="J31" s="390"/>
      <c r="K31" s="507"/>
      <c r="L31" s="1059" t="s">
        <v>310</v>
      </c>
      <c r="M31" s="1059"/>
      <c r="N31" s="1059"/>
      <c r="O31" s="1059"/>
      <c r="P31" s="1059"/>
      <c r="Q31" s="1059"/>
      <c r="R31" s="507"/>
      <c r="S31" s="507"/>
      <c r="T31" s="509"/>
      <c r="U31" s="509"/>
      <c r="V31" s="509"/>
      <c r="W31" s="509"/>
      <c r="X31" s="509"/>
      <c r="Y31" s="509"/>
      <c r="Z31" s="290"/>
      <c r="AA31" s="290"/>
      <c r="AB31" s="290"/>
      <c r="AC31" s="290"/>
      <c r="AD31" s="290"/>
      <c r="AE31" s="290"/>
    </row>
    <row r="32" spans="1:31" ht="30" customHeight="1">
      <c r="A32" s="390"/>
      <c r="B32" s="632"/>
      <c r="C32" s="390"/>
      <c r="D32" s="390"/>
      <c r="E32" s="390"/>
      <c r="F32" s="390"/>
      <c r="G32" s="390"/>
      <c r="H32" s="390"/>
      <c r="I32" s="390"/>
      <c r="J32" s="390"/>
      <c r="K32" s="507"/>
      <c r="L32" s="1059"/>
      <c r="M32" s="1059"/>
      <c r="N32" s="1059"/>
      <c r="O32" s="1059"/>
      <c r="P32" s="1059"/>
      <c r="Q32" s="1059"/>
      <c r="R32" s="507"/>
      <c r="S32" s="507"/>
      <c r="T32" s="509"/>
      <c r="U32" s="509"/>
      <c r="V32" s="509"/>
      <c r="W32" s="509"/>
      <c r="X32" s="509"/>
      <c r="Y32" s="509"/>
      <c r="Z32" s="290"/>
      <c r="AA32" s="290"/>
      <c r="AB32" s="290"/>
      <c r="AC32" s="290"/>
      <c r="AD32" s="290"/>
      <c r="AE32" s="290"/>
    </row>
    <row r="33" spans="1:31" ht="30" customHeight="1">
      <c r="A33" s="390"/>
      <c r="B33" s="390"/>
      <c r="C33" s="398"/>
      <c r="D33" s="398"/>
      <c r="E33" s="399"/>
      <c r="F33" s="399"/>
      <c r="G33" s="390"/>
      <c r="H33" s="390"/>
      <c r="I33" s="390"/>
      <c r="J33" s="390"/>
      <c r="K33" s="507"/>
      <c r="L33" s="1059"/>
      <c r="M33" s="1059"/>
      <c r="N33" s="1059"/>
      <c r="O33" s="1059"/>
      <c r="P33" s="1059"/>
      <c r="Q33" s="1059"/>
      <c r="R33" s="507"/>
      <c r="S33" s="507"/>
      <c r="T33" s="509"/>
      <c r="U33" s="509"/>
      <c r="V33" s="509"/>
      <c r="W33" s="509"/>
      <c r="X33" s="509"/>
      <c r="Y33" s="509"/>
      <c r="Z33" s="290"/>
      <c r="AA33" s="290"/>
      <c r="AB33" s="290"/>
      <c r="AC33" s="290"/>
      <c r="AD33" s="290"/>
      <c r="AE33" s="290"/>
    </row>
    <row r="34" spans="1:31" ht="30" customHeight="1">
      <c r="A34" s="947" t="s">
        <v>268</v>
      </c>
      <c r="B34" s="947"/>
      <c r="C34" s="397"/>
      <c r="D34" s="393"/>
      <c r="E34" s="391"/>
      <c r="F34" s="391"/>
      <c r="G34" s="390"/>
      <c r="H34" s="390"/>
      <c r="I34" s="390"/>
      <c r="J34" s="390"/>
      <c r="K34" s="507"/>
      <c r="L34" s="1059"/>
      <c r="M34" s="1059"/>
      <c r="N34" s="1059"/>
      <c r="O34" s="1059"/>
      <c r="P34" s="1059"/>
      <c r="Q34" s="1059"/>
      <c r="R34" s="507"/>
      <c r="S34" s="507"/>
      <c r="T34" s="509"/>
      <c r="U34" s="509"/>
      <c r="V34" s="509"/>
      <c r="W34" s="509"/>
      <c r="X34" s="509"/>
      <c r="Y34" s="509"/>
      <c r="Z34" s="290"/>
      <c r="AA34" s="290"/>
      <c r="AB34" s="290"/>
      <c r="AC34" s="290"/>
      <c r="AD34" s="290"/>
      <c r="AE34" s="290"/>
    </row>
    <row r="35" spans="1:31" ht="30" customHeight="1" thickBot="1">
      <c r="A35" s="390"/>
      <c r="B35" s="390"/>
      <c r="C35" s="390"/>
      <c r="D35" s="390"/>
      <c r="E35" s="390"/>
      <c r="F35" s="390"/>
      <c r="G35" s="390"/>
      <c r="H35" s="390"/>
      <c r="I35" s="390"/>
      <c r="J35" s="390"/>
      <c r="K35" s="507"/>
      <c r="L35" s="508"/>
      <c r="M35" s="508"/>
      <c r="N35" s="508"/>
      <c r="O35" s="508"/>
      <c r="P35" s="508"/>
      <c r="Q35" s="521"/>
      <c r="R35" s="507"/>
      <c r="S35" s="507"/>
      <c r="T35" s="509"/>
      <c r="U35" s="509"/>
      <c r="V35" s="509"/>
      <c r="W35" s="509"/>
      <c r="X35" s="509"/>
      <c r="Y35" s="509"/>
      <c r="Z35" s="290"/>
      <c r="AA35" s="290"/>
      <c r="AB35" s="290"/>
      <c r="AC35" s="290"/>
      <c r="AD35" s="290"/>
      <c r="AE35" s="290"/>
    </row>
    <row r="36" spans="1:31" ht="30" customHeight="1" thickBot="1">
      <c r="A36" s="390"/>
      <c r="B36" s="390"/>
      <c r="C36" s="390"/>
      <c r="D36" s="403" t="s">
        <v>323</v>
      </c>
      <c r="E36" s="390"/>
      <c r="F36" s="1088" t="s">
        <v>325</v>
      </c>
      <c r="G36" s="1089"/>
      <c r="H36" s="1088" t="s">
        <v>333</v>
      </c>
      <c r="I36" s="1089"/>
      <c r="J36" s="390"/>
      <c r="K36" s="507"/>
      <c r="L36" s="508"/>
      <c r="M36" s="508"/>
      <c r="N36" s="508"/>
      <c r="O36" s="508"/>
      <c r="P36" s="508"/>
      <c r="Q36" s="515"/>
      <c r="R36" s="507"/>
      <c r="S36" s="507"/>
      <c r="T36" s="509"/>
      <c r="U36" s="509"/>
      <c r="V36" s="509"/>
      <c r="W36" s="509"/>
      <c r="X36" s="509"/>
      <c r="Y36" s="509"/>
      <c r="Z36" s="290"/>
      <c r="AA36" s="290"/>
      <c r="AB36" s="290"/>
      <c r="AC36" s="290"/>
      <c r="AD36" s="290"/>
      <c r="AE36" s="290"/>
    </row>
    <row r="37" spans="1:31" ht="30" customHeight="1">
      <c r="A37" s="1074" t="s">
        <v>235</v>
      </c>
      <c r="B37" s="1075"/>
      <c r="C37" s="605" t="s">
        <v>408</v>
      </c>
      <c r="D37" s="603" t="str">
        <f>IF(VLOOKUP($C$8,Übungsübersicht!$E$8:$J$50,1,FALSE)="LH Bankdrücken","1. Übung",IF(VLOOKUP($C$8,Übungsübersicht!$E$8:$J$50,1,FALSE)="Kniebeuge","1. Übung",IF(VLOOKUP($C$8,Übungsübersicht!$E$8:$J$50,1,FALSE)="Kreuzheben","1. Übung",IF(VLOOKUP($C$8,Übungsübersicht!$E$8:$J$50,1,FALSE)="LH Rudern","1. Übung","2-4 Übung"))))</f>
        <v>1. Übung</v>
      </c>
      <c r="E37" s="390"/>
      <c r="F37" s="406" t="str">
        <f>IF(Dashboard!$C$31="4 Wochen","Woche 1-2 ",IF(Dashboard!$C$31="5 Wochen","Woche 1-3",IF(Dashboard!$C$31="6 Wochen","Woche 1-4: ",IF(Dashboard!$C$31="7 Wochen","Woche 1-5",IF(Dashboard!$C$31="8 Wochen","Woche 1-6","Dauer des Meso-Zyklus?")))))</f>
        <v>Woche 1-3</v>
      </c>
      <c r="G37" s="407" t="str">
        <f>IF(ISNA(MAX(VLOOKUP($C$8,Zyklus!$A$14:$U$65,8,FALSE),VLOOKUP($C$8,Zyklus!$A$14:$U$65,12,FALSE))&amp;" Wdh."),"",(MAX(VLOOKUP($C$8,Zyklus!$A$14:$U$65,8,FALSE),VLOOKUP($C$8,Zyklus!$A$14:$U$65,12,FALSE))&amp;" Wdh."))</f>
        <v>5 Wdh.</v>
      </c>
      <c r="H37" s="406" t="s">
        <v>68</v>
      </c>
      <c r="I37" s="407" t="str">
        <f>IF(ISNA(VLOOKUP($C$8,Zyklus!$A$14:$U$65,3,FALSE)&amp;" Sätze"),"",VLOOKUP($C$8,Zyklus!$A$14:$U$65,3,FALSE)&amp;" Sätze")</f>
        <v>3 Sätze</v>
      </c>
      <c r="J37" s="390"/>
      <c r="K37" s="507"/>
      <c r="L37" s="508"/>
      <c r="M37" s="508"/>
      <c r="N37" s="508"/>
      <c r="O37" s="508"/>
      <c r="P37" s="508"/>
      <c r="Q37" s="515"/>
      <c r="R37" s="507"/>
      <c r="S37" s="507"/>
      <c r="T37" s="509"/>
      <c r="U37" s="509"/>
      <c r="V37" s="509"/>
      <c r="W37" s="509"/>
      <c r="X37" s="509"/>
      <c r="Y37" s="509"/>
      <c r="Z37" s="290"/>
      <c r="AA37" s="290"/>
      <c r="AB37" s="290"/>
      <c r="AC37" s="290"/>
      <c r="AD37" s="290"/>
      <c r="AE37" s="290"/>
    </row>
    <row r="38" spans="1:31" ht="30" customHeight="1">
      <c r="A38" s="1076"/>
      <c r="B38" s="1077"/>
      <c r="C38" s="386"/>
      <c r="D38" s="404"/>
      <c r="E38" s="390"/>
      <c r="F38" s="576" t="str">
        <f>IF(Dashboard!$C$31="4 Wochen","Woche 3",IF(Dashboard!$C$31="5 Wochen","Woche 4",IF(Dashboard!$C$31="6 Wochen","Woche 5",IF(Dashboard!$C$31="7 Wochen","Woche 6 ",IF(Dashboard!$C$31="8 Wochen","Woche 7","Dauer des Meso-Zyklus?")))))</f>
        <v>Woche 4</v>
      </c>
      <c r="G38" s="577" t="str">
        <f>IF(ISNA(VLOOKUP($C$8,Zyklus!$A$14:$U$65,16,FALSE)&amp;" Wdh."),"",VLOOKUP($C$8,Zyklus!$A$14:$U$65,16,FALSE)&amp;" Wdh.")</f>
        <v>5 Wdh.</v>
      </c>
      <c r="H38" s="576" t="str">
        <f>IF(Dashboard!$C$31="4 Wochen","Woche 2 ",IF(Dashboard!$C$31="5 Wochen","Woche 2-3",IF(Dashboard!$C$31="6 Wochen","Woche 2-4: ",IF(Dashboard!$C$31="7 Wochen","Woche 2-5",IF(Dashboard!$C$31="8 Wochen","Woche 2-6","Dauer des Meso-Zyklus?")))))</f>
        <v>Woche 2-3</v>
      </c>
      <c r="I38" s="577" t="str">
        <f>IF(ISNA(MAX(VLOOKUP($C$8,Zyklus!$A$14:$U$65,7,FALSE),VLOOKUP($C$8,Zyklus!$A$14:$U$65,11,FALSE))&amp;" Sätze"),"",MAX(VLOOKUP($C$8,Zyklus!$A$14:$U$65,7,FALSE),VLOOKUP($C$8,Zyklus!$A$14:$U$65,11,FALSE))&amp;" Sätze")</f>
        <v>4 Sätze</v>
      </c>
      <c r="J38" s="390"/>
      <c r="K38" s="507"/>
      <c r="L38" s="508"/>
      <c r="M38" s="508"/>
      <c r="N38" s="508"/>
      <c r="O38" s="508"/>
      <c r="P38" s="508"/>
      <c r="Q38" s="515"/>
      <c r="R38" s="507"/>
      <c r="S38" s="507"/>
      <c r="T38" s="509"/>
      <c r="U38" s="509"/>
      <c r="V38" s="509"/>
      <c r="W38" s="509"/>
      <c r="X38" s="509"/>
      <c r="Y38" s="509"/>
      <c r="Z38" s="290"/>
      <c r="AA38" s="290"/>
      <c r="AB38" s="290"/>
      <c r="AC38" s="290"/>
      <c r="AD38" s="290"/>
      <c r="AE38" s="290"/>
    </row>
    <row r="39" spans="1:31" ht="30" customHeight="1" thickBot="1">
      <c r="A39" s="1078" t="s">
        <v>236</v>
      </c>
      <c r="B39" s="1079"/>
      <c r="C39" s="499" t="s">
        <v>222</v>
      </c>
      <c r="D39" s="405" t="str">
        <f>IF(VLOOKUP($C$8,Übungsübersicht!$E$8:$J$50,1,FALSE)="LH Bankdrücken","3-5 Sätze",IF(VLOOKUP($C$8,Übungsübersicht!$E$8:$J$50,1,FALSE)="Kniebeuge","3-5 Sätze",IF(VLOOKUP($C$8,Übungsübersicht!$E$8:$J$50,1,FALSE)="Kreuzheben","3-5 Sätze",IF(VLOOKUP($C$8,Übungsübersicht!$E$8:$J$50,1,FALSE)="LH Rudern","3-5 Sätze","3-4 Sätze Übung"))))</f>
        <v>3-5 Sätze</v>
      </c>
      <c r="E39" s="390"/>
      <c r="F39" s="580"/>
      <c r="G39" s="581"/>
      <c r="H39" s="578" t="str">
        <f>IF(Dashboard!$C$31="4 Wochen","Woche 3",IF(Dashboard!$C$31="5 Wochen","Woche 4",IF(Dashboard!$C$31="6 Wochen","Woche 5",IF(Dashboard!$C$31="7 Wochen","Woche 6 ",IF(Dashboard!$C$31="8 Wochen","Woche 7","Dauer des Meso-Zyklus?")))))</f>
        <v>Woche 4</v>
      </c>
      <c r="I39" s="579" t="str">
        <f>IF(ISNA(VLOOKUP($C$8,Zyklus!$A$14:$U$65,15,FALSE)&amp;" Sätze"),"",VLOOKUP($C$8,Zyklus!$A$14:$U$65,15,FALSE)&amp;" Sätze")</f>
        <v>5 Sätze</v>
      </c>
      <c r="J39" s="390"/>
      <c r="K39" s="507"/>
      <c r="L39" s="508"/>
      <c r="M39" s="508"/>
      <c r="N39" s="508"/>
      <c r="O39" s="508"/>
      <c r="P39" s="508"/>
      <c r="Q39" s="515"/>
      <c r="R39" s="507"/>
      <c r="S39" s="507"/>
      <c r="T39" s="509"/>
      <c r="U39" s="509"/>
      <c r="V39" s="509"/>
      <c r="W39" s="509"/>
      <c r="X39" s="509"/>
      <c r="Y39" s="509"/>
      <c r="Z39" s="290"/>
      <c r="AA39" s="290"/>
      <c r="AB39" s="290"/>
      <c r="AC39" s="290"/>
      <c r="AD39" s="290"/>
      <c r="AE39" s="290"/>
    </row>
    <row r="40" spans="1:31" ht="30" customHeight="1">
      <c r="A40" s="1076"/>
      <c r="B40" s="1077"/>
      <c r="C40" s="386"/>
      <c r="D40" s="404"/>
      <c r="E40" s="390"/>
      <c r="F40" s="390"/>
      <c r="G40" s="390"/>
      <c r="H40" s="390"/>
      <c r="I40" s="390"/>
      <c r="J40" s="390"/>
      <c r="K40" s="507"/>
      <c r="L40" s="508"/>
      <c r="M40" s="508"/>
      <c r="N40" s="508"/>
      <c r="O40" s="512"/>
      <c r="P40" s="512"/>
      <c r="Q40" s="515"/>
      <c r="R40" s="507"/>
      <c r="S40" s="507"/>
      <c r="T40" s="509"/>
      <c r="U40" s="509"/>
      <c r="V40" s="509"/>
      <c r="W40" s="509"/>
      <c r="X40" s="509"/>
      <c r="Y40" s="509"/>
      <c r="Z40" s="290"/>
      <c r="AA40" s="290"/>
      <c r="AB40" s="290"/>
      <c r="AC40" s="290"/>
      <c r="AD40" s="290"/>
      <c r="AE40" s="290"/>
    </row>
    <row r="41" spans="1:31" ht="30" customHeight="1" thickBot="1">
      <c r="A41" s="1080" t="s">
        <v>231</v>
      </c>
      <c r="B41" s="1081"/>
      <c r="C41" s="500">
        <v>8</v>
      </c>
      <c r="D41" s="604" t="str">
        <f>IF(VLOOKUP($C$8,Übungsübersicht!$E$8:$J$50,1,FALSE)="LH Bankdrücken","5-8 Wdh.",IF(VLOOKUP($C$8,Übungsübersicht!$E$8:$J$50,1,FALSE)="Kniebeuge","5-8 Wdh.",IF(VLOOKUP($C$8,Übungsübersicht!$E$8:$J$50,1,FALSE)="Kreuzheben","5-8 Wdh.",IF(VLOOKUP($C$8,Übungsübersicht!$E$8:$J$50,1,FALSE)="LH Rudern","5-8 Wdh",IF($C$37="1.Übung","6-8 Wdh.",IF($C$37="2.Übung","8-10 Wdh.",IF($C$37="3.Übung","8-12 Wdh.",IF($C$37="4.Übung","10-12 Wdh.",IF($C$37="5.Übung","12-15 Wdh.","Übungsreihernfolge?")))))))))</f>
        <v>5-8 Wdh.</v>
      </c>
      <c r="E41" s="1156" t="str">
        <f>IF(AND($C$41&gt;=12,$C$11="Brzycki"),"Bei Werten über 12 Wdh. Ist die Epley Formel zu empfehlen?!",IF(AND($C$41&lt;12,$C$11="Epley"),"Bei Werten weniger als 12 Wdh. Ist die Brzycki Formel zu empfehlen?!",""))</f>
        <v>Bei Werten weniger als 12 Wdh. Ist die Brzycki Formel zu empfehlen?!</v>
      </c>
      <c r="F41" s="396"/>
      <c r="G41" s="390"/>
      <c r="H41" s="390"/>
      <c r="I41" s="390"/>
      <c r="J41" s="390"/>
      <c r="K41" s="507"/>
      <c r="L41" s="508"/>
      <c r="M41" s="508"/>
      <c r="N41" s="508"/>
      <c r="O41" s="512"/>
      <c r="P41" s="512"/>
      <c r="Q41" s="515"/>
      <c r="R41" s="507"/>
      <c r="S41" s="507"/>
      <c r="T41" s="509"/>
      <c r="U41" s="509"/>
      <c r="V41" s="509"/>
      <c r="W41" s="509"/>
      <c r="X41" s="509"/>
      <c r="Y41" s="509"/>
      <c r="Z41" s="290"/>
      <c r="AA41" s="290"/>
      <c r="AB41" s="290"/>
      <c r="AC41" s="290"/>
      <c r="AD41" s="290"/>
      <c r="AE41" s="290"/>
    </row>
    <row r="42" spans="1:31" ht="30" customHeight="1" thickBot="1">
      <c r="A42" s="390"/>
      <c r="B42" s="390"/>
      <c r="C42" s="390"/>
      <c r="D42" s="685" t="s">
        <v>368</v>
      </c>
      <c r="E42" s="1156"/>
      <c r="F42" s="396"/>
      <c r="G42" s="506"/>
      <c r="H42" s="506"/>
      <c r="I42" s="582"/>
      <c r="J42" s="390"/>
      <c r="K42" s="507"/>
      <c r="L42" s="513"/>
      <c r="M42" s="512"/>
      <c r="N42" s="512"/>
      <c r="O42" s="512"/>
      <c r="P42" s="512"/>
      <c r="Q42" s="515"/>
      <c r="R42" s="507"/>
      <c r="S42" s="507"/>
      <c r="T42" s="509"/>
      <c r="U42" s="509"/>
      <c r="V42" s="509"/>
      <c r="W42" s="509"/>
      <c r="X42" s="509"/>
      <c r="Y42" s="509"/>
      <c r="Z42" s="290"/>
      <c r="AA42" s="290"/>
      <c r="AB42" s="290"/>
      <c r="AC42" s="290"/>
      <c r="AD42" s="290"/>
      <c r="AE42" s="290"/>
    </row>
    <row r="43" spans="1:31" ht="30" customHeight="1">
      <c r="A43" s="390"/>
      <c r="B43" s="390"/>
      <c r="C43" s="390"/>
      <c r="D43" s="390"/>
      <c r="E43" s="396"/>
      <c r="F43" s="396"/>
      <c r="G43" s="390"/>
      <c r="H43" s="390"/>
      <c r="I43" s="390"/>
      <c r="J43" s="390"/>
      <c r="K43" s="507"/>
      <c r="L43" s="513"/>
      <c r="M43" s="512"/>
      <c r="N43" s="512"/>
      <c r="O43" s="512"/>
      <c r="P43" s="512"/>
      <c r="Q43" s="515"/>
      <c r="R43" s="507"/>
      <c r="S43" s="507"/>
      <c r="T43" s="509"/>
      <c r="U43" s="509"/>
      <c r="V43" s="509"/>
      <c r="W43" s="509"/>
      <c r="X43" s="509"/>
      <c r="Y43" s="509"/>
      <c r="Z43" s="290"/>
      <c r="AA43" s="290"/>
      <c r="AB43" s="290"/>
      <c r="AC43" s="290"/>
      <c r="AD43" s="290"/>
      <c r="AE43" s="290"/>
    </row>
    <row r="44" spans="1:31" ht="30" customHeight="1">
      <c r="A44" s="390"/>
      <c r="B44" s="390"/>
      <c r="C44" s="390"/>
      <c r="D44" s="390"/>
      <c r="E44" s="396"/>
      <c r="F44" s="396"/>
      <c r="G44" s="390"/>
      <c r="H44" s="390"/>
      <c r="I44" s="390"/>
      <c r="J44" s="390"/>
      <c r="K44" s="507"/>
      <c r="L44" s="513"/>
      <c r="M44" s="512"/>
      <c r="N44" s="512"/>
      <c r="O44" s="512"/>
      <c r="P44" s="512"/>
      <c r="Q44" s="515"/>
      <c r="R44" s="507"/>
      <c r="S44" s="507"/>
      <c r="T44" s="509"/>
      <c r="U44" s="509"/>
      <c r="V44" s="509"/>
      <c r="W44" s="509"/>
      <c r="X44" s="509"/>
      <c r="Y44" s="509"/>
      <c r="Z44" s="290"/>
      <c r="AA44" s="290"/>
      <c r="AB44" s="290"/>
      <c r="AC44" s="290"/>
      <c r="AD44" s="290"/>
      <c r="AE44" s="290"/>
    </row>
    <row r="45" spans="1:31" ht="30" customHeight="1" thickBot="1">
      <c r="A45" s="390"/>
      <c r="B45" s="390"/>
      <c r="C45" s="390"/>
      <c r="D45" s="390"/>
      <c r="E45" s="390"/>
      <c r="F45" s="390"/>
      <c r="G45" s="390"/>
      <c r="H45" s="390"/>
      <c r="I45" s="390"/>
      <c r="J45" s="390"/>
      <c r="K45" s="507"/>
      <c r="L45" s="513"/>
      <c r="M45" s="512"/>
      <c r="N45" s="512"/>
      <c r="O45" s="512"/>
      <c r="P45" s="512"/>
      <c r="Q45" s="515"/>
      <c r="R45" s="507"/>
      <c r="S45" s="507"/>
      <c r="T45" s="509"/>
      <c r="U45" s="509"/>
      <c r="V45" s="509"/>
      <c r="W45" s="509"/>
      <c r="X45" s="509"/>
      <c r="Y45" s="509"/>
      <c r="Z45" s="290"/>
      <c r="AA45" s="290"/>
      <c r="AB45" s="290"/>
      <c r="AC45" s="290"/>
      <c r="AD45" s="290"/>
      <c r="AE45" s="290"/>
    </row>
    <row r="46" spans="1:31" ht="30" customHeight="1" thickBot="1">
      <c r="A46" s="390"/>
      <c r="B46" s="390"/>
      <c r="C46" s="390"/>
      <c r="D46" s="390"/>
      <c r="E46" s="390"/>
      <c r="F46" s="1096" t="s">
        <v>221</v>
      </c>
      <c r="G46" s="1097"/>
      <c r="H46" s="454" t="s">
        <v>248</v>
      </c>
      <c r="I46" s="390"/>
      <c r="J46" s="390"/>
      <c r="K46" s="507"/>
      <c r="L46" s="533"/>
      <c r="M46" s="533"/>
      <c r="N46" s="533"/>
      <c r="O46" s="512"/>
      <c r="P46" s="512"/>
      <c r="Q46" s="515"/>
      <c r="R46" s="507"/>
      <c r="S46" s="507"/>
      <c r="T46" s="509"/>
      <c r="U46" s="509"/>
      <c r="V46" s="509"/>
      <c r="W46" s="509"/>
      <c r="X46" s="509"/>
      <c r="Y46" s="509"/>
      <c r="Z46" s="290"/>
      <c r="AA46" s="290"/>
      <c r="AB46" s="290"/>
      <c r="AC46" s="290"/>
      <c r="AD46" s="290"/>
      <c r="AE46" s="290"/>
    </row>
    <row r="47" spans="1:31" ht="30" customHeight="1">
      <c r="A47" s="390"/>
      <c r="B47" s="1122" t="s">
        <v>271</v>
      </c>
      <c r="C47" s="1123"/>
      <c r="D47" s="1123" t="s">
        <v>254</v>
      </c>
      <c r="E47" s="1123" t="s">
        <v>255</v>
      </c>
      <c r="F47" s="1123" t="s">
        <v>256</v>
      </c>
      <c r="G47" s="1123" t="s">
        <v>56</v>
      </c>
      <c r="H47" s="1094" t="s">
        <v>55</v>
      </c>
      <c r="I47" s="390"/>
      <c r="J47" s="390"/>
      <c r="K47" s="507"/>
      <c r="L47" s="508"/>
      <c r="M47" s="508"/>
      <c r="N47" s="508"/>
      <c r="O47" s="512"/>
      <c r="P47" s="512"/>
      <c r="Q47" s="515"/>
      <c r="R47" s="507"/>
      <c r="S47" s="507"/>
      <c r="T47" s="509"/>
      <c r="U47" s="509"/>
      <c r="V47" s="509"/>
      <c r="W47" s="509"/>
      <c r="X47" s="509"/>
      <c r="Y47" s="509"/>
      <c r="Z47" s="290"/>
      <c r="AA47" s="290"/>
      <c r="AB47" s="290"/>
      <c r="AC47" s="290"/>
      <c r="AD47" s="290"/>
      <c r="AE47" s="290"/>
    </row>
    <row r="48" spans="1:31" ht="30" customHeight="1">
      <c r="A48" s="390"/>
      <c r="B48" s="1124"/>
      <c r="C48" s="1125"/>
      <c r="D48" s="1125"/>
      <c r="E48" s="1125"/>
      <c r="F48" s="1125"/>
      <c r="G48" s="1125"/>
      <c r="H48" s="1095"/>
      <c r="I48" s="390"/>
      <c r="J48" s="390"/>
      <c r="K48" s="507"/>
      <c r="L48" s="508"/>
      <c r="M48" s="508"/>
      <c r="N48" s="508"/>
      <c r="O48" s="529"/>
      <c r="P48" s="529"/>
      <c r="Q48" s="530"/>
      <c r="R48" s="507"/>
      <c r="S48" s="507"/>
      <c r="T48" s="509"/>
      <c r="U48" s="509"/>
      <c r="V48" s="509"/>
      <c r="W48" s="509"/>
      <c r="X48" s="509"/>
      <c r="Y48" s="509"/>
      <c r="Z48" s="290"/>
      <c r="AA48" s="290"/>
      <c r="AB48" s="290"/>
      <c r="AC48" s="290"/>
      <c r="AD48" s="290"/>
      <c r="AE48" s="290"/>
    </row>
    <row r="49" spans="1:31" ht="30" customHeight="1">
      <c r="A49" s="390"/>
      <c r="B49" s="436"/>
      <c r="C49" s="433"/>
      <c r="D49" s="433"/>
      <c r="E49" s="434"/>
      <c r="F49" s="433"/>
      <c r="G49" s="433"/>
      <c r="H49" s="437"/>
      <c r="I49" s="390"/>
      <c r="J49" s="390"/>
      <c r="K49" s="507"/>
      <c r="L49" s="509"/>
      <c r="M49" s="509"/>
      <c r="N49" s="509"/>
      <c r="O49" s="507"/>
      <c r="P49" s="507"/>
      <c r="Q49" s="507"/>
      <c r="R49" s="507"/>
      <c r="S49" s="507"/>
      <c r="T49" s="509"/>
      <c r="U49" s="509"/>
      <c r="V49" s="509"/>
      <c r="W49" s="509"/>
      <c r="X49" s="509"/>
      <c r="Y49" s="509"/>
      <c r="Z49" s="290"/>
      <c r="AA49" s="290"/>
      <c r="AB49" s="290"/>
      <c r="AC49" s="290"/>
      <c r="AD49" s="290"/>
      <c r="AE49" s="290"/>
    </row>
    <row r="50" spans="1:31" ht="30" customHeight="1">
      <c r="A50" s="390"/>
      <c r="B50" s="1100" t="s">
        <v>250</v>
      </c>
      <c r="C50" s="1101"/>
      <c r="D50" s="412"/>
      <c r="E50" s="412"/>
      <c r="F50" s="412"/>
      <c r="G50" s="412"/>
      <c r="H50" s="438"/>
      <c r="I50" s="390"/>
      <c r="J50" s="390"/>
      <c r="K50" s="507"/>
      <c r="L50" s="509"/>
      <c r="M50" s="509"/>
      <c r="N50" s="509"/>
      <c r="O50" s="509"/>
      <c r="P50" s="509"/>
      <c r="Q50" s="507"/>
      <c r="R50" s="507"/>
      <c r="S50" s="507"/>
      <c r="T50" s="509"/>
      <c r="U50" s="509"/>
      <c r="V50" s="509"/>
      <c r="W50" s="509"/>
      <c r="X50" s="509"/>
      <c r="Y50" s="509"/>
      <c r="Z50" s="290"/>
      <c r="AA50" s="290"/>
      <c r="AB50" s="290"/>
      <c r="AC50" s="290"/>
      <c r="AD50" s="290"/>
      <c r="AE50" s="290"/>
    </row>
    <row r="51" spans="1:31" ht="30" customHeight="1">
      <c r="A51" s="390"/>
      <c r="B51" s="1100"/>
      <c r="C51" s="1101"/>
      <c r="D51" s="484">
        <f>IF($D$25="","EINGEBEN",IF($C$41=0,"Wdh.?",IF(OR($C$41&lt;1,$C$41&gt;30),"Nur Wdh. von 1-30",IF(($D52)&gt;((IF(MROUND($D52,$C$13)&gt;$D52,MROUND(($D52)-($C$13/2),$C$13),MROUND($D52,$C$13)))+($C$13*Dashboard!$C$37)),(IF(MROUND($D52,$C$13)&gt;$D52,MROUND(($D52)+($C$13/2),$C$13),MROUND($D52,$C$13))),(IF(MROUND($D52,$C$13)&gt;$D52,MROUND(($D52)-($C$13/2),$C$13),MROUND($D52,$C$13)))))))</f>
        <v>95</v>
      </c>
      <c r="E51" s="413">
        <f>IF(C41&lt;1,"",IF(C41&gt;30,"",IF($D$25="","",MROUND(PRODUCT(D52/$D$25),0.005))))</f>
        <v>0.79</v>
      </c>
      <c r="F51" s="414" t="s">
        <v>260</v>
      </c>
      <c r="G51" s="414" t="str">
        <f>IF($C$41=0,"Wdh.?",IF(OR($C$41&lt;1,$C$41&gt;30),"Nur Wdh. von 1-30",$C$41&amp;" Wdh."))</f>
        <v>8 Wdh.</v>
      </c>
      <c r="H51" s="439" t="str">
        <f>IF($C$39=0,"Geplante Sätze ?",$C$39)</f>
        <v>2 Sätze</v>
      </c>
      <c r="I51" s="390"/>
      <c r="J51" s="390"/>
      <c r="K51" s="507"/>
      <c r="L51" s="1090" t="s">
        <v>259</v>
      </c>
      <c r="M51" s="1090"/>
      <c r="N51" s="1090"/>
      <c r="O51" s="1090"/>
      <c r="P51" s="516"/>
      <c r="Q51" s="507"/>
      <c r="R51" s="507"/>
      <c r="S51" s="507"/>
      <c r="T51" s="509"/>
      <c r="U51" s="509"/>
      <c r="V51" s="509"/>
      <c r="W51" s="509"/>
      <c r="X51" s="509"/>
      <c r="Y51" s="509"/>
      <c r="Z51" s="290"/>
      <c r="AA51" s="290"/>
      <c r="AB51" s="290"/>
      <c r="AC51" s="290"/>
      <c r="AD51" s="290"/>
      <c r="AE51" s="290"/>
    </row>
    <row r="52" spans="1:31" ht="30" customHeight="1">
      <c r="A52" s="390"/>
      <c r="B52" s="1100"/>
      <c r="C52" s="1101"/>
      <c r="D52" s="415">
        <f>IF($D$25="","EINGEBEN",IF($C$41=0,"",IF(OR($C$41&lt;1,$C$41&gt;30),"Nur Wdh. von 1-30",IF($C$11="Epley",($D$25/(1+($C41/30))),$D$25/(36/(37-($C$41)))))))</f>
        <v>94.736842105263165</v>
      </c>
      <c r="E52" s="416"/>
      <c r="F52" s="417"/>
      <c r="G52" s="417"/>
      <c r="H52" s="440"/>
      <c r="I52" s="390"/>
      <c r="J52" s="390"/>
      <c r="K52" s="507"/>
      <c r="L52" s="507"/>
      <c r="M52" s="507"/>
      <c r="N52" s="507"/>
      <c r="O52" s="507"/>
      <c r="P52" s="507"/>
      <c r="Q52" s="507"/>
      <c r="R52" s="507"/>
      <c r="S52" s="507"/>
      <c r="T52" s="509"/>
      <c r="U52" s="509"/>
      <c r="V52" s="509"/>
      <c r="W52" s="509"/>
      <c r="X52" s="509"/>
      <c r="Y52" s="509"/>
      <c r="Z52" s="290"/>
      <c r="AA52" s="290"/>
      <c r="AB52" s="290"/>
      <c r="AC52" s="290"/>
      <c r="AD52" s="290"/>
      <c r="AE52" s="290"/>
    </row>
    <row r="53" spans="1:31" ht="25.5" customHeight="1">
      <c r="A53" s="390"/>
      <c r="B53" s="1129"/>
      <c r="C53" s="1051"/>
      <c r="D53" s="1051"/>
      <c r="E53" s="1051"/>
      <c r="F53" s="1051"/>
      <c r="G53" s="1051"/>
      <c r="H53" s="1056"/>
      <c r="I53" s="390"/>
      <c r="J53" s="390"/>
      <c r="K53" s="507"/>
      <c r="L53" s="543" t="s">
        <v>56</v>
      </c>
      <c r="M53" s="543" t="s">
        <v>138</v>
      </c>
      <c r="N53" s="544" t="s">
        <v>57</v>
      </c>
      <c r="O53" s="544" t="s">
        <v>188</v>
      </c>
      <c r="P53" s="532"/>
      <c r="Q53" s="507"/>
      <c r="R53" s="507"/>
      <c r="S53" s="507"/>
      <c r="T53" s="509"/>
      <c r="U53" s="509"/>
      <c r="V53" s="509"/>
      <c r="W53" s="509"/>
      <c r="X53" s="509"/>
      <c r="Y53" s="509"/>
      <c r="Z53" s="290"/>
      <c r="AA53" s="290"/>
      <c r="AB53" s="290"/>
      <c r="AC53" s="290"/>
      <c r="AD53" s="290"/>
      <c r="AE53" s="290"/>
    </row>
    <row r="54" spans="1:31" ht="25.5" customHeight="1">
      <c r="A54" s="390"/>
      <c r="B54" s="441"/>
      <c r="C54" s="435"/>
      <c r="D54" s="435"/>
      <c r="E54" s="435"/>
      <c r="F54" s="435"/>
      <c r="G54" s="435"/>
      <c r="H54" s="442"/>
      <c r="I54" s="390"/>
      <c r="J54" s="390"/>
      <c r="K54" s="507"/>
      <c r="L54" s="545">
        <v>2</v>
      </c>
      <c r="M54" s="546">
        <f t="shared" ref="M54:M63" si="0">IFERROR(MROUND(N54/$D$25,0.01),"")</f>
        <v>0.94000000000000006</v>
      </c>
      <c r="N54" s="547">
        <f t="shared" ref="N54:N63" si="1">IFERROR(IF($C$11="Epley",($D$25/(1+($L54/30))),$D$25/(36/(37-$L54))),"")</f>
        <v>112.5</v>
      </c>
      <c r="O54" s="548">
        <f t="shared" ref="O54:O63" si="2">IFERROR(IF(MROUND($N54,$C$13)&gt;$N54,MROUND($N54-($C$13/2),$C$13),MROUND($N54,$C$13)),"")</f>
        <v>112.5</v>
      </c>
      <c r="P54" s="525"/>
      <c r="Q54" s="507"/>
      <c r="R54" s="507"/>
      <c r="S54" s="507"/>
      <c r="T54" s="509"/>
      <c r="U54" s="509"/>
      <c r="V54" s="509"/>
      <c r="W54" s="509"/>
      <c r="X54" s="509"/>
      <c r="Y54" s="509"/>
      <c r="Z54" s="290"/>
      <c r="AA54" s="290"/>
      <c r="AB54" s="290"/>
      <c r="AC54" s="290"/>
      <c r="AD54" s="290"/>
      <c r="AE54" s="290"/>
    </row>
    <row r="55" spans="1:31" ht="30" customHeight="1">
      <c r="A55" s="390"/>
      <c r="B55" s="1116" t="s">
        <v>257</v>
      </c>
      <c r="C55" s="1117"/>
      <c r="D55" s="418"/>
      <c r="E55" s="418"/>
      <c r="F55" s="418"/>
      <c r="G55" s="418"/>
      <c r="H55" s="443"/>
      <c r="I55" s="390"/>
      <c r="J55" s="390"/>
      <c r="K55" s="507"/>
      <c r="L55" s="549">
        <v>3</v>
      </c>
      <c r="M55" s="550">
        <f t="shared" si="0"/>
        <v>0.91</v>
      </c>
      <c r="N55" s="551">
        <f t="shared" si="1"/>
        <v>109.09090909090908</v>
      </c>
      <c r="O55" s="552">
        <f t="shared" si="2"/>
        <v>107.5</v>
      </c>
      <c r="P55" s="525"/>
      <c r="Q55" s="507"/>
      <c r="R55" s="507"/>
      <c r="S55" s="507"/>
      <c r="T55" s="509"/>
      <c r="U55" s="509"/>
      <c r="V55" s="509"/>
      <c r="W55" s="509"/>
      <c r="X55" s="509"/>
      <c r="Y55" s="509"/>
      <c r="Z55" s="290"/>
      <c r="AA55" s="290"/>
      <c r="AB55" s="290"/>
      <c r="AC55" s="290"/>
      <c r="AD55" s="290"/>
      <c r="AE55" s="290"/>
    </row>
    <row r="56" spans="1:31" ht="30" customHeight="1">
      <c r="A56" s="390"/>
      <c r="B56" s="1116"/>
      <c r="C56" s="1117"/>
      <c r="D56" s="485">
        <f>IF($D$25="","EINGEBEN",IF($C$41=0,"Wdh.?",IF(OR($C$41&lt;1,$C$41&gt;30),"Nur Wdh. von 1-30",IF(($D57)&gt;((IF(MROUND($D57,$C$13)&gt;$D57,MROUND(($D57)-($C$13/2),$C$13),MROUND($D57,$C$13)))+($C$13*Dashboard!$C$37)),(IF(MROUND($D57,$C$13)&gt;$D57,MROUND(($D57)+($C$13/2),$C$13),MROUND($D57,$C$13))),(IF(MROUND($D57,$C$13)&gt;$D57,MROUND(($D57)-($C$13/2),$C$13),MROUND($D57,$C$13)))))))</f>
        <v>87.5</v>
      </c>
      <c r="E56" s="419">
        <f>IF(C41&lt;1,"",IF(C41&gt;30,"",IF($D$25="","",MROUND(PRODUCT(D57/$D$25),0.005))))</f>
        <v>0.74</v>
      </c>
      <c r="F56" s="420" t="str">
        <f>IF($C$39="2 Sätze","RPE 7,5",IF($C$39="3 Sätze","RPE 7",IF($C$39="4 Sätze","RPE 7",IF($C$39="5 Sätze","RPE 6,5",IF($C$39="6 Sätze","RPE 6,5","Sätze?")))))</f>
        <v>RPE 7,5</v>
      </c>
      <c r="G56" s="420" t="str">
        <f>IF($C$41=0,"Wdh.?",IF(OR($C$41&lt;1,$C$41&gt;30),"Nur Wdh. von 1-30",$C$41&amp;" Wdh."))</f>
        <v>8 Wdh.</v>
      </c>
      <c r="H56" s="444" t="str">
        <f>IF($C$39=0,"Geplante Sätze ?",$C$39)</f>
        <v>2 Sätze</v>
      </c>
      <c r="I56" s="390"/>
      <c r="J56" s="390"/>
      <c r="K56" s="507"/>
      <c r="L56" s="545">
        <v>4</v>
      </c>
      <c r="M56" s="546">
        <f t="shared" si="0"/>
        <v>0.88</v>
      </c>
      <c r="N56" s="547">
        <f t="shared" si="1"/>
        <v>105.88235294117648</v>
      </c>
      <c r="O56" s="548">
        <f t="shared" si="2"/>
        <v>105</v>
      </c>
      <c r="P56" s="525"/>
      <c r="Q56" s="507"/>
      <c r="R56" s="507"/>
      <c r="S56" s="507"/>
      <c r="T56" s="509"/>
      <c r="U56" s="509"/>
      <c r="V56" s="509"/>
      <c r="W56" s="509"/>
      <c r="X56" s="509"/>
      <c r="Y56" s="509"/>
      <c r="Z56" s="290"/>
      <c r="AA56" s="290"/>
      <c r="AB56" s="290"/>
      <c r="AC56" s="290"/>
      <c r="AD56" s="290"/>
      <c r="AE56" s="290"/>
    </row>
    <row r="57" spans="1:31" ht="30" customHeight="1">
      <c r="A57" s="390"/>
      <c r="B57" s="1134" t="s">
        <v>258</v>
      </c>
      <c r="C57" s="1135"/>
      <c r="D57" s="421">
        <f>IF($C$11="Epley",IF($D$25="","EINGEBEN",(IF($C$41=0,"",IF(OR($C$41&lt;1,$C$41&gt;30),"Nur Wdh. von 1-30",IF($C$39="2 Sätze",($D$25/(1+(($C41+2.5)/30))),IF($C$39="3 Sätze",($D$25/(1+(($C41+3)/30))),IF($C$39="4 Sätze",($D$25/(1+(($C41+3)/30))),IF($C$39="5 Sätze",($D$25/(1+(($C41+3.5)/30))),IF($C$39="6 Sätze",($D$25/(1+(($C41+3.5)/30))),"Geplante Sätze?"))))))))),(IF($D$25="","EINGEBEN",IF($C$41=0,"",IF(OR($C$41&lt;1,$C$41&gt;30),"Nur Wdh. von 1-30",IF($C$39="2 Sätze",$D$25/(36/(37-($C$41+2.5))),IF($C$39="3 Sätze",$D$25/(36/(37-($C$41+3))),IF($C$39="4 Sätze",$D$25/(36/(37-($C$41+3))),IF($C$39="5 Sätze",$D$25/(36/(37-($C$41+3.5))),IF($C$39="6 Sätze",$D$25/(36/(37-($C$41+3.5))),"Geplante Sätze?"))))))))))</f>
        <v>88.888888888888886</v>
      </c>
      <c r="E57" s="422"/>
      <c r="F57" s="423"/>
      <c r="G57" s="423"/>
      <c r="H57" s="445"/>
      <c r="I57" s="390"/>
      <c r="J57" s="390"/>
      <c r="K57" s="507"/>
      <c r="L57" s="549">
        <v>5</v>
      </c>
      <c r="M57" s="550">
        <f t="shared" si="0"/>
        <v>0.86</v>
      </c>
      <c r="N57" s="551">
        <f t="shared" si="1"/>
        <v>102.85714285714285</v>
      </c>
      <c r="O57" s="552">
        <f t="shared" si="2"/>
        <v>102.5</v>
      </c>
      <c r="P57" s="525"/>
      <c r="Q57" s="507"/>
      <c r="R57" s="507"/>
      <c r="S57" s="507"/>
      <c r="T57" s="509"/>
      <c r="U57" s="509"/>
      <c r="V57" s="509"/>
      <c r="W57" s="509"/>
      <c r="X57" s="509"/>
      <c r="Y57" s="509"/>
      <c r="Z57" s="290"/>
      <c r="AA57" s="290"/>
      <c r="AB57" s="290"/>
      <c r="AC57" s="290"/>
      <c r="AD57" s="290"/>
      <c r="AE57" s="290"/>
    </row>
    <row r="58" spans="1:31" ht="30" customHeight="1">
      <c r="A58" s="390"/>
      <c r="B58" s="441"/>
      <c r="C58" s="435"/>
      <c r="D58" s="435"/>
      <c r="E58" s="435"/>
      <c r="F58" s="435"/>
      <c r="G58" s="435"/>
      <c r="H58" s="442"/>
      <c r="I58" s="390"/>
      <c r="J58" s="390"/>
      <c r="K58" s="507"/>
      <c r="L58" s="545">
        <v>6</v>
      </c>
      <c r="M58" s="546">
        <f t="shared" si="0"/>
        <v>0.83000000000000007</v>
      </c>
      <c r="N58" s="547">
        <f t="shared" si="1"/>
        <v>100</v>
      </c>
      <c r="O58" s="548">
        <f t="shared" si="2"/>
        <v>100</v>
      </c>
      <c r="P58" s="525"/>
      <c r="Q58" s="507"/>
      <c r="R58" s="507"/>
      <c r="S58" s="507"/>
      <c r="T58" s="509"/>
      <c r="U58" s="509"/>
      <c r="V58" s="509"/>
      <c r="W58" s="509"/>
      <c r="X58" s="509"/>
      <c r="Y58" s="509"/>
      <c r="Z58" s="290"/>
      <c r="AA58" s="290"/>
      <c r="AB58" s="290"/>
      <c r="AC58" s="290"/>
      <c r="AD58" s="290"/>
      <c r="AE58" s="290"/>
    </row>
    <row r="59" spans="1:31" ht="30" customHeight="1">
      <c r="A59" s="390"/>
      <c r="B59" s="441"/>
      <c r="C59" s="435"/>
      <c r="D59" s="435"/>
      <c r="E59" s="435"/>
      <c r="F59" s="435"/>
      <c r="G59" s="435"/>
      <c r="H59" s="442"/>
      <c r="I59" s="390"/>
      <c r="J59" s="390"/>
      <c r="K59" s="507"/>
      <c r="L59" s="549">
        <v>7</v>
      </c>
      <c r="M59" s="550">
        <f t="shared" si="0"/>
        <v>0.81</v>
      </c>
      <c r="N59" s="551">
        <f t="shared" si="1"/>
        <v>97.297297297297291</v>
      </c>
      <c r="O59" s="552">
        <f t="shared" si="2"/>
        <v>95</v>
      </c>
      <c r="P59" s="525"/>
      <c r="Q59" s="507"/>
      <c r="R59" s="507"/>
      <c r="S59" s="507"/>
      <c r="T59" s="509"/>
      <c r="U59" s="509"/>
      <c r="V59" s="509"/>
      <c r="W59" s="509"/>
      <c r="X59" s="509"/>
      <c r="Y59" s="509"/>
      <c r="Z59" s="290"/>
      <c r="AA59" s="290"/>
      <c r="AB59" s="290"/>
      <c r="AC59" s="290"/>
      <c r="AD59" s="290"/>
      <c r="AE59" s="290"/>
    </row>
    <row r="60" spans="1:31" ht="30" customHeight="1">
      <c r="A60" s="390"/>
      <c r="B60" s="1118" t="str">
        <f>IF(Dashboard!$C$31="4 Wochen","Woche 2 ",IF(Dashboard!$C$31="5 Wochen","Woche 2-3",IF(Dashboard!$C$31="6 Wochen","Woche 2-4: ",IF(Dashboard!$C$31="7 Wochen","Woche 2-5",IF(Dashboard!$C$31="8 Wochen","Woche 2-6","Dauer des Meso-Zyklus?")))))</f>
        <v>Woche 2-3</v>
      </c>
      <c r="C60" s="1119"/>
      <c r="D60" s="424"/>
      <c r="E60" s="424"/>
      <c r="F60" s="424"/>
      <c r="G60" s="424"/>
      <c r="H60" s="446"/>
      <c r="I60" s="390"/>
      <c r="J60" s="390"/>
      <c r="K60" s="507"/>
      <c r="L60" s="545">
        <v>8</v>
      </c>
      <c r="M60" s="546">
        <f t="shared" si="0"/>
        <v>0.79</v>
      </c>
      <c r="N60" s="547">
        <f t="shared" si="1"/>
        <v>94.736842105263165</v>
      </c>
      <c r="O60" s="548">
        <f t="shared" si="2"/>
        <v>92.5</v>
      </c>
      <c r="P60" s="509"/>
      <c r="Q60" s="507"/>
      <c r="R60" s="507"/>
      <c r="S60" s="507"/>
      <c r="T60" s="509"/>
      <c r="U60" s="509"/>
      <c r="V60" s="509"/>
      <c r="W60" s="509"/>
      <c r="X60" s="509"/>
      <c r="Y60" s="509"/>
      <c r="Z60" s="290"/>
      <c r="AA60" s="290"/>
      <c r="AB60" s="290"/>
      <c r="AC60" s="290"/>
      <c r="AD60" s="290"/>
      <c r="AE60" s="290"/>
    </row>
    <row r="61" spans="1:31" ht="30" customHeight="1">
      <c r="A61" s="390"/>
      <c r="B61" s="1118"/>
      <c r="C61" s="1119"/>
      <c r="D61" s="486">
        <f>IF($D$25="","EINGEBEN",IF($C$41=0,"Wdh.?",IF(OR($C$41&lt;1,$C$41&gt;30),"Nur Wdh. von 1-30",IF(($D62)&gt;((IF(MROUND($D62,$C$13)&gt;$D62,MROUND(($D62)-($C$13/2),$C$13),MROUND($D62,$C$13)))+($C$13*Dashboard!$C$37)),(IF(MROUND($D62,$C$13)&gt;$D62,MROUND(($D62)+($C$13/2),$C$13),MROUND($D62,$C$13))),(IF(MROUND($D62,$C$13)&gt;$D62,MROUND(($D62)-($C$13/2),$C$13),MROUND($D62,$C$13)))))))</f>
        <v>90</v>
      </c>
      <c r="E61" s="425">
        <f>IF(C41&lt;1,"",IF(C41&gt;30,"",IF($D$25="","",MROUND(PRODUCT(D62/$D$25),0.005))))</f>
        <v>0.76</v>
      </c>
      <c r="F61" s="294" t="str">
        <f>IF($C$39="2 Sätze","RPE 8,5",IF($C$39="3 Sätze","RPE 8",IF($C$39="4 Sätze","RPE 8",IF($C$39="5 Sätze","RPE 7,5",IF($C$39="6 Sätze","RPE 7","Sätze?")))))</f>
        <v>RPE 8,5</v>
      </c>
      <c r="G61" s="294" t="str">
        <f>IF($C$41=0,"Wdh.?",IF(OR($C$41&lt;1,$C$41&gt;30),"Nur Wdh. von 1-30",$C$41&amp;" Wdh."))</f>
        <v>8 Wdh.</v>
      </c>
      <c r="H61" s="447" t="str">
        <f>IF($C$39=0,"Geplante Sätze ?",$C$39)</f>
        <v>2 Sätze</v>
      </c>
      <c r="I61" s="390"/>
      <c r="J61" s="390"/>
      <c r="K61" s="507"/>
      <c r="L61" s="549">
        <v>9</v>
      </c>
      <c r="M61" s="550">
        <f t="shared" si="0"/>
        <v>0.77</v>
      </c>
      <c r="N61" s="551">
        <f t="shared" si="1"/>
        <v>92.307692307692307</v>
      </c>
      <c r="O61" s="552">
        <f t="shared" si="2"/>
        <v>90</v>
      </c>
      <c r="P61" s="509"/>
      <c r="Q61" s="507"/>
      <c r="R61" s="507"/>
      <c r="S61" s="507"/>
      <c r="T61" s="509"/>
      <c r="U61" s="509"/>
      <c r="V61" s="509"/>
      <c r="W61" s="509"/>
      <c r="X61" s="509"/>
      <c r="Y61" s="509"/>
      <c r="Z61" s="290"/>
      <c r="AA61" s="290"/>
      <c r="AB61" s="290"/>
      <c r="AC61" s="290"/>
      <c r="AD61" s="290"/>
      <c r="AE61" s="290"/>
    </row>
    <row r="62" spans="1:31" ht="30" customHeight="1">
      <c r="A62" s="390"/>
      <c r="B62" s="1132" t="s">
        <v>269</v>
      </c>
      <c r="C62" s="1133"/>
      <c r="D62" s="426">
        <f>IF($C$11="Epley",IF($D$25="","EINGEBEN",(IF($C$41=0,"",IF(OR($C$41&lt;1,$C$41&gt;30),"Nur Wdh. von 1-30",IF($C$39="2 Sätze",($D$25/(1+(($C41+1.5)/30))),IF($C$39="3 Sätze",($D$25/(1+(($C41+2)/30))),IF($C$39="4 Sätze",($D$25/(1+(($C41+2)/30))),IF($C$39="5 Sätze",($D$25/(1+(($C41+2.5)/30))),IF($C$39="6 Sätze",($D$25/(1+(($C41+3)/30))),"Geplante Sätze?"))))))))),(IF($D$25="","EINGEBEN",IF($C$41=0,"",IF(OR($C$41&lt;1,$C$41&gt;30),"Nur Wdh. von 1-30",IF($C$39="2 Sätze",$D$25/(36/(37-($C$41+1.5))),IF($C$39="3 Sätze",$D$25/(36/(37-($C$41+2))),IF($C$39="4 Sätze",$D$25/(36/(37-($C$41+2))),IF($C$39="5 Sätze",$D$25/(36/(37-($C$41+2.5))),IF($C$39="6 Sätze",$D$25/(36/(37-($C$41+3))),"Geplante Sätze?"))))))))))</f>
        <v>91.139240506329116</v>
      </c>
      <c r="E62" s="427"/>
      <c r="F62" s="428"/>
      <c r="G62" s="428"/>
      <c r="H62" s="448"/>
      <c r="I62" s="390"/>
      <c r="J62" s="390"/>
      <c r="K62" s="507"/>
      <c r="L62" s="545">
        <v>10</v>
      </c>
      <c r="M62" s="546">
        <f t="shared" si="0"/>
        <v>0.75</v>
      </c>
      <c r="N62" s="547">
        <f t="shared" si="1"/>
        <v>90</v>
      </c>
      <c r="O62" s="548">
        <f t="shared" si="2"/>
        <v>90</v>
      </c>
      <c r="P62" s="509"/>
      <c r="Q62" s="507"/>
      <c r="R62" s="507"/>
      <c r="S62" s="507"/>
      <c r="T62" s="509"/>
      <c r="U62" s="509"/>
      <c r="V62" s="509"/>
      <c r="W62" s="509"/>
      <c r="X62" s="509"/>
      <c r="Y62" s="509"/>
      <c r="Z62" s="290"/>
      <c r="AA62" s="290"/>
      <c r="AB62" s="290"/>
      <c r="AC62" s="290"/>
      <c r="AD62" s="290"/>
      <c r="AE62" s="290"/>
    </row>
    <row r="63" spans="1:31" ht="30" customHeight="1">
      <c r="A63" s="390"/>
      <c r="B63" s="441"/>
      <c r="C63" s="435"/>
      <c r="D63" s="435"/>
      <c r="E63" s="435"/>
      <c r="F63" s="435"/>
      <c r="G63" s="435"/>
      <c r="H63" s="442"/>
      <c r="I63" s="390"/>
      <c r="J63" s="390"/>
      <c r="K63" s="507"/>
      <c r="L63" s="549">
        <v>12</v>
      </c>
      <c r="M63" s="550">
        <f t="shared" si="0"/>
        <v>0.71</v>
      </c>
      <c r="N63" s="551">
        <f t="shared" si="1"/>
        <v>85.714285714285722</v>
      </c>
      <c r="O63" s="552">
        <f t="shared" si="2"/>
        <v>85</v>
      </c>
      <c r="P63" s="509"/>
      <c r="Q63" s="507"/>
      <c r="R63" s="507"/>
      <c r="S63" s="507"/>
      <c r="T63" s="509"/>
      <c r="U63" s="509"/>
      <c r="V63" s="509"/>
      <c r="W63" s="509"/>
      <c r="X63" s="509"/>
      <c r="Y63" s="509"/>
      <c r="Z63" s="290"/>
      <c r="AA63" s="290"/>
      <c r="AB63" s="290"/>
      <c r="AC63" s="290"/>
      <c r="AD63" s="290"/>
      <c r="AE63" s="290"/>
    </row>
    <row r="64" spans="1:31" ht="30" customHeight="1">
      <c r="A64" s="390"/>
      <c r="B64" s="441"/>
      <c r="C64" s="435"/>
      <c r="D64" s="435"/>
      <c r="E64" s="435"/>
      <c r="F64" s="435"/>
      <c r="G64" s="435"/>
      <c r="H64" s="442"/>
      <c r="I64" s="390"/>
      <c r="J64" s="390"/>
      <c r="K64" s="507"/>
      <c r="L64" s="509"/>
      <c r="M64" s="509"/>
      <c r="N64" s="509"/>
      <c r="O64" s="509"/>
      <c r="P64" s="509"/>
      <c r="Q64" s="507"/>
      <c r="R64" s="507"/>
      <c r="S64" s="507"/>
      <c r="T64" s="509"/>
      <c r="U64" s="509"/>
      <c r="V64" s="509"/>
      <c r="W64" s="509"/>
      <c r="X64" s="509"/>
      <c r="Y64" s="509"/>
      <c r="Z64" s="290"/>
      <c r="AA64" s="290"/>
      <c r="AB64" s="290"/>
      <c r="AC64" s="290"/>
      <c r="AD64" s="290"/>
      <c r="AE64" s="290"/>
    </row>
    <row r="65" spans="1:31" ht="30" customHeight="1">
      <c r="A65" s="390"/>
      <c r="B65" s="1120" t="str">
        <f>IF(Dashboard!$C$31="4 Wochen","Woche 3",IF(Dashboard!$C$31="5 Wochen","Woche 4",IF(Dashboard!$C$31="6 Wochen","Woche 5",IF(Dashboard!$C$31="7 Wochen","Woche 6 ",IF(Dashboard!$C$31="8 Wochen","Woche 7","Dauer des Meso-Zyklus?")))))</f>
        <v>Woche 4</v>
      </c>
      <c r="C65" s="1121"/>
      <c r="D65" s="295"/>
      <c r="E65" s="295"/>
      <c r="F65" s="295"/>
      <c r="G65" s="295"/>
      <c r="H65" s="449"/>
      <c r="I65" s="390"/>
      <c r="J65" s="390"/>
      <c r="K65" s="507"/>
      <c r="L65" s="509"/>
      <c r="M65" s="509"/>
      <c r="N65" s="509"/>
      <c r="O65" s="509"/>
      <c r="P65" s="509"/>
      <c r="Q65" s="507"/>
      <c r="R65" s="507"/>
      <c r="S65" s="507"/>
      <c r="T65" s="509"/>
      <c r="U65" s="509"/>
      <c r="V65" s="509"/>
      <c r="W65" s="509"/>
      <c r="X65" s="509"/>
      <c r="Y65" s="509"/>
      <c r="Z65" s="290"/>
      <c r="AA65" s="290"/>
      <c r="AB65" s="290"/>
      <c r="AC65" s="290"/>
      <c r="AD65" s="290"/>
      <c r="AE65" s="290"/>
    </row>
    <row r="66" spans="1:31" ht="30" customHeight="1">
      <c r="A66" s="458"/>
      <c r="B66" s="1121"/>
      <c r="C66" s="1121"/>
      <c r="D66" s="487">
        <f>IF($D$67="Steigerung Intensität ?","Steigerung ?",IF($D$25="","EINGEBEN",IF($C$41=0,"Wdh.?",IF(OR($C$41&lt;1,$C$41&gt;30),"Nur Wdh. von 1-30",IF(($D67)&gt;((IF(MROUND($D67,$C$13)&gt;$D67,MROUND(($D67)-($C$13/2),$C$13),MROUND($D67,$C$13)))+($C$13*Dashboard!$C$37)),(IF(MROUND($D67,$C$13)&gt;$D67,MROUND(($D67)+($C$13/2),$C$13),MROUND($D67,$C$13))),(IF(MROUND($D67,$C$13)&gt;$D67,MROUND(($D67)-($C$13/2),$C$13),MROUND($D67,$C$13))))))))</f>
        <v>90</v>
      </c>
      <c r="E66" s="429">
        <f>IF(C41&lt;1,"",IF(C41&gt;30,"",IF(D66="Steigerung ?","",IF($D$25="","",MROUND(PRODUCT(D67/$D$25),0.005)))))</f>
        <v>0.76</v>
      </c>
      <c r="F66" s="430" t="str">
        <f>IF($F$69="Intensitätssteigerung",IF($C$39="2 Sätze","RPE 9,5",IF($C$39="3 Sätze","RPE 9",IF($C$39="4 Sätze","RPE 9",IF($C$39="5 Sätze","RPE 8,5",IF($C$39="6 Sätze","RPE 8",))))),IF($F$69="Keine Steigerung",IF($C$39="2 Sätze","RPE 8,5",IF($C$39="3 Sätze","RPE 8",IF($C$39="4 Sätze","RPE 8",IF($C$39="5 Sätze","RPE 7,5",IF($C$39="6 Sätze","RPE 7","Sätze?"))))),IF(AND($F$69="Volumensteigerung",OR(F70="1 Satz+",F70="2 Sätze+",F70="3 Sätze+")),IF($C$39="2 Sätze","RPE 8,5",IF($C$39="3 Sätze","RPE 8",IF($C$39="4 Sätze","RPE 8",IF($C$39="5 Sätze","RPE 7,5",IF($C$39="6 Sätze","RPE 7","Sätze?"))))),IF(AND($F$69="Volumensteigerung",OR(F70="1 Wdh.+",F70="1 Wdh.+ &amp; 1 Satz+")),IF($C$39="2 Sätze","RPE 9,5",IF($C$39="3 Sätze","RPE 9",IF($C$39="4 Sätze","RPE 9",IF($C$39="5 Sätze","RPE 8,5",IF($C$39="6 Sätze","RPE 8",)))))," Sätze-Wdh.?"))))</f>
        <v>RPE 9,5</v>
      </c>
      <c r="G66" s="430" t="str">
        <f>IF($C$41=0,"Wdh.?",IF(OR($C$41&lt;1,$C$41&gt;30),"Nur Wdh. von 1-30",IF(AND($F$69="Volumensteigerung",$F$70="1 Wdh.+"),$C$41+1&amp;" Wdh.",IF(AND($F$69="Volumensteigerung",$F$70="1 Wdh.+ &amp; 1 Satz+"),$C$41+1&amp;" Wdh.",$C$41&amp;" Wdh."))))</f>
        <v>9 Wdh.</v>
      </c>
      <c r="H66" s="450" t="str">
        <f>IF($C$39=0,"Geplante Sätze ?",IF(VALUE(LEFT($H$70,1))&gt;6.1,"Sätze-Wdh.?",IF(AND($F$69="Volumensteigerung",F70="1 Wdh.+"),C39,IF(AND($F$69="Volumensteigerung",F70="1 Wdh.+ &amp; 1 Satz+"),(LEFT(C39,1)+1)&amp;" Sätze",IF(AND($F$69="Volumensteigerung",F70="1 Satz+"),(LEFT(C39,1)+1)&amp;" Sätze",IF(AND($F$69="Volumensteigerung",F70="2 Sätze+"),(LEFT(C39,1)+2)&amp;" Sätze",IF(AND($F$69="Volumensteigerung",F70="3 Sätze+"),(LEFT(C39,1)+3)&amp;" Sätze",C39)))))))</f>
        <v>2 Sätze</v>
      </c>
      <c r="I66" s="390"/>
      <c r="J66" s="390"/>
      <c r="K66" s="507"/>
      <c r="L66" s="1090" t="s">
        <v>289</v>
      </c>
      <c r="M66" s="1090"/>
      <c r="N66" s="1090"/>
      <c r="O66" s="1090"/>
      <c r="P66" s="509"/>
      <c r="Q66" s="507"/>
      <c r="R66" s="507"/>
      <c r="S66" s="507"/>
      <c r="T66" s="509"/>
      <c r="U66" s="509"/>
      <c r="V66" s="509"/>
      <c r="W66" s="509"/>
      <c r="X66" s="509"/>
      <c r="Y66" s="509"/>
      <c r="Z66" s="290"/>
      <c r="AA66" s="290"/>
      <c r="AB66" s="290"/>
      <c r="AC66" s="290"/>
      <c r="AD66" s="290"/>
      <c r="AE66" s="290"/>
    </row>
    <row r="67" spans="1:31" ht="30" customHeight="1" thickBot="1">
      <c r="A67" s="458"/>
      <c r="B67" s="1130" t="s">
        <v>270</v>
      </c>
      <c r="C67" s="1131"/>
      <c r="D67" s="455">
        <f>IF($C$11="Epley",(IF($F$69="Keine Steigerung",IF($D$25="","EINGEBEN",IF($C$41=0,"",IF(OR($C$41&lt;1,$C$41&gt;30),"Nur Wdh. von 1-30",IF($C$39="2 Sätze",($D$25/(1+(($C41+1.5)/30))),IF($C$39="3 Sätze",($D$25/(1+(($C41+2)/30))),IF($C$39="4 Sätze",($D$25/(1+(($C41+2)/30))),IF($C$39="5 Sätze",($D$25/(1+(($C41+2.5)/30))),IF($C$39="6 Sätze",($D$25/(1+(($C41+3)/30))),"Geplante Sätze?")))))))),IF($F$69="Volumensteigerung",IF($D$25="","EINGEBEN",IF($C$41=0,"",IF(OR($C$41&lt;1,$C$41&gt;30),"Nur Wdh. von 1-30",IF($C$39="2 Sätze",($D$25/(1+(($C41+1.5)/30))),IF($C$39="3 Sätze",($D$25/(1+(($C41+2)/30))),IF($C$39="4 Sätze",($D$25/(1+(($C41+2)/30))),IF($C$39="5 Sätze",($D$25/(1+(($C41+2.5)/30))),IF($C$39="6 Sätze",($D$25/(1+(($C41+3)/30))),"Geplante Sätze?")))))))),(IF($D$25="","EINGEBEN",IF($C$41=0,"",IF(OR($C$41&lt;1,$C$41&gt;30),"Nur Wdh. von 1-30",IF(LEFT("Gewicht 3% +",9)&lt;&gt;(LEFT(F70,9)),"Steigerung Intensität ?",IF(AND($F$69="Intensitätssteigerung",$F$70="Gewicht 3% +"),IF($C$39="2 Sätze",($D$25/(1+(($C41+0.5)/30))),IF($C$39="3 Sätze",($D$25/(1+(($C41+1)/30))),IF($C$39="4 Sätze",($D$25/(1+(($C41+1)/30))),IF($C$39="5 Sätze",($D$25/(1+(($C41+1.5)/30))),IF($C$39="6 Sätze",($D$25/(1+(($C41+2)/30))),"Steigerung?")))))))))))))),(IF($F$69="Keine Steigerung",IF($D$25="","EINGEBEN",IF($C$41=0,"",IF(OR($C$41&lt;1,$C$41&gt;30),"Nur Wdh. von 1-30",IF($C$39="2 Sätze",$D$25/(36/(37-($C$41+1.5))),IF($C$39="3 Sätze",$D$25/(36/(37-($C$41+2))),IF($C$39="4 Sätze",$D$25/(36/(37-($C$41+2))),IF($C$39="5 Sätze",$D$25/(36/(37-($C$41+2.5))),IF($C$39="6 Sätze",$D$25/(36/(37-($C$41+3))),"Geplante Sätze?")))))))),IF($F$69="Volumensteigerung",IF($D$25="","EINGEBEN",IF($C$41=0,"",IF(OR($C$41&lt;1,$C$41&gt;30),"Nur Wdh. von 1-30",IF($C$39="2 Sätze",$D$25/(36/(37-($C$41+1.5))),IF($C$39="3 Sätze",$D$25/(36/(37-($C$41+2))),IF($C$39="4 Sätze",$D$25/(36/(37-($C$41+2))),IF($C$39="5 Sätze",$D$25/(36/(37-($C$41+2.5))),IF($C$39="6 Sätze",$D$25/(36/(37-($C$41+3))),"Geplante Sätze?")))))))),(IF($D$25="","EINGEBEN",IF($C$41=0,"",IF(OR($C$41&lt;1,$C$41&gt;30),"Nur Wdh. von 1-30",IF(LEFT("Gewicht 3% +",9)&lt;&gt;(LEFT(F70,9)),"Steigerung Intensität ?",IF(AND($F$69="Intensitätssteigerung",$F$70="Gewicht 3% +"),IF($C$39="2 Sätze",$D$25/(36/(37-($C$41+0.5))),IF($C$39="3 Sätze",$D$25/(36/(37-($C$41+1))),IF($C$39="4 Sätze",$D$25/(36/(37-($C$41+1))),IF($C$39="5 Sätze",$D$25/(36/(37-($C$41+1.5))),IF($C$39="6 Sätze",$D$25/(36/(37-($C$41+2))),"Steigerung?")))))))))))))))</f>
        <v>91.139240506329116</v>
      </c>
      <c r="E67" s="456"/>
      <c r="F67" s="432"/>
      <c r="G67" s="457"/>
      <c r="H67" s="453"/>
      <c r="I67" s="390"/>
      <c r="J67" s="390"/>
      <c r="K67" s="507"/>
      <c r="L67" s="507"/>
      <c r="M67" s="507"/>
      <c r="N67" s="507"/>
      <c r="O67" s="507"/>
      <c r="P67" s="507"/>
      <c r="Q67" s="507"/>
      <c r="R67" s="507"/>
      <c r="S67" s="507"/>
      <c r="T67" s="509"/>
      <c r="U67" s="509"/>
      <c r="V67" s="509"/>
      <c r="W67" s="509"/>
      <c r="X67" s="509"/>
      <c r="Y67" s="509"/>
      <c r="Z67" s="290"/>
      <c r="AA67" s="290"/>
      <c r="AB67" s="290"/>
      <c r="AC67" s="290"/>
      <c r="AD67" s="290"/>
      <c r="AE67" s="290"/>
    </row>
    <row r="68" spans="1:31" ht="8.25" customHeight="1" thickTop="1" thickBot="1">
      <c r="A68" s="458"/>
      <c r="B68" s="462"/>
      <c r="C68" s="462"/>
      <c r="D68" s="463"/>
      <c r="E68" s="464"/>
      <c r="F68" s="465"/>
      <c r="G68" s="465"/>
      <c r="H68" s="575"/>
      <c r="I68" s="390"/>
      <c r="J68" s="390"/>
      <c r="K68" s="507"/>
      <c r="L68" s="507"/>
      <c r="M68" s="507"/>
      <c r="N68" s="507"/>
      <c r="O68" s="507"/>
      <c r="P68" s="507"/>
      <c r="Q68" s="507"/>
      <c r="R68" s="507"/>
      <c r="S68" s="507"/>
      <c r="T68" s="509"/>
      <c r="U68" s="509"/>
      <c r="V68" s="509"/>
      <c r="W68" s="509"/>
      <c r="X68" s="509"/>
      <c r="Y68" s="509"/>
      <c r="Z68" s="290"/>
      <c r="AA68" s="290"/>
      <c r="AB68" s="290"/>
      <c r="AC68" s="290"/>
      <c r="AD68" s="290"/>
      <c r="AE68" s="290"/>
    </row>
    <row r="69" spans="1:31" ht="30" customHeight="1" thickTop="1" thickBot="1">
      <c r="A69" s="458"/>
      <c r="B69" s="459"/>
      <c r="C69" s="460"/>
      <c r="D69" s="1092" t="s">
        <v>262</v>
      </c>
      <c r="E69" s="1092"/>
      <c r="F69" s="498" t="s">
        <v>409</v>
      </c>
      <c r="G69" s="466"/>
      <c r="H69" s="587" t="s">
        <v>326</v>
      </c>
      <c r="I69" s="390"/>
      <c r="J69" s="390"/>
      <c r="K69" s="514"/>
      <c r="L69" s="543" t="s">
        <v>56</v>
      </c>
      <c r="M69" s="543" t="s">
        <v>138</v>
      </c>
      <c r="N69" s="544" t="s">
        <v>57</v>
      </c>
      <c r="O69" s="544" t="s">
        <v>188</v>
      </c>
      <c r="P69" s="509"/>
      <c r="Q69" s="507"/>
      <c r="R69" s="507"/>
      <c r="S69" s="507"/>
      <c r="T69" s="509"/>
      <c r="U69" s="509"/>
      <c r="V69" s="509"/>
      <c r="W69" s="509"/>
      <c r="X69" s="509"/>
      <c r="Y69" s="509"/>
      <c r="Z69" s="290"/>
      <c r="AA69" s="290"/>
      <c r="AB69" s="290"/>
      <c r="AC69" s="290"/>
      <c r="AD69" s="290"/>
      <c r="AE69" s="290"/>
    </row>
    <row r="70" spans="1:31" ht="30" customHeight="1" thickTop="1">
      <c r="A70" s="458"/>
      <c r="B70" s="459"/>
      <c r="C70" s="461"/>
      <c r="D70" s="1092" t="str">
        <f>IF($F$69="Intensitätssteigerung","Steigerung in %",IF($F$69="Volumensteigerung","Wie viele Sätze-Wdh.?",IF($F$69="Keine Steigerung","Keine Steigerung")))</f>
        <v>Wie viele Sätze-Wdh.?</v>
      </c>
      <c r="E70" s="1092"/>
      <c r="F70" s="574" t="s">
        <v>410</v>
      </c>
      <c r="G70" s="467"/>
      <c r="H70" s="588" t="str">
        <f>IF(AND($F$69="Volumensteigerung",F70="1 Wdh.+"),C39,IF(AND($F$69="Volumensteigerung",F70="1 Wdh.+ &amp; 1 Satz+"),(LEFT(C39,1)+1)&amp;" Sätze",IF(AND($F$69="Volumensteigerung",F70="1 Satz+"),(LEFT(C39,1)+1)&amp;" Sätze",IF(AND($F$69="Volumensteigerung",F70="2 Sätze+"),(LEFT(C39,1)+2)&amp;" Sätze",IF(AND($F$69="Volumensteigerung",F70="3 Sätze+"),(LEFT(C39,1)+3)&amp;" Sätze",C39)))))</f>
        <v>2 Sätze</v>
      </c>
      <c r="I70" s="390"/>
      <c r="J70" s="390"/>
      <c r="K70" s="507"/>
      <c r="L70" s="545">
        <v>2</v>
      </c>
      <c r="M70" s="546">
        <f t="shared" ref="M70:M79" si="3">IFERROR(MROUND(N70/$D$25,0.01),"")</f>
        <v>0.81</v>
      </c>
      <c r="N70" s="547">
        <f t="shared" ref="N70:N79" si="4">IFERROR(IF($C$11="Epley",$D$25/(1+(((10-(IF($N$81&gt;10,10,$N$81)))+$L70)/30)),$D$25/(36/(37-((10-(IF($N$81&gt;10,10,$N$81)))+$L70)))),"")</f>
        <v>97.297297297297291</v>
      </c>
      <c r="O70" s="548">
        <f t="shared" ref="O70:O79" si="5">IFERROR(IF(MROUND(N70,$C$13)&gt;N70,MROUND(N70-($C$13/2),$C$13),MROUND(N70,$C$13)),"")</f>
        <v>95</v>
      </c>
      <c r="P70" s="509"/>
      <c r="Q70" s="507"/>
      <c r="R70" s="507"/>
      <c r="S70" s="507"/>
      <c r="T70" s="509"/>
      <c r="U70" s="509"/>
      <c r="V70" s="509"/>
      <c r="W70" s="509"/>
      <c r="X70" s="509"/>
      <c r="Y70" s="509"/>
      <c r="Z70" s="290"/>
      <c r="AA70" s="290"/>
      <c r="AB70" s="290"/>
      <c r="AC70" s="290"/>
      <c r="AD70" s="290"/>
      <c r="AE70" s="290"/>
    </row>
    <row r="71" spans="1:31" ht="30" customHeight="1" thickBot="1">
      <c r="A71" s="390"/>
      <c r="B71" s="1136"/>
      <c r="C71" s="1137"/>
      <c r="D71" s="1138"/>
      <c r="E71" s="1138"/>
      <c r="F71" s="451"/>
      <c r="G71" s="451"/>
      <c r="H71" s="452"/>
      <c r="I71" s="390"/>
      <c r="J71" s="390"/>
      <c r="K71" s="507"/>
      <c r="L71" s="549">
        <v>3</v>
      </c>
      <c r="M71" s="550">
        <f t="shared" si="3"/>
        <v>0.79</v>
      </c>
      <c r="N71" s="551">
        <f t="shared" si="4"/>
        <v>94.736842105263165</v>
      </c>
      <c r="O71" s="552">
        <f t="shared" si="5"/>
        <v>92.5</v>
      </c>
      <c r="P71" s="509"/>
      <c r="Q71" s="507"/>
      <c r="R71" s="507"/>
      <c r="S71" s="507"/>
      <c r="T71" s="509"/>
      <c r="U71" s="509"/>
      <c r="V71" s="509"/>
      <c r="W71" s="509"/>
      <c r="X71" s="509"/>
      <c r="Y71" s="509"/>
      <c r="Z71" s="290"/>
      <c r="AA71" s="290"/>
      <c r="AB71" s="290"/>
      <c r="AC71" s="290"/>
      <c r="AD71" s="290"/>
      <c r="AE71" s="290"/>
    </row>
    <row r="72" spans="1:31" ht="30" customHeight="1">
      <c r="A72" s="390"/>
      <c r="B72" s="390"/>
      <c r="C72" s="390"/>
      <c r="D72" s="390"/>
      <c r="E72" s="390"/>
      <c r="F72" s="390"/>
      <c r="G72" s="390"/>
      <c r="H72" s="390"/>
      <c r="I72" s="390"/>
      <c r="J72" s="390"/>
      <c r="K72" s="507"/>
      <c r="L72" s="545">
        <v>4</v>
      </c>
      <c r="M72" s="546">
        <f t="shared" si="3"/>
        <v>0.77</v>
      </c>
      <c r="N72" s="547">
        <f t="shared" si="4"/>
        <v>92.307692307692307</v>
      </c>
      <c r="O72" s="548">
        <f t="shared" si="5"/>
        <v>90</v>
      </c>
      <c r="P72" s="509"/>
      <c r="Q72" s="507"/>
      <c r="R72" s="510"/>
      <c r="S72" s="507"/>
      <c r="T72" s="509"/>
      <c r="U72" s="509"/>
      <c r="V72" s="509"/>
      <c r="W72" s="509"/>
      <c r="X72" s="509"/>
      <c r="Y72" s="509"/>
      <c r="Z72" s="290"/>
      <c r="AA72" s="290"/>
      <c r="AB72" s="290"/>
      <c r="AC72" s="290"/>
      <c r="AD72" s="290"/>
      <c r="AE72" s="290"/>
    </row>
    <row r="73" spans="1:31" ht="30" customHeight="1">
      <c r="A73" s="390"/>
      <c r="B73" s="390"/>
      <c r="C73" s="390"/>
      <c r="D73" s="390"/>
      <c r="E73" s="390"/>
      <c r="F73" s="390"/>
      <c r="G73" s="390"/>
      <c r="H73" s="390"/>
      <c r="I73" s="390"/>
      <c r="J73" s="390"/>
      <c r="K73" s="509"/>
      <c r="L73" s="549">
        <v>5</v>
      </c>
      <c r="M73" s="550">
        <f t="shared" si="3"/>
        <v>0.75</v>
      </c>
      <c r="N73" s="551">
        <f t="shared" si="4"/>
        <v>90</v>
      </c>
      <c r="O73" s="552">
        <f t="shared" si="5"/>
        <v>90</v>
      </c>
      <c r="P73" s="509"/>
      <c r="Q73" s="507"/>
      <c r="R73" s="507"/>
      <c r="S73" s="507"/>
      <c r="T73" s="509"/>
      <c r="U73" s="509"/>
      <c r="V73" s="509"/>
      <c r="W73" s="509"/>
      <c r="X73" s="509"/>
      <c r="Y73" s="509"/>
      <c r="Z73" s="290"/>
      <c r="AA73" s="290"/>
      <c r="AB73" s="290"/>
      <c r="AC73" s="290"/>
      <c r="AD73" s="290"/>
      <c r="AE73" s="290"/>
    </row>
    <row r="74" spans="1:31" ht="30" customHeight="1">
      <c r="A74" s="390"/>
      <c r="B74" s="390"/>
      <c r="C74" s="390"/>
      <c r="D74" s="390"/>
      <c r="E74" s="390"/>
      <c r="F74" s="390"/>
      <c r="G74" s="390"/>
      <c r="H74" s="390"/>
      <c r="I74" s="390"/>
      <c r="J74" s="390"/>
      <c r="K74" s="514"/>
      <c r="L74" s="545">
        <v>6</v>
      </c>
      <c r="M74" s="546">
        <f t="shared" si="3"/>
        <v>0.73</v>
      </c>
      <c r="N74" s="547">
        <f t="shared" si="4"/>
        <v>87.804878048780481</v>
      </c>
      <c r="O74" s="548">
        <f t="shared" si="5"/>
        <v>87.5</v>
      </c>
      <c r="P74" s="509"/>
      <c r="Q74" s="507"/>
      <c r="R74" s="507"/>
      <c r="S74" s="507"/>
      <c r="T74" s="509"/>
      <c r="U74" s="509"/>
      <c r="V74" s="509"/>
      <c r="W74" s="509"/>
      <c r="X74" s="509"/>
      <c r="Y74" s="509"/>
      <c r="Z74" s="290"/>
      <c r="AA74" s="290"/>
      <c r="AB74" s="290"/>
      <c r="AC74" s="290"/>
      <c r="AD74" s="290"/>
      <c r="AE74" s="290"/>
    </row>
    <row r="75" spans="1:31" ht="30" customHeight="1">
      <c r="A75" s="390"/>
      <c r="B75" s="390"/>
      <c r="C75" s="398"/>
      <c r="D75" s="398"/>
      <c r="E75" s="399"/>
      <c r="F75" s="399"/>
      <c r="G75" s="390"/>
      <c r="H75" s="390"/>
      <c r="I75" s="390"/>
      <c r="J75" s="390"/>
      <c r="K75" s="507"/>
      <c r="L75" s="549">
        <v>7</v>
      </c>
      <c r="M75" s="550">
        <f t="shared" si="3"/>
        <v>0.71</v>
      </c>
      <c r="N75" s="551">
        <f t="shared" si="4"/>
        <v>85.714285714285722</v>
      </c>
      <c r="O75" s="552">
        <f t="shared" si="5"/>
        <v>85</v>
      </c>
      <c r="P75" s="509"/>
      <c r="Q75" s="507"/>
      <c r="R75" s="507"/>
      <c r="S75" s="507"/>
      <c r="T75" s="509"/>
      <c r="U75" s="509"/>
      <c r="V75" s="509"/>
      <c r="W75" s="509"/>
      <c r="X75" s="509"/>
      <c r="Y75" s="509"/>
      <c r="Z75" s="290"/>
      <c r="AA75" s="290"/>
      <c r="AB75" s="290"/>
      <c r="AC75" s="290"/>
      <c r="AD75" s="290"/>
      <c r="AE75" s="290"/>
    </row>
    <row r="76" spans="1:31" ht="30" customHeight="1">
      <c r="A76" s="950" t="s">
        <v>272</v>
      </c>
      <c r="B76" s="950"/>
      <c r="C76" s="397"/>
      <c r="D76" s="393"/>
      <c r="E76" s="391"/>
      <c r="F76" s="391"/>
      <c r="G76" s="390"/>
      <c r="H76" s="390"/>
      <c r="I76" s="390"/>
      <c r="J76" s="390"/>
      <c r="K76" s="507"/>
      <c r="L76" s="545">
        <v>8</v>
      </c>
      <c r="M76" s="546">
        <f t="shared" si="3"/>
        <v>0.70000000000000007</v>
      </c>
      <c r="N76" s="547">
        <f t="shared" si="4"/>
        <v>83.720930232558132</v>
      </c>
      <c r="O76" s="548">
        <f t="shared" si="5"/>
        <v>82.5</v>
      </c>
      <c r="P76" s="509"/>
      <c r="Q76" s="507"/>
      <c r="R76" s="507"/>
      <c r="S76" s="507"/>
      <c r="T76" s="509"/>
      <c r="U76" s="509"/>
      <c r="V76" s="509"/>
      <c r="W76" s="509"/>
      <c r="X76" s="509"/>
      <c r="Y76" s="509"/>
      <c r="Z76" s="290"/>
      <c r="AA76" s="290"/>
      <c r="AB76" s="290"/>
      <c r="AC76" s="290"/>
      <c r="AD76" s="290"/>
      <c r="AE76" s="290"/>
    </row>
    <row r="77" spans="1:31" ht="30" customHeight="1" thickBot="1">
      <c r="A77" s="390"/>
      <c r="B77" s="390"/>
      <c r="C77" s="390"/>
      <c r="D77" s="390"/>
      <c r="E77" s="390"/>
      <c r="F77" s="390"/>
      <c r="G77" s="390"/>
      <c r="H77" s="390"/>
      <c r="I77" s="390"/>
      <c r="J77" s="390"/>
      <c r="K77" s="507"/>
      <c r="L77" s="549">
        <v>9</v>
      </c>
      <c r="M77" s="550">
        <f t="shared" si="3"/>
        <v>0.68</v>
      </c>
      <c r="N77" s="551">
        <f t="shared" si="4"/>
        <v>81.818181818181813</v>
      </c>
      <c r="O77" s="552">
        <f t="shared" si="5"/>
        <v>80</v>
      </c>
      <c r="P77" s="509"/>
      <c r="Q77" s="507"/>
      <c r="R77" s="507"/>
      <c r="S77" s="507"/>
      <c r="T77" s="509"/>
      <c r="U77" s="509"/>
      <c r="V77" s="509"/>
      <c r="W77" s="509"/>
      <c r="X77" s="509"/>
      <c r="Y77" s="509"/>
      <c r="Z77" s="290"/>
      <c r="AA77" s="290"/>
      <c r="AB77" s="290"/>
      <c r="AC77" s="290"/>
      <c r="AD77" s="290"/>
      <c r="AE77" s="290"/>
    </row>
    <row r="78" spans="1:31" ht="30" customHeight="1" thickBot="1">
      <c r="A78" s="390"/>
      <c r="B78" s="390"/>
      <c r="C78" s="390"/>
      <c r="D78" s="390"/>
      <c r="E78" s="390"/>
      <c r="F78" s="390"/>
      <c r="G78" s="390"/>
      <c r="H78" s="1088" t="s">
        <v>324</v>
      </c>
      <c r="I78" s="1089"/>
      <c r="J78" s="390"/>
      <c r="K78" s="507"/>
      <c r="L78" s="545">
        <v>10</v>
      </c>
      <c r="M78" s="546">
        <f t="shared" si="3"/>
        <v>0.67</v>
      </c>
      <c r="N78" s="547">
        <f t="shared" si="4"/>
        <v>80</v>
      </c>
      <c r="O78" s="548">
        <f t="shared" si="5"/>
        <v>80</v>
      </c>
      <c r="P78" s="509"/>
      <c r="Q78" s="507"/>
      <c r="R78" s="509"/>
      <c r="S78" s="509"/>
      <c r="T78" s="509"/>
      <c r="U78" s="509"/>
      <c r="V78" s="509"/>
      <c r="W78" s="509"/>
      <c r="X78" s="509"/>
      <c r="Y78" s="509"/>
      <c r="Z78" s="290"/>
      <c r="AA78" s="290"/>
      <c r="AB78" s="290"/>
      <c r="AC78" s="290"/>
      <c r="AD78" s="290"/>
      <c r="AE78" s="290"/>
    </row>
    <row r="79" spans="1:31" ht="30" customHeight="1">
      <c r="A79" s="1074" t="s">
        <v>236</v>
      </c>
      <c r="B79" s="1075"/>
      <c r="C79" s="477" t="s">
        <v>327</v>
      </c>
      <c r="D79" s="390"/>
      <c r="E79" s="390"/>
      <c r="F79" s="390"/>
      <c r="G79" s="390"/>
      <c r="H79" s="406" t="s">
        <v>68</v>
      </c>
      <c r="I79" s="407" t="str">
        <f>IF(ISNA(VLOOKUP($C$8,Zyklus!$A$14:$U$65,5,FALSE)&amp;" "&amp;Dashboard!$C$24),"",VLOOKUP($C$8,Zyklus!$A$14:$U$65,5,FALSE)&amp;" "&amp;Dashboard!$C$24)</f>
        <v>95 [Kg]</v>
      </c>
      <c r="J79" s="390"/>
      <c r="K79" s="507"/>
      <c r="L79" s="549">
        <v>12</v>
      </c>
      <c r="M79" s="550">
        <f t="shared" si="3"/>
        <v>0.64</v>
      </c>
      <c r="N79" s="551">
        <f t="shared" si="4"/>
        <v>76.59574468085107</v>
      </c>
      <c r="O79" s="552">
        <f t="shared" si="5"/>
        <v>75</v>
      </c>
      <c r="P79" s="509"/>
      <c r="Q79" s="507"/>
      <c r="R79" s="509"/>
      <c r="S79" s="509"/>
      <c r="T79" s="509"/>
      <c r="U79" s="509"/>
      <c r="V79" s="509"/>
      <c r="W79" s="509"/>
      <c r="X79" s="509"/>
      <c r="Y79" s="509"/>
      <c r="Z79" s="290"/>
      <c r="AA79" s="290"/>
      <c r="AB79" s="290"/>
      <c r="AC79" s="290"/>
      <c r="AD79" s="290"/>
      <c r="AE79" s="290"/>
    </row>
    <row r="80" spans="1:31" ht="30" customHeight="1">
      <c r="A80" s="1076"/>
      <c r="B80" s="1077"/>
      <c r="C80" s="476"/>
      <c r="D80" s="390"/>
      <c r="E80" s="390"/>
      <c r="F80" s="390"/>
      <c r="G80" s="390"/>
      <c r="H80" s="408" t="str">
        <f>IF(Dashboard!$C$31="4 Wochen","Woche 2 ",IF(Dashboard!$C$31="5 Wochen","Woche 2-3",IF(Dashboard!$C$31="6 Wochen","Woche 2-4: ",IF(Dashboard!$C$31="7 Wochen","Woche 2-5",IF(Dashboard!$C$31="8 Wochen","Woche 2-6","Dauer des Meso-Zyklus?")))))</f>
        <v>Woche 2-3</v>
      </c>
      <c r="I80" s="409" t="str">
        <f>IF(ISNA(VLOOKUP($C$8,Zyklus!$A$14:$U$65,13,FALSE)&amp;" "&amp;Dashboard!$C$24),"",VLOOKUP($C$8,Zyklus!$A$14:$U$65,13,FALSE)&amp;" "&amp;Dashboard!$C$24)</f>
        <v>100 [Kg]</v>
      </c>
      <c r="J80" s="390"/>
      <c r="K80" s="507"/>
      <c r="L80" s="507"/>
      <c r="M80" s="567"/>
      <c r="N80" s="568"/>
      <c r="O80" s="507"/>
      <c r="P80" s="509"/>
      <c r="Q80" s="507"/>
      <c r="R80" s="509"/>
      <c r="S80" s="509"/>
      <c r="T80" s="509"/>
      <c r="U80" s="509"/>
      <c r="V80" s="509"/>
      <c r="W80" s="509"/>
      <c r="X80" s="509"/>
      <c r="Y80" s="509"/>
      <c r="Z80" s="290"/>
      <c r="AA80" s="290"/>
      <c r="AB80" s="290"/>
      <c r="AC80" s="290"/>
      <c r="AD80" s="290"/>
      <c r="AE80" s="290"/>
    </row>
    <row r="81" spans="1:31" ht="30" customHeight="1" thickBot="1">
      <c r="A81" s="1126" t="s">
        <v>231</v>
      </c>
      <c r="B81" s="1127"/>
      <c r="C81" s="478">
        <v>5</v>
      </c>
      <c r="D81" s="390"/>
      <c r="E81" s="390"/>
      <c r="F81" s="390"/>
      <c r="G81" s="390"/>
      <c r="H81" s="410" t="str">
        <f>IF(Dashboard!$C$31="4 Wochen","Woche 3",IF(Dashboard!$C$31="5 Wochen","Woche 4",IF(Dashboard!$C$31="6 Wochen","Woche 5",IF(Dashboard!$C$31="7 Wochen","Woche 6 ",IF(Dashboard!$C$31="8 Wochen","Woche 7","Dauer des Meso-Zyklus?")))))</f>
        <v>Woche 4</v>
      </c>
      <c r="I81" s="411" t="str">
        <f>IF(ISNA(VLOOKUP($C$8,Zyklus!$A$14:$U$65,17,FALSE)&amp;" "&amp;Dashboard!$C$24),"",VLOOKUP($C$8,Zyklus!$A$14:$U$65,17,FALSE)&amp;" "&amp;Dashboard!$C$24)</f>
        <v>100 [Kg]</v>
      </c>
      <c r="J81" s="390"/>
      <c r="K81" s="507"/>
      <c r="L81" s="507"/>
      <c r="M81" s="601" t="s">
        <v>256</v>
      </c>
      <c r="N81" s="602">
        <v>5</v>
      </c>
      <c r="O81" s="507"/>
      <c r="P81" s="509"/>
      <c r="Q81" s="507"/>
      <c r="R81" s="509"/>
      <c r="S81" s="509"/>
      <c r="T81" s="509"/>
      <c r="U81" s="509"/>
      <c r="V81" s="509"/>
      <c r="W81" s="509"/>
      <c r="X81" s="509"/>
      <c r="Y81" s="509"/>
      <c r="Z81" s="290"/>
      <c r="AA81" s="290"/>
      <c r="AB81" s="290"/>
      <c r="AC81" s="290"/>
      <c r="AD81" s="290"/>
      <c r="AE81" s="290"/>
    </row>
    <row r="82" spans="1:31" ht="30" customHeight="1">
      <c r="A82" s="390"/>
      <c r="B82" s="390"/>
      <c r="C82" s="390"/>
      <c r="D82" s="390"/>
      <c r="E82" s="390"/>
      <c r="F82" s="390"/>
      <c r="G82" s="390"/>
      <c r="I82" s="390"/>
      <c r="J82" s="390"/>
      <c r="K82" s="507"/>
      <c r="L82" s="509"/>
      <c r="M82" s="517"/>
      <c r="N82" s="518"/>
      <c r="O82" s="509"/>
      <c r="P82" s="509"/>
      <c r="Q82" s="507"/>
      <c r="R82" s="509"/>
      <c r="S82" s="509"/>
      <c r="T82" s="509"/>
      <c r="U82" s="509"/>
      <c r="V82" s="509"/>
      <c r="W82" s="509"/>
      <c r="X82" s="509"/>
      <c r="Y82" s="509"/>
      <c r="Z82" s="290"/>
      <c r="AA82" s="290"/>
      <c r="AB82" s="290"/>
      <c r="AC82" s="290"/>
      <c r="AD82" s="290"/>
      <c r="AE82" s="290"/>
    </row>
    <row r="83" spans="1:31" ht="30" customHeight="1">
      <c r="A83" s="390"/>
      <c r="B83" s="390"/>
      <c r="C83" s="390"/>
      <c r="D83" s="390"/>
      <c r="E83" s="390"/>
      <c r="F83" s="390"/>
      <c r="G83" s="390"/>
      <c r="H83" s="390"/>
      <c r="I83" s="390"/>
      <c r="J83" s="390"/>
      <c r="K83" s="507"/>
      <c r="L83" s="509"/>
      <c r="M83" s="517"/>
      <c r="N83" s="518"/>
      <c r="O83" s="509"/>
      <c r="P83" s="509"/>
      <c r="Q83" s="507"/>
      <c r="R83" s="509"/>
      <c r="S83" s="509"/>
      <c r="T83" s="509"/>
      <c r="U83" s="509"/>
      <c r="V83" s="509"/>
      <c r="W83" s="509"/>
      <c r="X83" s="509"/>
      <c r="Y83" s="509"/>
      <c r="Z83" s="290"/>
      <c r="AA83" s="290"/>
      <c r="AB83" s="290"/>
      <c r="AC83" s="290"/>
      <c r="AD83" s="290"/>
      <c r="AE83" s="290"/>
    </row>
    <row r="84" spans="1:31" ht="30" customHeight="1" thickBot="1">
      <c r="A84" s="390"/>
      <c r="B84" s="390"/>
      <c r="C84" s="390"/>
      <c r="D84" s="390"/>
      <c r="E84" s="390"/>
      <c r="F84" s="390"/>
      <c r="G84" s="390"/>
      <c r="H84" s="506"/>
      <c r="I84" s="506"/>
      <c r="J84" s="390"/>
      <c r="K84" s="507"/>
      <c r="L84" s="509"/>
      <c r="M84" s="509"/>
      <c r="N84" s="509"/>
      <c r="O84" s="509"/>
      <c r="P84" s="509"/>
      <c r="Q84" s="511"/>
      <c r="R84" s="511"/>
      <c r="S84" s="509"/>
      <c r="T84" s="509"/>
      <c r="U84" s="509"/>
      <c r="V84" s="509"/>
      <c r="W84" s="509"/>
      <c r="X84" s="509"/>
      <c r="Y84" s="509"/>
      <c r="Z84" s="290"/>
      <c r="AA84" s="290"/>
      <c r="AB84" s="290"/>
      <c r="AC84" s="290"/>
      <c r="AD84" s="290"/>
      <c r="AE84" s="290"/>
    </row>
    <row r="85" spans="1:31" ht="30" customHeight="1" thickBot="1">
      <c r="A85" s="390"/>
      <c r="B85" s="390"/>
      <c r="C85" s="390"/>
      <c r="D85" s="390"/>
      <c r="E85" s="390"/>
      <c r="F85" s="390"/>
      <c r="G85" s="390"/>
      <c r="H85" s="390"/>
      <c r="I85" s="390"/>
      <c r="J85" s="390"/>
      <c r="K85" s="507"/>
      <c r="L85" s="509"/>
      <c r="M85" s="511"/>
      <c r="N85" s="511"/>
      <c r="O85" s="511"/>
      <c r="P85" s="511"/>
      <c r="Q85" s="511"/>
      <c r="R85" s="511"/>
      <c r="S85" s="509"/>
      <c r="T85" s="509"/>
      <c r="U85" s="509"/>
      <c r="V85" s="509"/>
      <c r="W85" s="509"/>
      <c r="X85" s="509"/>
      <c r="Y85" s="509"/>
      <c r="Z85" s="290"/>
      <c r="AA85" s="290"/>
      <c r="AB85" s="290"/>
      <c r="AC85" s="290"/>
      <c r="AD85" s="290"/>
      <c r="AE85" s="290"/>
    </row>
    <row r="86" spans="1:31" ht="30" customHeight="1" thickBot="1">
      <c r="A86" s="390"/>
      <c r="B86" s="390"/>
      <c r="C86" s="390"/>
      <c r="D86" s="1128" t="s">
        <v>328</v>
      </c>
      <c r="E86" s="390"/>
      <c r="F86" s="1096" t="s">
        <v>221</v>
      </c>
      <c r="G86" s="1097"/>
      <c r="H86" s="454" t="s">
        <v>248</v>
      </c>
      <c r="I86" s="390"/>
      <c r="J86" s="390"/>
      <c r="K86" s="507"/>
      <c r="L86" s="509"/>
      <c r="M86" s="1059" t="s">
        <v>331</v>
      </c>
      <c r="N86" s="1059"/>
      <c r="O86" s="1059"/>
      <c r="P86" s="1059"/>
      <c r="Q86" s="511"/>
      <c r="R86" s="511"/>
      <c r="S86" s="507"/>
      <c r="T86" s="509"/>
      <c r="U86" s="509"/>
      <c r="V86" s="509"/>
      <c r="W86" s="509"/>
      <c r="X86" s="509"/>
      <c r="Y86" s="509"/>
      <c r="Z86" s="290"/>
      <c r="AA86" s="290"/>
      <c r="AB86" s="290"/>
      <c r="AC86" s="290"/>
      <c r="AD86" s="290"/>
      <c r="AE86" s="290"/>
    </row>
    <row r="87" spans="1:31" ht="30" customHeight="1">
      <c r="A87" s="390"/>
      <c r="B87" s="1122" t="s">
        <v>271</v>
      </c>
      <c r="C87" s="1218"/>
      <c r="D87" s="1128"/>
      <c r="E87" s="1219" t="s">
        <v>57</v>
      </c>
      <c r="F87" s="922" t="s">
        <v>138</v>
      </c>
      <c r="G87" s="922" t="s">
        <v>56</v>
      </c>
      <c r="H87" s="923" t="s">
        <v>55</v>
      </c>
      <c r="I87" s="390"/>
      <c r="J87" s="390"/>
      <c r="K87" s="507"/>
      <c r="L87" s="519"/>
      <c r="M87" s="519"/>
      <c r="N87" s="509"/>
      <c r="O87" s="507"/>
      <c r="P87" s="507"/>
      <c r="Q87" s="507"/>
      <c r="R87" s="507"/>
      <c r="S87" s="507"/>
      <c r="T87" s="509"/>
      <c r="U87" s="509"/>
      <c r="V87" s="509"/>
      <c r="W87" s="509"/>
      <c r="X87" s="509"/>
      <c r="Y87" s="509"/>
      <c r="Z87" s="290"/>
      <c r="AA87" s="290"/>
      <c r="AB87" s="290"/>
      <c r="AC87" s="290"/>
      <c r="AD87" s="290"/>
      <c r="AE87" s="290"/>
    </row>
    <row r="88" spans="1:31" ht="30" customHeight="1">
      <c r="A88" s="390"/>
      <c r="B88" s="436"/>
      <c r="C88" s="433"/>
      <c r="D88" s="468"/>
      <c r="E88" s="434"/>
      <c r="F88" s="433"/>
      <c r="G88" s="433"/>
      <c r="H88" s="437"/>
      <c r="I88" s="390"/>
      <c r="J88" s="390"/>
      <c r="K88" s="507"/>
      <c r="L88" s="519"/>
      <c r="M88" s="519"/>
      <c r="N88" s="509"/>
      <c r="O88" s="507"/>
      <c r="P88" s="520"/>
      <c r="Q88" s="521"/>
      <c r="R88" s="507"/>
      <c r="S88" s="507"/>
      <c r="T88" s="509"/>
      <c r="U88" s="509"/>
      <c r="V88" s="509"/>
      <c r="W88" s="509"/>
      <c r="X88" s="509"/>
      <c r="Y88" s="509"/>
      <c r="Z88" s="290"/>
      <c r="AA88" s="290"/>
      <c r="AB88" s="290"/>
      <c r="AC88" s="290"/>
      <c r="AD88" s="290"/>
      <c r="AE88" s="290"/>
    </row>
    <row r="89" spans="1:31" ht="30" customHeight="1">
      <c r="A89" s="390"/>
      <c r="B89" s="441"/>
      <c r="C89" s="435"/>
      <c r="D89" s="471" t="str">
        <f>IF(D90=0,"EINGEBEN",IF(D90&gt;10,"NUR RPE WERTE VON 1-10",IF(D90&lt;0,"NUR RPE WERTE VON 1-10","")))</f>
        <v/>
      </c>
      <c r="E89" s="435"/>
      <c r="F89" s="435"/>
      <c r="G89" s="435"/>
      <c r="H89" s="442"/>
      <c r="I89" s="390"/>
      <c r="J89" s="390"/>
      <c r="K89" s="507"/>
      <c r="L89" s="522"/>
      <c r="M89" s="522"/>
      <c r="N89" s="523"/>
      <c r="O89" s="524"/>
      <c r="P89" s="525"/>
      <c r="Q89" s="515"/>
      <c r="R89" s="507"/>
      <c r="S89" s="507"/>
      <c r="T89" s="509"/>
      <c r="U89" s="509"/>
      <c r="V89" s="509"/>
      <c r="W89" s="509"/>
      <c r="X89" s="509"/>
      <c r="Y89" s="509"/>
      <c r="Z89" s="290"/>
      <c r="AA89" s="290"/>
      <c r="AB89" s="290"/>
      <c r="AC89" s="290"/>
      <c r="AD89" s="290"/>
      <c r="AE89" s="290"/>
    </row>
    <row r="90" spans="1:31" ht="30" customHeight="1">
      <c r="A90" s="390"/>
      <c r="B90" s="1143" t="s">
        <v>257</v>
      </c>
      <c r="C90" s="1144"/>
      <c r="D90" s="1057">
        <v>8</v>
      </c>
      <c r="E90" s="418"/>
      <c r="F90" s="418"/>
      <c r="G90" s="418"/>
      <c r="H90" s="443"/>
      <c r="I90" s="390"/>
      <c r="J90" s="390"/>
      <c r="K90" s="507"/>
      <c r="L90" s="522"/>
      <c r="M90" s="522"/>
      <c r="N90" s="523"/>
      <c r="O90" s="524"/>
      <c r="P90" s="525"/>
      <c r="Q90" s="515"/>
      <c r="R90" s="507"/>
      <c r="S90" s="507"/>
      <c r="T90" s="509"/>
      <c r="U90" s="509"/>
      <c r="V90" s="509"/>
      <c r="W90" s="509"/>
      <c r="X90" s="509"/>
      <c r="Y90" s="509"/>
      <c r="Z90" s="290"/>
      <c r="AA90" s="290"/>
      <c r="AB90" s="290"/>
      <c r="AC90" s="290"/>
      <c r="AD90" s="290"/>
      <c r="AE90" s="290"/>
    </row>
    <row r="91" spans="1:31" ht="30" customHeight="1">
      <c r="A91" s="390"/>
      <c r="B91" s="1143"/>
      <c r="C91" s="1144"/>
      <c r="D91" s="1058"/>
      <c r="E91" s="481">
        <f>(IFERROR(IF($D$25="","EINGEBEN",IF($C$81=0,"Wdh.?",IF(OR($C$81&lt;1,$C$81&gt;30),"Nur Wdh. von 1-30",IF((E92)&gt;((IF(MROUND(E92,$C$13)&gt;E92,MROUND((E92)-($C$13/2),$C$13),MROUND(E92,$C$13)))+($C$13*Dashboard!$C$37)),(IF(MROUND(E92,$C$13)&gt;E92,MROUND((E92)+($C$13/2),$C$13),MROUND(E92,$C$13))),(IF(MROUND(E92,$C$13)&gt;E92,MROUND((E92)-($C$13/2),$C$13),MROUND(E92,$C$13))))))),""))</f>
        <v>97.5</v>
      </c>
      <c r="F91" s="419">
        <f>IF(E$92="","",IF($C$81&lt;1,"",IF($C$81&gt;30,"",IF($D$25="","",MROUND(PRODUCT(E$92/$D$25),0.005)))))</f>
        <v>0.81</v>
      </c>
      <c r="G91" s="293" t="str">
        <f>IF($C$81=0,"Wdh.?",IF(OR($C$81&lt;1,$C$81&gt;30),"Nur Wdh. von 1-30",$C$81&amp;" Wdh."))</f>
        <v>5 Wdh.</v>
      </c>
      <c r="H91" s="444" t="str">
        <f>IF($C$79=0,"Geplante Sätze ?",$C$79)</f>
        <v>5 Sätze</v>
      </c>
      <c r="I91" s="390"/>
      <c r="J91" s="390"/>
      <c r="K91" s="507"/>
      <c r="L91" s="526"/>
      <c r="M91" s="527"/>
      <c r="N91" s="523"/>
      <c r="O91" s="524"/>
      <c r="P91" s="525"/>
      <c r="Q91" s="515"/>
      <c r="R91" s="507"/>
      <c r="S91" s="507"/>
      <c r="T91" s="509"/>
      <c r="U91" s="509"/>
      <c r="V91" s="509"/>
      <c r="W91" s="509"/>
      <c r="X91" s="509"/>
      <c r="Y91" s="509"/>
      <c r="Z91" s="290"/>
      <c r="AA91" s="290"/>
      <c r="AB91" s="290"/>
      <c r="AC91" s="290"/>
      <c r="AD91" s="290"/>
      <c r="AE91" s="290"/>
    </row>
    <row r="92" spans="1:31" ht="30" customHeight="1">
      <c r="A92" s="390"/>
      <c r="B92" s="1082" t="s">
        <v>258</v>
      </c>
      <c r="C92" s="1083"/>
      <c r="D92" s="473" t="str">
        <f>IF(AND(D90&gt;1,D90&lt;=10),"",IF(OR(D90&lt;1,D90&gt;=10),IF($C$79="2 Sätze","Empfehlung RPE 7,5",IF($C$79="3 Sätze","Empfehlung RPE 7",IF($C$79="4 Sätze","Empfehlung RPE 7",IF($C$79="5 Sätze","Empfehlung RPE 6,5",IF($C$79="6 Sätze","Empfehlung RPE 6,5","Sätze?")))))))</f>
        <v/>
      </c>
      <c r="E92" s="421">
        <f>IF($D$25="","EINGEBEN",IF($C$81=0,"",IF(OR($C$81&lt;1,$C$81&gt;30),"",IF(D90=0,"",IF(D90&gt;10,"",IF(D90&lt;0,"",IF(D90=0,"",IF($C$11="Epley",($D$25/(1+(($C$81+(10-$D$90))/30))),$D$25/(36/(37-(($C$81+(10-$D$90)))))))))))))</f>
        <v>97.297297297297291</v>
      </c>
      <c r="F92" s="470"/>
      <c r="G92" s="423"/>
      <c r="H92" s="445"/>
      <c r="I92" s="390"/>
      <c r="J92" s="390"/>
      <c r="K92" s="507"/>
      <c r="L92" s="526"/>
      <c r="M92" s="528"/>
      <c r="N92" s="523"/>
      <c r="O92" s="524"/>
      <c r="P92" s="525"/>
      <c r="Q92" s="515"/>
      <c r="R92" s="507"/>
      <c r="S92" s="507"/>
      <c r="T92" s="509"/>
      <c r="U92" s="509"/>
      <c r="V92" s="509"/>
      <c r="W92" s="509"/>
      <c r="X92" s="509"/>
      <c r="Y92" s="509"/>
      <c r="Z92" s="290"/>
      <c r="AA92" s="290"/>
      <c r="AB92" s="290"/>
      <c r="AC92" s="290"/>
      <c r="AD92" s="290"/>
      <c r="AE92" s="290"/>
    </row>
    <row r="93" spans="1:31" ht="9" customHeight="1">
      <c r="A93" s="390"/>
      <c r="B93" s="441"/>
      <c r="C93" s="435"/>
      <c r="D93" s="469"/>
      <c r="E93" s="1051">
        <f>D90</f>
        <v>8</v>
      </c>
      <c r="F93" s="1051"/>
      <c r="G93" s="1051"/>
      <c r="H93" s="1056"/>
      <c r="I93" s="390"/>
      <c r="J93" s="390"/>
      <c r="K93" s="507"/>
      <c r="L93" s="526"/>
      <c r="M93" s="527"/>
      <c r="N93" s="523"/>
      <c r="O93" s="524"/>
      <c r="P93" s="525"/>
      <c r="Q93" s="515"/>
      <c r="R93" s="507"/>
      <c r="S93" s="507"/>
      <c r="T93" s="509"/>
      <c r="U93" s="509"/>
      <c r="V93" s="509"/>
      <c r="W93" s="509"/>
      <c r="X93" s="509"/>
      <c r="Y93" s="509"/>
      <c r="Z93" s="290"/>
      <c r="AA93" s="290"/>
      <c r="AB93" s="290"/>
      <c r="AC93" s="290"/>
      <c r="AD93" s="290"/>
      <c r="AE93" s="290"/>
    </row>
    <row r="94" spans="1:31" ht="30" customHeight="1">
      <c r="A94" s="390"/>
      <c r="B94" s="441"/>
      <c r="C94" s="435"/>
      <c r="D94" s="469"/>
      <c r="E94" s="435"/>
      <c r="F94" s="435"/>
      <c r="G94" s="1051"/>
      <c r="H94" s="1155" t="str">
        <f>IF(AND($D$90&gt;=8.5,$D$90&lt;=10,$C$79="6 Sätze"),"Achtung du wirst womöglich keine "&amp;$C$79&amp;" schaffen!",IF(AND($D$90&gt;=9,$D$90&lt;=10,$C$79="6 Sätze"),"Achtung du wirst sehr wahrscheinlich keine "&amp;$C$79&amp;" schaffen!",IF(AND($D$90&gt;=9,$D$90&lt;=10,$C$79="5 Sätze"),"Achtung du wirst womöglich keine "&amp;$C$79&amp;" schaffen!",IF(AND($D$90&gt;=9.5,$D$90&lt;=10,$C$79="5 Sätze"),"Achtung du wirst sehr wahrscheinlich keine "&amp;$C$79&amp;" schaffen!",IF(AND($D$90&gt;=9.25,$D$90&lt;=10,$C$79="4 Sätze"),"Achtung du wirst womöglich keine "&amp;$C$79&amp;" schaffen!",IF(AND($D$90&gt;=9.5,$D$90&lt;=10,$C$79="4 Sätze"),"Achtung du wirst sehr wahrscheinlich keine "&amp;$C$79&amp;" schaffen!",IF(AND($D$90&gt;=9.5,$D$90&lt;=10,$C$79="3 Sätze"),"Achtung du wirst womöglich keine "&amp;$C$79&amp;" schaffen!",IF(AND($D$90&gt;=10,$D$90&lt;=10,$C$79="3 Sätze"),"Achtung du wirst sehr wahrscheinlich keine "&amp;$C$79&amp;" schaffen!",IF(AND($D$90&gt;=9.75,$D$90&lt;=10,$C$79="2 Sätze"),"Achtung du wirst womöglich keine "&amp;$C$79&amp;" schaffen!","")))))))))</f>
        <v/>
      </c>
      <c r="I94" s="390"/>
      <c r="J94" s="390"/>
      <c r="K94" s="507"/>
      <c r="L94" s="526"/>
      <c r="M94" s="528"/>
      <c r="N94" s="523"/>
      <c r="O94" s="524"/>
      <c r="P94" s="525"/>
      <c r="Q94" s="515"/>
      <c r="R94" s="507"/>
      <c r="S94" s="507"/>
      <c r="T94" s="509"/>
      <c r="U94" s="509"/>
      <c r="V94" s="509"/>
      <c r="W94" s="509"/>
      <c r="X94" s="509"/>
      <c r="Y94" s="509"/>
      <c r="Z94" s="290"/>
      <c r="AA94" s="290"/>
      <c r="AB94" s="290"/>
      <c r="AC94" s="290"/>
      <c r="AD94" s="290"/>
      <c r="AE94" s="290"/>
    </row>
    <row r="95" spans="1:31" ht="30" customHeight="1">
      <c r="A95" s="390"/>
      <c r="B95" s="441"/>
      <c r="C95" s="435"/>
      <c r="D95" s="471" t="str">
        <f>IF(D96=0,"EINGEBEN",IF(D96&gt;10,"NUR RPE WERTE VON 1-10",IF(D96&lt;0,"NUR RPE WERTE VON 1-10","")))</f>
        <v/>
      </c>
      <c r="E95" s="435"/>
      <c r="F95" s="435"/>
      <c r="G95" s="1051"/>
      <c r="H95" s="1155"/>
      <c r="I95" s="390"/>
      <c r="J95" s="390"/>
      <c r="K95" s="507"/>
      <c r="L95" s="526"/>
      <c r="M95" s="528"/>
      <c r="N95" s="523"/>
      <c r="O95" s="524"/>
      <c r="P95" s="525"/>
      <c r="Q95" s="515"/>
      <c r="R95" s="507"/>
      <c r="S95" s="507"/>
      <c r="T95" s="509"/>
      <c r="U95" s="509"/>
      <c r="V95" s="509"/>
      <c r="W95" s="509"/>
      <c r="X95" s="509"/>
      <c r="Y95" s="509"/>
      <c r="Z95" s="290"/>
      <c r="AA95" s="290"/>
      <c r="AB95" s="290"/>
      <c r="AC95" s="290"/>
      <c r="AD95" s="290"/>
      <c r="AE95" s="290"/>
    </row>
    <row r="96" spans="1:31" ht="30" customHeight="1">
      <c r="A96" s="390"/>
      <c r="B96" s="1145" t="str">
        <f>IF(Dashboard!$C$31="4 Wochen","Woche 2 ",IF(Dashboard!$C$31="5 Wochen","Woche 2-3",IF(Dashboard!$C$31="6 Wochen","Woche 2-4: ",IF(Dashboard!$C$31="7 Wochen","Woche 2-5",IF(Dashboard!$C$31="8 Wochen","Woche 2-6","Dauer des Meso-Zyklus?")))))</f>
        <v>Woche 2-3</v>
      </c>
      <c r="C96" s="1146"/>
      <c r="D96" s="1151">
        <v>8</v>
      </c>
      <c r="E96" s="424"/>
      <c r="F96" s="424"/>
      <c r="G96" s="424"/>
      <c r="H96" s="446"/>
      <c r="I96" s="390"/>
      <c r="J96" s="390"/>
      <c r="K96" s="507"/>
      <c r="L96" s="526"/>
      <c r="M96" s="527"/>
      <c r="N96" s="523"/>
      <c r="O96" s="524"/>
      <c r="P96" s="508"/>
      <c r="Q96" s="515"/>
      <c r="R96" s="507"/>
      <c r="S96" s="507"/>
      <c r="T96" s="509"/>
      <c r="U96" s="509"/>
      <c r="V96" s="509"/>
      <c r="W96" s="509"/>
      <c r="X96" s="509"/>
      <c r="Y96" s="509"/>
      <c r="Z96" s="290"/>
      <c r="AA96" s="290"/>
      <c r="AB96" s="290"/>
      <c r="AC96" s="290"/>
      <c r="AD96" s="290"/>
      <c r="AE96" s="290"/>
    </row>
    <row r="97" spans="1:16384" ht="30" customHeight="1">
      <c r="A97" s="390"/>
      <c r="B97" s="1145"/>
      <c r="C97" s="1146"/>
      <c r="D97" s="1152"/>
      <c r="E97" s="482">
        <f>(IFERROR(IF($D$25="","EINGEBEN",IF($C$81=0,"Wdh.?",IF(OR($C$81&lt;1,$C$81&gt;30),"Nur Wdh. von 1-30",IF((E98)&gt;((IF(MROUND(E98,$C$13)&gt;E98,MROUND((E98)-($C$13/2),$C$13),MROUND(E98,$C$13)))+($C$13*Dashboard!$C$37)),(IF(MROUND(E98,$C$13)&gt;E98,MROUND((E98)+($C$13/2),$C$13),MROUND(E98,$C$13))),(IF(MROUND(E98,$C$13)&gt;E98,MROUND((E98)-($C$13/2),$C$13),MROUND(E98,$C$13))))))),""))</f>
        <v>97.5</v>
      </c>
      <c r="F97" s="425">
        <f>IF(E$98="","",IF($C$81&lt;1,"",IF($C$81&gt;30,"",IF($D$25="","",MROUND(PRODUCT(E$98/$D$25),0.005)))))</f>
        <v>0.81</v>
      </c>
      <c r="G97" s="571" t="str">
        <f>IF($C$81=0,"Wdh.?",IF(OR($C$81&lt;1,$C$81&gt;30),"Nur Wdh. von 1-30",$C$81&amp;" Wdh."))</f>
        <v>5 Wdh.</v>
      </c>
      <c r="H97" s="447" t="str">
        <f>IF($C$79=0,"Geplante Sätze ?",$C$79)</f>
        <v>5 Sätze</v>
      </c>
      <c r="I97" s="390"/>
      <c r="J97" s="390"/>
      <c r="K97" s="507"/>
      <c r="L97" s="526"/>
      <c r="M97" s="528"/>
      <c r="N97" s="523"/>
      <c r="O97" s="524"/>
      <c r="P97" s="508"/>
      <c r="Q97" s="515"/>
      <c r="R97" s="507"/>
      <c r="S97" s="507"/>
      <c r="T97" s="509"/>
      <c r="U97" s="509"/>
      <c r="V97" s="509"/>
      <c r="W97" s="509"/>
      <c r="X97" s="509"/>
      <c r="Y97" s="509"/>
      <c r="Z97" s="290"/>
      <c r="AA97" s="290"/>
      <c r="AB97" s="290"/>
      <c r="AC97" s="290"/>
      <c r="AD97" s="290"/>
      <c r="AE97" s="290"/>
    </row>
    <row r="98" spans="1:16384" ht="30" customHeight="1">
      <c r="A98" s="390"/>
      <c r="B98" s="1084" t="s">
        <v>269</v>
      </c>
      <c r="C98" s="1085"/>
      <c r="D98" s="474" t="str">
        <f>IF(AND(D96&gt;1,D96&lt;=10),"",IF(OR(D96&lt;1,D96&gt;=10),IF($C$79="2 Sätze","Empfehlung RPE 8,5",IF($C$79="3 Sätze","Empfehlung RPE 8",IF($C$79="4 Sätze","Empfehlung RPE 8",IF($C$79="5 Sätze","Empfehlung RPE 7,5",IF($C$79="6 Sätze","Empfehlung RPE 7","Sätze")))))))</f>
        <v/>
      </c>
      <c r="E98" s="426">
        <f>IF($D$25="","EINGEBEN",IF($C$81=0,"",IF(OR($C$81&lt;1,$C$81&gt;30),"",IF(D96=0,"",IF(D96&gt;10,"",IF(D96&lt;0,"",IF(D96=0,"",IF($C$11="Epley",($D$25/(1+(($C$81+(10-$D$96))/30))),$D$25/(36/(37-(($C$81+(10-$D$96)))))))))))))</f>
        <v>97.297297297297291</v>
      </c>
      <c r="F98" s="425"/>
      <c r="G98" s="428"/>
      <c r="H98" s="448"/>
      <c r="I98" s="390"/>
      <c r="J98" s="390"/>
      <c r="K98" s="507"/>
      <c r="L98" s="526"/>
      <c r="M98" s="527"/>
      <c r="N98" s="523"/>
      <c r="O98" s="524"/>
      <c r="P98" s="508"/>
      <c r="Q98" s="515"/>
      <c r="R98" s="507"/>
      <c r="S98" s="507"/>
      <c r="T98" s="509"/>
      <c r="U98" s="509"/>
      <c r="V98" s="509"/>
      <c r="W98" s="509"/>
      <c r="X98" s="509"/>
      <c r="Y98" s="509"/>
      <c r="Z98" s="290"/>
      <c r="AA98" s="290"/>
      <c r="AB98" s="290"/>
      <c r="AC98" s="290"/>
      <c r="AD98" s="290"/>
      <c r="AE98" s="290"/>
    </row>
    <row r="99" spans="1:16384" ht="9" customHeight="1">
      <c r="A99" s="390"/>
      <c r="B99" s="441"/>
      <c r="C99" s="435"/>
      <c r="D99" s="469"/>
      <c r="E99" s="1051">
        <f>D96</f>
        <v>8</v>
      </c>
      <c r="F99" s="1051"/>
      <c r="G99" s="1051"/>
      <c r="H99" s="1056"/>
      <c r="I99" s="390"/>
      <c r="J99" s="390"/>
      <c r="K99" s="507"/>
      <c r="L99" s="526"/>
      <c r="M99" s="528"/>
      <c r="N99" s="523"/>
      <c r="O99" s="524"/>
      <c r="P99" s="508"/>
      <c r="Q99" s="515"/>
      <c r="R99" s="507"/>
      <c r="S99" s="507"/>
      <c r="T99" s="509"/>
      <c r="U99" s="509"/>
      <c r="V99" s="509"/>
      <c r="W99" s="509"/>
      <c r="X99" s="509"/>
      <c r="Y99" s="509"/>
      <c r="Z99" s="290"/>
      <c r="AA99" s="290"/>
      <c r="AB99" s="290"/>
      <c r="AC99" s="290"/>
      <c r="AD99" s="290"/>
      <c r="AE99" s="290"/>
    </row>
    <row r="100" spans="1:16384" ht="30" customHeight="1">
      <c r="A100" s="390"/>
      <c r="B100" s="441"/>
      <c r="C100" s="435"/>
      <c r="D100" s="469"/>
      <c r="E100" s="435"/>
      <c r="F100" s="435"/>
      <c r="G100" s="1051"/>
      <c r="H100" s="1155" t="str">
        <f>IF(AND($D$96&gt;=8.5,$D$96&lt;=10,$C$79="6 Sätze"),"Achtung du wirst womöglich keine "&amp;$C$79&amp;" schaffen!",IF(AND($D$96&gt;=9,$D$96&lt;=10,$C$79="6 Sätze"),"Achtung du wirst sehr wahrscheinlich keine "&amp;$C$79&amp;" schaffen!",IF(AND($D$96&gt;=9,$D$96&lt;=10,$C$79="5 Sätze"),"Achtung du wirst womöglich keine "&amp;$C$79&amp;" schaffen!",IF(AND($D$96&gt;=9.5,$D$96&lt;=10,$C$79="5 Sätze"),"Achtung du wirst sehr wahrscheinlich keine "&amp;$C$79&amp;" schaffen!",IF(AND($D$96&gt;=9.25,$D$96&lt;=10,$C$79="4 Sätze"),"Achtung du wirst womöglich keine "&amp;$C$79&amp;" schaffen!",IF(AND($D$96&gt;=9.5,$D$96&lt;=10,$C$79="4 Sätze"),"Achtung du wirst sehr wahrscheinlich keine "&amp;$C$79&amp;" schaffen!",IF(AND($D$96&gt;=9.5,$D$96&lt;=10,$C$79="3 Sätze"),"Achtung du wirst womöglich keine "&amp;$C$79&amp;" schaffen!",IF(AND($D$96&gt;=10,$D$96&lt;=10,$C$79="3 Sätze"),"Achtung du wirst sehr wahrscheinlich keine "&amp;$C$79&amp;" schaffen!",IF(AND($D$96&gt;=9.75,$D$96&lt;=10,$C$79="2 Sätze"),"Achtung du wirst womöglich keine "&amp;$C$79&amp;" schaffen!","")))))))))</f>
        <v/>
      </c>
      <c r="I100" s="390"/>
      <c r="J100" s="390"/>
      <c r="K100" s="507"/>
      <c r="L100" s="526"/>
      <c r="M100" s="528"/>
      <c r="N100" s="523"/>
      <c r="O100" s="524"/>
      <c r="P100" s="525"/>
      <c r="Q100" s="515"/>
      <c r="R100" s="507"/>
      <c r="S100" s="507"/>
      <c r="T100" s="509"/>
      <c r="U100" s="509"/>
      <c r="V100" s="509"/>
      <c r="W100" s="509"/>
      <c r="X100" s="509"/>
      <c r="Y100" s="509"/>
      <c r="Z100" s="290"/>
      <c r="AA100" s="290"/>
      <c r="AB100" s="290"/>
      <c r="AC100" s="290"/>
      <c r="AD100" s="290"/>
      <c r="AE100" s="290"/>
    </row>
    <row r="101" spans="1:16384" ht="30" customHeight="1">
      <c r="A101" s="390"/>
      <c r="B101" s="441"/>
      <c r="C101" s="435"/>
      <c r="D101" s="471" t="str">
        <f>IF(D102=0,"EINGEBEN",IF(D102&gt;10,"NUR RPE WERTE VON 1-10",IF(D102&lt;0,"NUR RPE WERTE VON 1-10","")))</f>
        <v/>
      </c>
      <c r="E101" s="435"/>
      <c r="F101" s="435"/>
      <c r="G101" s="1051"/>
      <c r="H101" s="1155"/>
      <c r="I101" s="390"/>
      <c r="J101" s="390"/>
      <c r="K101" s="507"/>
      <c r="L101" s="508"/>
      <c r="M101" s="508"/>
      <c r="N101" s="508"/>
      <c r="O101" s="508"/>
      <c r="P101" s="508"/>
      <c r="Q101" s="515"/>
      <c r="R101" s="507"/>
      <c r="S101" s="507"/>
      <c r="T101" s="509"/>
      <c r="U101" s="509"/>
      <c r="V101" s="509"/>
      <c r="W101" s="509"/>
      <c r="X101" s="509"/>
      <c r="Y101" s="509"/>
      <c r="Z101" s="290"/>
      <c r="AA101" s="290"/>
      <c r="AB101" s="290"/>
      <c r="AC101" s="290"/>
      <c r="AD101" s="290"/>
      <c r="AE101" s="290"/>
    </row>
    <row r="102" spans="1:16384" ht="30" customHeight="1">
      <c r="A102" s="390"/>
      <c r="B102" s="1147" t="str">
        <f>IF(Dashboard!$C$31="4 Wochen","Woche 3",IF(Dashboard!$C$31="5 Wochen","Woche 4",IF(Dashboard!$C$31="6 Wochen","Woche 5",IF(Dashboard!$C$31="7 Wochen","Woche 6 ",IF(Dashboard!$C$31="8 Wochen","Woche 7","Dauer des Meso-Zyklus?")))))</f>
        <v>Woche 4</v>
      </c>
      <c r="C102" s="1148"/>
      <c r="D102" s="1153">
        <v>8</v>
      </c>
      <c r="E102" s="295"/>
      <c r="F102" s="295"/>
      <c r="G102" s="295"/>
      <c r="H102" s="449"/>
      <c r="I102" s="390"/>
      <c r="J102" s="390"/>
      <c r="K102" s="507"/>
      <c r="L102" s="508"/>
      <c r="M102" s="508"/>
      <c r="N102" s="508"/>
      <c r="O102" s="508"/>
      <c r="P102" s="508"/>
      <c r="Q102" s="515"/>
      <c r="R102" s="507"/>
      <c r="S102" s="507"/>
      <c r="T102" s="509"/>
      <c r="U102" s="509"/>
      <c r="V102" s="509"/>
      <c r="W102" s="509"/>
      <c r="X102" s="509"/>
      <c r="Y102" s="509"/>
      <c r="Z102" s="290"/>
      <c r="AA102" s="290"/>
      <c r="AB102" s="290"/>
      <c r="AC102" s="290"/>
      <c r="AD102" s="290"/>
      <c r="AE102" s="290"/>
    </row>
    <row r="103" spans="1:16384" ht="30" customHeight="1">
      <c r="A103" s="390"/>
      <c r="B103" s="1147"/>
      <c r="C103" s="1148"/>
      <c r="D103" s="1154"/>
      <c r="E103" s="483">
        <f>(IFERROR(IF($D$25="","EINGEBEN",IF($C$81=0,"Wdh.?",IF(OR($C$81&lt;1,$C$81&gt;30),"Nur Wdh. von 1-30",IF((E104)&gt;((IF(MROUND(E104,$C$13)&gt;E104,MROUND((E104)-($C$13/2),$C$13),MROUND(E104,$C$13)))+($C$13*Dashboard!$C$37)),(IF(MROUND(E104,$C$13)&gt;E104,MROUND((E104)+($C$13/2),$C$13),MROUND(E104,$C$13))),(IF(MROUND(E104,$C$13)&gt;E104,MROUND((E104)-($C$13/2),$C$13),MROUND(E104,$C$13))))))),""))</f>
        <v>97.5</v>
      </c>
      <c r="F103" s="429">
        <f>IF(E$104="","",IF($C$81&lt;1,"",IF($C$81&gt;30,"",IF($D$25="","",MROUND(PRODUCT(E$104/$D$25),0.005)))))</f>
        <v>0.81</v>
      </c>
      <c r="G103" s="295" t="str">
        <f>IF($F$109=0,"Wdh.?",IF(OR($F$109&lt;1,$F$109&gt;30),"Nur Wdh. von 1-30",$F$109&amp;" Wdh."))</f>
        <v>5 Wdh.</v>
      </c>
      <c r="H103" s="449" t="str">
        <f>IF($F$108=0,"Geplante Sätze ?",$F$108)</f>
        <v>5 Sätze</v>
      </c>
      <c r="I103" s="390"/>
      <c r="J103" s="390"/>
      <c r="K103" s="507"/>
      <c r="L103" s="1149"/>
      <c r="M103" s="1149"/>
      <c r="N103" s="1149"/>
      <c r="O103" s="1150"/>
      <c r="P103" s="508"/>
      <c r="Q103" s="530"/>
      <c r="R103" s="507"/>
      <c r="S103" s="507"/>
      <c r="T103" s="509"/>
      <c r="U103" s="509"/>
      <c r="V103" s="509"/>
      <c r="W103" s="509"/>
      <c r="X103" s="509"/>
      <c r="Y103" s="509"/>
      <c r="Z103" s="290"/>
      <c r="AA103" s="290"/>
      <c r="AB103" s="290"/>
      <c r="AC103" s="290"/>
      <c r="AD103" s="290"/>
      <c r="AE103" s="290"/>
    </row>
    <row r="104" spans="1:16384" ht="30" customHeight="1" thickBot="1">
      <c r="A104" s="390"/>
      <c r="B104" s="1086" t="s">
        <v>270</v>
      </c>
      <c r="C104" s="1087"/>
      <c r="D104" s="472" t="str">
        <f>IF(AND(D102&gt;1,D102&lt;=10),"",IF(OR(D102&lt;1,D102&gt;=10),IF($C$79="2 Sätze","Empfehlung RPE 9,5",IF($C$79="3 Sätze","Empfehlung RPE 9",IF($C$79="4 Sätze","Empfehlung RPE 9",IF($C$79="5 Sätze","Empfehlung RPE 8,5",IF($C$79="6 Sätze","Empfehlung RPE 8","Sätze")))))))</f>
        <v/>
      </c>
      <c r="E104" s="431">
        <f>IF($D$25="","EINGEBEN",IF($F$109=0,"",IF(OR($F$109&lt;1,$F$109&gt;30),"",IF(D102=0,"",IF(D102&gt;10,"",IF(D102&lt;0,"",IF(D102=0,"",IF($C$11="Epley",($D$25/(1+(($F$109+(10-$D$102))/30))),$D$25/(36/(37-(($F$109+(10-$D$102)))))))))))))</f>
        <v>97.297297297297291</v>
      </c>
      <c r="F104" s="429"/>
      <c r="G104" s="432"/>
      <c r="H104" s="453"/>
      <c r="I104" s="390"/>
      <c r="J104" s="390"/>
      <c r="K104" s="507"/>
      <c r="L104" s="509"/>
      <c r="M104" s="509"/>
      <c r="N104" s="509"/>
      <c r="O104" s="509"/>
      <c r="P104" s="507"/>
      <c r="Q104" s="507"/>
      <c r="R104" s="507"/>
      <c r="S104" s="507"/>
      <c r="T104" s="509"/>
      <c r="U104" s="509"/>
      <c r="V104" s="509"/>
      <c r="W104" s="509"/>
      <c r="X104" s="509"/>
      <c r="Y104" s="509"/>
      <c r="Z104" s="290"/>
      <c r="AA104" s="290"/>
      <c r="AB104" s="290"/>
      <c r="AC104" s="290"/>
      <c r="AD104" s="290"/>
      <c r="AE104" s="290"/>
    </row>
    <row r="105" spans="1:16384" ht="9" customHeight="1">
      <c r="A105" s="390"/>
      <c r="B105" s="441"/>
      <c r="C105" s="435"/>
      <c r="D105" s="435"/>
      <c r="E105" s="1051">
        <f t="shared" ref="E105" si="6">D102</f>
        <v>8</v>
      </c>
      <c r="F105" s="1051"/>
      <c r="G105" s="1051"/>
      <c r="H105" s="1056"/>
      <c r="I105" s="390"/>
      <c r="J105" s="390"/>
      <c r="K105" s="507"/>
      <c r="L105" s="507"/>
      <c r="M105" s="1139">
        <f t="shared" ref="M105" si="7">L102</f>
        <v>0</v>
      </c>
      <c r="N105" s="1139"/>
      <c r="O105" s="1139"/>
      <c r="P105" s="1139"/>
      <c r="Q105" s="1139">
        <f t="shared" ref="Q105" si="8">P102</f>
        <v>0</v>
      </c>
      <c r="R105" s="1139"/>
      <c r="S105" s="1139"/>
      <c r="T105" s="1139"/>
      <c r="U105" s="509"/>
      <c r="V105" s="509"/>
      <c r="W105" s="509"/>
      <c r="X105" s="509"/>
      <c r="Y105" s="509"/>
      <c r="Z105" s="534"/>
      <c r="AA105" s="534"/>
      <c r="AB105" s="534"/>
      <c r="AC105" s="534">
        <f t="shared" ref="AC105" si="9">AB102</f>
        <v>0</v>
      </c>
      <c r="AD105" s="534"/>
      <c r="AE105" s="534"/>
      <c r="AF105" s="534"/>
      <c r="AG105" s="1106">
        <f t="shared" ref="AG105" si="10">AF102</f>
        <v>0</v>
      </c>
      <c r="AH105" s="1106"/>
      <c r="AI105" s="1106"/>
      <c r="AJ105" s="1106"/>
      <c r="AK105" s="1106">
        <f t="shared" ref="AK105" si="11">AJ102</f>
        <v>0</v>
      </c>
      <c r="AL105" s="1106"/>
      <c r="AM105" s="1106"/>
      <c r="AN105" s="1106"/>
      <c r="AO105" s="1106">
        <f t="shared" ref="AO105" si="12">AN102</f>
        <v>0</v>
      </c>
      <c r="AP105" s="1106"/>
      <c r="AQ105" s="1106"/>
      <c r="AR105" s="1106"/>
      <c r="AS105" s="1106">
        <f t="shared" ref="AS105" si="13">AR102</f>
        <v>0</v>
      </c>
      <c r="AT105" s="1106"/>
      <c r="AU105" s="1106"/>
      <c r="AV105" s="1106"/>
      <c r="AW105" s="1106">
        <f t="shared" ref="AW105" si="14">AV102</f>
        <v>0</v>
      </c>
      <c r="AX105" s="1106"/>
      <c r="AY105" s="1106"/>
      <c r="AZ105" s="1106"/>
      <c r="BA105" s="1106">
        <f t="shared" ref="BA105" si="15">AZ102</f>
        <v>0</v>
      </c>
      <c r="BB105" s="1106"/>
      <c r="BC105" s="1106"/>
      <c r="BD105" s="1106"/>
      <c r="BE105" s="1106">
        <f t="shared" ref="BE105" si="16">BD102</f>
        <v>0</v>
      </c>
      <c r="BF105" s="1106"/>
      <c r="BG105" s="1106"/>
      <c r="BH105" s="1106"/>
      <c r="BI105" s="1106">
        <f t="shared" ref="BI105" si="17">BH102</f>
        <v>0</v>
      </c>
      <c r="BJ105" s="1106"/>
      <c r="BK105" s="1106"/>
      <c r="BL105" s="1106"/>
      <c r="BM105" s="1106">
        <f t="shared" ref="BM105" si="18">BL102</f>
        <v>0</v>
      </c>
      <c r="BN105" s="1106"/>
      <c r="BO105" s="1106"/>
      <c r="BP105" s="1106"/>
      <c r="BQ105" s="1106">
        <f t="shared" ref="BQ105" si="19">BP102</f>
        <v>0</v>
      </c>
      <c r="BR105" s="1106"/>
      <c r="BS105" s="1106"/>
      <c r="BT105" s="1106"/>
      <c r="BU105" s="1106">
        <f t="shared" ref="BU105" si="20">BT102</f>
        <v>0</v>
      </c>
      <c r="BV105" s="1106"/>
      <c r="BW105" s="1106"/>
      <c r="BX105" s="1106"/>
      <c r="BY105" s="1106">
        <f t="shared" ref="BY105" si="21">BX102</f>
        <v>0</v>
      </c>
      <c r="BZ105" s="1106"/>
      <c r="CA105" s="1106"/>
      <c r="CB105" s="1106"/>
      <c r="CC105" s="1106">
        <f t="shared" ref="CC105" si="22">CB102</f>
        <v>0</v>
      </c>
      <c r="CD105" s="1106"/>
      <c r="CE105" s="1106"/>
      <c r="CF105" s="1106"/>
      <c r="CG105" s="1106">
        <f t="shared" ref="CG105" si="23">CF102</f>
        <v>0</v>
      </c>
      <c r="CH105" s="1106"/>
      <c r="CI105" s="1106"/>
      <c r="CJ105" s="1106"/>
      <c r="CK105" s="1106">
        <f t="shared" ref="CK105" si="24">CJ102</f>
        <v>0</v>
      </c>
      <c r="CL105" s="1106"/>
      <c r="CM105" s="1106"/>
      <c r="CN105" s="1106"/>
      <c r="CO105" s="1106">
        <f t="shared" ref="CO105" si="25">CN102</f>
        <v>0</v>
      </c>
      <c r="CP105" s="1106"/>
      <c r="CQ105" s="1106"/>
      <c r="CR105" s="1106"/>
      <c r="CS105" s="1106">
        <f t="shared" ref="CS105" si="26">CR102</f>
        <v>0</v>
      </c>
      <c r="CT105" s="1106"/>
      <c r="CU105" s="1106"/>
      <c r="CV105" s="1106"/>
      <c r="CW105" s="1051">
        <f t="shared" ref="CW105" si="27">CV102</f>
        <v>0</v>
      </c>
      <c r="CX105" s="1051"/>
      <c r="CY105" s="1051"/>
      <c r="CZ105" s="1056"/>
      <c r="DA105" s="1157">
        <f t="shared" ref="DA105" si="28">CZ102</f>
        <v>0</v>
      </c>
      <c r="DB105" s="1051"/>
      <c r="DC105" s="1051"/>
      <c r="DD105" s="1056"/>
      <c r="DE105" s="1157">
        <f t="shared" ref="DE105" si="29">DD102</f>
        <v>0</v>
      </c>
      <c r="DF105" s="1051"/>
      <c r="DG105" s="1051"/>
      <c r="DH105" s="1056"/>
      <c r="DI105" s="1157">
        <f t="shared" ref="DI105" si="30">DH102</f>
        <v>0</v>
      </c>
      <c r="DJ105" s="1051"/>
      <c r="DK105" s="1051"/>
      <c r="DL105" s="1056"/>
      <c r="DM105" s="1157">
        <f t="shared" ref="DM105" si="31">DL102</f>
        <v>0</v>
      </c>
      <c r="DN105" s="1051"/>
      <c r="DO105" s="1051"/>
      <c r="DP105" s="1056"/>
      <c r="DQ105" s="1157">
        <f t="shared" ref="DQ105" si="32">DP102</f>
        <v>0</v>
      </c>
      <c r="DR105" s="1051"/>
      <c r="DS105" s="1051"/>
      <c r="DT105" s="1056"/>
      <c r="DU105" s="1157">
        <f t="shared" ref="DU105" si="33">DT102</f>
        <v>0</v>
      </c>
      <c r="DV105" s="1051"/>
      <c r="DW105" s="1051"/>
      <c r="DX105" s="1056"/>
      <c r="DY105" s="1157">
        <f t="shared" ref="DY105" si="34">DX102</f>
        <v>0</v>
      </c>
      <c r="DZ105" s="1051"/>
      <c r="EA105" s="1051"/>
      <c r="EB105" s="1056"/>
      <c r="EC105" s="1157">
        <f t="shared" ref="EC105" si="35">EB102</f>
        <v>0</v>
      </c>
      <c r="ED105" s="1051"/>
      <c r="EE105" s="1051"/>
      <c r="EF105" s="1056"/>
      <c r="EG105" s="1157">
        <f t="shared" ref="EG105" si="36">EF102</f>
        <v>0</v>
      </c>
      <c r="EH105" s="1051"/>
      <c r="EI105" s="1051"/>
      <c r="EJ105" s="1056"/>
      <c r="EK105" s="1157">
        <f t="shared" ref="EK105" si="37">EJ102</f>
        <v>0</v>
      </c>
      <c r="EL105" s="1051"/>
      <c r="EM105" s="1051"/>
      <c r="EN105" s="1056"/>
      <c r="EO105" s="1157">
        <f t="shared" ref="EO105" si="38">EN102</f>
        <v>0</v>
      </c>
      <c r="EP105" s="1051"/>
      <c r="EQ105" s="1051"/>
      <c r="ER105" s="1056"/>
      <c r="ES105" s="1157">
        <f t="shared" ref="ES105" si="39">ER102</f>
        <v>0</v>
      </c>
      <c r="ET105" s="1051"/>
      <c r="EU105" s="1051"/>
      <c r="EV105" s="1056"/>
      <c r="EW105" s="1157">
        <f t="shared" ref="EW105" si="40">EV102</f>
        <v>0</v>
      </c>
      <c r="EX105" s="1051"/>
      <c r="EY105" s="1051"/>
      <c r="EZ105" s="1056"/>
      <c r="FA105" s="1157">
        <f t="shared" ref="FA105" si="41">EZ102</f>
        <v>0</v>
      </c>
      <c r="FB105" s="1051"/>
      <c r="FC105" s="1051"/>
      <c r="FD105" s="1056"/>
      <c r="FE105" s="1157">
        <f t="shared" ref="FE105" si="42">FD102</f>
        <v>0</v>
      </c>
      <c r="FF105" s="1051"/>
      <c r="FG105" s="1051"/>
      <c r="FH105" s="1056"/>
      <c r="FI105" s="1157">
        <f t="shared" ref="FI105" si="43">FH102</f>
        <v>0</v>
      </c>
      <c r="FJ105" s="1051"/>
      <c r="FK105" s="1051"/>
      <c r="FL105" s="1056"/>
      <c r="FM105" s="1157">
        <f t="shared" ref="FM105" si="44">FL102</f>
        <v>0</v>
      </c>
      <c r="FN105" s="1051"/>
      <c r="FO105" s="1051"/>
      <c r="FP105" s="1056"/>
      <c r="FQ105" s="1157">
        <f t="shared" ref="FQ105" si="45">FP102</f>
        <v>0</v>
      </c>
      <c r="FR105" s="1051"/>
      <c r="FS105" s="1051"/>
      <c r="FT105" s="1056"/>
      <c r="FU105" s="1157">
        <f t="shared" ref="FU105" si="46">FT102</f>
        <v>0</v>
      </c>
      <c r="FV105" s="1051"/>
      <c r="FW105" s="1051"/>
      <c r="FX105" s="1056"/>
      <c r="FY105" s="1157">
        <f t="shared" ref="FY105" si="47">FX102</f>
        <v>0</v>
      </c>
      <c r="FZ105" s="1051"/>
      <c r="GA105" s="1051"/>
      <c r="GB105" s="1056"/>
      <c r="GC105" s="1157">
        <f t="shared" ref="GC105" si="48">GB102</f>
        <v>0</v>
      </c>
      <c r="GD105" s="1051"/>
      <c r="GE105" s="1051"/>
      <c r="GF105" s="1056"/>
      <c r="GG105" s="1157">
        <f t="shared" ref="GG105" si="49">GF102</f>
        <v>0</v>
      </c>
      <c r="GH105" s="1051"/>
      <c r="GI105" s="1051"/>
      <c r="GJ105" s="1056"/>
      <c r="GK105" s="1157">
        <f t="shared" ref="GK105" si="50">GJ102</f>
        <v>0</v>
      </c>
      <c r="GL105" s="1051"/>
      <c r="GM105" s="1051"/>
      <c r="GN105" s="1056"/>
      <c r="GO105" s="1157">
        <f t="shared" ref="GO105" si="51">GN102</f>
        <v>0</v>
      </c>
      <c r="GP105" s="1051"/>
      <c r="GQ105" s="1051"/>
      <c r="GR105" s="1056"/>
      <c r="GS105" s="1157">
        <f t="shared" ref="GS105" si="52">GR102</f>
        <v>0</v>
      </c>
      <c r="GT105" s="1051"/>
      <c r="GU105" s="1051"/>
      <c r="GV105" s="1056"/>
      <c r="GW105" s="1157">
        <f t="shared" ref="GW105" si="53">GV102</f>
        <v>0</v>
      </c>
      <c r="GX105" s="1051"/>
      <c r="GY105" s="1051"/>
      <c r="GZ105" s="1056"/>
      <c r="HA105" s="1157">
        <f t="shared" ref="HA105" si="54">GZ102</f>
        <v>0</v>
      </c>
      <c r="HB105" s="1051"/>
      <c r="HC105" s="1051"/>
      <c r="HD105" s="1056"/>
      <c r="HE105" s="1157">
        <f t="shared" ref="HE105" si="55">HD102</f>
        <v>0</v>
      </c>
      <c r="HF105" s="1051"/>
      <c r="HG105" s="1051"/>
      <c r="HH105" s="1056"/>
      <c r="HI105" s="1157">
        <f t="shared" ref="HI105" si="56">HH102</f>
        <v>0</v>
      </c>
      <c r="HJ105" s="1051"/>
      <c r="HK105" s="1051"/>
      <c r="HL105" s="1056"/>
      <c r="HM105" s="1157">
        <f t="shared" ref="HM105" si="57">HL102</f>
        <v>0</v>
      </c>
      <c r="HN105" s="1051"/>
      <c r="HO105" s="1051"/>
      <c r="HP105" s="1056"/>
      <c r="HQ105" s="1157">
        <f t="shared" ref="HQ105" si="58">HP102</f>
        <v>0</v>
      </c>
      <c r="HR105" s="1051"/>
      <c r="HS105" s="1051"/>
      <c r="HT105" s="1056"/>
      <c r="HU105" s="1157">
        <f t="shared" ref="HU105" si="59">HT102</f>
        <v>0</v>
      </c>
      <c r="HV105" s="1051"/>
      <c r="HW105" s="1051"/>
      <c r="HX105" s="1056"/>
      <c r="HY105" s="1157">
        <f t="shared" ref="HY105" si="60">HX102</f>
        <v>0</v>
      </c>
      <c r="HZ105" s="1051"/>
      <c r="IA105" s="1051"/>
      <c r="IB105" s="1056"/>
      <c r="IC105" s="1157">
        <f t="shared" ref="IC105" si="61">IB102</f>
        <v>0</v>
      </c>
      <c r="ID105" s="1051"/>
      <c r="IE105" s="1051"/>
      <c r="IF105" s="1056"/>
      <c r="IG105" s="1157">
        <f t="shared" ref="IG105" si="62">IF102</f>
        <v>0</v>
      </c>
      <c r="IH105" s="1051"/>
      <c r="II105" s="1051"/>
      <c r="IJ105" s="1056"/>
      <c r="IK105" s="1157">
        <f t="shared" ref="IK105" si="63">IJ102</f>
        <v>0</v>
      </c>
      <c r="IL105" s="1051"/>
      <c r="IM105" s="1051"/>
      <c r="IN105" s="1056"/>
      <c r="IO105" s="1157">
        <f t="shared" ref="IO105" si="64">IN102</f>
        <v>0</v>
      </c>
      <c r="IP105" s="1051"/>
      <c r="IQ105" s="1051"/>
      <c r="IR105" s="1056"/>
      <c r="IS105" s="1157">
        <f t="shared" ref="IS105" si="65">IR102</f>
        <v>0</v>
      </c>
      <c r="IT105" s="1051"/>
      <c r="IU105" s="1051"/>
      <c r="IV105" s="1056"/>
      <c r="IW105" s="1157">
        <f t="shared" ref="IW105" si="66">IV102</f>
        <v>0</v>
      </c>
      <c r="IX105" s="1051"/>
      <c r="IY105" s="1051"/>
      <c r="IZ105" s="1056"/>
      <c r="JA105" s="1157">
        <f t="shared" ref="JA105" si="67">IZ102</f>
        <v>0</v>
      </c>
      <c r="JB105" s="1051"/>
      <c r="JC105" s="1051"/>
      <c r="JD105" s="1056"/>
      <c r="JE105" s="1157">
        <f t="shared" ref="JE105" si="68">JD102</f>
        <v>0</v>
      </c>
      <c r="JF105" s="1051"/>
      <c r="JG105" s="1051"/>
      <c r="JH105" s="1056"/>
      <c r="JI105" s="1157">
        <f t="shared" ref="JI105" si="69">JH102</f>
        <v>0</v>
      </c>
      <c r="JJ105" s="1051"/>
      <c r="JK105" s="1051"/>
      <c r="JL105" s="1056"/>
      <c r="JM105" s="1157">
        <f t="shared" ref="JM105" si="70">JL102</f>
        <v>0</v>
      </c>
      <c r="JN105" s="1051"/>
      <c r="JO105" s="1051"/>
      <c r="JP105" s="1056"/>
      <c r="JQ105" s="1157">
        <f t="shared" ref="JQ105" si="71">JP102</f>
        <v>0</v>
      </c>
      <c r="JR105" s="1051"/>
      <c r="JS105" s="1051"/>
      <c r="JT105" s="1056"/>
      <c r="JU105" s="1157">
        <f t="shared" ref="JU105" si="72">JT102</f>
        <v>0</v>
      </c>
      <c r="JV105" s="1051"/>
      <c r="JW105" s="1051"/>
      <c r="JX105" s="1056"/>
      <c r="JY105" s="1157">
        <f t="shared" ref="JY105" si="73">JX102</f>
        <v>0</v>
      </c>
      <c r="JZ105" s="1051"/>
      <c r="KA105" s="1051"/>
      <c r="KB105" s="1056"/>
      <c r="KC105" s="1157">
        <f t="shared" ref="KC105" si="74">KB102</f>
        <v>0</v>
      </c>
      <c r="KD105" s="1051"/>
      <c r="KE105" s="1051"/>
      <c r="KF105" s="1056"/>
      <c r="KG105" s="1157">
        <f t="shared" ref="KG105" si="75">KF102</f>
        <v>0</v>
      </c>
      <c r="KH105" s="1051"/>
      <c r="KI105" s="1051"/>
      <c r="KJ105" s="1056"/>
      <c r="KK105" s="1157">
        <f t="shared" ref="KK105" si="76">KJ102</f>
        <v>0</v>
      </c>
      <c r="KL105" s="1051"/>
      <c r="KM105" s="1051"/>
      <c r="KN105" s="1056"/>
      <c r="KO105" s="1157">
        <f t="shared" ref="KO105" si="77">KN102</f>
        <v>0</v>
      </c>
      <c r="KP105" s="1051"/>
      <c r="KQ105" s="1051"/>
      <c r="KR105" s="1056"/>
      <c r="KS105" s="1157">
        <f t="shared" ref="KS105" si="78">KR102</f>
        <v>0</v>
      </c>
      <c r="KT105" s="1051"/>
      <c r="KU105" s="1051"/>
      <c r="KV105" s="1056"/>
      <c r="KW105" s="1157">
        <f t="shared" ref="KW105" si="79">KV102</f>
        <v>0</v>
      </c>
      <c r="KX105" s="1051"/>
      <c r="KY105" s="1051"/>
      <c r="KZ105" s="1056"/>
      <c r="LA105" s="1157">
        <f t="shared" ref="LA105" si="80">KZ102</f>
        <v>0</v>
      </c>
      <c r="LB105" s="1051"/>
      <c r="LC105" s="1051"/>
      <c r="LD105" s="1056"/>
      <c r="LE105" s="1157">
        <f t="shared" ref="LE105" si="81">LD102</f>
        <v>0</v>
      </c>
      <c r="LF105" s="1051"/>
      <c r="LG105" s="1051"/>
      <c r="LH105" s="1056"/>
      <c r="LI105" s="1157">
        <f t="shared" ref="LI105" si="82">LH102</f>
        <v>0</v>
      </c>
      <c r="LJ105" s="1051"/>
      <c r="LK105" s="1051"/>
      <c r="LL105" s="1056"/>
      <c r="LM105" s="1157">
        <f t="shared" ref="LM105" si="83">LL102</f>
        <v>0</v>
      </c>
      <c r="LN105" s="1051"/>
      <c r="LO105" s="1051"/>
      <c r="LP105" s="1056"/>
      <c r="LQ105" s="1157">
        <f t="shared" ref="LQ105" si="84">LP102</f>
        <v>0</v>
      </c>
      <c r="LR105" s="1051"/>
      <c r="LS105" s="1051"/>
      <c r="LT105" s="1056"/>
      <c r="LU105" s="1157">
        <f t="shared" ref="LU105" si="85">LT102</f>
        <v>0</v>
      </c>
      <c r="LV105" s="1051"/>
      <c r="LW105" s="1051"/>
      <c r="LX105" s="1056"/>
      <c r="LY105" s="1157">
        <f t="shared" ref="LY105" si="86">LX102</f>
        <v>0</v>
      </c>
      <c r="LZ105" s="1051"/>
      <c r="MA105" s="1051"/>
      <c r="MB105" s="1056"/>
      <c r="MC105" s="1157">
        <f t="shared" ref="MC105" si="87">MB102</f>
        <v>0</v>
      </c>
      <c r="MD105" s="1051"/>
      <c r="ME105" s="1051"/>
      <c r="MF105" s="1056"/>
      <c r="MG105" s="1157">
        <f t="shared" ref="MG105" si="88">MF102</f>
        <v>0</v>
      </c>
      <c r="MH105" s="1051"/>
      <c r="MI105" s="1051"/>
      <c r="MJ105" s="1056"/>
      <c r="MK105" s="1157">
        <f t="shared" ref="MK105" si="89">MJ102</f>
        <v>0</v>
      </c>
      <c r="ML105" s="1051"/>
      <c r="MM105" s="1051"/>
      <c r="MN105" s="1056"/>
      <c r="MO105" s="1157">
        <f t="shared" ref="MO105" si="90">MN102</f>
        <v>0</v>
      </c>
      <c r="MP105" s="1051"/>
      <c r="MQ105" s="1051"/>
      <c r="MR105" s="1056"/>
      <c r="MS105" s="1157">
        <f t="shared" ref="MS105" si="91">MR102</f>
        <v>0</v>
      </c>
      <c r="MT105" s="1051"/>
      <c r="MU105" s="1051"/>
      <c r="MV105" s="1056"/>
      <c r="MW105" s="1157">
        <f t="shared" ref="MW105" si="92">MV102</f>
        <v>0</v>
      </c>
      <c r="MX105" s="1051"/>
      <c r="MY105" s="1051"/>
      <c r="MZ105" s="1056"/>
      <c r="NA105" s="1157">
        <f t="shared" ref="NA105" si="93">MZ102</f>
        <v>0</v>
      </c>
      <c r="NB105" s="1051"/>
      <c r="NC105" s="1051"/>
      <c r="ND105" s="1056"/>
      <c r="NE105" s="1157">
        <f t="shared" ref="NE105" si="94">ND102</f>
        <v>0</v>
      </c>
      <c r="NF105" s="1051"/>
      <c r="NG105" s="1051"/>
      <c r="NH105" s="1056"/>
      <c r="NI105" s="1157">
        <f t="shared" ref="NI105" si="95">NH102</f>
        <v>0</v>
      </c>
      <c r="NJ105" s="1051"/>
      <c r="NK105" s="1051"/>
      <c r="NL105" s="1056"/>
      <c r="NM105" s="1157">
        <f t="shared" ref="NM105" si="96">NL102</f>
        <v>0</v>
      </c>
      <c r="NN105" s="1051"/>
      <c r="NO105" s="1051"/>
      <c r="NP105" s="1056"/>
      <c r="NQ105" s="1157">
        <f t="shared" ref="NQ105" si="97">NP102</f>
        <v>0</v>
      </c>
      <c r="NR105" s="1051"/>
      <c r="NS105" s="1051"/>
      <c r="NT105" s="1056"/>
      <c r="NU105" s="1157">
        <f t="shared" ref="NU105" si="98">NT102</f>
        <v>0</v>
      </c>
      <c r="NV105" s="1051"/>
      <c r="NW105" s="1051"/>
      <c r="NX105" s="1056"/>
      <c r="NY105" s="1157">
        <f t="shared" ref="NY105" si="99">NX102</f>
        <v>0</v>
      </c>
      <c r="NZ105" s="1051"/>
      <c r="OA105" s="1051"/>
      <c r="OB105" s="1056"/>
      <c r="OC105" s="1157">
        <f t="shared" ref="OC105" si="100">OB102</f>
        <v>0</v>
      </c>
      <c r="OD105" s="1051"/>
      <c r="OE105" s="1051"/>
      <c r="OF105" s="1056"/>
      <c r="OG105" s="1157">
        <f t="shared" ref="OG105" si="101">OF102</f>
        <v>0</v>
      </c>
      <c r="OH105" s="1051"/>
      <c r="OI105" s="1051"/>
      <c r="OJ105" s="1056"/>
      <c r="OK105" s="1157">
        <f t="shared" ref="OK105" si="102">OJ102</f>
        <v>0</v>
      </c>
      <c r="OL105" s="1051"/>
      <c r="OM105" s="1051"/>
      <c r="ON105" s="1056"/>
      <c r="OO105" s="1157">
        <f t="shared" ref="OO105" si="103">ON102</f>
        <v>0</v>
      </c>
      <c r="OP105" s="1051"/>
      <c r="OQ105" s="1051"/>
      <c r="OR105" s="1056"/>
      <c r="OS105" s="1157">
        <f t="shared" ref="OS105" si="104">OR102</f>
        <v>0</v>
      </c>
      <c r="OT105" s="1051"/>
      <c r="OU105" s="1051"/>
      <c r="OV105" s="1056"/>
      <c r="OW105" s="1157">
        <f t="shared" ref="OW105" si="105">OV102</f>
        <v>0</v>
      </c>
      <c r="OX105" s="1051"/>
      <c r="OY105" s="1051"/>
      <c r="OZ105" s="1056"/>
      <c r="PA105" s="1157">
        <f t="shared" ref="PA105" si="106">OZ102</f>
        <v>0</v>
      </c>
      <c r="PB105" s="1051"/>
      <c r="PC105" s="1051"/>
      <c r="PD105" s="1056"/>
      <c r="PE105" s="1157">
        <f t="shared" ref="PE105" si="107">PD102</f>
        <v>0</v>
      </c>
      <c r="PF105" s="1051"/>
      <c r="PG105" s="1051"/>
      <c r="PH105" s="1056"/>
      <c r="PI105" s="1157">
        <f t="shared" ref="PI105" si="108">PH102</f>
        <v>0</v>
      </c>
      <c r="PJ105" s="1051"/>
      <c r="PK105" s="1051"/>
      <c r="PL105" s="1056"/>
      <c r="PM105" s="1157">
        <f t="shared" ref="PM105" si="109">PL102</f>
        <v>0</v>
      </c>
      <c r="PN105" s="1051"/>
      <c r="PO105" s="1051"/>
      <c r="PP105" s="1056"/>
      <c r="PQ105" s="1157">
        <f t="shared" ref="PQ105" si="110">PP102</f>
        <v>0</v>
      </c>
      <c r="PR105" s="1051"/>
      <c r="PS105" s="1051"/>
      <c r="PT105" s="1056"/>
      <c r="PU105" s="1157">
        <f t="shared" ref="PU105" si="111">PT102</f>
        <v>0</v>
      </c>
      <c r="PV105" s="1051"/>
      <c r="PW105" s="1051"/>
      <c r="PX105" s="1056"/>
      <c r="PY105" s="1157">
        <f t="shared" ref="PY105" si="112">PX102</f>
        <v>0</v>
      </c>
      <c r="PZ105" s="1051"/>
      <c r="QA105" s="1051"/>
      <c r="QB105" s="1056"/>
      <c r="QC105" s="1157">
        <f t="shared" ref="QC105" si="113">QB102</f>
        <v>0</v>
      </c>
      <c r="QD105" s="1051"/>
      <c r="QE105" s="1051"/>
      <c r="QF105" s="1056"/>
      <c r="QG105" s="1157">
        <f t="shared" ref="QG105" si="114">QF102</f>
        <v>0</v>
      </c>
      <c r="QH105" s="1051"/>
      <c r="QI105" s="1051"/>
      <c r="QJ105" s="1056"/>
      <c r="QK105" s="1157">
        <f t="shared" ref="QK105" si="115">QJ102</f>
        <v>0</v>
      </c>
      <c r="QL105" s="1051"/>
      <c r="QM105" s="1051"/>
      <c r="QN105" s="1056"/>
      <c r="QO105" s="1157">
        <f t="shared" ref="QO105" si="116">QN102</f>
        <v>0</v>
      </c>
      <c r="QP105" s="1051"/>
      <c r="QQ105" s="1051"/>
      <c r="QR105" s="1056"/>
      <c r="QS105" s="1157">
        <f t="shared" ref="QS105" si="117">QR102</f>
        <v>0</v>
      </c>
      <c r="QT105" s="1051"/>
      <c r="QU105" s="1051"/>
      <c r="QV105" s="1056"/>
      <c r="QW105" s="1157">
        <f t="shared" ref="QW105" si="118">QV102</f>
        <v>0</v>
      </c>
      <c r="QX105" s="1051"/>
      <c r="QY105" s="1051"/>
      <c r="QZ105" s="1056"/>
      <c r="RA105" s="1157">
        <f t="shared" ref="RA105" si="119">QZ102</f>
        <v>0</v>
      </c>
      <c r="RB105" s="1051"/>
      <c r="RC105" s="1051"/>
      <c r="RD105" s="1056"/>
      <c r="RE105" s="1157">
        <f t="shared" ref="RE105" si="120">RD102</f>
        <v>0</v>
      </c>
      <c r="RF105" s="1051"/>
      <c r="RG105" s="1051"/>
      <c r="RH105" s="1056"/>
      <c r="RI105" s="1157">
        <f t="shared" ref="RI105" si="121">RH102</f>
        <v>0</v>
      </c>
      <c r="RJ105" s="1051"/>
      <c r="RK105" s="1051"/>
      <c r="RL105" s="1056"/>
      <c r="RM105" s="1157">
        <f t="shared" ref="RM105" si="122">RL102</f>
        <v>0</v>
      </c>
      <c r="RN105" s="1051"/>
      <c r="RO105" s="1051"/>
      <c r="RP105" s="1056"/>
      <c r="RQ105" s="1157">
        <f t="shared" ref="RQ105" si="123">RP102</f>
        <v>0</v>
      </c>
      <c r="RR105" s="1051"/>
      <c r="RS105" s="1051"/>
      <c r="RT105" s="1056"/>
      <c r="RU105" s="1157">
        <f t="shared" ref="RU105" si="124">RT102</f>
        <v>0</v>
      </c>
      <c r="RV105" s="1051"/>
      <c r="RW105" s="1051"/>
      <c r="RX105" s="1056"/>
      <c r="RY105" s="1157">
        <f t="shared" ref="RY105" si="125">RX102</f>
        <v>0</v>
      </c>
      <c r="RZ105" s="1051"/>
      <c r="SA105" s="1051"/>
      <c r="SB105" s="1056"/>
      <c r="SC105" s="1157">
        <f t="shared" ref="SC105" si="126">SB102</f>
        <v>0</v>
      </c>
      <c r="SD105" s="1051"/>
      <c r="SE105" s="1051"/>
      <c r="SF105" s="1056"/>
      <c r="SG105" s="1157">
        <f t="shared" ref="SG105" si="127">SF102</f>
        <v>0</v>
      </c>
      <c r="SH105" s="1051"/>
      <c r="SI105" s="1051"/>
      <c r="SJ105" s="1056"/>
      <c r="SK105" s="1157">
        <f t="shared" ref="SK105" si="128">SJ102</f>
        <v>0</v>
      </c>
      <c r="SL105" s="1051"/>
      <c r="SM105" s="1051"/>
      <c r="SN105" s="1056"/>
      <c r="SO105" s="1157">
        <f t="shared" ref="SO105" si="129">SN102</f>
        <v>0</v>
      </c>
      <c r="SP105" s="1051"/>
      <c r="SQ105" s="1051"/>
      <c r="SR105" s="1056"/>
      <c r="SS105" s="1157">
        <f t="shared" ref="SS105" si="130">SR102</f>
        <v>0</v>
      </c>
      <c r="ST105" s="1051"/>
      <c r="SU105" s="1051"/>
      <c r="SV105" s="1056"/>
      <c r="SW105" s="1157">
        <f t="shared" ref="SW105" si="131">SV102</f>
        <v>0</v>
      </c>
      <c r="SX105" s="1051"/>
      <c r="SY105" s="1051"/>
      <c r="SZ105" s="1056"/>
      <c r="TA105" s="1157">
        <f t="shared" ref="TA105" si="132">SZ102</f>
        <v>0</v>
      </c>
      <c r="TB105" s="1051"/>
      <c r="TC105" s="1051"/>
      <c r="TD105" s="1056"/>
      <c r="TE105" s="1157">
        <f t="shared" ref="TE105" si="133">TD102</f>
        <v>0</v>
      </c>
      <c r="TF105" s="1051"/>
      <c r="TG105" s="1051"/>
      <c r="TH105" s="1056"/>
      <c r="TI105" s="1157">
        <f t="shared" ref="TI105" si="134">TH102</f>
        <v>0</v>
      </c>
      <c r="TJ105" s="1051"/>
      <c r="TK105" s="1051"/>
      <c r="TL105" s="1056"/>
      <c r="TM105" s="1157">
        <f t="shared" ref="TM105" si="135">TL102</f>
        <v>0</v>
      </c>
      <c r="TN105" s="1051"/>
      <c r="TO105" s="1051"/>
      <c r="TP105" s="1056"/>
      <c r="TQ105" s="1157">
        <f t="shared" ref="TQ105" si="136">TP102</f>
        <v>0</v>
      </c>
      <c r="TR105" s="1051"/>
      <c r="TS105" s="1051"/>
      <c r="TT105" s="1056"/>
      <c r="TU105" s="1157">
        <f t="shared" ref="TU105" si="137">TT102</f>
        <v>0</v>
      </c>
      <c r="TV105" s="1051"/>
      <c r="TW105" s="1051"/>
      <c r="TX105" s="1056"/>
      <c r="TY105" s="1157">
        <f t="shared" ref="TY105" si="138">TX102</f>
        <v>0</v>
      </c>
      <c r="TZ105" s="1051"/>
      <c r="UA105" s="1051"/>
      <c r="UB105" s="1056"/>
      <c r="UC105" s="1157">
        <f t="shared" ref="UC105" si="139">UB102</f>
        <v>0</v>
      </c>
      <c r="UD105" s="1051"/>
      <c r="UE105" s="1051"/>
      <c r="UF105" s="1056"/>
      <c r="UG105" s="1157">
        <f t="shared" ref="UG105" si="140">UF102</f>
        <v>0</v>
      </c>
      <c r="UH105" s="1051"/>
      <c r="UI105" s="1051"/>
      <c r="UJ105" s="1056"/>
      <c r="UK105" s="1157">
        <f t="shared" ref="UK105" si="141">UJ102</f>
        <v>0</v>
      </c>
      <c r="UL105" s="1051"/>
      <c r="UM105" s="1051"/>
      <c r="UN105" s="1056"/>
      <c r="UO105" s="1157">
        <f t="shared" ref="UO105" si="142">UN102</f>
        <v>0</v>
      </c>
      <c r="UP105" s="1051"/>
      <c r="UQ105" s="1051"/>
      <c r="UR105" s="1056"/>
      <c r="US105" s="1157">
        <f t="shared" ref="US105" si="143">UR102</f>
        <v>0</v>
      </c>
      <c r="UT105" s="1051"/>
      <c r="UU105" s="1051"/>
      <c r="UV105" s="1056"/>
      <c r="UW105" s="1157">
        <f t="shared" ref="UW105" si="144">UV102</f>
        <v>0</v>
      </c>
      <c r="UX105" s="1051"/>
      <c r="UY105" s="1051"/>
      <c r="UZ105" s="1056"/>
      <c r="VA105" s="1157">
        <f t="shared" ref="VA105" si="145">UZ102</f>
        <v>0</v>
      </c>
      <c r="VB105" s="1051"/>
      <c r="VC105" s="1051"/>
      <c r="VD105" s="1056"/>
      <c r="VE105" s="1157">
        <f t="shared" ref="VE105" si="146">VD102</f>
        <v>0</v>
      </c>
      <c r="VF105" s="1051"/>
      <c r="VG105" s="1051"/>
      <c r="VH105" s="1056"/>
      <c r="VI105" s="1157">
        <f t="shared" ref="VI105" si="147">VH102</f>
        <v>0</v>
      </c>
      <c r="VJ105" s="1051"/>
      <c r="VK105" s="1051"/>
      <c r="VL105" s="1056"/>
      <c r="VM105" s="1157">
        <f t="shared" ref="VM105" si="148">VL102</f>
        <v>0</v>
      </c>
      <c r="VN105" s="1051"/>
      <c r="VO105" s="1051"/>
      <c r="VP105" s="1056"/>
      <c r="VQ105" s="1157">
        <f t="shared" ref="VQ105" si="149">VP102</f>
        <v>0</v>
      </c>
      <c r="VR105" s="1051"/>
      <c r="VS105" s="1051"/>
      <c r="VT105" s="1056"/>
      <c r="VU105" s="1157">
        <f t="shared" ref="VU105" si="150">VT102</f>
        <v>0</v>
      </c>
      <c r="VV105" s="1051"/>
      <c r="VW105" s="1051"/>
      <c r="VX105" s="1056"/>
      <c r="VY105" s="1157">
        <f t="shared" ref="VY105" si="151">VX102</f>
        <v>0</v>
      </c>
      <c r="VZ105" s="1051"/>
      <c r="WA105" s="1051"/>
      <c r="WB105" s="1056"/>
      <c r="WC105" s="1157">
        <f t="shared" ref="WC105" si="152">WB102</f>
        <v>0</v>
      </c>
      <c r="WD105" s="1051"/>
      <c r="WE105" s="1051"/>
      <c r="WF105" s="1056"/>
      <c r="WG105" s="1157">
        <f t="shared" ref="WG105" si="153">WF102</f>
        <v>0</v>
      </c>
      <c r="WH105" s="1051"/>
      <c r="WI105" s="1051"/>
      <c r="WJ105" s="1056"/>
      <c r="WK105" s="1157">
        <f t="shared" ref="WK105" si="154">WJ102</f>
        <v>0</v>
      </c>
      <c r="WL105" s="1051"/>
      <c r="WM105" s="1051"/>
      <c r="WN105" s="1056"/>
      <c r="WO105" s="1157">
        <f t="shared" ref="WO105" si="155">WN102</f>
        <v>0</v>
      </c>
      <c r="WP105" s="1051"/>
      <c r="WQ105" s="1051"/>
      <c r="WR105" s="1056"/>
      <c r="WS105" s="1157">
        <f t="shared" ref="WS105" si="156">WR102</f>
        <v>0</v>
      </c>
      <c r="WT105" s="1051"/>
      <c r="WU105" s="1051"/>
      <c r="WV105" s="1056"/>
      <c r="WW105" s="1157">
        <f t="shared" ref="WW105" si="157">WV102</f>
        <v>0</v>
      </c>
      <c r="WX105" s="1051"/>
      <c r="WY105" s="1051"/>
      <c r="WZ105" s="1056"/>
      <c r="XA105" s="1157">
        <f t="shared" ref="XA105" si="158">WZ102</f>
        <v>0</v>
      </c>
      <c r="XB105" s="1051"/>
      <c r="XC105" s="1051"/>
      <c r="XD105" s="1056"/>
      <c r="XE105" s="1157">
        <f t="shared" ref="XE105" si="159">XD102</f>
        <v>0</v>
      </c>
      <c r="XF105" s="1051"/>
      <c r="XG105" s="1051"/>
      <c r="XH105" s="1056"/>
      <c r="XI105" s="1157">
        <f t="shared" ref="XI105" si="160">XH102</f>
        <v>0</v>
      </c>
      <c r="XJ105" s="1051"/>
      <c r="XK105" s="1051"/>
      <c r="XL105" s="1056"/>
      <c r="XM105" s="1157">
        <f t="shared" ref="XM105" si="161">XL102</f>
        <v>0</v>
      </c>
      <c r="XN105" s="1051"/>
      <c r="XO105" s="1051"/>
      <c r="XP105" s="1056"/>
      <c r="XQ105" s="1157">
        <f t="shared" ref="XQ105" si="162">XP102</f>
        <v>0</v>
      </c>
      <c r="XR105" s="1051"/>
      <c r="XS105" s="1051"/>
      <c r="XT105" s="1056"/>
      <c r="XU105" s="1157">
        <f t="shared" ref="XU105" si="163">XT102</f>
        <v>0</v>
      </c>
      <c r="XV105" s="1051"/>
      <c r="XW105" s="1051"/>
      <c r="XX105" s="1056"/>
      <c r="XY105" s="1157">
        <f t="shared" ref="XY105" si="164">XX102</f>
        <v>0</v>
      </c>
      <c r="XZ105" s="1051"/>
      <c r="YA105" s="1051"/>
      <c r="YB105" s="1056"/>
      <c r="YC105" s="1157">
        <f t="shared" ref="YC105" si="165">YB102</f>
        <v>0</v>
      </c>
      <c r="YD105" s="1051"/>
      <c r="YE105" s="1051"/>
      <c r="YF105" s="1056"/>
      <c r="YG105" s="1157">
        <f t="shared" ref="YG105" si="166">YF102</f>
        <v>0</v>
      </c>
      <c r="YH105" s="1051"/>
      <c r="YI105" s="1051"/>
      <c r="YJ105" s="1056"/>
      <c r="YK105" s="1157">
        <f t="shared" ref="YK105" si="167">YJ102</f>
        <v>0</v>
      </c>
      <c r="YL105" s="1051"/>
      <c r="YM105" s="1051"/>
      <c r="YN105" s="1056"/>
      <c r="YO105" s="1157">
        <f t="shared" ref="YO105" si="168">YN102</f>
        <v>0</v>
      </c>
      <c r="YP105" s="1051"/>
      <c r="YQ105" s="1051"/>
      <c r="YR105" s="1056"/>
      <c r="YS105" s="1157">
        <f t="shared" ref="YS105" si="169">YR102</f>
        <v>0</v>
      </c>
      <c r="YT105" s="1051"/>
      <c r="YU105" s="1051"/>
      <c r="YV105" s="1056"/>
      <c r="YW105" s="1157">
        <f t="shared" ref="YW105" si="170">YV102</f>
        <v>0</v>
      </c>
      <c r="YX105" s="1051"/>
      <c r="YY105" s="1051"/>
      <c r="YZ105" s="1056"/>
      <c r="ZA105" s="1157">
        <f t="shared" ref="ZA105" si="171">YZ102</f>
        <v>0</v>
      </c>
      <c r="ZB105" s="1051"/>
      <c r="ZC105" s="1051"/>
      <c r="ZD105" s="1056"/>
      <c r="ZE105" s="1157">
        <f t="shared" ref="ZE105" si="172">ZD102</f>
        <v>0</v>
      </c>
      <c r="ZF105" s="1051"/>
      <c r="ZG105" s="1051"/>
      <c r="ZH105" s="1056"/>
      <c r="ZI105" s="1157">
        <f t="shared" ref="ZI105" si="173">ZH102</f>
        <v>0</v>
      </c>
      <c r="ZJ105" s="1051"/>
      <c r="ZK105" s="1051"/>
      <c r="ZL105" s="1056"/>
      <c r="ZM105" s="1157">
        <f t="shared" ref="ZM105" si="174">ZL102</f>
        <v>0</v>
      </c>
      <c r="ZN105" s="1051"/>
      <c r="ZO105" s="1051"/>
      <c r="ZP105" s="1056"/>
      <c r="ZQ105" s="1157">
        <f t="shared" ref="ZQ105" si="175">ZP102</f>
        <v>0</v>
      </c>
      <c r="ZR105" s="1051"/>
      <c r="ZS105" s="1051"/>
      <c r="ZT105" s="1056"/>
      <c r="ZU105" s="1157">
        <f t="shared" ref="ZU105" si="176">ZT102</f>
        <v>0</v>
      </c>
      <c r="ZV105" s="1051"/>
      <c r="ZW105" s="1051"/>
      <c r="ZX105" s="1056"/>
      <c r="ZY105" s="1157">
        <f t="shared" ref="ZY105" si="177">ZX102</f>
        <v>0</v>
      </c>
      <c r="ZZ105" s="1051"/>
      <c r="AAA105" s="1051"/>
      <c r="AAB105" s="1056"/>
      <c r="AAC105" s="1157">
        <f t="shared" ref="AAC105" si="178">AAB102</f>
        <v>0</v>
      </c>
      <c r="AAD105" s="1051"/>
      <c r="AAE105" s="1051"/>
      <c r="AAF105" s="1056"/>
      <c r="AAG105" s="1157">
        <f t="shared" ref="AAG105" si="179">AAF102</f>
        <v>0</v>
      </c>
      <c r="AAH105" s="1051"/>
      <c r="AAI105" s="1051"/>
      <c r="AAJ105" s="1056"/>
      <c r="AAK105" s="1157">
        <f t="shared" ref="AAK105" si="180">AAJ102</f>
        <v>0</v>
      </c>
      <c r="AAL105" s="1051"/>
      <c r="AAM105" s="1051"/>
      <c r="AAN105" s="1056"/>
      <c r="AAO105" s="1157">
        <f t="shared" ref="AAO105" si="181">AAN102</f>
        <v>0</v>
      </c>
      <c r="AAP105" s="1051"/>
      <c r="AAQ105" s="1051"/>
      <c r="AAR105" s="1056"/>
      <c r="AAS105" s="1157">
        <f t="shared" ref="AAS105" si="182">AAR102</f>
        <v>0</v>
      </c>
      <c r="AAT105" s="1051"/>
      <c r="AAU105" s="1051"/>
      <c r="AAV105" s="1056"/>
      <c r="AAW105" s="1157">
        <f t="shared" ref="AAW105" si="183">AAV102</f>
        <v>0</v>
      </c>
      <c r="AAX105" s="1051"/>
      <c r="AAY105" s="1051"/>
      <c r="AAZ105" s="1056"/>
      <c r="ABA105" s="1157">
        <f t="shared" ref="ABA105" si="184">AAZ102</f>
        <v>0</v>
      </c>
      <c r="ABB105" s="1051"/>
      <c r="ABC105" s="1051"/>
      <c r="ABD105" s="1056"/>
      <c r="ABE105" s="1157">
        <f t="shared" ref="ABE105" si="185">ABD102</f>
        <v>0</v>
      </c>
      <c r="ABF105" s="1051"/>
      <c r="ABG105" s="1051"/>
      <c r="ABH105" s="1056"/>
      <c r="ABI105" s="1157">
        <f t="shared" ref="ABI105" si="186">ABH102</f>
        <v>0</v>
      </c>
      <c r="ABJ105" s="1051"/>
      <c r="ABK105" s="1051"/>
      <c r="ABL105" s="1056"/>
      <c r="ABM105" s="1157">
        <f t="shared" ref="ABM105" si="187">ABL102</f>
        <v>0</v>
      </c>
      <c r="ABN105" s="1051"/>
      <c r="ABO105" s="1051"/>
      <c r="ABP105" s="1056"/>
      <c r="ABQ105" s="1157">
        <f t="shared" ref="ABQ105" si="188">ABP102</f>
        <v>0</v>
      </c>
      <c r="ABR105" s="1051"/>
      <c r="ABS105" s="1051"/>
      <c r="ABT105" s="1056"/>
      <c r="ABU105" s="1157">
        <f t="shared" ref="ABU105" si="189">ABT102</f>
        <v>0</v>
      </c>
      <c r="ABV105" s="1051"/>
      <c r="ABW105" s="1051"/>
      <c r="ABX105" s="1056"/>
      <c r="ABY105" s="1157">
        <f t="shared" ref="ABY105" si="190">ABX102</f>
        <v>0</v>
      </c>
      <c r="ABZ105" s="1051"/>
      <c r="ACA105" s="1051"/>
      <c r="ACB105" s="1056"/>
      <c r="ACC105" s="1157">
        <f t="shared" ref="ACC105" si="191">ACB102</f>
        <v>0</v>
      </c>
      <c r="ACD105" s="1051"/>
      <c r="ACE105" s="1051"/>
      <c r="ACF105" s="1056"/>
      <c r="ACG105" s="1157">
        <f t="shared" ref="ACG105" si="192">ACF102</f>
        <v>0</v>
      </c>
      <c r="ACH105" s="1051"/>
      <c r="ACI105" s="1051"/>
      <c r="ACJ105" s="1056"/>
      <c r="ACK105" s="1157">
        <f t="shared" ref="ACK105" si="193">ACJ102</f>
        <v>0</v>
      </c>
      <c r="ACL105" s="1051"/>
      <c r="ACM105" s="1051"/>
      <c r="ACN105" s="1056"/>
      <c r="ACO105" s="1157">
        <f t="shared" ref="ACO105" si="194">ACN102</f>
        <v>0</v>
      </c>
      <c r="ACP105" s="1051"/>
      <c r="ACQ105" s="1051"/>
      <c r="ACR105" s="1056"/>
      <c r="ACS105" s="1157">
        <f t="shared" ref="ACS105" si="195">ACR102</f>
        <v>0</v>
      </c>
      <c r="ACT105" s="1051"/>
      <c r="ACU105" s="1051"/>
      <c r="ACV105" s="1056"/>
      <c r="ACW105" s="1157">
        <f t="shared" ref="ACW105" si="196">ACV102</f>
        <v>0</v>
      </c>
      <c r="ACX105" s="1051"/>
      <c r="ACY105" s="1051"/>
      <c r="ACZ105" s="1056"/>
      <c r="ADA105" s="1157">
        <f t="shared" ref="ADA105" si="197">ACZ102</f>
        <v>0</v>
      </c>
      <c r="ADB105" s="1051"/>
      <c r="ADC105" s="1051"/>
      <c r="ADD105" s="1056"/>
      <c r="ADE105" s="1157">
        <f t="shared" ref="ADE105" si="198">ADD102</f>
        <v>0</v>
      </c>
      <c r="ADF105" s="1051"/>
      <c r="ADG105" s="1051"/>
      <c r="ADH105" s="1056"/>
      <c r="ADI105" s="1157">
        <f t="shared" ref="ADI105" si="199">ADH102</f>
        <v>0</v>
      </c>
      <c r="ADJ105" s="1051"/>
      <c r="ADK105" s="1051"/>
      <c r="ADL105" s="1056"/>
      <c r="ADM105" s="1157">
        <f t="shared" ref="ADM105" si="200">ADL102</f>
        <v>0</v>
      </c>
      <c r="ADN105" s="1051"/>
      <c r="ADO105" s="1051"/>
      <c r="ADP105" s="1056"/>
      <c r="ADQ105" s="1157">
        <f t="shared" ref="ADQ105" si="201">ADP102</f>
        <v>0</v>
      </c>
      <c r="ADR105" s="1051"/>
      <c r="ADS105" s="1051"/>
      <c r="ADT105" s="1056"/>
      <c r="ADU105" s="1157">
        <f t="shared" ref="ADU105" si="202">ADT102</f>
        <v>0</v>
      </c>
      <c r="ADV105" s="1051"/>
      <c r="ADW105" s="1051"/>
      <c r="ADX105" s="1056"/>
      <c r="ADY105" s="1157">
        <f t="shared" ref="ADY105" si="203">ADX102</f>
        <v>0</v>
      </c>
      <c r="ADZ105" s="1051"/>
      <c r="AEA105" s="1051"/>
      <c r="AEB105" s="1056"/>
      <c r="AEC105" s="1157">
        <f t="shared" ref="AEC105" si="204">AEB102</f>
        <v>0</v>
      </c>
      <c r="AED105" s="1051"/>
      <c r="AEE105" s="1051"/>
      <c r="AEF105" s="1056"/>
      <c r="AEG105" s="1157">
        <f t="shared" ref="AEG105" si="205">AEF102</f>
        <v>0</v>
      </c>
      <c r="AEH105" s="1051"/>
      <c r="AEI105" s="1051"/>
      <c r="AEJ105" s="1056"/>
      <c r="AEK105" s="1157">
        <f t="shared" ref="AEK105" si="206">AEJ102</f>
        <v>0</v>
      </c>
      <c r="AEL105" s="1051"/>
      <c r="AEM105" s="1051"/>
      <c r="AEN105" s="1056"/>
      <c r="AEO105" s="1157">
        <f t="shared" ref="AEO105" si="207">AEN102</f>
        <v>0</v>
      </c>
      <c r="AEP105" s="1051"/>
      <c r="AEQ105" s="1051"/>
      <c r="AER105" s="1056"/>
      <c r="AES105" s="1157">
        <f t="shared" ref="AES105" si="208">AER102</f>
        <v>0</v>
      </c>
      <c r="AET105" s="1051"/>
      <c r="AEU105" s="1051"/>
      <c r="AEV105" s="1056"/>
      <c r="AEW105" s="1157">
        <f t="shared" ref="AEW105" si="209">AEV102</f>
        <v>0</v>
      </c>
      <c r="AEX105" s="1051"/>
      <c r="AEY105" s="1051"/>
      <c r="AEZ105" s="1056"/>
      <c r="AFA105" s="1157">
        <f t="shared" ref="AFA105" si="210">AEZ102</f>
        <v>0</v>
      </c>
      <c r="AFB105" s="1051"/>
      <c r="AFC105" s="1051"/>
      <c r="AFD105" s="1056"/>
      <c r="AFE105" s="1157">
        <f t="shared" ref="AFE105" si="211">AFD102</f>
        <v>0</v>
      </c>
      <c r="AFF105" s="1051"/>
      <c r="AFG105" s="1051"/>
      <c r="AFH105" s="1056"/>
      <c r="AFI105" s="1157">
        <f t="shared" ref="AFI105" si="212">AFH102</f>
        <v>0</v>
      </c>
      <c r="AFJ105" s="1051"/>
      <c r="AFK105" s="1051"/>
      <c r="AFL105" s="1056"/>
      <c r="AFM105" s="1157">
        <f t="shared" ref="AFM105" si="213">AFL102</f>
        <v>0</v>
      </c>
      <c r="AFN105" s="1051"/>
      <c r="AFO105" s="1051"/>
      <c r="AFP105" s="1056"/>
      <c r="AFQ105" s="1157">
        <f t="shared" ref="AFQ105" si="214">AFP102</f>
        <v>0</v>
      </c>
      <c r="AFR105" s="1051"/>
      <c r="AFS105" s="1051"/>
      <c r="AFT105" s="1056"/>
      <c r="AFU105" s="1157">
        <f t="shared" ref="AFU105" si="215">AFT102</f>
        <v>0</v>
      </c>
      <c r="AFV105" s="1051"/>
      <c r="AFW105" s="1051"/>
      <c r="AFX105" s="1056"/>
      <c r="AFY105" s="1157">
        <f t="shared" ref="AFY105" si="216">AFX102</f>
        <v>0</v>
      </c>
      <c r="AFZ105" s="1051"/>
      <c r="AGA105" s="1051"/>
      <c r="AGB105" s="1056"/>
      <c r="AGC105" s="1157">
        <f t="shared" ref="AGC105" si="217">AGB102</f>
        <v>0</v>
      </c>
      <c r="AGD105" s="1051"/>
      <c r="AGE105" s="1051"/>
      <c r="AGF105" s="1056"/>
      <c r="AGG105" s="1157">
        <f t="shared" ref="AGG105" si="218">AGF102</f>
        <v>0</v>
      </c>
      <c r="AGH105" s="1051"/>
      <c r="AGI105" s="1051"/>
      <c r="AGJ105" s="1056"/>
      <c r="AGK105" s="1157">
        <f t="shared" ref="AGK105" si="219">AGJ102</f>
        <v>0</v>
      </c>
      <c r="AGL105" s="1051"/>
      <c r="AGM105" s="1051"/>
      <c r="AGN105" s="1056"/>
      <c r="AGO105" s="1157">
        <f t="shared" ref="AGO105" si="220">AGN102</f>
        <v>0</v>
      </c>
      <c r="AGP105" s="1051"/>
      <c r="AGQ105" s="1051"/>
      <c r="AGR105" s="1056"/>
      <c r="AGS105" s="1157">
        <f t="shared" ref="AGS105" si="221">AGR102</f>
        <v>0</v>
      </c>
      <c r="AGT105" s="1051"/>
      <c r="AGU105" s="1051"/>
      <c r="AGV105" s="1056"/>
      <c r="AGW105" s="1157">
        <f t="shared" ref="AGW105" si="222">AGV102</f>
        <v>0</v>
      </c>
      <c r="AGX105" s="1051"/>
      <c r="AGY105" s="1051"/>
      <c r="AGZ105" s="1056"/>
      <c r="AHA105" s="1157">
        <f t="shared" ref="AHA105" si="223">AGZ102</f>
        <v>0</v>
      </c>
      <c r="AHB105" s="1051"/>
      <c r="AHC105" s="1051"/>
      <c r="AHD105" s="1056"/>
      <c r="AHE105" s="1157">
        <f t="shared" ref="AHE105" si="224">AHD102</f>
        <v>0</v>
      </c>
      <c r="AHF105" s="1051"/>
      <c r="AHG105" s="1051"/>
      <c r="AHH105" s="1056"/>
      <c r="AHI105" s="1157">
        <f t="shared" ref="AHI105" si="225">AHH102</f>
        <v>0</v>
      </c>
      <c r="AHJ105" s="1051"/>
      <c r="AHK105" s="1051"/>
      <c r="AHL105" s="1056"/>
      <c r="AHM105" s="1157">
        <f t="shared" ref="AHM105" si="226">AHL102</f>
        <v>0</v>
      </c>
      <c r="AHN105" s="1051"/>
      <c r="AHO105" s="1051"/>
      <c r="AHP105" s="1056"/>
      <c r="AHQ105" s="1157">
        <f t="shared" ref="AHQ105" si="227">AHP102</f>
        <v>0</v>
      </c>
      <c r="AHR105" s="1051"/>
      <c r="AHS105" s="1051"/>
      <c r="AHT105" s="1056"/>
      <c r="AHU105" s="1157">
        <f t="shared" ref="AHU105" si="228">AHT102</f>
        <v>0</v>
      </c>
      <c r="AHV105" s="1051"/>
      <c r="AHW105" s="1051"/>
      <c r="AHX105" s="1056"/>
      <c r="AHY105" s="1157">
        <f t="shared" ref="AHY105" si="229">AHX102</f>
        <v>0</v>
      </c>
      <c r="AHZ105" s="1051"/>
      <c r="AIA105" s="1051"/>
      <c r="AIB105" s="1056"/>
      <c r="AIC105" s="1157">
        <f t="shared" ref="AIC105" si="230">AIB102</f>
        <v>0</v>
      </c>
      <c r="AID105" s="1051"/>
      <c r="AIE105" s="1051"/>
      <c r="AIF105" s="1056"/>
      <c r="AIG105" s="1157">
        <f t="shared" ref="AIG105" si="231">AIF102</f>
        <v>0</v>
      </c>
      <c r="AIH105" s="1051"/>
      <c r="AII105" s="1051"/>
      <c r="AIJ105" s="1056"/>
      <c r="AIK105" s="1157">
        <f t="shared" ref="AIK105" si="232">AIJ102</f>
        <v>0</v>
      </c>
      <c r="AIL105" s="1051"/>
      <c r="AIM105" s="1051"/>
      <c r="AIN105" s="1056"/>
      <c r="AIO105" s="1157">
        <f t="shared" ref="AIO105" si="233">AIN102</f>
        <v>0</v>
      </c>
      <c r="AIP105" s="1051"/>
      <c r="AIQ105" s="1051"/>
      <c r="AIR105" s="1056"/>
      <c r="AIS105" s="1157">
        <f t="shared" ref="AIS105" si="234">AIR102</f>
        <v>0</v>
      </c>
      <c r="AIT105" s="1051"/>
      <c r="AIU105" s="1051"/>
      <c r="AIV105" s="1056"/>
      <c r="AIW105" s="1157">
        <f t="shared" ref="AIW105" si="235">AIV102</f>
        <v>0</v>
      </c>
      <c r="AIX105" s="1051"/>
      <c r="AIY105" s="1051"/>
      <c r="AIZ105" s="1056"/>
      <c r="AJA105" s="1157">
        <f t="shared" ref="AJA105" si="236">AIZ102</f>
        <v>0</v>
      </c>
      <c r="AJB105" s="1051"/>
      <c r="AJC105" s="1051"/>
      <c r="AJD105" s="1056"/>
      <c r="AJE105" s="1157">
        <f t="shared" ref="AJE105" si="237">AJD102</f>
        <v>0</v>
      </c>
      <c r="AJF105" s="1051"/>
      <c r="AJG105" s="1051"/>
      <c r="AJH105" s="1056"/>
      <c r="AJI105" s="1157">
        <f t="shared" ref="AJI105" si="238">AJH102</f>
        <v>0</v>
      </c>
      <c r="AJJ105" s="1051"/>
      <c r="AJK105" s="1051"/>
      <c r="AJL105" s="1056"/>
      <c r="AJM105" s="1157">
        <f t="shared" ref="AJM105" si="239">AJL102</f>
        <v>0</v>
      </c>
      <c r="AJN105" s="1051"/>
      <c r="AJO105" s="1051"/>
      <c r="AJP105" s="1056"/>
      <c r="AJQ105" s="1157">
        <f t="shared" ref="AJQ105" si="240">AJP102</f>
        <v>0</v>
      </c>
      <c r="AJR105" s="1051"/>
      <c r="AJS105" s="1051"/>
      <c r="AJT105" s="1056"/>
      <c r="AJU105" s="1157">
        <f t="shared" ref="AJU105" si="241">AJT102</f>
        <v>0</v>
      </c>
      <c r="AJV105" s="1051"/>
      <c r="AJW105" s="1051"/>
      <c r="AJX105" s="1056"/>
      <c r="AJY105" s="1157">
        <f t="shared" ref="AJY105" si="242">AJX102</f>
        <v>0</v>
      </c>
      <c r="AJZ105" s="1051"/>
      <c r="AKA105" s="1051"/>
      <c r="AKB105" s="1056"/>
      <c r="AKC105" s="1157">
        <f t="shared" ref="AKC105" si="243">AKB102</f>
        <v>0</v>
      </c>
      <c r="AKD105" s="1051"/>
      <c r="AKE105" s="1051"/>
      <c r="AKF105" s="1056"/>
      <c r="AKG105" s="1157">
        <f t="shared" ref="AKG105" si="244">AKF102</f>
        <v>0</v>
      </c>
      <c r="AKH105" s="1051"/>
      <c r="AKI105" s="1051"/>
      <c r="AKJ105" s="1056"/>
      <c r="AKK105" s="1157">
        <f t="shared" ref="AKK105" si="245">AKJ102</f>
        <v>0</v>
      </c>
      <c r="AKL105" s="1051"/>
      <c r="AKM105" s="1051"/>
      <c r="AKN105" s="1056"/>
      <c r="AKO105" s="1157">
        <f t="shared" ref="AKO105" si="246">AKN102</f>
        <v>0</v>
      </c>
      <c r="AKP105" s="1051"/>
      <c r="AKQ105" s="1051"/>
      <c r="AKR105" s="1056"/>
      <c r="AKS105" s="1157">
        <f t="shared" ref="AKS105" si="247">AKR102</f>
        <v>0</v>
      </c>
      <c r="AKT105" s="1051"/>
      <c r="AKU105" s="1051"/>
      <c r="AKV105" s="1056"/>
      <c r="AKW105" s="1157">
        <f t="shared" ref="AKW105" si="248">AKV102</f>
        <v>0</v>
      </c>
      <c r="AKX105" s="1051"/>
      <c r="AKY105" s="1051"/>
      <c r="AKZ105" s="1056"/>
      <c r="ALA105" s="1157">
        <f t="shared" ref="ALA105" si="249">AKZ102</f>
        <v>0</v>
      </c>
      <c r="ALB105" s="1051"/>
      <c r="ALC105" s="1051"/>
      <c r="ALD105" s="1056"/>
      <c r="ALE105" s="1157">
        <f t="shared" ref="ALE105" si="250">ALD102</f>
        <v>0</v>
      </c>
      <c r="ALF105" s="1051"/>
      <c r="ALG105" s="1051"/>
      <c r="ALH105" s="1056"/>
      <c r="ALI105" s="1157">
        <f t="shared" ref="ALI105" si="251">ALH102</f>
        <v>0</v>
      </c>
      <c r="ALJ105" s="1051"/>
      <c r="ALK105" s="1051"/>
      <c r="ALL105" s="1056"/>
      <c r="ALM105" s="1157">
        <f t="shared" ref="ALM105" si="252">ALL102</f>
        <v>0</v>
      </c>
      <c r="ALN105" s="1051"/>
      <c r="ALO105" s="1051"/>
      <c r="ALP105" s="1056"/>
      <c r="ALQ105" s="1157">
        <f t="shared" ref="ALQ105" si="253">ALP102</f>
        <v>0</v>
      </c>
      <c r="ALR105" s="1051"/>
      <c r="ALS105" s="1051"/>
      <c r="ALT105" s="1056"/>
      <c r="ALU105" s="1157">
        <f t="shared" ref="ALU105" si="254">ALT102</f>
        <v>0</v>
      </c>
      <c r="ALV105" s="1051"/>
      <c r="ALW105" s="1051"/>
      <c r="ALX105" s="1056"/>
      <c r="ALY105" s="1157">
        <f t="shared" ref="ALY105" si="255">ALX102</f>
        <v>0</v>
      </c>
      <c r="ALZ105" s="1051"/>
      <c r="AMA105" s="1051"/>
      <c r="AMB105" s="1056"/>
      <c r="AMC105" s="1157">
        <f t="shared" ref="AMC105" si="256">AMB102</f>
        <v>0</v>
      </c>
      <c r="AMD105" s="1051"/>
      <c r="AME105" s="1051"/>
      <c r="AMF105" s="1056"/>
      <c r="AMG105" s="1157">
        <f t="shared" ref="AMG105" si="257">AMF102</f>
        <v>0</v>
      </c>
      <c r="AMH105" s="1051"/>
      <c r="AMI105" s="1051"/>
      <c r="AMJ105" s="1056"/>
      <c r="AMK105" s="1157">
        <f t="shared" ref="AMK105" si="258">AMJ102</f>
        <v>0</v>
      </c>
      <c r="AML105" s="1051"/>
      <c r="AMM105" s="1051"/>
      <c r="AMN105" s="1056"/>
      <c r="AMO105" s="1157">
        <f t="shared" ref="AMO105" si="259">AMN102</f>
        <v>0</v>
      </c>
      <c r="AMP105" s="1051"/>
      <c r="AMQ105" s="1051"/>
      <c r="AMR105" s="1056"/>
      <c r="AMS105" s="1157">
        <f t="shared" ref="AMS105" si="260">AMR102</f>
        <v>0</v>
      </c>
      <c r="AMT105" s="1051"/>
      <c r="AMU105" s="1051"/>
      <c r="AMV105" s="1056"/>
      <c r="AMW105" s="1157">
        <f t="shared" ref="AMW105" si="261">AMV102</f>
        <v>0</v>
      </c>
      <c r="AMX105" s="1051"/>
      <c r="AMY105" s="1051"/>
      <c r="AMZ105" s="1056"/>
      <c r="ANA105" s="1157">
        <f t="shared" ref="ANA105" si="262">AMZ102</f>
        <v>0</v>
      </c>
      <c r="ANB105" s="1051"/>
      <c r="ANC105" s="1051"/>
      <c r="AND105" s="1056"/>
      <c r="ANE105" s="1157">
        <f t="shared" ref="ANE105" si="263">AND102</f>
        <v>0</v>
      </c>
      <c r="ANF105" s="1051"/>
      <c r="ANG105" s="1051"/>
      <c r="ANH105" s="1056"/>
      <c r="ANI105" s="1157">
        <f t="shared" ref="ANI105" si="264">ANH102</f>
        <v>0</v>
      </c>
      <c r="ANJ105" s="1051"/>
      <c r="ANK105" s="1051"/>
      <c r="ANL105" s="1056"/>
      <c r="ANM105" s="1157">
        <f t="shared" ref="ANM105" si="265">ANL102</f>
        <v>0</v>
      </c>
      <c r="ANN105" s="1051"/>
      <c r="ANO105" s="1051"/>
      <c r="ANP105" s="1056"/>
      <c r="ANQ105" s="1157">
        <f t="shared" ref="ANQ105" si="266">ANP102</f>
        <v>0</v>
      </c>
      <c r="ANR105" s="1051"/>
      <c r="ANS105" s="1051"/>
      <c r="ANT105" s="1056"/>
      <c r="ANU105" s="1157">
        <f t="shared" ref="ANU105" si="267">ANT102</f>
        <v>0</v>
      </c>
      <c r="ANV105" s="1051"/>
      <c r="ANW105" s="1051"/>
      <c r="ANX105" s="1056"/>
      <c r="ANY105" s="1157">
        <f t="shared" ref="ANY105" si="268">ANX102</f>
        <v>0</v>
      </c>
      <c r="ANZ105" s="1051"/>
      <c r="AOA105" s="1051"/>
      <c r="AOB105" s="1056"/>
      <c r="AOC105" s="1157">
        <f t="shared" ref="AOC105" si="269">AOB102</f>
        <v>0</v>
      </c>
      <c r="AOD105" s="1051"/>
      <c r="AOE105" s="1051"/>
      <c r="AOF105" s="1056"/>
      <c r="AOG105" s="1157">
        <f t="shared" ref="AOG105" si="270">AOF102</f>
        <v>0</v>
      </c>
      <c r="AOH105" s="1051"/>
      <c r="AOI105" s="1051"/>
      <c r="AOJ105" s="1056"/>
      <c r="AOK105" s="1157">
        <f t="shared" ref="AOK105" si="271">AOJ102</f>
        <v>0</v>
      </c>
      <c r="AOL105" s="1051"/>
      <c r="AOM105" s="1051"/>
      <c r="AON105" s="1056"/>
      <c r="AOO105" s="1157">
        <f t="shared" ref="AOO105" si="272">AON102</f>
        <v>0</v>
      </c>
      <c r="AOP105" s="1051"/>
      <c r="AOQ105" s="1051"/>
      <c r="AOR105" s="1056"/>
      <c r="AOS105" s="1157">
        <f t="shared" ref="AOS105" si="273">AOR102</f>
        <v>0</v>
      </c>
      <c r="AOT105" s="1051"/>
      <c r="AOU105" s="1051"/>
      <c r="AOV105" s="1056"/>
      <c r="AOW105" s="1157">
        <f t="shared" ref="AOW105" si="274">AOV102</f>
        <v>0</v>
      </c>
      <c r="AOX105" s="1051"/>
      <c r="AOY105" s="1051"/>
      <c r="AOZ105" s="1056"/>
      <c r="APA105" s="1157">
        <f t="shared" ref="APA105" si="275">AOZ102</f>
        <v>0</v>
      </c>
      <c r="APB105" s="1051"/>
      <c r="APC105" s="1051"/>
      <c r="APD105" s="1056"/>
      <c r="APE105" s="1157">
        <f t="shared" ref="APE105" si="276">APD102</f>
        <v>0</v>
      </c>
      <c r="APF105" s="1051"/>
      <c r="APG105" s="1051"/>
      <c r="APH105" s="1056"/>
      <c r="API105" s="1157">
        <f t="shared" ref="API105" si="277">APH102</f>
        <v>0</v>
      </c>
      <c r="APJ105" s="1051"/>
      <c r="APK105" s="1051"/>
      <c r="APL105" s="1056"/>
      <c r="APM105" s="1157">
        <f t="shared" ref="APM105" si="278">APL102</f>
        <v>0</v>
      </c>
      <c r="APN105" s="1051"/>
      <c r="APO105" s="1051"/>
      <c r="APP105" s="1056"/>
      <c r="APQ105" s="1157">
        <f t="shared" ref="APQ105" si="279">APP102</f>
        <v>0</v>
      </c>
      <c r="APR105" s="1051"/>
      <c r="APS105" s="1051"/>
      <c r="APT105" s="1056"/>
      <c r="APU105" s="1157">
        <f t="shared" ref="APU105" si="280">APT102</f>
        <v>0</v>
      </c>
      <c r="APV105" s="1051"/>
      <c r="APW105" s="1051"/>
      <c r="APX105" s="1056"/>
      <c r="APY105" s="1157">
        <f t="shared" ref="APY105" si="281">APX102</f>
        <v>0</v>
      </c>
      <c r="APZ105" s="1051"/>
      <c r="AQA105" s="1051"/>
      <c r="AQB105" s="1056"/>
      <c r="AQC105" s="1157">
        <f t="shared" ref="AQC105" si="282">AQB102</f>
        <v>0</v>
      </c>
      <c r="AQD105" s="1051"/>
      <c r="AQE105" s="1051"/>
      <c r="AQF105" s="1056"/>
      <c r="AQG105" s="1157">
        <f t="shared" ref="AQG105" si="283">AQF102</f>
        <v>0</v>
      </c>
      <c r="AQH105" s="1051"/>
      <c r="AQI105" s="1051"/>
      <c r="AQJ105" s="1056"/>
      <c r="AQK105" s="1157">
        <f t="shared" ref="AQK105" si="284">AQJ102</f>
        <v>0</v>
      </c>
      <c r="AQL105" s="1051"/>
      <c r="AQM105" s="1051"/>
      <c r="AQN105" s="1056"/>
      <c r="AQO105" s="1157">
        <f t="shared" ref="AQO105" si="285">AQN102</f>
        <v>0</v>
      </c>
      <c r="AQP105" s="1051"/>
      <c r="AQQ105" s="1051"/>
      <c r="AQR105" s="1056"/>
      <c r="AQS105" s="1157">
        <f t="shared" ref="AQS105" si="286">AQR102</f>
        <v>0</v>
      </c>
      <c r="AQT105" s="1051"/>
      <c r="AQU105" s="1051"/>
      <c r="AQV105" s="1056"/>
      <c r="AQW105" s="1157">
        <f t="shared" ref="AQW105" si="287">AQV102</f>
        <v>0</v>
      </c>
      <c r="AQX105" s="1051"/>
      <c r="AQY105" s="1051"/>
      <c r="AQZ105" s="1056"/>
      <c r="ARA105" s="1157">
        <f t="shared" ref="ARA105" si="288">AQZ102</f>
        <v>0</v>
      </c>
      <c r="ARB105" s="1051"/>
      <c r="ARC105" s="1051"/>
      <c r="ARD105" s="1056"/>
      <c r="ARE105" s="1157">
        <f t="shared" ref="ARE105" si="289">ARD102</f>
        <v>0</v>
      </c>
      <c r="ARF105" s="1051"/>
      <c r="ARG105" s="1051"/>
      <c r="ARH105" s="1056"/>
      <c r="ARI105" s="1157">
        <f t="shared" ref="ARI105" si="290">ARH102</f>
        <v>0</v>
      </c>
      <c r="ARJ105" s="1051"/>
      <c r="ARK105" s="1051"/>
      <c r="ARL105" s="1056"/>
      <c r="ARM105" s="1157">
        <f t="shared" ref="ARM105" si="291">ARL102</f>
        <v>0</v>
      </c>
      <c r="ARN105" s="1051"/>
      <c r="ARO105" s="1051"/>
      <c r="ARP105" s="1056"/>
      <c r="ARQ105" s="1157">
        <f t="shared" ref="ARQ105" si="292">ARP102</f>
        <v>0</v>
      </c>
      <c r="ARR105" s="1051"/>
      <c r="ARS105" s="1051"/>
      <c r="ART105" s="1056"/>
      <c r="ARU105" s="1157">
        <f t="shared" ref="ARU105" si="293">ART102</f>
        <v>0</v>
      </c>
      <c r="ARV105" s="1051"/>
      <c r="ARW105" s="1051"/>
      <c r="ARX105" s="1056"/>
      <c r="ARY105" s="1157">
        <f t="shared" ref="ARY105" si="294">ARX102</f>
        <v>0</v>
      </c>
      <c r="ARZ105" s="1051"/>
      <c r="ASA105" s="1051"/>
      <c r="ASB105" s="1056"/>
      <c r="ASC105" s="1157">
        <f t="shared" ref="ASC105" si="295">ASB102</f>
        <v>0</v>
      </c>
      <c r="ASD105" s="1051"/>
      <c r="ASE105" s="1051"/>
      <c r="ASF105" s="1056"/>
      <c r="ASG105" s="1157">
        <f t="shared" ref="ASG105" si="296">ASF102</f>
        <v>0</v>
      </c>
      <c r="ASH105" s="1051"/>
      <c r="ASI105" s="1051"/>
      <c r="ASJ105" s="1056"/>
      <c r="ASK105" s="1157">
        <f t="shared" ref="ASK105" si="297">ASJ102</f>
        <v>0</v>
      </c>
      <c r="ASL105" s="1051"/>
      <c r="ASM105" s="1051"/>
      <c r="ASN105" s="1056"/>
      <c r="ASO105" s="1157">
        <f t="shared" ref="ASO105" si="298">ASN102</f>
        <v>0</v>
      </c>
      <c r="ASP105" s="1051"/>
      <c r="ASQ105" s="1051"/>
      <c r="ASR105" s="1056"/>
      <c r="ASS105" s="1157">
        <f t="shared" ref="ASS105" si="299">ASR102</f>
        <v>0</v>
      </c>
      <c r="AST105" s="1051"/>
      <c r="ASU105" s="1051"/>
      <c r="ASV105" s="1056"/>
      <c r="ASW105" s="1157">
        <f t="shared" ref="ASW105" si="300">ASV102</f>
        <v>0</v>
      </c>
      <c r="ASX105" s="1051"/>
      <c r="ASY105" s="1051"/>
      <c r="ASZ105" s="1056"/>
      <c r="ATA105" s="1157">
        <f t="shared" ref="ATA105" si="301">ASZ102</f>
        <v>0</v>
      </c>
      <c r="ATB105" s="1051"/>
      <c r="ATC105" s="1051"/>
      <c r="ATD105" s="1056"/>
      <c r="ATE105" s="1157">
        <f t="shared" ref="ATE105" si="302">ATD102</f>
        <v>0</v>
      </c>
      <c r="ATF105" s="1051"/>
      <c r="ATG105" s="1051"/>
      <c r="ATH105" s="1056"/>
      <c r="ATI105" s="1157">
        <f t="shared" ref="ATI105" si="303">ATH102</f>
        <v>0</v>
      </c>
      <c r="ATJ105" s="1051"/>
      <c r="ATK105" s="1051"/>
      <c r="ATL105" s="1056"/>
      <c r="ATM105" s="1157">
        <f t="shared" ref="ATM105" si="304">ATL102</f>
        <v>0</v>
      </c>
      <c r="ATN105" s="1051"/>
      <c r="ATO105" s="1051"/>
      <c r="ATP105" s="1056"/>
      <c r="ATQ105" s="1157">
        <f t="shared" ref="ATQ105" si="305">ATP102</f>
        <v>0</v>
      </c>
      <c r="ATR105" s="1051"/>
      <c r="ATS105" s="1051"/>
      <c r="ATT105" s="1056"/>
      <c r="ATU105" s="1157">
        <f t="shared" ref="ATU105" si="306">ATT102</f>
        <v>0</v>
      </c>
      <c r="ATV105" s="1051"/>
      <c r="ATW105" s="1051"/>
      <c r="ATX105" s="1056"/>
      <c r="ATY105" s="1157">
        <f t="shared" ref="ATY105" si="307">ATX102</f>
        <v>0</v>
      </c>
      <c r="ATZ105" s="1051"/>
      <c r="AUA105" s="1051"/>
      <c r="AUB105" s="1056"/>
      <c r="AUC105" s="1157">
        <f t="shared" ref="AUC105" si="308">AUB102</f>
        <v>0</v>
      </c>
      <c r="AUD105" s="1051"/>
      <c r="AUE105" s="1051"/>
      <c r="AUF105" s="1056"/>
      <c r="AUG105" s="1157">
        <f t="shared" ref="AUG105" si="309">AUF102</f>
        <v>0</v>
      </c>
      <c r="AUH105" s="1051"/>
      <c r="AUI105" s="1051"/>
      <c r="AUJ105" s="1056"/>
      <c r="AUK105" s="1157">
        <f t="shared" ref="AUK105" si="310">AUJ102</f>
        <v>0</v>
      </c>
      <c r="AUL105" s="1051"/>
      <c r="AUM105" s="1051"/>
      <c r="AUN105" s="1056"/>
      <c r="AUO105" s="1157">
        <f t="shared" ref="AUO105" si="311">AUN102</f>
        <v>0</v>
      </c>
      <c r="AUP105" s="1051"/>
      <c r="AUQ105" s="1051"/>
      <c r="AUR105" s="1056"/>
      <c r="AUS105" s="1157">
        <f t="shared" ref="AUS105" si="312">AUR102</f>
        <v>0</v>
      </c>
      <c r="AUT105" s="1051"/>
      <c r="AUU105" s="1051"/>
      <c r="AUV105" s="1056"/>
      <c r="AUW105" s="1157">
        <f t="shared" ref="AUW105" si="313">AUV102</f>
        <v>0</v>
      </c>
      <c r="AUX105" s="1051"/>
      <c r="AUY105" s="1051"/>
      <c r="AUZ105" s="1056"/>
      <c r="AVA105" s="1157">
        <f t="shared" ref="AVA105" si="314">AUZ102</f>
        <v>0</v>
      </c>
      <c r="AVB105" s="1051"/>
      <c r="AVC105" s="1051"/>
      <c r="AVD105" s="1056"/>
      <c r="AVE105" s="1157">
        <f t="shared" ref="AVE105" si="315">AVD102</f>
        <v>0</v>
      </c>
      <c r="AVF105" s="1051"/>
      <c r="AVG105" s="1051"/>
      <c r="AVH105" s="1056"/>
      <c r="AVI105" s="1157">
        <f t="shared" ref="AVI105" si="316">AVH102</f>
        <v>0</v>
      </c>
      <c r="AVJ105" s="1051"/>
      <c r="AVK105" s="1051"/>
      <c r="AVL105" s="1056"/>
      <c r="AVM105" s="1157">
        <f t="shared" ref="AVM105" si="317">AVL102</f>
        <v>0</v>
      </c>
      <c r="AVN105" s="1051"/>
      <c r="AVO105" s="1051"/>
      <c r="AVP105" s="1056"/>
      <c r="AVQ105" s="1157">
        <f t="shared" ref="AVQ105" si="318">AVP102</f>
        <v>0</v>
      </c>
      <c r="AVR105" s="1051"/>
      <c r="AVS105" s="1051"/>
      <c r="AVT105" s="1056"/>
      <c r="AVU105" s="1157">
        <f t="shared" ref="AVU105" si="319">AVT102</f>
        <v>0</v>
      </c>
      <c r="AVV105" s="1051"/>
      <c r="AVW105" s="1051"/>
      <c r="AVX105" s="1056"/>
      <c r="AVY105" s="1157">
        <f t="shared" ref="AVY105" si="320">AVX102</f>
        <v>0</v>
      </c>
      <c r="AVZ105" s="1051"/>
      <c r="AWA105" s="1051"/>
      <c r="AWB105" s="1056"/>
      <c r="AWC105" s="1157">
        <f t="shared" ref="AWC105" si="321">AWB102</f>
        <v>0</v>
      </c>
      <c r="AWD105" s="1051"/>
      <c r="AWE105" s="1051"/>
      <c r="AWF105" s="1056"/>
      <c r="AWG105" s="1157">
        <f t="shared" ref="AWG105" si="322">AWF102</f>
        <v>0</v>
      </c>
      <c r="AWH105" s="1051"/>
      <c r="AWI105" s="1051"/>
      <c r="AWJ105" s="1056"/>
      <c r="AWK105" s="1157">
        <f t="shared" ref="AWK105" si="323">AWJ102</f>
        <v>0</v>
      </c>
      <c r="AWL105" s="1051"/>
      <c r="AWM105" s="1051"/>
      <c r="AWN105" s="1056"/>
      <c r="AWO105" s="1157">
        <f t="shared" ref="AWO105" si="324">AWN102</f>
        <v>0</v>
      </c>
      <c r="AWP105" s="1051"/>
      <c r="AWQ105" s="1051"/>
      <c r="AWR105" s="1056"/>
      <c r="AWS105" s="1157">
        <f t="shared" ref="AWS105" si="325">AWR102</f>
        <v>0</v>
      </c>
      <c r="AWT105" s="1051"/>
      <c r="AWU105" s="1051"/>
      <c r="AWV105" s="1056"/>
      <c r="AWW105" s="1157">
        <f t="shared" ref="AWW105" si="326">AWV102</f>
        <v>0</v>
      </c>
      <c r="AWX105" s="1051"/>
      <c r="AWY105" s="1051"/>
      <c r="AWZ105" s="1056"/>
      <c r="AXA105" s="1157">
        <f t="shared" ref="AXA105" si="327">AWZ102</f>
        <v>0</v>
      </c>
      <c r="AXB105" s="1051"/>
      <c r="AXC105" s="1051"/>
      <c r="AXD105" s="1056"/>
      <c r="AXE105" s="1157">
        <f t="shared" ref="AXE105" si="328">AXD102</f>
        <v>0</v>
      </c>
      <c r="AXF105" s="1051"/>
      <c r="AXG105" s="1051"/>
      <c r="AXH105" s="1056"/>
      <c r="AXI105" s="1157">
        <f t="shared" ref="AXI105" si="329">AXH102</f>
        <v>0</v>
      </c>
      <c r="AXJ105" s="1051"/>
      <c r="AXK105" s="1051"/>
      <c r="AXL105" s="1056"/>
      <c r="AXM105" s="1157">
        <f t="shared" ref="AXM105" si="330">AXL102</f>
        <v>0</v>
      </c>
      <c r="AXN105" s="1051"/>
      <c r="AXO105" s="1051"/>
      <c r="AXP105" s="1056"/>
      <c r="AXQ105" s="1157">
        <f t="shared" ref="AXQ105" si="331">AXP102</f>
        <v>0</v>
      </c>
      <c r="AXR105" s="1051"/>
      <c r="AXS105" s="1051"/>
      <c r="AXT105" s="1056"/>
      <c r="AXU105" s="1157">
        <f t="shared" ref="AXU105" si="332">AXT102</f>
        <v>0</v>
      </c>
      <c r="AXV105" s="1051"/>
      <c r="AXW105" s="1051"/>
      <c r="AXX105" s="1056"/>
      <c r="AXY105" s="1157">
        <f t="shared" ref="AXY105" si="333">AXX102</f>
        <v>0</v>
      </c>
      <c r="AXZ105" s="1051"/>
      <c r="AYA105" s="1051"/>
      <c r="AYB105" s="1056"/>
      <c r="AYC105" s="1157">
        <f t="shared" ref="AYC105" si="334">AYB102</f>
        <v>0</v>
      </c>
      <c r="AYD105" s="1051"/>
      <c r="AYE105" s="1051"/>
      <c r="AYF105" s="1056"/>
      <c r="AYG105" s="1157">
        <f t="shared" ref="AYG105" si="335">AYF102</f>
        <v>0</v>
      </c>
      <c r="AYH105" s="1051"/>
      <c r="AYI105" s="1051"/>
      <c r="AYJ105" s="1056"/>
      <c r="AYK105" s="1157">
        <f t="shared" ref="AYK105" si="336">AYJ102</f>
        <v>0</v>
      </c>
      <c r="AYL105" s="1051"/>
      <c r="AYM105" s="1051"/>
      <c r="AYN105" s="1056"/>
      <c r="AYO105" s="1157">
        <f t="shared" ref="AYO105" si="337">AYN102</f>
        <v>0</v>
      </c>
      <c r="AYP105" s="1051"/>
      <c r="AYQ105" s="1051"/>
      <c r="AYR105" s="1056"/>
      <c r="AYS105" s="1157">
        <f t="shared" ref="AYS105" si="338">AYR102</f>
        <v>0</v>
      </c>
      <c r="AYT105" s="1051"/>
      <c r="AYU105" s="1051"/>
      <c r="AYV105" s="1056"/>
      <c r="AYW105" s="1157">
        <f t="shared" ref="AYW105" si="339">AYV102</f>
        <v>0</v>
      </c>
      <c r="AYX105" s="1051"/>
      <c r="AYY105" s="1051"/>
      <c r="AYZ105" s="1056"/>
      <c r="AZA105" s="1157">
        <f t="shared" ref="AZA105" si="340">AYZ102</f>
        <v>0</v>
      </c>
      <c r="AZB105" s="1051"/>
      <c r="AZC105" s="1051"/>
      <c r="AZD105" s="1056"/>
      <c r="AZE105" s="1157">
        <f t="shared" ref="AZE105" si="341">AZD102</f>
        <v>0</v>
      </c>
      <c r="AZF105" s="1051"/>
      <c r="AZG105" s="1051"/>
      <c r="AZH105" s="1056"/>
      <c r="AZI105" s="1157">
        <f t="shared" ref="AZI105" si="342">AZH102</f>
        <v>0</v>
      </c>
      <c r="AZJ105" s="1051"/>
      <c r="AZK105" s="1051"/>
      <c r="AZL105" s="1056"/>
      <c r="AZM105" s="1157">
        <f t="shared" ref="AZM105" si="343">AZL102</f>
        <v>0</v>
      </c>
      <c r="AZN105" s="1051"/>
      <c r="AZO105" s="1051"/>
      <c r="AZP105" s="1056"/>
      <c r="AZQ105" s="1157">
        <f t="shared" ref="AZQ105" si="344">AZP102</f>
        <v>0</v>
      </c>
      <c r="AZR105" s="1051"/>
      <c r="AZS105" s="1051"/>
      <c r="AZT105" s="1056"/>
      <c r="AZU105" s="1157">
        <f t="shared" ref="AZU105" si="345">AZT102</f>
        <v>0</v>
      </c>
      <c r="AZV105" s="1051"/>
      <c r="AZW105" s="1051"/>
      <c r="AZX105" s="1056"/>
      <c r="AZY105" s="1157">
        <f t="shared" ref="AZY105" si="346">AZX102</f>
        <v>0</v>
      </c>
      <c r="AZZ105" s="1051"/>
      <c r="BAA105" s="1051"/>
      <c r="BAB105" s="1056"/>
      <c r="BAC105" s="1157">
        <f t="shared" ref="BAC105" si="347">BAB102</f>
        <v>0</v>
      </c>
      <c r="BAD105" s="1051"/>
      <c r="BAE105" s="1051"/>
      <c r="BAF105" s="1056"/>
      <c r="BAG105" s="1157">
        <f t="shared" ref="BAG105" si="348">BAF102</f>
        <v>0</v>
      </c>
      <c r="BAH105" s="1051"/>
      <c r="BAI105" s="1051"/>
      <c r="BAJ105" s="1056"/>
      <c r="BAK105" s="1157">
        <f t="shared" ref="BAK105" si="349">BAJ102</f>
        <v>0</v>
      </c>
      <c r="BAL105" s="1051"/>
      <c r="BAM105" s="1051"/>
      <c r="BAN105" s="1056"/>
      <c r="BAO105" s="1157">
        <f t="shared" ref="BAO105" si="350">BAN102</f>
        <v>0</v>
      </c>
      <c r="BAP105" s="1051"/>
      <c r="BAQ105" s="1051"/>
      <c r="BAR105" s="1056"/>
      <c r="BAS105" s="1157">
        <f t="shared" ref="BAS105" si="351">BAR102</f>
        <v>0</v>
      </c>
      <c r="BAT105" s="1051"/>
      <c r="BAU105" s="1051"/>
      <c r="BAV105" s="1056"/>
      <c r="BAW105" s="1157">
        <f t="shared" ref="BAW105" si="352">BAV102</f>
        <v>0</v>
      </c>
      <c r="BAX105" s="1051"/>
      <c r="BAY105" s="1051"/>
      <c r="BAZ105" s="1056"/>
      <c r="BBA105" s="1157">
        <f t="shared" ref="BBA105" si="353">BAZ102</f>
        <v>0</v>
      </c>
      <c r="BBB105" s="1051"/>
      <c r="BBC105" s="1051"/>
      <c r="BBD105" s="1056"/>
      <c r="BBE105" s="1157">
        <f t="shared" ref="BBE105" si="354">BBD102</f>
        <v>0</v>
      </c>
      <c r="BBF105" s="1051"/>
      <c r="BBG105" s="1051"/>
      <c r="BBH105" s="1056"/>
      <c r="BBI105" s="1157">
        <f t="shared" ref="BBI105" si="355">BBH102</f>
        <v>0</v>
      </c>
      <c r="BBJ105" s="1051"/>
      <c r="BBK105" s="1051"/>
      <c r="BBL105" s="1056"/>
      <c r="BBM105" s="1157">
        <f t="shared" ref="BBM105" si="356">BBL102</f>
        <v>0</v>
      </c>
      <c r="BBN105" s="1051"/>
      <c r="BBO105" s="1051"/>
      <c r="BBP105" s="1056"/>
      <c r="BBQ105" s="1157">
        <f t="shared" ref="BBQ105" si="357">BBP102</f>
        <v>0</v>
      </c>
      <c r="BBR105" s="1051"/>
      <c r="BBS105" s="1051"/>
      <c r="BBT105" s="1056"/>
      <c r="BBU105" s="1157">
        <f t="shared" ref="BBU105" si="358">BBT102</f>
        <v>0</v>
      </c>
      <c r="BBV105" s="1051"/>
      <c r="BBW105" s="1051"/>
      <c r="BBX105" s="1056"/>
      <c r="BBY105" s="1157">
        <f t="shared" ref="BBY105" si="359">BBX102</f>
        <v>0</v>
      </c>
      <c r="BBZ105" s="1051"/>
      <c r="BCA105" s="1051"/>
      <c r="BCB105" s="1056"/>
      <c r="BCC105" s="1157">
        <f t="shared" ref="BCC105" si="360">BCB102</f>
        <v>0</v>
      </c>
      <c r="BCD105" s="1051"/>
      <c r="BCE105" s="1051"/>
      <c r="BCF105" s="1056"/>
      <c r="BCG105" s="1157">
        <f t="shared" ref="BCG105" si="361">BCF102</f>
        <v>0</v>
      </c>
      <c r="BCH105" s="1051"/>
      <c r="BCI105" s="1051"/>
      <c r="BCJ105" s="1056"/>
      <c r="BCK105" s="1157">
        <f t="shared" ref="BCK105" si="362">BCJ102</f>
        <v>0</v>
      </c>
      <c r="BCL105" s="1051"/>
      <c r="BCM105" s="1051"/>
      <c r="BCN105" s="1056"/>
      <c r="BCO105" s="1157">
        <f t="shared" ref="BCO105" si="363">BCN102</f>
        <v>0</v>
      </c>
      <c r="BCP105" s="1051"/>
      <c r="BCQ105" s="1051"/>
      <c r="BCR105" s="1056"/>
      <c r="BCS105" s="1157">
        <f t="shared" ref="BCS105" si="364">BCR102</f>
        <v>0</v>
      </c>
      <c r="BCT105" s="1051"/>
      <c r="BCU105" s="1051"/>
      <c r="BCV105" s="1056"/>
      <c r="BCW105" s="1157">
        <f t="shared" ref="BCW105" si="365">BCV102</f>
        <v>0</v>
      </c>
      <c r="BCX105" s="1051"/>
      <c r="BCY105" s="1051"/>
      <c r="BCZ105" s="1056"/>
      <c r="BDA105" s="1157">
        <f t="shared" ref="BDA105" si="366">BCZ102</f>
        <v>0</v>
      </c>
      <c r="BDB105" s="1051"/>
      <c r="BDC105" s="1051"/>
      <c r="BDD105" s="1056"/>
      <c r="BDE105" s="1157">
        <f t="shared" ref="BDE105" si="367">BDD102</f>
        <v>0</v>
      </c>
      <c r="BDF105" s="1051"/>
      <c r="BDG105" s="1051"/>
      <c r="BDH105" s="1056"/>
      <c r="BDI105" s="1157">
        <f t="shared" ref="BDI105" si="368">BDH102</f>
        <v>0</v>
      </c>
      <c r="BDJ105" s="1051"/>
      <c r="BDK105" s="1051"/>
      <c r="BDL105" s="1056"/>
      <c r="BDM105" s="1157">
        <f t="shared" ref="BDM105" si="369">BDL102</f>
        <v>0</v>
      </c>
      <c r="BDN105" s="1051"/>
      <c r="BDO105" s="1051"/>
      <c r="BDP105" s="1056"/>
      <c r="BDQ105" s="1157">
        <f t="shared" ref="BDQ105" si="370">BDP102</f>
        <v>0</v>
      </c>
      <c r="BDR105" s="1051"/>
      <c r="BDS105" s="1051"/>
      <c r="BDT105" s="1056"/>
      <c r="BDU105" s="1157">
        <f t="shared" ref="BDU105" si="371">BDT102</f>
        <v>0</v>
      </c>
      <c r="BDV105" s="1051"/>
      <c r="BDW105" s="1051"/>
      <c r="BDX105" s="1056"/>
      <c r="BDY105" s="1157">
        <f t="shared" ref="BDY105" si="372">BDX102</f>
        <v>0</v>
      </c>
      <c r="BDZ105" s="1051"/>
      <c r="BEA105" s="1051"/>
      <c r="BEB105" s="1056"/>
      <c r="BEC105" s="1157">
        <f t="shared" ref="BEC105" si="373">BEB102</f>
        <v>0</v>
      </c>
      <c r="BED105" s="1051"/>
      <c r="BEE105" s="1051"/>
      <c r="BEF105" s="1056"/>
      <c r="BEG105" s="1157">
        <f t="shared" ref="BEG105" si="374">BEF102</f>
        <v>0</v>
      </c>
      <c r="BEH105" s="1051"/>
      <c r="BEI105" s="1051"/>
      <c r="BEJ105" s="1056"/>
      <c r="BEK105" s="1157">
        <f t="shared" ref="BEK105" si="375">BEJ102</f>
        <v>0</v>
      </c>
      <c r="BEL105" s="1051"/>
      <c r="BEM105" s="1051"/>
      <c r="BEN105" s="1056"/>
      <c r="BEO105" s="1157">
        <f t="shared" ref="BEO105" si="376">BEN102</f>
        <v>0</v>
      </c>
      <c r="BEP105" s="1051"/>
      <c r="BEQ105" s="1051"/>
      <c r="BER105" s="1056"/>
      <c r="BES105" s="1157">
        <f t="shared" ref="BES105" si="377">BER102</f>
        <v>0</v>
      </c>
      <c r="BET105" s="1051"/>
      <c r="BEU105" s="1051"/>
      <c r="BEV105" s="1056"/>
      <c r="BEW105" s="1157">
        <f t="shared" ref="BEW105" si="378">BEV102</f>
        <v>0</v>
      </c>
      <c r="BEX105" s="1051"/>
      <c r="BEY105" s="1051"/>
      <c r="BEZ105" s="1056"/>
      <c r="BFA105" s="1157">
        <f t="shared" ref="BFA105" si="379">BEZ102</f>
        <v>0</v>
      </c>
      <c r="BFB105" s="1051"/>
      <c r="BFC105" s="1051"/>
      <c r="BFD105" s="1056"/>
      <c r="BFE105" s="1157">
        <f t="shared" ref="BFE105" si="380">BFD102</f>
        <v>0</v>
      </c>
      <c r="BFF105" s="1051"/>
      <c r="BFG105" s="1051"/>
      <c r="BFH105" s="1056"/>
      <c r="BFI105" s="1157">
        <f t="shared" ref="BFI105" si="381">BFH102</f>
        <v>0</v>
      </c>
      <c r="BFJ105" s="1051"/>
      <c r="BFK105" s="1051"/>
      <c r="BFL105" s="1056"/>
      <c r="BFM105" s="1157">
        <f t="shared" ref="BFM105" si="382">BFL102</f>
        <v>0</v>
      </c>
      <c r="BFN105" s="1051"/>
      <c r="BFO105" s="1051"/>
      <c r="BFP105" s="1056"/>
      <c r="BFQ105" s="1157">
        <f t="shared" ref="BFQ105" si="383">BFP102</f>
        <v>0</v>
      </c>
      <c r="BFR105" s="1051"/>
      <c r="BFS105" s="1051"/>
      <c r="BFT105" s="1056"/>
      <c r="BFU105" s="1157">
        <f t="shared" ref="BFU105" si="384">BFT102</f>
        <v>0</v>
      </c>
      <c r="BFV105" s="1051"/>
      <c r="BFW105" s="1051"/>
      <c r="BFX105" s="1056"/>
      <c r="BFY105" s="1157">
        <f t="shared" ref="BFY105" si="385">BFX102</f>
        <v>0</v>
      </c>
      <c r="BFZ105" s="1051"/>
      <c r="BGA105" s="1051"/>
      <c r="BGB105" s="1056"/>
      <c r="BGC105" s="1157">
        <f t="shared" ref="BGC105" si="386">BGB102</f>
        <v>0</v>
      </c>
      <c r="BGD105" s="1051"/>
      <c r="BGE105" s="1051"/>
      <c r="BGF105" s="1056"/>
      <c r="BGG105" s="1157">
        <f t="shared" ref="BGG105" si="387">BGF102</f>
        <v>0</v>
      </c>
      <c r="BGH105" s="1051"/>
      <c r="BGI105" s="1051"/>
      <c r="BGJ105" s="1056"/>
      <c r="BGK105" s="1157">
        <f t="shared" ref="BGK105" si="388">BGJ102</f>
        <v>0</v>
      </c>
      <c r="BGL105" s="1051"/>
      <c r="BGM105" s="1051"/>
      <c r="BGN105" s="1056"/>
      <c r="BGO105" s="1157">
        <f t="shared" ref="BGO105" si="389">BGN102</f>
        <v>0</v>
      </c>
      <c r="BGP105" s="1051"/>
      <c r="BGQ105" s="1051"/>
      <c r="BGR105" s="1056"/>
      <c r="BGS105" s="1157">
        <f t="shared" ref="BGS105" si="390">BGR102</f>
        <v>0</v>
      </c>
      <c r="BGT105" s="1051"/>
      <c r="BGU105" s="1051"/>
      <c r="BGV105" s="1056"/>
      <c r="BGW105" s="1157">
        <f t="shared" ref="BGW105" si="391">BGV102</f>
        <v>0</v>
      </c>
      <c r="BGX105" s="1051"/>
      <c r="BGY105" s="1051"/>
      <c r="BGZ105" s="1056"/>
      <c r="BHA105" s="1157">
        <f t="shared" ref="BHA105" si="392">BGZ102</f>
        <v>0</v>
      </c>
      <c r="BHB105" s="1051"/>
      <c r="BHC105" s="1051"/>
      <c r="BHD105" s="1056"/>
      <c r="BHE105" s="1157">
        <f t="shared" ref="BHE105" si="393">BHD102</f>
        <v>0</v>
      </c>
      <c r="BHF105" s="1051"/>
      <c r="BHG105" s="1051"/>
      <c r="BHH105" s="1056"/>
      <c r="BHI105" s="1157">
        <f t="shared" ref="BHI105" si="394">BHH102</f>
        <v>0</v>
      </c>
      <c r="BHJ105" s="1051"/>
      <c r="BHK105" s="1051"/>
      <c r="BHL105" s="1056"/>
      <c r="BHM105" s="1157">
        <f t="shared" ref="BHM105" si="395">BHL102</f>
        <v>0</v>
      </c>
      <c r="BHN105" s="1051"/>
      <c r="BHO105" s="1051"/>
      <c r="BHP105" s="1056"/>
      <c r="BHQ105" s="1157">
        <f t="shared" ref="BHQ105" si="396">BHP102</f>
        <v>0</v>
      </c>
      <c r="BHR105" s="1051"/>
      <c r="BHS105" s="1051"/>
      <c r="BHT105" s="1056"/>
      <c r="BHU105" s="1157">
        <f t="shared" ref="BHU105" si="397">BHT102</f>
        <v>0</v>
      </c>
      <c r="BHV105" s="1051"/>
      <c r="BHW105" s="1051"/>
      <c r="BHX105" s="1056"/>
      <c r="BHY105" s="1157">
        <f t="shared" ref="BHY105" si="398">BHX102</f>
        <v>0</v>
      </c>
      <c r="BHZ105" s="1051"/>
      <c r="BIA105" s="1051"/>
      <c r="BIB105" s="1056"/>
      <c r="BIC105" s="1157">
        <f t="shared" ref="BIC105" si="399">BIB102</f>
        <v>0</v>
      </c>
      <c r="BID105" s="1051"/>
      <c r="BIE105" s="1051"/>
      <c r="BIF105" s="1056"/>
      <c r="BIG105" s="1157">
        <f t="shared" ref="BIG105" si="400">BIF102</f>
        <v>0</v>
      </c>
      <c r="BIH105" s="1051"/>
      <c r="BII105" s="1051"/>
      <c r="BIJ105" s="1056"/>
      <c r="BIK105" s="1157">
        <f t="shared" ref="BIK105" si="401">BIJ102</f>
        <v>0</v>
      </c>
      <c r="BIL105" s="1051"/>
      <c r="BIM105" s="1051"/>
      <c r="BIN105" s="1056"/>
      <c r="BIO105" s="1157">
        <f t="shared" ref="BIO105" si="402">BIN102</f>
        <v>0</v>
      </c>
      <c r="BIP105" s="1051"/>
      <c r="BIQ105" s="1051"/>
      <c r="BIR105" s="1056"/>
      <c r="BIS105" s="1157">
        <f t="shared" ref="BIS105" si="403">BIR102</f>
        <v>0</v>
      </c>
      <c r="BIT105" s="1051"/>
      <c r="BIU105" s="1051"/>
      <c r="BIV105" s="1056"/>
      <c r="BIW105" s="1157">
        <f t="shared" ref="BIW105" si="404">BIV102</f>
        <v>0</v>
      </c>
      <c r="BIX105" s="1051"/>
      <c r="BIY105" s="1051"/>
      <c r="BIZ105" s="1056"/>
      <c r="BJA105" s="1157">
        <f t="shared" ref="BJA105" si="405">BIZ102</f>
        <v>0</v>
      </c>
      <c r="BJB105" s="1051"/>
      <c r="BJC105" s="1051"/>
      <c r="BJD105" s="1056"/>
      <c r="BJE105" s="1157">
        <f t="shared" ref="BJE105" si="406">BJD102</f>
        <v>0</v>
      </c>
      <c r="BJF105" s="1051"/>
      <c r="BJG105" s="1051"/>
      <c r="BJH105" s="1056"/>
      <c r="BJI105" s="1157">
        <f t="shared" ref="BJI105" si="407">BJH102</f>
        <v>0</v>
      </c>
      <c r="BJJ105" s="1051"/>
      <c r="BJK105" s="1051"/>
      <c r="BJL105" s="1056"/>
      <c r="BJM105" s="1157">
        <f t="shared" ref="BJM105" si="408">BJL102</f>
        <v>0</v>
      </c>
      <c r="BJN105" s="1051"/>
      <c r="BJO105" s="1051"/>
      <c r="BJP105" s="1056"/>
      <c r="BJQ105" s="1157">
        <f t="shared" ref="BJQ105" si="409">BJP102</f>
        <v>0</v>
      </c>
      <c r="BJR105" s="1051"/>
      <c r="BJS105" s="1051"/>
      <c r="BJT105" s="1056"/>
      <c r="BJU105" s="1157">
        <f t="shared" ref="BJU105" si="410">BJT102</f>
        <v>0</v>
      </c>
      <c r="BJV105" s="1051"/>
      <c r="BJW105" s="1051"/>
      <c r="BJX105" s="1056"/>
      <c r="BJY105" s="1157">
        <f t="shared" ref="BJY105" si="411">BJX102</f>
        <v>0</v>
      </c>
      <c r="BJZ105" s="1051"/>
      <c r="BKA105" s="1051"/>
      <c r="BKB105" s="1056"/>
      <c r="BKC105" s="1157">
        <f t="shared" ref="BKC105" si="412">BKB102</f>
        <v>0</v>
      </c>
      <c r="BKD105" s="1051"/>
      <c r="BKE105" s="1051"/>
      <c r="BKF105" s="1056"/>
      <c r="BKG105" s="1157">
        <f t="shared" ref="BKG105" si="413">BKF102</f>
        <v>0</v>
      </c>
      <c r="BKH105" s="1051"/>
      <c r="BKI105" s="1051"/>
      <c r="BKJ105" s="1056"/>
      <c r="BKK105" s="1157">
        <f t="shared" ref="BKK105" si="414">BKJ102</f>
        <v>0</v>
      </c>
      <c r="BKL105" s="1051"/>
      <c r="BKM105" s="1051"/>
      <c r="BKN105" s="1056"/>
      <c r="BKO105" s="1157">
        <f t="shared" ref="BKO105" si="415">BKN102</f>
        <v>0</v>
      </c>
      <c r="BKP105" s="1051"/>
      <c r="BKQ105" s="1051"/>
      <c r="BKR105" s="1056"/>
      <c r="BKS105" s="1157">
        <f t="shared" ref="BKS105" si="416">BKR102</f>
        <v>0</v>
      </c>
      <c r="BKT105" s="1051"/>
      <c r="BKU105" s="1051"/>
      <c r="BKV105" s="1056"/>
      <c r="BKW105" s="1157">
        <f t="shared" ref="BKW105" si="417">BKV102</f>
        <v>0</v>
      </c>
      <c r="BKX105" s="1051"/>
      <c r="BKY105" s="1051"/>
      <c r="BKZ105" s="1056"/>
      <c r="BLA105" s="1157">
        <f t="shared" ref="BLA105" si="418">BKZ102</f>
        <v>0</v>
      </c>
      <c r="BLB105" s="1051"/>
      <c r="BLC105" s="1051"/>
      <c r="BLD105" s="1056"/>
      <c r="BLE105" s="1157">
        <f t="shared" ref="BLE105" si="419">BLD102</f>
        <v>0</v>
      </c>
      <c r="BLF105" s="1051"/>
      <c r="BLG105" s="1051"/>
      <c r="BLH105" s="1056"/>
      <c r="BLI105" s="1157">
        <f t="shared" ref="BLI105" si="420">BLH102</f>
        <v>0</v>
      </c>
      <c r="BLJ105" s="1051"/>
      <c r="BLK105" s="1051"/>
      <c r="BLL105" s="1056"/>
      <c r="BLM105" s="1157">
        <f t="shared" ref="BLM105" si="421">BLL102</f>
        <v>0</v>
      </c>
      <c r="BLN105" s="1051"/>
      <c r="BLO105" s="1051"/>
      <c r="BLP105" s="1056"/>
      <c r="BLQ105" s="1157">
        <f t="shared" ref="BLQ105" si="422">BLP102</f>
        <v>0</v>
      </c>
      <c r="BLR105" s="1051"/>
      <c r="BLS105" s="1051"/>
      <c r="BLT105" s="1056"/>
      <c r="BLU105" s="1157">
        <f t="shared" ref="BLU105" si="423">BLT102</f>
        <v>0</v>
      </c>
      <c r="BLV105" s="1051"/>
      <c r="BLW105" s="1051"/>
      <c r="BLX105" s="1056"/>
      <c r="BLY105" s="1157">
        <f t="shared" ref="BLY105" si="424">BLX102</f>
        <v>0</v>
      </c>
      <c r="BLZ105" s="1051"/>
      <c r="BMA105" s="1051"/>
      <c r="BMB105" s="1056"/>
      <c r="BMC105" s="1157">
        <f t="shared" ref="BMC105" si="425">BMB102</f>
        <v>0</v>
      </c>
      <c r="BMD105" s="1051"/>
      <c r="BME105" s="1051"/>
      <c r="BMF105" s="1056"/>
      <c r="BMG105" s="1157">
        <f t="shared" ref="BMG105" si="426">BMF102</f>
        <v>0</v>
      </c>
      <c r="BMH105" s="1051"/>
      <c r="BMI105" s="1051"/>
      <c r="BMJ105" s="1056"/>
      <c r="BMK105" s="1157">
        <f t="shared" ref="BMK105" si="427">BMJ102</f>
        <v>0</v>
      </c>
      <c r="BML105" s="1051"/>
      <c r="BMM105" s="1051"/>
      <c r="BMN105" s="1056"/>
      <c r="BMO105" s="1157">
        <f t="shared" ref="BMO105" si="428">BMN102</f>
        <v>0</v>
      </c>
      <c r="BMP105" s="1051"/>
      <c r="BMQ105" s="1051"/>
      <c r="BMR105" s="1056"/>
      <c r="BMS105" s="1157">
        <f t="shared" ref="BMS105" si="429">BMR102</f>
        <v>0</v>
      </c>
      <c r="BMT105" s="1051"/>
      <c r="BMU105" s="1051"/>
      <c r="BMV105" s="1056"/>
      <c r="BMW105" s="1157">
        <f t="shared" ref="BMW105" si="430">BMV102</f>
        <v>0</v>
      </c>
      <c r="BMX105" s="1051"/>
      <c r="BMY105" s="1051"/>
      <c r="BMZ105" s="1056"/>
      <c r="BNA105" s="1157">
        <f t="shared" ref="BNA105" si="431">BMZ102</f>
        <v>0</v>
      </c>
      <c r="BNB105" s="1051"/>
      <c r="BNC105" s="1051"/>
      <c r="BND105" s="1056"/>
      <c r="BNE105" s="1157">
        <f t="shared" ref="BNE105" si="432">BND102</f>
        <v>0</v>
      </c>
      <c r="BNF105" s="1051"/>
      <c r="BNG105" s="1051"/>
      <c r="BNH105" s="1056"/>
      <c r="BNI105" s="1157">
        <f t="shared" ref="BNI105" si="433">BNH102</f>
        <v>0</v>
      </c>
      <c r="BNJ105" s="1051"/>
      <c r="BNK105" s="1051"/>
      <c r="BNL105" s="1056"/>
      <c r="BNM105" s="1157">
        <f t="shared" ref="BNM105" si="434">BNL102</f>
        <v>0</v>
      </c>
      <c r="BNN105" s="1051"/>
      <c r="BNO105" s="1051"/>
      <c r="BNP105" s="1056"/>
      <c r="BNQ105" s="1157">
        <f t="shared" ref="BNQ105" si="435">BNP102</f>
        <v>0</v>
      </c>
      <c r="BNR105" s="1051"/>
      <c r="BNS105" s="1051"/>
      <c r="BNT105" s="1056"/>
      <c r="BNU105" s="1157">
        <f t="shared" ref="BNU105" si="436">BNT102</f>
        <v>0</v>
      </c>
      <c r="BNV105" s="1051"/>
      <c r="BNW105" s="1051"/>
      <c r="BNX105" s="1056"/>
      <c r="BNY105" s="1157">
        <f t="shared" ref="BNY105" si="437">BNX102</f>
        <v>0</v>
      </c>
      <c r="BNZ105" s="1051"/>
      <c r="BOA105" s="1051"/>
      <c r="BOB105" s="1056"/>
      <c r="BOC105" s="1157">
        <f t="shared" ref="BOC105" si="438">BOB102</f>
        <v>0</v>
      </c>
      <c r="BOD105" s="1051"/>
      <c r="BOE105" s="1051"/>
      <c r="BOF105" s="1056"/>
      <c r="BOG105" s="1157">
        <f t="shared" ref="BOG105" si="439">BOF102</f>
        <v>0</v>
      </c>
      <c r="BOH105" s="1051"/>
      <c r="BOI105" s="1051"/>
      <c r="BOJ105" s="1056"/>
      <c r="BOK105" s="1157">
        <f t="shared" ref="BOK105" si="440">BOJ102</f>
        <v>0</v>
      </c>
      <c r="BOL105" s="1051"/>
      <c r="BOM105" s="1051"/>
      <c r="BON105" s="1056"/>
      <c r="BOO105" s="1157">
        <f t="shared" ref="BOO105" si="441">BON102</f>
        <v>0</v>
      </c>
      <c r="BOP105" s="1051"/>
      <c r="BOQ105" s="1051"/>
      <c r="BOR105" s="1056"/>
      <c r="BOS105" s="1157">
        <f t="shared" ref="BOS105" si="442">BOR102</f>
        <v>0</v>
      </c>
      <c r="BOT105" s="1051"/>
      <c r="BOU105" s="1051"/>
      <c r="BOV105" s="1056"/>
      <c r="BOW105" s="1157">
        <f t="shared" ref="BOW105" si="443">BOV102</f>
        <v>0</v>
      </c>
      <c r="BOX105" s="1051"/>
      <c r="BOY105" s="1051"/>
      <c r="BOZ105" s="1056"/>
      <c r="BPA105" s="1157">
        <f t="shared" ref="BPA105" si="444">BOZ102</f>
        <v>0</v>
      </c>
      <c r="BPB105" s="1051"/>
      <c r="BPC105" s="1051"/>
      <c r="BPD105" s="1056"/>
      <c r="BPE105" s="1157">
        <f t="shared" ref="BPE105" si="445">BPD102</f>
        <v>0</v>
      </c>
      <c r="BPF105" s="1051"/>
      <c r="BPG105" s="1051"/>
      <c r="BPH105" s="1056"/>
      <c r="BPI105" s="1157">
        <f t="shared" ref="BPI105" si="446">BPH102</f>
        <v>0</v>
      </c>
      <c r="BPJ105" s="1051"/>
      <c r="BPK105" s="1051"/>
      <c r="BPL105" s="1056"/>
      <c r="BPM105" s="1157">
        <f t="shared" ref="BPM105" si="447">BPL102</f>
        <v>0</v>
      </c>
      <c r="BPN105" s="1051"/>
      <c r="BPO105" s="1051"/>
      <c r="BPP105" s="1056"/>
      <c r="BPQ105" s="1157">
        <f t="shared" ref="BPQ105" si="448">BPP102</f>
        <v>0</v>
      </c>
      <c r="BPR105" s="1051"/>
      <c r="BPS105" s="1051"/>
      <c r="BPT105" s="1056"/>
      <c r="BPU105" s="1157">
        <f t="shared" ref="BPU105" si="449">BPT102</f>
        <v>0</v>
      </c>
      <c r="BPV105" s="1051"/>
      <c r="BPW105" s="1051"/>
      <c r="BPX105" s="1056"/>
      <c r="BPY105" s="1157">
        <f t="shared" ref="BPY105" si="450">BPX102</f>
        <v>0</v>
      </c>
      <c r="BPZ105" s="1051"/>
      <c r="BQA105" s="1051"/>
      <c r="BQB105" s="1056"/>
      <c r="BQC105" s="1157">
        <f t="shared" ref="BQC105" si="451">BQB102</f>
        <v>0</v>
      </c>
      <c r="BQD105" s="1051"/>
      <c r="BQE105" s="1051"/>
      <c r="BQF105" s="1056"/>
      <c r="BQG105" s="1157">
        <f t="shared" ref="BQG105" si="452">BQF102</f>
        <v>0</v>
      </c>
      <c r="BQH105" s="1051"/>
      <c r="BQI105" s="1051"/>
      <c r="BQJ105" s="1056"/>
      <c r="BQK105" s="1157">
        <f t="shared" ref="BQK105" si="453">BQJ102</f>
        <v>0</v>
      </c>
      <c r="BQL105" s="1051"/>
      <c r="BQM105" s="1051"/>
      <c r="BQN105" s="1056"/>
      <c r="BQO105" s="1157">
        <f t="shared" ref="BQO105" si="454">BQN102</f>
        <v>0</v>
      </c>
      <c r="BQP105" s="1051"/>
      <c r="BQQ105" s="1051"/>
      <c r="BQR105" s="1056"/>
      <c r="BQS105" s="1157">
        <f t="shared" ref="BQS105" si="455">BQR102</f>
        <v>0</v>
      </c>
      <c r="BQT105" s="1051"/>
      <c r="BQU105" s="1051"/>
      <c r="BQV105" s="1056"/>
      <c r="BQW105" s="1157">
        <f t="shared" ref="BQW105" si="456">BQV102</f>
        <v>0</v>
      </c>
      <c r="BQX105" s="1051"/>
      <c r="BQY105" s="1051"/>
      <c r="BQZ105" s="1056"/>
      <c r="BRA105" s="1157">
        <f t="shared" ref="BRA105" si="457">BQZ102</f>
        <v>0</v>
      </c>
      <c r="BRB105" s="1051"/>
      <c r="BRC105" s="1051"/>
      <c r="BRD105" s="1056"/>
      <c r="BRE105" s="1157">
        <f t="shared" ref="BRE105" si="458">BRD102</f>
        <v>0</v>
      </c>
      <c r="BRF105" s="1051"/>
      <c r="BRG105" s="1051"/>
      <c r="BRH105" s="1056"/>
      <c r="BRI105" s="1157">
        <f t="shared" ref="BRI105" si="459">BRH102</f>
        <v>0</v>
      </c>
      <c r="BRJ105" s="1051"/>
      <c r="BRK105" s="1051"/>
      <c r="BRL105" s="1056"/>
      <c r="BRM105" s="1157">
        <f t="shared" ref="BRM105" si="460">BRL102</f>
        <v>0</v>
      </c>
      <c r="BRN105" s="1051"/>
      <c r="BRO105" s="1051"/>
      <c r="BRP105" s="1056"/>
      <c r="BRQ105" s="1157">
        <f t="shared" ref="BRQ105" si="461">BRP102</f>
        <v>0</v>
      </c>
      <c r="BRR105" s="1051"/>
      <c r="BRS105" s="1051"/>
      <c r="BRT105" s="1056"/>
      <c r="BRU105" s="1157">
        <f t="shared" ref="BRU105" si="462">BRT102</f>
        <v>0</v>
      </c>
      <c r="BRV105" s="1051"/>
      <c r="BRW105" s="1051"/>
      <c r="BRX105" s="1056"/>
      <c r="BRY105" s="1157">
        <f t="shared" ref="BRY105" si="463">BRX102</f>
        <v>0</v>
      </c>
      <c r="BRZ105" s="1051"/>
      <c r="BSA105" s="1051"/>
      <c r="BSB105" s="1056"/>
      <c r="BSC105" s="1157">
        <f t="shared" ref="BSC105" si="464">BSB102</f>
        <v>0</v>
      </c>
      <c r="BSD105" s="1051"/>
      <c r="BSE105" s="1051"/>
      <c r="BSF105" s="1056"/>
      <c r="BSG105" s="1157">
        <f t="shared" ref="BSG105" si="465">BSF102</f>
        <v>0</v>
      </c>
      <c r="BSH105" s="1051"/>
      <c r="BSI105" s="1051"/>
      <c r="BSJ105" s="1056"/>
      <c r="BSK105" s="1157">
        <f t="shared" ref="BSK105" si="466">BSJ102</f>
        <v>0</v>
      </c>
      <c r="BSL105" s="1051"/>
      <c r="BSM105" s="1051"/>
      <c r="BSN105" s="1056"/>
      <c r="BSO105" s="1157">
        <f t="shared" ref="BSO105" si="467">BSN102</f>
        <v>0</v>
      </c>
      <c r="BSP105" s="1051"/>
      <c r="BSQ105" s="1051"/>
      <c r="BSR105" s="1056"/>
      <c r="BSS105" s="1157">
        <f t="shared" ref="BSS105" si="468">BSR102</f>
        <v>0</v>
      </c>
      <c r="BST105" s="1051"/>
      <c r="BSU105" s="1051"/>
      <c r="BSV105" s="1056"/>
      <c r="BSW105" s="1157">
        <f t="shared" ref="BSW105" si="469">BSV102</f>
        <v>0</v>
      </c>
      <c r="BSX105" s="1051"/>
      <c r="BSY105" s="1051"/>
      <c r="BSZ105" s="1056"/>
      <c r="BTA105" s="1157">
        <f t="shared" ref="BTA105" si="470">BSZ102</f>
        <v>0</v>
      </c>
      <c r="BTB105" s="1051"/>
      <c r="BTC105" s="1051"/>
      <c r="BTD105" s="1056"/>
      <c r="BTE105" s="1157">
        <f t="shared" ref="BTE105" si="471">BTD102</f>
        <v>0</v>
      </c>
      <c r="BTF105" s="1051"/>
      <c r="BTG105" s="1051"/>
      <c r="BTH105" s="1056"/>
      <c r="BTI105" s="1157">
        <f t="shared" ref="BTI105" si="472">BTH102</f>
        <v>0</v>
      </c>
      <c r="BTJ105" s="1051"/>
      <c r="BTK105" s="1051"/>
      <c r="BTL105" s="1056"/>
      <c r="BTM105" s="1157">
        <f t="shared" ref="BTM105" si="473">BTL102</f>
        <v>0</v>
      </c>
      <c r="BTN105" s="1051"/>
      <c r="BTO105" s="1051"/>
      <c r="BTP105" s="1056"/>
      <c r="BTQ105" s="1157">
        <f t="shared" ref="BTQ105" si="474">BTP102</f>
        <v>0</v>
      </c>
      <c r="BTR105" s="1051"/>
      <c r="BTS105" s="1051"/>
      <c r="BTT105" s="1056"/>
      <c r="BTU105" s="1157">
        <f t="shared" ref="BTU105" si="475">BTT102</f>
        <v>0</v>
      </c>
      <c r="BTV105" s="1051"/>
      <c r="BTW105" s="1051"/>
      <c r="BTX105" s="1056"/>
      <c r="BTY105" s="1157">
        <f t="shared" ref="BTY105" si="476">BTX102</f>
        <v>0</v>
      </c>
      <c r="BTZ105" s="1051"/>
      <c r="BUA105" s="1051"/>
      <c r="BUB105" s="1056"/>
      <c r="BUC105" s="1157">
        <f t="shared" ref="BUC105" si="477">BUB102</f>
        <v>0</v>
      </c>
      <c r="BUD105" s="1051"/>
      <c r="BUE105" s="1051"/>
      <c r="BUF105" s="1056"/>
      <c r="BUG105" s="1157">
        <f t="shared" ref="BUG105" si="478">BUF102</f>
        <v>0</v>
      </c>
      <c r="BUH105" s="1051"/>
      <c r="BUI105" s="1051"/>
      <c r="BUJ105" s="1056"/>
      <c r="BUK105" s="1157">
        <f t="shared" ref="BUK105" si="479">BUJ102</f>
        <v>0</v>
      </c>
      <c r="BUL105" s="1051"/>
      <c r="BUM105" s="1051"/>
      <c r="BUN105" s="1056"/>
      <c r="BUO105" s="1157">
        <f t="shared" ref="BUO105" si="480">BUN102</f>
        <v>0</v>
      </c>
      <c r="BUP105" s="1051"/>
      <c r="BUQ105" s="1051"/>
      <c r="BUR105" s="1056"/>
      <c r="BUS105" s="1157">
        <f t="shared" ref="BUS105" si="481">BUR102</f>
        <v>0</v>
      </c>
      <c r="BUT105" s="1051"/>
      <c r="BUU105" s="1051"/>
      <c r="BUV105" s="1056"/>
      <c r="BUW105" s="1157">
        <f t="shared" ref="BUW105" si="482">BUV102</f>
        <v>0</v>
      </c>
      <c r="BUX105" s="1051"/>
      <c r="BUY105" s="1051"/>
      <c r="BUZ105" s="1056"/>
      <c r="BVA105" s="1157">
        <f t="shared" ref="BVA105" si="483">BUZ102</f>
        <v>0</v>
      </c>
      <c r="BVB105" s="1051"/>
      <c r="BVC105" s="1051"/>
      <c r="BVD105" s="1056"/>
      <c r="BVE105" s="1157">
        <f t="shared" ref="BVE105" si="484">BVD102</f>
        <v>0</v>
      </c>
      <c r="BVF105" s="1051"/>
      <c r="BVG105" s="1051"/>
      <c r="BVH105" s="1056"/>
      <c r="BVI105" s="1157">
        <f t="shared" ref="BVI105" si="485">BVH102</f>
        <v>0</v>
      </c>
      <c r="BVJ105" s="1051"/>
      <c r="BVK105" s="1051"/>
      <c r="BVL105" s="1056"/>
      <c r="BVM105" s="1157">
        <f t="shared" ref="BVM105" si="486">BVL102</f>
        <v>0</v>
      </c>
      <c r="BVN105" s="1051"/>
      <c r="BVO105" s="1051"/>
      <c r="BVP105" s="1056"/>
      <c r="BVQ105" s="1157">
        <f t="shared" ref="BVQ105" si="487">BVP102</f>
        <v>0</v>
      </c>
      <c r="BVR105" s="1051"/>
      <c r="BVS105" s="1051"/>
      <c r="BVT105" s="1056"/>
      <c r="BVU105" s="1157">
        <f t="shared" ref="BVU105" si="488">BVT102</f>
        <v>0</v>
      </c>
      <c r="BVV105" s="1051"/>
      <c r="BVW105" s="1051"/>
      <c r="BVX105" s="1056"/>
      <c r="BVY105" s="1157">
        <f t="shared" ref="BVY105" si="489">BVX102</f>
        <v>0</v>
      </c>
      <c r="BVZ105" s="1051"/>
      <c r="BWA105" s="1051"/>
      <c r="BWB105" s="1056"/>
      <c r="BWC105" s="1157">
        <f t="shared" ref="BWC105" si="490">BWB102</f>
        <v>0</v>
      </c>
      <c r="BWD105" s="1051"/>
      <c r="BWE105" s="1051"/>
      <c r="BWF105" s="1056"/>
      <c r="BWG105" s="1157">
        <f t="shared" ref="BWG105" si="491">BWF102</f>
        <v>0</v>
      </c>
      <c r="BWH105" s="1051"/>
      <c r="BWI105" s="1051"/>
      <c r="BWJ105" s="1056"/>
      <c r="BWK105" s="1157">
        <f t="shared" ref="BWK105" si="492">BWJ102</f>
        <v>0</v>
      </c>
      <c r="BWL105" s="1051"/>
      <c r="BWM105" s="1051"/>
      <c r="BWN105" s="1056"/>
      <c r="BWO105" s="1157">
        <f t="shared" ref="BWO105" si="493">BWN102</f>
        <v>0</v>
      </c>
      <c r="BWP105" s="1051"/>
      <c r="BWQ105" s="1051"/>
      <c r="BWR105" s="1056"/>
      <c r="BWS105" s="1157">
        <f t="shared" ref="BWS105" si="494">BWR102</f>
        <v>0</v>
      </c>
      <c r="BWT105" s="1051"/>
      <c r="BWU105" s="1051"/>
      <c r="BWV105" s="1056"/>
      <c r="BWW105" s="1157">
        <f t="shared" ref="BWW105" si="495">BWV102</f>
        <v>0</v>
      </c>
      <c r="BWX105" s="1051"/>
      <c r="BWY105" s="1051"/>
      <c r="BWZ105" s="1056"/>
      <c r="BXA105" s="1157">
        <f t="shared" ref="BXA105" si="496">BWZ102</f>
        <v>0</v>
      </c>
      <c r="BXB105" s="1051"/>
      <c r="BXC105" s="1051"/>
      <c r="BXD105" s="1056"/>
      <c r="BXE105" s="1157">
        <f t="shared" ref="BXE105" si="497">BXD102</f>
        <v>0</v>
      </c>
      <c r="BXF105" s="1051"/>
      <c r="BXG105" s="1051"/>
      <c r="BXH105" s="1056"/>
      <c r="BXI105" s="1157">
        <f t="shared" ref="BXI105" si="498">BXH102</f>
        <v>0</v>
      </c>
      <c r="BXJ105" s="1051"/>
      <c r="BXK105" s="1051"/>
      <c r="BXL105" s="1056"/>
      <c r="BXM105" s="1157">
        <f t="shared" ref="BXM105" si="499">BXL102</f>
        <v>0</v>
      </c>
      <c r="BXN105" s="1051"/>
      <c r="BXO105" s="1051"/>
      <c r="BXP105" s="1056"/>
      <c r="BXQ105" s="1157">
        <f t="shared" ref="BXQ105" si="500">BXP102</f>
        <v>0</v>
      </c>
      <c r="BXR105" s="1051"/>
      <c r="BXS105" s="1051"/>
      <c r="BXT105" s="1056"/>
      <c r="BXU105" s="1157">
        <f t="shared" ref="BXU105" si="501">BXT102</f>
        <v>0</v>
      </c>
      <c r="BXV105" s="1051"/>
      <c r="BXW105" s="1051"/>
      <c r="BXX105" s="1056"/>
      <c r="BXY105" s="1157">
        <f t="shared" ref="BXY105" si="502">BXX102</f>
        <v>0</v>
      </c>
      <c r="BXZ105" s="1051"/>
      <c r="BYA105" s="1051"/>
      <c r="BYB105" s="1056"/>
      <c r="BYC105" s="1157">
        <f t="shared" ref="BYC105" si="503">BYB102</f>
        <v>0</v>
      </c>
      <c r="BYD105" s="1051"/>
      <c r="BYE105" s="1051"/>
      <c r="BYF105" s="1056"/>
      <c r="BYG105" s="1157">
        <f t="shared" ref="BYG105" si="504">BYF102</f>
        <v>0</v>
      </c>
      <c r="BYH105" s="1051"/>
      <c r="BYI105" s="1051"/>
      <c r="BYJ105" s="1056"/>
      <c r="BYK105" s="1157">
        <f t="shared" ref="BYK105" si="505">BYJ102</f>
        <v>0</v>
      </c>
      <c r="BYL105" s="1051"/>
      <c r="BYM105" s="1051"/>
      <c r="BYN105" s="1056"/>
      <c r="BYO105" s="1157">
        <f t="shared" ref="BYO105" si="506">BYN102</f>
        <v>0</v>
      </c>
      <c r="BYP105" s="1051"/>
      <c r="BYQ105" s="1051"/>
      <c r="BYR105" s="1056"/>
      <c r="BYS105" s="1157">
        <f t="shared" ref="BYS105" si="507">BYR102</f>
        <v>0</v>
      </c>
      <c r="BYT105" s="1051"/>
      <c r="BYU105" s="1051"/>
      <c r="BYV105" s="1056"/>
      <c r="BYW105" s="1157">
        <f t="shared" ref="BYW105" si="508">BYV102</f>
        <v>0</v>
      </c>
      <c r="BYX105" s="1051"/>
      <c r="BYY105" s="1051"/>
      <c r="BYZ105" s="1056"/>
      <c r="BZA105" s="1157">
        <f t="shared" ref="BZA105" si="509">BYZ102</f>
        <v>0</v>
      </c>
      <c r="BZB105" s="1051"/>
      <c r="BZC105" s="1051"/>
      <c r="BZD105" s="1056"/>
      <c r="BZE105" s="1157">
        <f t="shared" ref="BZE105" si="510">BZD102</f>
        <v>0</v>
      </c>
      <c r="BZF105" s="1051"/>
      <c r="BZG105" s="1051"/>
      <c r="BZH105" s="1056"/>
      <c r="BZI105" s="1157">
        <f t="shared" ref="BZI105" si="511">BZH102</f>
        <v>0</v>
      </c>
      <c r="BZJ105" s="1051"/>
      <c r="BZK105" s="1051"/>
      <c r="BZL105" s="1056"/>
      <c r="BZM105" s="1157">
        <f t="shared" ref="BZM105" si="512">BZL102</f>
        <v>0</v>
      </c>
      <c r="BZN105" s="1051"/>
      <c r="BZO105" s="1051"/>
      <c r="BZP105" s="1056"/>
      <c r="BZQ105" s="1157">
        <f t="shared" ref="BZQ105" si="513">BZP102</f>
        <v>0</v>
      </c>
      <c r="BZR105" s="1051"/>
      <c r="BZS105" s="1051"/>
      <c r="BZT105" s="1056"/>
      <c r="BZU105" s="1157">
        <f t="shared" ref="BZU105" si="514">BZT102</f>
        <v>0</v>
      </c>
      <c r="BZV105" s="1051"/>
      <c r="BZW105" s="1051"/>
      <c r="BZX105" s="1056"/>
      <c r="BZY105" s="1157">
        <f t="shared" ref="BZY105" si="515">BZX102</f>
        <v>0</v>
      </c>
      <c r="BZZ105" s="1051"/>
      <c r="CAA105" s="1051"/>
      <c r="CAB105" s="1056"/>
      <c r="CAC105" s="1157">
        <f t="shared" ref="CAC105" si="516">CAB102</f>
        <v>0</v>
      </c>
      <c r="CAD105" s="1051"/>
      <c r="CAE105" s="1051"/>
      <c r="CAF105" s="1056"/>
      <c r="CAG105" s="1157">
        <f t="shared" ref="CAG105" si="517">CAF102</f>
        <v>0</v>
      </c>
      <c r="CAH105" s="1051"/>
      <c r="CAI105" s="1051"/>
      <c r="CAJ105" s="1056"/>
      <c r="CAK105" s="1157">
        <f t="shared" ref="CAK105" si="518">CAJ102</f>
        <v>0</v>
      </c>
      <c r="CAL105" s="1051"/>
      <c r="CAM105" s="1051"/>
      <c r="CAN105" s="1056"/>
      <c r="CAO105" s="1157">
        <f t="shared" ref="CAO105" si="519">CAN102</f>
        <v>0</v>
      </c>
      <c r="CAP105" s="1051"/>
      <c r="CAQ105" s="1051"/>
      <c r="CAR105" s="1056"/>
      <c r="CAS105" s="1157">
        <f t="shared" ref="CAS105" si="520">CAR102</f>
        <v>0</v>
      </c>
      <c r="CAT105" s="1051"/>
      <c r="CAU105" s="1051"/>
      <c r="CAV105" s="1056"/>
      <c r="CAW105" s="1157">
        <f t="shared" ref="CAW105" si="521">CAV102</f>
        <v>0</v>
      </c>
      <c r="CAX105" s="1051"/>
      <c r="CAY105" s="1051"/>
      <c r="CAZ105" s="1056"/>
      <c r="CBA105" s="1157">
        <f t="shared" ref="CBA105" si="522">CAZ102</f>
        <v>0</v>
      </c>
      <c r="CBB105" s="1051"/>
      <c r="CBC105" s="1051"/>
      <c r="CBD105" s="1056"/>
      <c r="CBE105" s="1157">
        <f t="shared" ref="CBE105" si="523">CBD102</f>
        <v>0</v>
      </c>
      <c r="CBF105" s="1051"/>
      <c r="CBG105" s="1051"/>
      <c r="CBH105" s="1056"/>
      <c r="CBI105" s="1157">
        <f t="shared" ref="CBI105" si="524">CBH102</f>
        <v>0</v>
      </c>
      <c r="CBJ105" s="1051"/>
      <c r="CBK105" s="1051"/>
      <c r="CBL105" s="1056"/>
      <c r="CBM105" s="1157">
        <f t="shared" ref="CBM105" si="525">CBL102</f>
        <v>0</v>
      </c>
      <c r="CBN105" s="1051"/>
      <c r="CBO105" s="1051"/>
      <c r="CBP105" s="1056"/>
      <c r="CBQ105" s="1157">
        <f t="shared" ref="CBQ105" si="526">CBP102</f>
        <v>0</v>
      </c>
      <c r="CBR105" s="1051"/>
      <c r="CBS105" s="1051"/>
      <c r="CBT105" s="1056"/>
      <c r="CBU105" s="1157">
        <f t="shared" ref="CBU105" si="527">CBT102</f>
        <v>0</v>
      </c>
      <c r="CBV105" s="1051"/>
      <c r="CBW105" s="1051"/>
      <c r="CBX105" s="1056"/>
      <c r="CBY105" s="1157">
        <f t="shared" ref="CBY105" si="528">CBX102</f>
        <v>0</v>
      </c>
      <c r="CBZ105" s="1051"/>
      <c r="CCA105" s="1051"/>
      <c r="CCB105" s="1056"/>
      <c r="CCC105" s="1157">
        <f t="shared" ref="CCC105" si="529">CCB102</f>
        <v>0</v>
      </c>
      <c r="CCD105" s="1051"/>
      <c r="CCE105" s="1051"/>
      <c r="CCF105" s="1056"/>
      <c r="CCG105" s="1157">
        <f t="shared" ref="CCG105" si="530">CCF102</f>
        <v>0</v>
      </c>
      <c r="CCH105" s="1051"/>
      <c r="CCI105" s="1051"/>
      <c r="CCJ105" s="1056"/>
      <c r="CCK105" s="1157">
        <f t="shared" ref="CCK105" si="531">CCJ102</f>
        <v>0</v>
      </c>
      <c r="CCL105" s="1051"/>
      <c r="CCM105" s="1051"/>
      <c r="CCN105" s="1056"/>
      <c r="CCO105" s="1157">
        <f t="shared" ref="CCO105" si="532">CCN102</f>
        <v>0</v>
      </c>
      <c r="CCP105" s="1051"/>
      <c r="CCQ105" s="1051"/>
      <c r="CCR105" s="1056"/>
      <c r="CCS105" s="1157">
        <f t="shared" ref="CCS105" si="533">CCR102</f>
        <v>0</v>
      </c>
      <c r="CCT105" s="1051"/>
      <c r="CCU105" s="1051"/>
      <c r="CCV105" s="1056"/>
      <c r="CCW105" s="1157">
        <f t="shared" ref="CCW105" si="534">CCV102</f>
        <v>0</v>
      </c>
      <c r="CCX105" s="1051"/>
      <c r="CCY105" s="1051"/>
      <c r="CCZ105" s="1056"/>
      <c r="CDA105" s="1157">
        <f t="shared" ref="CDA105" si="535">CCZ102</f>
        <v>0</v>
      </c>
      <c r="CDB105" s="1051"/>
      <c r="CDC105" s="1051"/>
      <c r="CDD105" s="1056"/>
      <c r="CDE105" s="1157">
        <f t="shared" ref="CDE105" si="536">CDD102</f>
        <v>0</v>
      </c>
      <c r="CDF105" s="1051"/>
      <c r="CDG105" s="1051"/>
      <c r="CDH105" s="1056"/>
      <c r="CDI105" s="1157">
        <f t="shared" ref="CDI105" si="537">CDH102</f>
        <v>0</v>
      </c>
      <c r="CDJ105" s="1051"/>
      <c r="CDK105" s="1051"/>
      <c r="CDL105" s="1056"/>
      <c r="CDM105" s="1157">
        <f t="shared" ref="CDM105" si="538">CDL102</f>
        <v>0</v>
      </c>
      <c r="CDN105" s="1051"/>
      <c r="CDO105" s="1051"/>
      <c r="CDP105" s="1056"/>
      <c r="CDQ105" s="1157">
        <f t="shared" ref="CDQ105" si="539">CDP102</f>
        <v>0</v>
      </c>
      <c r="CDR105" s="1051"/>
      <c r="CDS105" s="1051"/>
      <c r="CDT105" s="1056"/>
      <c r="CDU105" s="1157">
        <f t="shared" ref="CDU105" si="540">CDT102</f>
        <v>0</v>
      </c>
      <c r="CDV105" s="1051"/>
      <c r="CDW105" s="1051"/>
      <c r="CDX105" s="1056"/>
      <c r="CDY105" s="1157">
        <f t="shared" ref="CDY105" si="541">CDX102</f>
        <v>0</v>
      </c>
      <c r="CDZ105" s="1051"/>
      <c r="CEA105" s="1051"/>
      <c r="CEB105" s="1056"/>
      <c r="CEC105" s="1157">
        <f t="shared" ref="CEC105" si="542">CEB102</f>
        <v>0</v>
      </c>
      <c r="CED105" s="1051"/>
      <c r="CEE105" s="1051"/>
      <c r="CEF105" s="1056"/>
      <c r="CEG105" s="1157">
        <f t="shared" ref="CEG105" si="543">CEF102</f>
        <v>0</v>
      </c>
      <c r="CEH105" s="1051"/>
      <c r="CEI105" s="1051"/>
      <c r="CEJ105" s="1056"/>
      <c r="CEK105" s="1157">
        <f t="shared" ref="CEK105" si="544">CEJ102</f>
        <v>0</v>
      </c>
      <c r="CEL105" s="1051"/>
      <c r="CEM105" s="1051"/>
      <c r="CEN105" s="1056"/>
      <c r="CEO105" s="1157">
        <f t="shared" ref="CEO105" si="545">CEN102</f>
        <v>0</v>
      </c>
      <c r="CEP105" s="1051"/>
      <c r="CEQ105" s="1051"/>
      <c r="CER105" s="1056"/>
      <c r="CES105" s="1157">
        <f t="shared" ref="CES105" si="546">CER102</f>
        <v>0</v>
      </c>
      <c r="CET105" s="1051"/>
      <c r="CEU105" s="1051"/>
      <c r="CEV105" s="1056"/>
      <c r="CEW105" s="1157">
        <f t="shared" ref="CEW105" si="547">CEV102</f>
        <v>0</v>
      </c>
      <c r="CEX105" s="1051"/>
      <c r="CEY105" s="1051"/>
      <c r="CEZ105" s="1056"/>
      <c r="CFA105" s="1157">
        <f t="shared" ref="CFA105" si="548">CEZ102</f>
        <v>0</v>
      </c>
      <c r="CFB105" s="1051"/>
      <c r="CFC105" s="1051"/>
      <c r="CFD105" s="1056"/>
      <c r="CFE105" s="1157">
        <f t="shared" ref="CFE105" si="549">CFD102</f>
        <v>0</v>
      </c>
      <c r="CFF105" s="1051"/>
      <c r="CFG105" s="1051"/>
      <c r="CFH105" s="1056"/>
      <c r="CFI105" s="1157">
        <f t="shared" ref="CFI105" si="550">CFH102</f>
        <v>0</v>
      </c>
      <c r="CFJ105" s="1051"/>
      <c r="CFK105" s="1051"/>
      <c r="CFL105" s="1056"/>
      <c r="CFM105" s="1157">
        <f t="shared" ref="CFM105" si="551">CFL102</f>
        <v>0</v>
      </c>
      <c r="CFN105" s="1051"/>
      <c r="CFO105" s="1051"/>
      <c r="CFP105" s="1056"/>
      <c r="CFQ105" s="1157">
        <f t="shared" ref="CFQ105" si="552">CFP102</f>
        <v>0</v>
      </c>
      <c r="CFR105" s="1051"/>
      <c r="CFS105" s="1051"/>
      <c r="CFT105" s="1056"/>
      <c r="CFU105" s="1157">
        <f t="shared" ref="CFU105" si="553">CFT102</f>
        <v>0</v>
      </c>
      <c r="CFV105" s="1051"/>
      <c r="CFW105" s="1051"/>
      <c r="CFX105" s="1056"/>
      <c r="CFY105" s="1157">
        <f t="shared" ref="CFY105" si="554">CFX102</f>
        <v>0</v>
      </c>
      <c r="CFZ105" s="1051"/>
      <c r="CGA105" s="1051"/>
      <c r="CGB105" s="1056"/>
      <c r="CGC105" s="1157">
        <f t="shared" ref="CGC105" si="555">CGB102</f>
        <v>0</v>
      </c>
      <c r="CGD105" s="1051"/>
      <c r="CGE105" s="1051"/>
      <c r="CGF105" s="1056"/>
      <c r="CGG105" s="1157">
        <f t="shared" ref="CGG105" si="556">CGF102</f>
        <v>0</v>
      </c>
      <c r="CGH105" s="1051"/>
      <c r="CGI105" s="1051"/>
      <c r="CGJ105" s="1056"/>
      <c r="CGK105" s="1157">
        <f t="shared" ref="CGK105" si="557">CGJ102</f>
        <v>0</v>
      </c>
      <c r="CGL105" s="1051"/>
      <c r="CGM105" s="1051"/>
      <c r="CGN105" s="1056"/>
      <c r="CGO105" s="1157">
        <f t="shared" ref="CGO105" si="558">CGN102</f>
        <v>0</v>
      </c>
      <c r="CGP105" s="1051"/>
      <c r="CGQ105" s="1051"/>
      <c r="CGR105" s="1056"/>
      <c r="CGS105" s="1157">
        <f t="shared" ref="CGS105" si="559">CGR102</f>
        <v>0</v>
      </c>
      <c r="CGT105" s="1051"/>
      <c r="CGU105" s="1051"/>
      <c r="CGV105" s="1056"/>
      <c r="CGW105" s="1157">
        <f t="shared" ref="CGW105" si="560">CGV102</f>
        <v>0</v>
      </c>
      <c r="CGX105" s="1051"/>
      <c r="CGY105" s="1051"/>
      <c r="CGZ105" s="1056"/>
      <c r="CHA105" s="1157">
        <f t="shared" ref="CHA105" si="561">CGZ102</f>
        <v>0</v>
      </c>
      <c r="CHB105" s="1051"/>
      <c r="CHC105" s="1051"/>
      <c r="CHD105" s="1056"/>
      <c r="CHE105" s="1157">
        <f t="shared" ref="CHE105" si="562">CHD102</f>
        <v>0</v>
      </c>
      <c r="CHF105" s="1051"/>
      <c r="CHG105" s="1051"/>
      <c r="CHH105" s="1056"/>
      <c r="CHI105" s="1157">
        <f t="shared" ref="CHI105" si="563">CHH102</f>
        <v>0</v>
      </c>
      <c r="CHJ105" s="1051"/>
      <c r="CHK105" s="1051"/>
      <c r="CHL105" s="1056"/>
      <c r="CHM105" s="1157">
        <f t="shared" ref="CHM105" si="564">CHL102</f>
        <v>0</v>
      </c>
      <c r="CHN105" s="1051"/>
      <c r="CHO105" s="1051"/>
      <c r="CHP105" s="1056"/>
      <c r="CHQ105" s="1157">
        <f t="shared" ref="CHQ105" si="565">CHP102</f>
        <v>0</v>
      </c>
      <c r="CHR105" s="1051"/>
      <c r="CHS105" s="1051"/>
      <c r="CHT105" s="1056"/>
      <c r="CHU105" s="1157">
        <f t="shared" ref="CHU105" si="566">CHT102</f>
        <v>0</v>
      </c>
      <c r="CHV105" s="1051"/>
      <c r="CHW105" s="1051"/>
      <c r="CHX105" s="1056"/>
      <c r="CHY105" s="1157">
        <f t="shared" ref="CHY105" si="567">CHX102</f>
        <v>0</v>
      </c>
      <c r="CHZ105" s="1051"/>
      <c r="CIA105" s="1051"/>
      <c r="CIB105" s="1056"/>
      <c r="CIC105" s="1157">
        <f t="shared" ref="CIC105" si="568">CIB102</f>
        <v>0</v>
      </c>
      <c r="CID105" s="1051"/>
      <c r="CIE105" s="1051"/>
      <c r="CIF105" s="1056"/>
      <c r="CIG105" s="1157">
        <f t="shared" ref="CIG105" si="569">CIF102</f>
        <v>0</v>
      </c>
      <c r="CIH105" s="1051"/>
      <c r="CII105" s="1051"/>
      <c r="CIJ105" s="1056"/>
      <c r="CIK105" s="1157">
        <f t="shared" ref="CIK105" si="570">CIJ102</f>
        <v>0</v>
      </c>
      <c r="CIL105" s="1051"/>
      <c r="CIM105" s="1051"/>
      <c r="CIN105" s="1056"/>
      <c r="CIO105" s="1157">
        <f t="shared" ref="CIO105" si="571">CIN102</f>
        <v>0</v>
      </c>
      <c r="CIP105" s="1051"/>
      <c r="CIQ105" s="1051"/>
      <c r="CIR105" s="1056"/>
      <c r="CIS105" s="1157">
        <f t="shared" ref="CIS105" si="572">CIR102</f>
        <v>0</v>
      </c>
      <c r="CIT105" s="1051"/>
      <c r="CIU105" s="1051"/>
      <c r="CIV105" s="1056"/>
      <c r="CIW105" s="1157">
        <f t="shared" ref="CIW105" si="573">CIV102</f>
        <v>0</v>
      </c>
      <c r="CIX105" s="1051"/>
      <c r="CIY105" s="1051"/>
      <c r="CIZ105" s="1056"/>
      <c r="CJA105" s="1157">
        <f t="shared" ref="CJA105" si="574">CIZ102</f>
        <v>0</v>
      </c>
      <c r="CJB105" s="1051"/>
      <c r="CJC105" s="1051"/>
      <c r="CJD105" s="1056"/>
      <c r="CJE105" s="1157">
        <f t="shared" ref="CJE105" si="575">CJD102</f>
        <v>0</v>
      </c>
      <c r="CJF105" s="1051"/>
      <c r="CJG105" s="1051"/>
      <c r="CJH105" s="1056"/>
      <c r="CJI105" s="1157">
        <f t="shared" ref="CJI105" si="576">CJH102</f>
        <v>0</v>
      </c>
      <c r="CJJ105" s="1051"/>
      <c r="CJK105" s="1051"/>
      <c r="CJL105" s="1056"/>
      <c r="CJM105" s="1157">
        <f t="shared" ref="CJM105" si="577">CJL102</f>
        <v>0</v>
      </c>
      <c r="CJN105" s="1051"/>
      <c r="CJO105" s="1051"/>
      <c r="CJP105" s="1056"/>
      <c r="CJQ105" s="1157">
        <f t="shared" ref="CJQ105" si="578">CJP102</f>
        <v>0</v>
      </c>
      <c r="CJR105" s="1051"/>
      <c r="CJS105" s="1051"/>
      <c r="CJT105" s="1056"/>
      <c r="CJU105" s="1157">
        <f t="shared" ref="CJU105" si="579">CJT102</f>
        <v>0</v>
      </c>
      <c r="CJV105" s="1051"/>
      <c r="CJW105" s="1051"/>
      <c r="CJX105" s="1056"/>
      <c r="CJY105" s="1157">
        <f t="shared" ref="CJY105" si="580">CJX102</f>
        <v>0</v>
      </c>
      <c r="CJZ105" s="1051"/>
      <c r="CKA105" s="1051"/>
      <c r="CKB105" s="1056"/>
      <c r="CKC105" s="1157">
        <f t="shared" ref="CKC105" si="581">CKB102</f>
        <v>0</v>
      </c>
      <c r="CKD105" s="1051"/>
      <c r="CKE105" s="1051"/>
      <c r="CKF105" s="1056"/>
      <c r="CKG105" s="1157">
        <f t="shared" ref="CKG105" si="582">CKF102</f>
        <v>0</v>
      </c>
      <c r="CKH105" s="1051"/>
      <c r="CKI105" s="1051"/>
      <c r="CKJ105" s="1056"/>
      <c r="CKK105" s="1157">
        <f t="shared" ref="CKK105" si="583">CKJ102</f>
        <v>0</v>
      </c>
      <c r="CKL105" s="1051"/>
      <c r="CKM105" s="1051"/>
      <c r="CKN105" s="1056"/>
      <c r="CKO105" s="1157">
        <f t="shared" ref="CKO105" si="584">CKN102</f>
        <v>0</v>
      </c>
      <c r="CKP105" s="1051"/>
      <c r="CKQ105" s="1051"/>
      <c r="CKR105" s="1056"/>
      <c r="CKS105" s="1157">
        <f t="shared" ref="CKS105" si="585">CKR102</f>
        <v>0</v>
      </c>
      <c r="CKT105" s="1051"/>
      <c r="CKU105" s="1051"/>
      <c r="CKV105" s="1056"/>
      <c r="CKW105" s="1157">
        <f t="shared" ref="CKW105" si="586">CKV102</f>
        <v>0</v>
      </c>
      <c r="CKX105" s="1051"/>
      <c r="CKY105" s="1051"/>
      <c r="CKZ105" s="1056"/>
      <c r="CLA105" s="1157">
        <f t="shared" ref="CLA105" si="587">CKZ102</f>
        <v>0</v>
      </c>
      <c r="CLB105" s="1051"/>
      <c r="CLC105" s="1051"/>
      <c r="CLD105" s="1056"/>
      <c r="CLE105" s="1157">
        <f t="shared" ref="CLE105" si="588">CLD102</f>
        <v>0</v>
      </c>
      <c r="CLF105" s="1051"/>
      <c r="CLG105" s="1051"/>
      <c r="CLH105" s="1056"/>
      <c r="CLI105" s="1157">
        <f t="shared" ref="CLI105" si="589">CLH102</f>
        <v>0</v>
      </c>
      <c r="CLJ105" s="1051"/>
      <c r="CLK105" s="1051"/>
      <c r="CLL105" s="1056"/>
      <c r="CLM105" s="1157">
        <f t="shared" ref="CLM105" si="590">CLL102</f>
        <v>0</v>
      </c>
      <c r="CLN105" s="1051"/>
      <c r="CLO105" s="1051"/>
      <c r="CLP105" s="1056"/>
      <c r="CLQ105" s="1157">
        <f t="shared" ref="CLQ105" si="591">CLP102</f>
        <v>0</v>
      </c>
      <c r="CLR105" s="1051"/>
      <c r="CLS105" s="1051"/>
      <c r="CLT105" s="1056"/>
      <c r="CLU105" s="1157">
        <f t="shared" ref="CLU105" si="592">CLT102</f>
        <v>0</v>
      </c>
      <c r="CLV105" s="1051"/>
      <c r="CLW105" s="1051"/>
      <c r="CLX105" s="1056"/>
      <c r="CLY105" s="1157">
        <f t="shared" ref="CLY105" si="593">CLX102</f>
        <v>0</v>
      </c>
      <c r="CLZ105" s="1051"/>
      <c r="CMA105" s="1051"/>
      <c r="CMB105" s="1056"/>
      <c r="CMC105" s="1157">
        <f t="shared" ref="CMC105" si="594">CMB102</f>
        <v>0</v>
      </c>
      <c r="CMD105" s="1051"/>
      <c r="CME105" s="1051"/>
      <c r="CMF105" s="1056"/>
      <c r="CMG105" s="1157">
        <f t="shared" ref="CMG105" si="595">CMF102</f>
        <v>0</v>
      </c>
      <c r="CMH105" s="1051"/>
      <c r="CMI105" s="1051"/>
      <c r="CMJ105" s="1056"/>
      <c r="CMK105" s="1157">
        <f t="shared" ref="CMK105" si="596">CMJ102</f>
        <v>0</v>
      </c>
      <c r="CML105" s="1051"/>
      <c r="CMM105" s="1051"/>
      <c r="CMN105" s="1056"/>
      <c r="CMO105" s="1157">
        <f t="shared" ref="CMO105" si="597">CMN102</f>
        <v>0</v>
      </c>
      <c r="CMP105" s="1051"/>
      <c r="CMQ105" s="1051"/>
      <c r="CMR105" s="1056"/>
      <c r="CMS105" s="1157">
        <f t="shared" ref="CMS105" si="598">CMR102</f>
        <v>0</v>
      </c>
      <c r="CMT105" s="1051"/>
      <c r="CMU105" s="1051"/>
      <c r="CMV105" s="1056"/>
      <c r="CMW105" s="1157">
        <f t="shared" ref="CMW105" si="599">CMV102</f>
        <v>0</v>
      </c>
      <c r="CMX105" s="1051"/>
      <c r="CMY105" s="1051"/>
      <c r="CMZ105" s="1056"/>
      <c r="CNA105" s="1157">
        <f t="shared" ref="CNA105" si="600">CMZ102</f>
        <v>0</v>
      </c>
      <c r="CNB105" s="1051"/>
      <c r="CNC105" s="1051"/>
      <c r="CND105" s="1056"/>
      <c r="CNE105" s="1157">
        <f t="shared" ref="CNE105" si="601">CND102</f>
        <v>0</v>
      </c>
      <c r="CNF105" s="1051"/>
      <c r="CNG105" s="1051"/>
      <c r="CNH105" s="1056"/>
      <c r="CNI105" s="1157">
        <f t="shared" ref="CNI105" si="602">CNH102</f>
        <v>0</v>
      </c>
      <c r="CNJ105" s="1051"/>
      <c r="CNK105" s="1051"/>
      <c r="CNL105" s="1056"/>
      <c r="CNM105" s="1157">
        <f t="shared" ref="CNM105" si="603">CNL102</f>
        <v>0</v>
      </c>
      <c r="CNN105" s="1051"/>
      <c r="CNO105" s="1051"/>
      <c r="CNP105" s="1056"/>
      <c r="CNQ105" s="1157">
        <f t="shared" ref="CNQ105" si="604">CNP102</f>
        <v>0</v>
      </c>
      <c r="CNR105" s="1051"/>
      <c r="CNS105" s="1051"/>
      <c r="CNT105" s="1056"/>
      <c r="CNU105" s="1157">
        <f t="shared" ref="CNU105" si="605">CNT102</f>
        <v>0</v>
      </c>
      <c r="CNV105" s="1051"/>
      <c r="CNW105" s="1051"/>
      <c r="CNX105" s="1056"/>
      <c r="CNY105" s="1157">
        <f t="shared" ref="CNY105" si="606">CNX102</f>
        <v>0</v>
      </c>
      <c r="CNZ105" s="1051"/>
      <c r="COA105" s="1051"/>
      <c r="COB105" s="1056"/>
      <c r="COC105" s="1157">
        <f t="shared" ref="COC105" si="607">COB102</f>
        <v>0</v>
      </c>
      <c r="COD105" s="1051"/>
      <c r="COE105" s="1051"/>
      <c r="COF105" s="1056"/>
      <c r="COG105" s="1157">
        <f t="shared" ref="COG105" si="608">COF102</f>
        <v>0</v>
      </c>
      <c r="COH105" s="1051"/>
      <c r="COI105" s="1051"/>
      <c r="COJ105" s="1056"/>
      <c r="COK105" s="1157">
        <f t="shared" ref="COK105" si="609">COJ102</f>
        <v>0</v>
      </c>
      <c r="COL105" s="1051"/>
      <c r="COM105" s="1051"/>
      <c r="CON105" s="1056"/>
      <c r="COO105" s="1157">
        <f t="shared" ref="COO105" si="610">CON102</f>
        <v>0</v>
      </c>
      <c r="COP105" s="1051"/>
      <c r="COQ105" s="1051"/>
      <c r="COR105" s="1056"/>
      <c r="COS105" s="1157">
        <f t="shared" ref="COS105" si="611">COR102</f>
        <v>0</v>
      </c>
      <c r="COT105" s="1051"/>
      <c r="COU105" s="1051"/>
      <c r="COV105" s="1056"/>
      <c r="COW105" s="1157">
        <f t="shared" ref="COW105" si="612">COV102</f>
        <v>0</v>
      </c>
      <c r="COX105" s="1051"/>
      <c r="COY105" s="1051"/>
      <c r="COZ105" s="1056"/>
      <c r="CPA105" s="1157">
        <f t="shared" ref="CPA105" si="613">COZ102</f>
        <v>0</v>
      </c>
      <c r="CPB105" s="1051"/>
      <c r="CPC105" s="1051"/>
      <c r="CPD105" s="1056"/>
      <c r="CPE105" s="1157">
        <f t="shared" ref="CPE105" si="614">CPD102</f>
        <v>0</v>
      </c>
      <c r="CPF105" s="1051"/>
      <c r="CPG105" s="1051"/>
      <c r="CPH105" s="1056"/>
      <c r="CPI105" s="1157">
        <f t="shared" ref="CPI105" si="615">CPH102</f>
        <v>0</v>
      </c>
      <c r="CPJ105" s="1051"/>
      <c r="CPK105" s="1051"/>
      <c r="CPL105" s="1056"/>
      <c r="CPM105" s="1157">
        <f t="shared" ref="CPM105" si="616">CPL102</f>
        <v>0</v>
      </c>
      <c r="CPN105" s="1051"/>
      <c r="CPO105" s="1051"/>
      <c r="CPP105" s="1056"/>
      <c r="CPQ105" s="1157">
        <f t="shared" ref="CPQ105" si="617">CPP102</f>
        <v>0</v>
      </c>
      <c r="CPR105" s="1051"/>
      <c r="CPS105" s="1051"/>
      <c r="CPT105" s="1056"/>
      <c r="CPU105" s="1157">
        <f t="shared" ref="CPU105" si="618">CPT102</f>
        <v>0</v>
      </c>
      <c r="CPV105" s="1051"/>
      <c r="CPW105" s="1051"/>
      <c r="CPX105" s="1056"/>
      <c r="CPY105" s="1157">
        <f t="shared" ref="CPY105" si="619">CPX102</f>
        <v>0</v>
      </c>
      <c r="CPZ105" s="1051"/>
      <c r="CQA105" s="1051"/>
      <c r="CQB105" s="1056"/>
      <c r="CQC105" s="1157">
        <f t="shared" ref="CQC105" si="620">CQB102</f>
        <v>0</v>
      </c>
      <c r="CQD105" s="1051"/>
      <c r="CQE105" s="1051"/>
      <c r="CQF105" s="1056"/>
      <c r="CQG105" s="1157">
        <f t="shared" ref="CQG105" si="621">CQF102</f>
        <v>0</v>
      </c>
      <c r="CQH105" s="1051"/>
      <c r="CQI105" s="1051"/>
      <c r="CQJ105" s="1056"/>
      <c r="CQK105" s="1157">
        <f t="shared" ref="CQK105" si="622">CQJ102</f>
        <v>0</v>
      </c>
      <c r="CQL105" s="1051"/>
      <c r="CQM105" s="1051"/>
      <c r="CQN105" s="1056"/>
      <c r="CQO105" s="1157">
        <f t="shared" ref="CQO105" si="623">CQN102</f>
        <v>0</v>
      </c>
      <c r="CQP105" s="1051"/>
      <c r="CQQ105" s="1051"/>
      <c r="CQR105" s="1056"/>
      <c r="CQS105" s="1157">
        <f t="shared" ref="CQS105" si="624">CQR102</f>
        <v>0</v>
      </c>
      <c r="CQT105" s="1051"/>
      <c r="CQU105" s="1051"/>
      <c r="CQV105" s="1056"/>
      <c r="CQW105" s="1157">
        <f t="shared" ref="CQW105" si="625">CQV102</f>
        <v>0</v>
      </c>
      <c r="CQX105" s="1051"/>
      <c r="CQY105" s="1051"/>
      <c r="CQZ105" s="1056"/>
      <c r="CRA105" s="1157">
        <f t="shared" ref="CRA105" si="626">CQZ102</f>
        <v>0</v>
      </c>
      <c r="CRB105" s="1051"/>
      <c r="CRC105" s="1051"/>
      <c r="CRD105" s="1056"/>
      <c r="CRE105" s="1157">
        <f t="shared" ref="CRE105" si="627">CRD102</f>
        <v>0</v>
      </c>
      <c r="CRF105" s="1051"/>
      <c r="CRG105" s="1051"/>
      <c r="CRH105" s="1056"/>
      <c r="CRI105" s="1157">
        <f t="shared" ref="CRI105" si="628">CRH102</f>
        <v>0</v>
      </c>
      <c r="CRJ105" s="1051"/>
      <c r="CRK105" s="1051"/>
      <c r="CRL105" s="1056"/>
      <c r="CRM105" s="1157">
        <f t="shared" ref="CRM105" si="629">CRL102</f>
        <v>0</v>
      </c>
      <c r="CRN105" s="1051"/>
      <c r="CRO105" s="1051"/>
      <c r="CRP105" s="1056"/>
      <c r="CRQ105" s="1157">
        <f t="shared" ref="CRQ105" si="630">CRP102</f>
        <v>0</v>
      </c>
      <c r="CRR105" s="1051"/>
      <c r="CRS105" s="1051"/>
      <c r="CRT105" s="1056"/>
      <c r="CRU105" s="1157">
        <f t="shared" ref="CRU105" si="631">CRT102</f>
        <v>0</v>
      </c>
      <c r="CRV105" s="1051"/>
      <c r="CRW105" s="1051"/>
      <c r="CRX105" s="1056"/>
      <c r="CRY105" s="1157">
        <f t="shared" ref="CRY105" si="632">CRX102</f>
        <v>0</v>
      </c>
      <c r="CRZ105" s="1051"/>
      <c r="CSA105" s="1051"/>
      <c r="CSB105" s="1056"/>
      <c r="CSC105" s="1157">
        <f t="shared" ref="CSC105" si="633">CSB102</f>
        <v>0</v>
      </c>
      <c r="CSD105" s="1051"/>
      <c r="CSE105" s="1051"/>
      <c r="CSF105" s="1056"/>
      <c r="CSG105" s="1157">
        <f t="shared" ref="CSG105" si="634">CSF102</f>
        <v>0</v>
      </c>
      <c r="CSH105" s="1051"/>
      <c r="CSI105" s="1051"/>
      <c r="CSJ105" s="1056"/>
      <c r="CSK105" s="1157">
        <f t="shared" ref="CSK105" si="635">CSJ102</f>
        <v>0</v>
      </c>
      <c r="CSL105" s="1051"/>
      <c r="CSM105" s="1051"/>
      <c r="CSN105" s="1056"/>
      <c r="CSO105" s="1157">
        <f t="shared" ref="CSO105" si="636">CSN102</f>
        <v>0</v>
      </c>
      <c r="CSP105" s="1051"/>
      <c r="CSQ105" s="1051"/>
      <c r="CSR105" s="1056"/>
      <c r="CSS105" s="1157">
        <f t="shared" ref="CSS105" si="637">CSR102</f>
        <v>0</v>
      </c>
      <c r="CST105" s="1051"/>
      <c r="CSU105" s="1051"/>
      <c r="CSV105" s="1056"/>
      <c r="CSW105" s="1157">
        <f t="shared" ref="CSW105" si="638">CSV102</f>
        <v>0</v>
      </c>
      <c r="CSX105" s="1051"/>
      <c r="CSY105" s="1051"/>
      <c r="CSZ105" s="1056"/>
      <c r="CTA105" s="1157">
        <f t="shared" ref="CTA105" si="639">CSZ102</f>
        <v>0</v>
      </c>
      <c r="CTB105" s="1051"/>
      <c r="CTC105" s="1051"/>
      <c r="CTD105" s="1056"/>
      <c r="CTE105" s="1157">
        <f t="shared" ref="CTE105" si="640">CTD102</f>
        <v>0</v>
      </c>
      <c r="CTF105" s="1051"/>
      <c r="CTG105" s="1051"/>
      <c r="CTH105" s="1056"/>
      <c r="CTI105" s="1157">
        <f t="shared" ref="CTI105" si="641">CTH102</f>
        <v>0</v>
      </c>
      <c r="CTJ105" s="1051"/>
      <c r="CTK105" s="1051"/>
      <c r="CTL105" s="1056"/>
      <c r="CTM105" s="1157">
        <f t="shared" ref="CTM105" si="642">CTL102</f>
        <v>0</v>
      </c>
      <c r="CTN105" s="1051"/>
      <c r="CTO105" s="1051"/>
      <c r="CTP105" s="1056"/>
      <c r="CTQ105" s="1157">
        <f t="shared" ref="CTQ105" si="643">CTP102</f>
        <v>0</v>
      </c>
      <c r="CTR105" s="1051"/>
      <c r="CTS105" s="1051"/>
      <c r="CTT105" s="1056"/>
      <c r="CTU105" s="1157">
        <f t="shared" ref="CTU105" si="644">CTT102</f>
        <v>0</v>
      </c>
      <c r="CTV105" s="1051"/>
      <c r="CTW105" s="1051"/>
      <c r="CTX105" s="1056"/>
      <c r="CTY105" s="1157">
        <f t="shared" ref="CTY105" si="645">CTX102</f>
        <v>0</v>
      </c>
      <c r="CTZ105" s="1051"/>
      <c r="CUA105" s="1051"/>
      <c r="CUB105" s="1056"/>
      <c r="CUC105" s="1157">
        <f t="shared" ref="CUC105" si="646">CUB102</f>
        <v>0</v>
      </c>
      <c r="CUD105" s="1051"/>
      <c r="CUE105" s="1051"/>
      <c r="CUF105" s="1056"/>
      <c r="CUG105" s="1157">
        <f t="shared" ref="CUG105" si="647">CUF102</f>
        <v>0</v>
      </c>
      <c r="CUH105" s="1051"/>
      <c r="CUI105" s="1051"/>
      <c r="CUJ105" s="1056"/>
      <c r="CUK105" s="1157">
        <f t="shared" ref="CUK105" si="648">CUJ102</f>
        <v>0</v>
      </c>
      <c r="CUL105" s="1051"/>
      <c r="CUM105" s="1051"/>
      <c r="CUN105" s="1056"/>
      <c r="CUO105" s="1157">
        <f t="shared" ref="CUO105" si="649">CUN102</f>
        <v>0</v>
      </c>
      <c r="CUP105" s="1051"/>
      <c r="CUQ105" s="1051"/>
      <c r="CUR105" s="1056"/>
      <c r="CUS105" s="1157">
        <f t="shared" ref="CUS105" si="650">CUR102</f>
        <v>0</v>
      </c>
      <c r="CUT105" s="1051"/>
      <c r="CUU105" s="1051"/>
      <c r="CUV105" s="1056"/>
      <c r="CUW105" s="1157">
        <f t="shared" ref="CUW105" si="651">CUV102</f>
        <v>0</v>
      </c>
      <c r="CUX105" s="1051"/>
      <c r="CUY105" s="1051"/>
      <c r="CUZ105" s="1056"/>
      <c r="CVA105" s="1157">
        <f t="shared" ref="CVA105" si="652">CUZ102</f>
        <v>0</v>
      </c>
      <c r="CVB105" s="1051"/>
      <c r="CVC105" s="1051"/>
      <c r="CVD105" s="1056"/>
      <c r="CVE105" s="1157">
        <f t="shared" ref="CVE105" si="653">CVD102</f>
        <v>0</v>
      </c>
      <c r="CVF105" s="1051"/>
      <c r="CVG105" s="1051"/>
      <c r="CVH105" s="1056"/>
      <c r="CVI105" s="1157">
        <f t="shared" ref="CVI105" si="654">CVH102</f>
        <v>0</v>
      </c>
      <c r="CVJ105" s="1051"/>
      <c r="CVK105" s="1051"/>
      <c r="CVL105" s="1056"/>
      <c r="CVM105" s="1157">
        <f t="shared" ref="CVM105" si="655">CVL102</f>
        <v>0</v>
      </c>
      <c r="CVN105" s="1051"/>
      <c r="CVO105" s="1051"/>
      <c r="CVP105" s="1056"/>
      <c r="CVQ105" s="1157">
        <f t="shared" ref="CVQ105" si="656">CVP102</f>
        <v>0</v>
      </c>
      <c r="CVR105" s="1051"/>
      <c r="CVS105" s="1051"/>
      <c r="CVT105" s="1056"/>
      <c r="CVU105" s="1157">
        <f t="shared" ref="CVU105" si="657">CVT102</f>
        <v>0</v>
      </c>
      <c r="CVV105" s="1051"/>
      <c r="CVW105" s="1051"/>
      <c r="CVX105" s="1056"/>
      <c r="CVY105" s="1157">
        <f t="shared" ref="CVY105" si="658">CVX102</f>
        <v>0</v>
      </c>
      <c r="CVZ105" s="1051"/>
      <c r="CWA105" s="1051"/>
      <c r="CWB105" s="1056"/>
      <c r="CWC105" s="1157">
        <f t="shared" ref="CWC105" si="659">CWB102</f>
        <v>0</v>
      </c>
      <c r="CWD105" s="1051"/>
      <c r="CWE105" s="1051"/>
      <c r="CWF105" s="1056"/>
      <c r="CWG105" s="1157">
        <f t="shared" ref="CWG105" si="660">CWF102</f>
        <v>0</v>
      </c>
      <c r="CWH105" s="1051"/>
      <c r="CWI105" s="1051"/>
      <c r="CWJ105" s="1056"/>
      <c r="CWK105" s="1157">
        <f t="shared" ref="CWK105" si="661">CWJ102</f>
        <v>0</v>
      </c>
      <c r="CWL105" s="1051"/>
      <c r="CWM105" s="1051"/>
      <c r="CWN105" s="1056"/>
      <c r="CWO105" s="1157">
        <f t="shared" ref="CWO105" si="662">CWN102</f>
        <v>0</v>
      </c>
      <c r="CWP105" s="1051"/>
      <c r="CWQ105" s="1051"/>
      <c r="CWR105" s="1056"/>
      <c r="CWS105" s="1157">
        <f t="shared" ref="CWS105" si="663">CWR102</f>
        <v>0</v>
      </c>
      <c r="CWT105" s="1051"/>
      <c r="CWU105" s="1051"/>
      <c r="CWV105" s="1056"/>
      <c r="CWW105" s="1157">
        <f t="shared" ref="CWW105" si="664">CWV102</f>
        <v>0</v>
      </c>
      <c r="CWX105" s="1051"/>
      <c r="CWY105" s="1051"/>
      <c r="CWZ105" s="1056"/>
      <c r="CXA105" s="1157">
        <f t="shared" ref="CXA105" si="665">CWZ102</f>
        <v>0</v>
      </c>
      <c r="CXB105" s="1051"/>
      <c r="CXC105" s="1051"/>
      <c r="CXD105" s="1056"/>
      <c r="CXE105" s="1157">
        <f t="shared" ref="CXE105" si="666">CXD102</f>
        <v>0</v>
      </c>
      <c r="CXF105" s="1051"/>
      <c r="CXG105" s="1051"/>
      <c r="CXH105" s="1056"/>
      <c r="CXI105" s="1157">
        <f t="shared" ref="CXI105" si="667">CXH102</f>
        <v>0</v>
      </c>
      <c r="CXJ105" s="1051"/>
      <c r="CXK105" s="1051"/>
      <c r="CXL105" s="1056"/>
      <c r="CXM105" s="1157">
        <f t="shared" ref="CXM105" si="668">CXL102</f>
        <v>0</v>
      </c>
      <c r="CXN105" s="1051"/>
      <c r="CXO105" s="1051"/>
      <c r="CXP105" s="1056"/>
      <c r="CXQ105" s="1157">
        <f t="shared" ref="CXQ105" si="669">CXP102</f>
        <v>0</v>
      </c>
      <c r="CXR105" s="1051"/>
      <c r="CXS105" s="1051"/>
      <c r="CXT105" s="1056"/>
      <c r="CXU105" s="1157">
        <f t="shared" ref="CXU105" si="670">CXT102</f>
        <v>0</v>
      </c>
      <c r="CXV105" s="1051"/>
      <c r="CXW105" s="1051"/>
      <c r="CXX105" s="1056"/>
      <c r="CXY105" s="1157">
        <f t="shared" ref="CXY105" si="671">CXX102</f>
        <v>0</v>
      </c>
      <c r="CXZ105" s="1051"/>
      <c r="CYA105" s="1051"/>
      <c r="CYB105" s="1056"/>
      <c r="CYC105" s="1157">
        <f t="shared" ref="CYC105" si="672">CYB102</f>
        <v>0</v>
      </c>
      <c r="CYD105" s="1051"/>
      <c r="CYE105" s="1051"/>
      <c r="CYF105" s="1056"/>
      <c r="CYG105" s="1157">
        <f t="shared" ref="CYG105" si="673">CYF102</f>
        <v>0</v>
      </c>
      <c r="CYH105" s="1051"/>
      <c r="CYI105" s="1051"/>
      <c r="CYJ105" s="1056"/>
      <c r="CYK105" s="1157">
        <f t="shared" ref="CYK105" si="674">CYJ102</f>
        <v>0</v>
      </c>
      <c r="CYL105" s="1051"/>
      <c r="CYM105" s="1051"/>
      <c r="CYN105" s="1056"/>
      <c r="CYO105" s="1157">
        <f t="shared" ref="CYO105" si="675">CYN102</f>
        <v>0</v>
      </c>
      <c r="CYP105" s="1051"/>
      <c r="CYQ105" s="1051"/>
      <c r="CYR105" s="1056"/>
      <c r="CYS105" s="1157">
        <f t="shared" ref="CYS105" si="676">CYR102</f>
        <v>0</v>
      </c>
      <c r="CYT105" s="1051"/>
      <c r="CYU105" s="1051"/>
      <c r="CYV105" s="1056"/>
      <c r="CYW105" s="1157">
        <f t="shared" ref="CYW105" si="677">CYV102</f>
        <v>0</v>
      </c>
      <c r="CYX105" s="1051"/>
      <c r="CYY105" s="1051"/>
      <c r="CYZ105" s="1056"/>
      <c r="CZA105" s="1157">
        <f t="shared" ref="CZA105" si="678">CYZ102</f>
        <v>0</v>
      </c>
      <c r="CZB105" s="1051"/>
      <c r="CZC105" s="1051"/>
      <c r="CZD105" s="1056"/>
      <c r="CZE105" s="1157">
        <f t="shared" ref="CZE105" si="679">CZD102</f>
        <v>0</v>
      </c>
      <c r="CZF105" s="1051"/>
      <c r="CZG105" s="1051"/>
      <c r="CZH105" s="1056"/>
      <c r="CZI105" s="1157">
        <f t="shared" ref="CZI105" si="680">CZH102</f>
        <v>0</v>
      </c>
      <c r="CZJ105" s="1051"/>
      <c r="CZK105" s="1051"/>
      <c r="CZL105" s="1056"/>
      <c r="CZM105" s="1157">
        <f t="shared" ref="CZM105" si="681">CZL102</f>
        <v>0</v>
      </c>
      <c r="CZN105" s="1051"/>
      <c r="CZO105" s="1051"/>
      <c r="CZP105" s="1056"/>
      <c r="CZQ105" s="1157">
        <f t="shared" ref="CZQ105" si="682">CZP102</f>
        <v>0</v>
      </c>
      <c r="CZR105" s="1051"/>
      <c r="CZS105" s="1051"/>
      <c r="CZT105" s="1056"/>
      <c r="CZU105" s="1157">
        <f t="shared" ref="CZU105" si="683">CZT102</f>
        <v>0</v>
      </c>
      <c r="CZV105" s="1051"/>
      <c r="CZW105" s="1051"/>
      <c r="CZX105" s="1056"/>
      <c r="CZY105" s="1157">
        <f t="shared" ref="CZY105" si="684">CZX102</f>
        <v>0</v>
      </c>
      <c r="CZZ105" s="1051"/>
      <c r="DAA105" s="1051"/>
      <c r="DAB105" s="1056"/>
      <c r="DAC105" s="1157">
        <f t="shared" ref="DAC105" si="685">DAB102</f>
        <v>0</v>
      </c>
      <c r="DAD105" s="1051"/>
      <c r="DAE105" s="1051"/>
      <c r="DAF105" s="1056"/>
      <c r="DAG105" s="1157">
        <f t="shared" ref="DAG105" si="686">DAF102</f>
        <v>0</v>
      </c>
      <c r="DAH105" s="1051"/>
      <c r="DAI105" s="1051"/>
      <c r="DAJ105" s="1056"/>
      <c r="DAK105" s="1157">
        <f t="shared" ref="DAK105" si="687">DAJ102</f>
        <v>0</v>
      </c>
      <c r="DAL105" s="1051"/>
      <c r="DAM105" s="1051"/>
      <c r="DAN105" s="1056"/>
      <c r="DAO105" s="1157">
        <f t="shared" ref="DAO105" si="688">DAN102</f>
        <v>0</v>
      </c>
      <c r="DAP105" s="1051"/>
      <c r="DAQ105" s="1051"/>
      <c r="DAR105" s="1056"/>
      <c r="DAS105" s="1157">
        <f t="shared" ref="DAS105" si="689">DAR102</f>
        <v>0</v>
      </c>
      <c r="DAT105" s="1051"/>
      <c r="DAU105" s="1051"/>
      <c r="DAV105" s="1056"/>
      <c r="DAW105" s="1157">
        <f t="shared" ref="DAW105" si="690">DAV102</f>
        <v>0</v>
      </c>
      <c r="DAX105" s="1051"/>
      <c r="DAY105" s="1051"/>
      <c r="DAZ105" s="1056"/>
      <c r="DBA105" s="1157">
        <f t="shared" ref="DBA105" si="691">DAZ102</f>
        <v>0</v>
      </c>
      <c r="DBB105" s="1051"/>
      <c r="DBC105" s="1051"/>
      <c r="DBD105" s="1056"/>
      <c r="DBE105" s="1157">
        <f t="shared" ref="DBE105" si="692">DBD102</f>
        <v>0</v>
      </c>
      <c r="DBF105" s="1051"/>
      <c r="DBG105" s="1051"/>
      <c r="DBH105" s="1056"/>
      <c r="DBI105" s="1157">
        <f t="shared" ref="DBI105" si="693">DBH102</f>
        <v>0</v>
      </c>
      <c r="DBJ105" s="1051"/>
      <c r="DBK105" s="1051"/>
      <c r="DBL105" s="1056"/>
      <c r="DBM105" s="1157">
        <f t="shared" ref="DBM105" si="694">DBL102</f>
        <v>0</v>
      </c>
      <c r="DBN105" s="1051"/>
      <c r="DBO105" s="1051"/>
      <c r="DBP105" s="1056"/>
      <c r="DBQ105" s="1157">
        <f t="shared" ref="DBQ105" si="695">DBP102</f>
        <v>0</v>
      </c>
      <c r="DBR105" s="1051"/>
      <c r="DBS105" s="1051"/>
      <c r="DBT105" s="1056"/>
      <c r="DBU105" s="1157">
        <f t="shared" ref="DBU105" si="696">DBT102</f>
        <v>0</v>
      </c>
      <c r="DBV105" s="1051"/>
      <c r="DBW105" s="1051"/>
      <c r="DBX105" s="1056"/>
      <c r="DBY105" s="1157">
        <f t="shared" ref="DBY105" si="697">DBX102</f>
        <v>0</v>
      </c>
      <c r="DBZ105" s="1051"/>
      <c r="DCA105" s="1051"/>
      <c r="DCB105" s="1056"/>
      <c r="DCC105" s="1157">
        <f t="shared" ref="DCC105" si="698">DCB102</f>
        <v>0</v>
      </c>
      <c r="DCD105" s="1051"/>
      <c r="DCE105" s="1051"/>
      <c r="DCF105" s="1056"/>
      <c r="DCG105" s="1157">
        <f t="shared" ref="DCG105" si="699">DCF102</f>
        <v>0</v>
      </c>
      <c r="DCH105" s="1051"/>
      <c r="DCI105" s="1051"/>
      <c r="DCJ105" s="1056"/>
      <c r="DCK105" s="1157">
        <f t="shared" ref="DCK105" si="700">DCJ102</f>
        <v>0</v>
      </c>
      <c r="DCL105" s="1051"/>
      <c r="DCM105" s="1051"/>
      <c r="DCN105" s="1056"/>
      <c r="DCO105" s="1157">
        <f t="shared" ref="DCO105" si="701">DCN102</f>
        <v>0</v>
      </c>
      <c r="DCP105" s="1051"/>
      <c r="DCQ105" s="1051"/>
      <c r="DCR105" s="1056"/>
      <c r="DCS105" s="1157">
        <f t="shared" ref="DCS105" si="702">DCR102</f>
        <v>0</v>
      </c>
      <c r="DCT105" s="1051"/>
      <c r="DCU105" s="1051"/>
      <c r="DCV105" s="1056"/>
      <c r="DCW105" s="1157">
        <f t="shared" ref="DCW105" si="703">DCV102</f>
        <v>0</v>
      </c>
      <c r="DCX105" s="1051"/>
      <c r="DCY105" s="1051"/>
      <c r="DCZ105" s="1056"/>
      <c r="DDA105" s="1157">
        <f t="shared" ref="DDA105" si="704">DCZ102</f>
        <v>0</v>
      </c>
      <c r="DDB105" s="1051"/>
      <c r="DDC105" s="1051"/>
      <c r="DDD105" s="1056"/>
      <c r="DDE105" s="1157">
        <f t="shared" ref="DDE105" si="705">DDD102</f>
        <v>0</v>
      </c>
      <c r="DDF105" s="1051"/>
      <c r="DDG105" s="1051"/>
      <c r="DDH105" s="1056"/>
      <c r="DDI105" s="1157">
        <f t="shared" ref="DDI105" si="706">DDH102</f>
        <v>0</v>
      </c>
      <c r="DDJ105" s="1051"/>
      <c r="DDK105" s="1051"/>
      <c r="DDL105" s="1056"/>
      <c r="DDM105" s="1157">
        <f t="shared" ref="DDM105" si="707">DDL102</f>
        <v>0</v>
      </c>
      <c r="DDN105" s="1051"/>
      <c r="DDO105" s="1051"/>
      <c r="DDP105" s="1056"/>
      <c r="DDQ105" s="1157">
        <f t="shared" ref="DDQ105" si="708">DDP102</f>
        <v>0</v>
      </c>
      <c r="DDR105" s="1051"/>
      <c r="DDS105" s="1051"/>
      <c r="DDT105" s="1056"/>
      <c r="DDU105" s="1157">
        <f t="shared" ref="DDU105" si="709">DDT102</f>
        <v>0</v>
      </c>
      <c r="DDV105" s="1051"/>
      <c r="DDW105" s="1051"/>
      <c r="DDX105" s="1056"/>
      <c r="DDY105" s="1157">
        <f t="shared" ref="DDY105" si="710">DDX102</f>
        <v>0</v>
      </c>
      <c r="DDZ105" s="1051"/>
      <c r="DEA105" s="1051"/>
      <c r="DEB105" s="1056"/>
      <c r="DEC105" s="1157">
        <f t="shared" ref="DEC105" si="711">DEB102</f>
        <v>0</v>
      </c>
      <c r="DED105" s="1051"/>
      <c r="DEE105" s="1051"/>
      <c r="DEF105" s="1056"/>
      <c r="DEG105" s="1157">
        <f t="shared" ref="DEG105" si="712">DEF102</f>
        <v>0</v>
      </c>
      <c r="DEH105" s="1051"/>
      <c r="DEI105" s="1051"/>
      <c r="DEJ105" s="1056"/>
      <c r="DEK105" s="1157">
        <f t="shared" ref="DEK105" si="713">DEJ102</f>
        <v>0</v>
      </c>
      <c r="DEL105" s="1051"/>
      <c r="DEM105" s="1051"/>
      <c r="DEN105" s="1056"/>
      <c r="DEO105" s="1157">
        <f t="shared" ref="DEO105" si="714">DEN102</f>
        <v>0</v>
      </c>
      <c r="DEP105" s="1051"/>
      <c r="DEQ105" s="1051"/>
      <c r="DER105" s="1056"/>
      <c r="DES105" s="1157">
        <f t="shared" ref="DES105" si="715">DER102</f>
        <v>0</v>
      </c>
      <c r="DET105" s="1051"/>
      <c r="DEU105" s="1051"/>
      <c r="DEV105" s="1056"/>
      <c r="DEW105" s="1157">
        <f t="shared" ref="DEW105" si="716">DEV102</f>
        <v>0</v>
      </c>
      <c r="DEX105" s="1051"/>
      <c r="DEY105" s="1051"/>
      <c r="DEZ105" s="1056"/>
      <c r="DFA105" s="1157">
        <f t="shared" ref="DFA105" si="717">DEZ102</f>
        <v>0</v>
      </c>
      <c r="DFB105" s="1051"/>
      <c r="DFC105" s="1051"/>
      <c r="DFD105" s="1056"/>
      <c r="DFE105" s="1157">
        <f t="shared" ref="DFE105" si="718">DFD102</f>
        <v>0</v>
      </c>
      <c r="DFF105" s="1051"/>
      <c r="DFG105" s="1051"/>
      <c r="DFH105" s="1056"/>
      <c r="DFI105" s="1157">
        <f t="shared" ref="DFI105" si="719">DFH102</f>
        <v>0</v>
      </c>
      <c r="DFJ105" s="1051"/>
      <c r="DFK105" s="1051"/>
      <c r="DFL105" s="1056"/>
      <c r="DFM105" s="1157">
        <f t="shared" ref="DFM105" si="720">DFL102</f>
        <v>0</v>
      </c>
      <c r="DFN105" s="1051"/>
      <c r="DFO105" s="1051"/>
      <c r="DFP105" s="1056"/>
      <c r="DFQ105" s="1157">
        <f t="shared" ref="DFQ105" si="721">DFP102</f>
        <v>0</v>
      </c>
      <c r="DFR105" s="1051"/>
      <c r="DFS105" s="1051"/>
      <c r="DFT105" s="1056"/>
      <c r="DFU105" s="1157">
        <f t="shared" ref="DFU105" si="722">DFT102</f>
        <v>0</v>
      </c>
      <c r="DFV105" s="1051"/>
      <c r="DFW105" s="1051"/>
      <c r="DFX105" s="1056"/>
      <c r="DFY105" s="1157">
        <f t="shared" ref="DFY105" si="723">DFX102</f>
        <v>0</v>
      </c>
      <c r="DFZ105" s="1051"/>
      <c r="DGA105" s="1051"/>
      <c r="DGB105" s="1056"/>
      <c r="DGC105" s="1157">
        <f t="shared" ref="DGC105" si="724">DGB102</f>
        <v>0</v>
      </c>
      <c r="DGD105" s="1051"/>
      <c r="DGE105" s="1051"/>
      <c r="DGF105" s="1056"/>
      <c r="DGG105" s="1157">
        <f t="shared" ref="DGG105" si="725">DGF102</f>
        <v>0</v>
      </c>
      <c r="DGH105" s="1051"/>
      <c r="DGI105" s="1051"/>
      <c r="DGJ105" s="1056"/>
      <c r="DGK105" s="1157">
        <f t="shared" ref="DGK105" si="726">DGJ102</f>
        <v>0</v>
      </c>
      <c r="DGL105" s="1051"/>
      <c r="DGM105" s="1051"/>
      <c r="DGN105" s="1056"/>
      <c r="DGO105" s="1157">
        <f t="shared" ref="DGO105" si="727">DGN102</f>
        <v>0</v>
      </c>
      <c r="DGP105" s="1051"/>
      <c r="DGQ105" s="1051"/>
      <c r="DGR105" s="1056"/>
      <c r="DGS105" s="1157">
        <f t="shared" ref="DGS105" si="728">DGR102</f>
        <v>0</v>
      </c>
      <c r="DGT105" s="1051"/>
      <c r="DGU105" s="1051"/>
      <c r="DGV105" s="1056"/>
      <c r="DGW105" s="1157">
        <f t="shared" ref="DGW105" si="729">DGV102</f>
        <v>0</v>
      </c>
      <c r="DGX105" s="1051"/>
      <c r="DGY105" s="1051"/>
      <c r="DGZ105" s="1056"/>
      <c r="DHA105" s="1157">
        <f t="shared" ref="DHA105" si="730">DGZ102</f>
        <v>0</v>
      </c>
      <c r="DHB105" s="1051"/>
      <c r="DHC105" s="1051"/>
      <c r="DHD105" s="1056"/>
      <c r="DHE105" s="1157">
        <f t="shared" ref="DHE105" si="731">DHD102</f>
        <v>0</v>
      </c>
      <c r="DHF105" s="1051"/>
      <c r="DHG105" s="1051"/>
      <c r="DHH105" s="1056"/>
      <c r="DHI105" s="1157">
        <f t="shared" ref="DHI105" si="732">DHH102</f>
        <v>0</v>
      </c>
      <c r="DHJ105" s="1051"/>
      <c r="DHK105" s="1051"/>
      <c r="DHL105" s="1056"/>
      <c r="DHM105" s="1157">
        <f t="shared" ref="DHM105" si="733">DHL102</f>
        <v>0</v>
      </c>
      <c r="DHN105" s="1051"/>
      <c r="DHO105" s="1051"/>
      <c r="DHP105" s="1056"/>
      <c r="DHQ105" s="1157">
        <f t="shared" ref="DHQ105" si="734">DHP102</f>
        <v>0</v>
      </c>
      <c r="DHR105" s="1051"/>
      <c r="DHS105" s="1051"/>
      <c r="DHT105" s="1056"/>
      <c r="DHU105" s="1157">
        <f t="shared" ref="DHU105" si="735">DHT102</f>
        <v>0</v>
      </c>
      <c r="DHV105" s="1051"/>
      <c r="DHW105" s="1051"/>
      <c r="DHX105" s="1056"/>
      <c r="DHY105" s="1157">
        <f t="shared" ref="DHY105" si="736">DHX102</f>
        <v>0</v>
      </c>
      <c r="DHZ105" s="1051"/>
      <c r="DIA105" s="1051"/>
      <c r="DIB105" s="1056"/>
      <c r="DIC105" s="1157">
        <f t="shared" ref="DIC105" si="737">DIB102</f>
        <v>0</v>
      </c>
      <c r="DID105" s="1051"/>
      <c r="DIE105" s="1051"/>
      <c r="DIF105" s="1056"/>
      <c r="DIG105" s="1157">
        <f t="shared" ref="DIG105" si="738">DIF102</f>
        <v>0</v>
      </c>
      <c r="DIH105" s="1051"/>
      <c r="DII105" s="1051"/>
      <c r="DIJ105" s="1056"/>
      <c r="DIK105" s="1157">
        <f t="shared" ref="DIK105" si="739">DIJ102</f>
        <v>0</v>
      </c>
      <c r="DIL105" s="1051"/>
      <c r="DIM105" s="1051"/>
      <c r="DIN105" s="1056"/>
      <c r="DIO105" s="1157">
        <f t="shared" ref="DIO105" si="740">DIN102</f>
        <v>0</v>
      </c>
      <c r="DIP105" s="1051"/>
      <c r="DIQ105" s="1051"/>
      <c r="DIR105" s="1056"/>
      <c r="DIS105" s="1157">
        <f t="shared" ref="DIS105" si="741">DIR102</f>
        <v>0</v>
      </c>
      <c r="DIT105" s="1051"/>
      <c r="DIU105" s="1051"/>
      <c r="DIV105" s="1056"/>
      <c r="DIW105" s="1157">
        <f t="shared" ref="DIW105" si="742">DIV102</f>
        <v>0</v>
      </c>
      <c r="DIX105" s="1051"/>
      <c r="DIY105" s="1051"/>
      <c r="DIZ105" s="1056"/>
      <c r="DJA105" s="1157">
        <f t="shared" ref="DJA105" si="743">DIZ102</f>
        <v>0</v>
      </c>
      <c r="DJB105" s="1051"/>
      <c r="DJC105" s="1051"/>
      <c r="DJD105" s="1056"/>
      <c r="DJE105" s="1157">
        <f t="shared" ref="DJE105" si="744">DJD102</f>
        <v>0</v>
      </c>
      <c r="DJF105" s="1051"/>
      <c r="DJG105" s="1051"/>
      <c r="DJH105" s="1056"/>
      <c r="DJI105" s="1157">
        <f t="shared" ref="DJI105" si="745">DJH102</f>
        <v>0</v>
      </c>
      <c r="DJJ105" s="1051"/>
      <c r="DJK105" s="1051"/>
      <c r="DJL105" s="1056"/>
      <c r="DJM105" s="1157">
        <f t="shared" ref="DJM105" si="746">DJL102</f>
        <v>0</v>
      </c>
      <c r="DJN105" s="1051"/>
      <c r="DJO105" s="1051"/>
      <c r="DJP105" s="1056"/>
      <c r="DJQ105" s="1157">
        <f t="shared" ref="DJQ105" si="747">DJP102</f>
        <v>0</v>
      </c>
      <c r="DJR105" s="1051"/>
      <c r="DJS105" s="1051"/>
      <c r="DJT105" s="1056"/>
      <c r="DJU105" s="1157">
        <f t="shared" ref="DJU105" si="748">DJT102</f>
        <v>0</v>
      </c>
      <c r="DJV105" s="1051"/>
      <c r="DJW105" s="1051"/>
      <c r="DJX105" s="1056"/>
      <c r="DJY105" s="1157">
        <f t="shared" ref="DJY105" si="749">DJX102</f>
        <v>0</v>
      </c>
      <c r="DJZ105" s="1051"/>
      <c r="DKA105" s="1051"/>
      <c r="DKB105" s="1056"/>
      <c r="DKC105" s="1157">
        <f t="shared" ref="DKC105" si="750">DKB102</f>
        <v>0</v>
      </c>
      <c r="DKD105" s="1051"/>
      <c r="DKE105" s="1051"/>
      <c r="DKF105" s="1056"/>
      <c r="DKG105" s="1157">
        <f t="shared" ref="DKG105" si="751">DKF102</f>
        <v>0</v>
      </c>
      <c r="DKH105" s="1051"/>
      <c r="DKI105" s="1051"/>
      <c r="DKJ105" s="1056"/>
      <c r="DKK105" s="1157">
        <f t="shared" ref="DKK105" si="752">DKJ102</f>
        <v>0</v>
      </c>
      <c r="DKL105" s="1051"/>
      <c r="DKM105" s="1051"/>
      <c r="DKN105" s="1056"/>
      <c r="DKO105" s="1157">
        <f t="shared" ref="DKO105" si="753">DKN102</f>
        <v>0</v>
      </c>
      <c r="DKP105" s="1051"/>
      <c r="DKQ105" s="1051"/>
      <c r="DKR105" s="1056"/>
      <c r="DKS105" s="1157">
        <f t="shared" ref="DKS105" si="754">DKR102</f>
        <v>0</v>
      </c>
      <c r="DKT105" s="1051"/>
      <c r="DKU105" s="1051"/>
      <c r="DKV105" s="1056"/>
      <c r="DKW105" s="1157">
        <f t="shared" ref="DKW105" si="755">DKV102</f>
        <v>0</v>
      </c>
      <c r="DKX105" s="1051"/>
      <c r="DKY105" s="1051"/>
      <c r="DKZ105" s="1056"/>
      <c r="DLA105" s="1157">
        <f t="shared" ref="DLA105" si="756">DKZ102</f>
        <v>0</v>
      </c>
      <c r="DLB105" s="1051"/>
      <c r="DLC105" s="1051"/>
      <c r="DLD105" s="1056"/>
      <c r="DLE105" s="1157">
        <f t="shared" ref="DLE105" si="757">DLD102</f>
        <v>0</v>
      </c>
      <c r="DLF105" s="1051"/>
      <c r="DLG105" s="1051"/>
      <c r="DLH105" s="1056"/>
      <c r="DLI105" s="1157">
        <f t="shared" ref="DLI105" si="758">DLH102</f>
        <v>0</v>
      </c>
      <c r="DLJ105" s="1051"/>
      <c r="DLK105" s="1051"/>
      <c r="DLL105" s="1056"/>
      <c r="DLM105" s="1157">
        <f t="shared" ref="DLM105" si="759">DLL102</f>
        <v>0</v>
      </c>
      <c r="DLN105" s="1051"/>
      <c r="DLO105" s="1051"/>
      <c r="DLP105" s="1056"/>
      <c r="DLQ105" s="1157">
        <f t="shared" ref="DLQ105" si="760">DLP102</f>
        <v>0</v>
      </c>
      <c r="DLR105" s="1051"/>
      <c r="DLS105" s="1051"/>
      <c r="DLT105" s="1056"/>
      <c r="DLU105" s="1157">
        <f t="shared" ref="DLU105" si="761">DLT102</f>
        <v>0</v>
      </c>
      <c r="DLV105" s="1051"/>
      <c r="DLW105" s="1051"/>
      <c r="DLX105" s="1056"/>
      <c r="DLY105" s="1157">
        <f t="shared" ref="DLY105" si="762">DLX102</f>
        <v>0</v>
      </c>
      <c r="DLZ105" s="1051"/>
      <c r="DMA105" s="1051"/>
      <c r="DMB105" s="1056"/>
      <c r="DMC105" s="1157">
        <f t="shared" ref="DMC105" si="763">DMB102</f>
        <v>0</v>
      </c>
      <c r="DMD105" s="1051"/>
      <c r="DME105" s="1051"/>
      <c r="DMF105" s="1056"/>
      <c r="DMG105" s="1157">
        <f t="shared" ref="DMG105" si="764">DMF102</f>
        <v>0</v>
      </c>
      <c r="DMH105" s="1051"/>
      <c r="DMI105" s="1051"/>
      <c r="DMJ105" s="1056"/>
      <c r="DMK105" s="1157">
        <f t="shared" ref="DMK105" si="765">DMJ102</f>
        <v>0</v>
      </c>
      <c r="DML105" s="1051"/>
      <c r="DMM105" s="1051"/>
      <c r="DMN105" s="1056"/>
      <c r="DMO105" s="1157">
        <f t="shared" ref="DMO105" si="766">DMN102</f>
        <v>0</v>
      </c>
      <c r="DMP105" s="1051"/>
      <c r="DMQ105" s="1051"/>
      <c r="DMR105" s="1056"/>
      <c r="DMS105" s="1157">
        <f t="shared" ref="DMS105" si="767">DMR102</f>
        <v>0</v>
      </c>
      <c r="DMT105" s="1051"/>
      <c r="DMU105" s="1051"/>
      <c r="DMV105" s="1056"/>
      <c r="DMW105" s="1157">
        <f t="shared" ref="DMW105" si="768">DMV102</f>
        <v>0</v>
      </c>
      <c r="DMX105" s="1051"/>
      <c r="DMY105" s="1051"/>
      <c r="DMZ105" s="1056"/>
      <c r="DNA105" s="1157">
        <f t="shared" ref="DNA105" si="769">DMZ102</f>
        <v>0</v>
      </c>
      <c r="DNB105" s="1051"/>
      <c r="DNC105" s="1051"/>
      <c r="DND105" s="1056"/>
      <c r="DNE105" s="1157">
        <f t="shared" ref="DNE105" si="770">DND102</f>
        <v>0</v>
      </c>
      <c r="DNF105" s="1051"/>
      <c r="DNG105" s="1051"/>
      <c r="DNH105" s="1056"/>
      <c r="DNI105" s="1157">
        <f t="shared" ref="DNI105" si="771">DNH102</f>
        <v>0</v>
      </c>
      <c r="DNJ105" s="1051"/>
      <c r="DNK105" s="1051"/>
      <c r="DNL105" s="1056"/>
      <c r="DNM105" s="1157">
        <f t="shared" ref="DNM105" si="772">DNL102</f>
        <v>0</v>
      </c>
      <c r="DNN105" s="1051"/>
      <c r="DNO105" s="1051"/>
      <c r="DNP105" s="1056"/>
      <c r="DNQ105" s="1157">
        <f t="shared" ref="DNQ105" si="773">DNP102</f>
        <v>0</v>
      </c>
      <c r="DNR105" s="1051"/>
      <c r="DNS105" s="1051"/>
      <c r="DNT105" s="1056"/>
      <c r="DNU105" s="1157">
        <f t="shared" ref="DNU105" si="774">DNT102</f>
        <v>0</v>
      </c>
      <c r="DNV105" s="1051"/>
      <c r="DNW105" s="1051"/>
      <c r="DNX105" s="1056"/>
      <c r="DNY105" s="1157">
        <f t="shared" ref="DNY105" si="775">DNX102</f>
        <v>0</v>
      </c>
      <c r="DNZ105" s="1051"/>
      <c r="DOA105" s="1051"/>
      <c r="DOB105" s="1056"/>
      <c r="DOC105" s="1157">
        <f t="shared" ref="DOC105" si="776">DOB102</f>
        <v>0</v>
      </c>
      <c r="DOD105" s="1051"/>
      <c r="DOE105" s="1051"/>
      <c r="DOF105" s="1056"/>
      <c r="DOG105" s="1157">
        <f t="shared" ref="DOG105" si="777">DOF102</f>
        <v>0</v>
      </c>
      <c r="DOH105" s="1051"/>
      <c r="DOI105" s="1051"/>
      <c r="DOJ105" s="1056"/>
      <c r="DOK105" s="1157">
        <f t="shared" ref="DOK105" si="778">DOJ102</f>
        <v>0</v>
      </c>
      <c r="DOL105" s="1051"/>
      <c r="DOM105" s="1051"/>
      <c r="DON105" s="1056"/>
      <c r="DOO105" s="1157">
        <f t="shared" ref="DOO105" si="779">DON102</f>
        <v>0</v>
      </c>
      <c r="DOP105" s="1051"/>
      <c r="DOQ105" s="1051"/>
      <c r="DOR105" s="1056"/>
      <c r="DOS105" s="1157">
        <f t="shared" ref="DOS105" si="780">DOR102</f>
        <v>0</v>
      </c>
      <c r="DOT105" s="1051"/>
      <c r="DOU105" s="1051"/>
      <c r="DOV105" s="1056"/>
      <c r="DOW105" s="1157">
        <f t="shared" ref="DOW105" si="781">DOV102</f>
        <v>0</v>
      </c>
      <c r="DOX105" s="1051"/>
      <c r="DOY105" s="1051"/>
      <c r="DOZ105" s="1056"/>
      <c r="DPA105" s="1157">
        <f t="shared" ref="DPA105" si="782">DOZ102</f>
        <v>0</v>
      </c>
      <c r="DPB105" s="1051"/>
      <c r="DPC105" s="1051"/>
      <c r="DPD105" s="1056"/>
      <c r="DPE105" s="1157">
        <f t="shared" ref="DPE105" si="783">DPD102</f>
        <v>0</v>
      </c>
      <c r="DPF105" s="1051"/>
      <c r="DPG105" s="1051"/>
      <c r="DPH105" s="1056"/>
      <c r="DPI105" s="1157">
        <f t="shared" ref="DPI105" si="784">DPH102</f>
        <v>0</v>
      </c>
      <c r="DPJ105" s="1051"/>
      <c r="DPK105" s="1051"/>
      <c r="DPL105" s="1056"/>
      <c r="DPM105" s="1157">
        <f t="shared" ref="DPM105" si="785">DPL102</f>
        <v>0</v>
      </c>
      <c r="DPN105" s="1051"/>
      <c r="DPO105" s="1051"/>
      <c r="DPP105" s="1056"/>
      <c r="DPQ105" s="1157">
        <f t="shared" ref="DPQ105" si="786">DPP102</f>
        <v>0</v>
      </c>
      <c r="DPR105" s="1051"/>
      <c r="DPS105" s="1051"/>
      <c r="DPT105" s="1056"/>
      <c r="DPU105" s="1157">
        <f t="shared" ref="DPU105" si="787">DPT102</f>
        <v>0</v>
      </c>
      <c r="DPV105" s="1051"/>
      <c r="DPW105" s="1051"/>
      <c r="DPX105" s="1056"/>
      <c r="DPY105" s="1157">
        <f t="shared" ref="DPY105" si="788">DPX102</f>
        <v>0</v>
      </c>
      <c r="DPZ105" s="1051"/>
      <c r="DQA105" s="1051"/>
      <c r="DQB105" s="1056"/>
      <c r="DQC105" s="1157">
        <f t="shared" ref="DQC105" si="789">DQB102</f>
        <v>0</v>
      </c>
      <c r="DQD105" s="1051"/>
      <c r="DQE105" s="1051"/>
      <c r="DQF105" s="1056"/>
      <c r="DQG105" s="1157">
        <f t="shared" ref="DQG105" si="790">DQF102</f>
        <v>0</v>
      </c>
      <c r="DQH105" s="1051"/>
      <c r="DQI105" s="1051"/>
      <c r="DQJ105" s="1056"/>
      <c r="DQK105" s="1157">
        <f t="shared" ref="DQK105" si="791">DQJ102</f>
        <v>0</v>
      </c>
      <c r="DQL105" s="1051"/>
      <c r="DQM105" s="1051"/>
      <c r="DQN105" s="1056"/>
      <c r="DQO105" s="1157">
        <f t="shared" ref="DQO105" si="792">DQN102</f>
        <v>0</v>
      </c>
      <c r="DQP105" s="1051"/>
      <c r="DQQ105" s="1051"/>
      <c r="DQR105" s="1056"/>
      <c r="DQS105" s="1157">
        <f t="shared" ref="DQS105" si="793">DQR102</f>
        <v>0</v>
      </c>
      <c r="DQT105" s="1051"/>
      <c r="DQU105" s="1051"/>
      <c r="DQV105" s="1056"/>
      <c r="DQW105" s="1157">
        <f t="shared" ref="DQW105" si="794">DQV102</f>
        <v>0</v>
      </c>
      <c r="DQX105" s="1051"/>
      <c r="DQY105" s="1051"/>
      <c r="DQZ105" s="1056"/>
      <c r="DRA105" s="1157">
        <f t="shared" ref="DRA105" si="795">DQZ102</f>
        <v>0</v>
      </c>
      <c r="DRB105" s="1051"/>
      <c r="DRC105" s="1051"/>
      <c r="DRD105" s="1056"/>
      <c r="DRE105" s="1157">
        <f t="shared" ref="DRE105" si="796">DRD102</f>
        <v>0</v>
      </c>
      <c r="DRF105" s="1051"/>
      <c r="DRG105" s="1051"/>
      <c r="DRH105" s="1056"/>
      <c r="DRI105" s="1157">
        <f t="shared" ref="DRI105" si="797">DRH102</f>
        <v>0</v>
      </c>
      <c r="DRJ105" s="1051"/>
      <c r="DRK105" s="1051"/>
      <c r="DRL105" s="1056"/>
      <c r="DRM105" s="1157">
        <f t="shared" ref="DRM105" si="798">DRL102</f>
        <v>0</v>
      </c>
      <c r="DRN105" s="1051"/>
      <c r="DRO105" s="1051"/>
      <c r="DRP105" s="1056"/>
      <c r="DRQ105" s="1157">
        <f t="shared" ref="DRQ105" si="799">DRP102</f>
        <v>0</v>
      </c>
      <c r="DRR105" s="1051"/>
      <c r="DRS105" s="1051"/>
      <c r="DRT105" s="1056"/>
      <c r="DRU105" s="1157">
        <f t="shared" ref="DRU105" si="800">DRT102</f>
        <v>0</v>
      </c>
      <c r="DRV105" s="1051"/>
      <c r="DRW105" s="1051"/>
      <c r="DRX105" s="1056"/>
      <c r="DRY105" s="1157">
        <f t="shared" ref="DRY105" si="801">DRX102</f>
        <v>0</v>
      </c>
      <c r="DRZ105" s="1051"/>
      <c r="DSA105" s="1051"/>
      <c r="DSB105" s="1056"/>
      <c r="DSC105" s="1157">
        <f t="shared" ref="DSC105" si="802">DSB102</f>
        <v>0</v>
      </c>
      <c r="DSD105" s="1051"/>
      <c r="DSE105" s="1051"/>
      <c r="DSF105" s="1056"/>
      <c r="DSG105" s="1157">
        <f t="shared" ref="DSG105" si="803">DSF102</f>
        <v>0</v>
      </c>
      <c r="DSH105" s="1051"/>
      <c r="DSI105" s="1051"/>
      <c r="DSJ105" s="1056"/>
      <c r="DSK105" s="1157">
        <f t="shared" ref="DSK105" si="804">DSJ102</f>
        <v>0</v>
      </c>
      <c r="DSL105" s="1051"/>
      <c r="DSM105" s="1051"/>
      <c r="DSN105" s="1056"/>
      <c r="DSO105" s="1157">
        <f t="shared" ref="DSO105" si="805">DSN102</f>
        <v>0</v>
      </c>
      <c r="DSP105" s="1051"/>
      <c r="DSQ105" s="1051"/>
      <c r="DSR105" s="1056"/>
      <c r="DSS105" s="1157">
        <f t="shared" ref="DSS105" si="806">DSR102</f>
        <v>0</v>
      </c>
      <c r="DST105" s="1051"/>
      <c r="DSU105" s="1051"/>
      <c r="DSV105" s="1056"/>
      <c r="DSW105" s="1157">
        <f t="shared" ref="DSW105" si="807">DSV102</f>
        <v>0</v>
      </c>
      <c r="DSX105" s="1051"/>
      <c r="DSY105" s="1051"/>
      <c r="DSZ105" s="1056"/>
      <c r="DTA105" s="1157">
        <f t="shared" ref="DTA105" si="808">DSZ102</f>
        <v>0</v>
      </c>
      <c r="DTB105" s="1051"/>
      <c r="DTC105" s="1051"/>
      <c r="DTD105" s="1056"/>
      <c r="DTE105" s="1157">
        <f t="shared" ref="DTE105" si="809">DTD102</f>
        <v>0</v>
      </c>
      <c r="DTF105" s="1051"/>
      <c r="DTG105" s="1051"/>
      <c r="DTH105" s="1056"/>
      <c r="DTI105" s="1157">
        <f t="shared" ref="DTI105" si="810">DTH102</f>
        <v>0</v>
      </c>
      <c r="DTJ105" s="1051"/>
      <c r="DTK105" s="1051"/>
      <c r="DTL105" s="1056"/>
      <c r="DTM105" s="1157">
        <f t="shared" ref="DTM105" si="811">DTL102</f>
        <v>0</v>
      </c>
      <c r="DTN105" s="1051"/>
      <c r="DTO105" s="1051"/>
      <c r="DTP105" s="1056"/>
      <c r="DTQ105" s="1157">
        <f t="shared" ref="DTQ105" si="812">DTP102</f>
        <v>0</v>
      </c>
      <c r="DTR105" s="1051"/>
      <c r="DTS105" s="1051"/>
      <c r="DTT105" s="1056"/>
      <c r="DTU105" s="1157">
        <f t="shared" ref="DTU105" si="813">DTT102</f>
        <v>0</v>
      </c>
      <c r="DTV105" s="1051"/>
      <c r="DTW105" s="1051"/>
      <c r="DTX105" s="1056"/>
      <c r="DTY105" s="1157">
        <f t="shared" ref="DTY105" si="814">DTX102</f>
        <v>0</v>
      </c>
      <c r="DTZ105" s="1051"/>
      <c r="DUA105" s="1051"/>
      <c r="DUB105" s="1056"/>
      <c r="DUC105" s="1157">
        <f t="shared" ref="DUC105" si="815">DUB102</f>
        <v>0</v>
      </c>
      <c r="DUD105" s="1051"/>
      <c r="DUE105" s="1051"/>
      <c r="DUF105" s="1056"/>
      <c r="DUG105" s="1157">
        <f t="shared" ref="DUG105" si="816">DUF102</f>
        <v>0</v>
      </c>
      <c r="DUH105" s="1051"/>
      <c r="DUI105" s="1051"/>
      <c r="DUJ105" s="1056"/>
      <c r="DUK105" s="1157">
        <f t="shared" ref="DUK105" si="817">DUJ102</f>
        <v>0</v>
      </c>
      <c r="DUL105" s="1051"/>
      <c r="DUM105" s="1051"/>
      <c r="DUN105" s="1056"/>
      <c r="DUO105" s="1157">
        <f t="shared" ref="DUO105" si="818">DUN102</f>
        <v>0</v>
      </c>
      <c r="DUP105" s="1051"/>
      <c r="DUQ105" s="1051"/>
      <c r="DUR105" s="1056"/>
      <c r="DUS105" s="1157">
        <f t="shared" ref="DUS105" si="819">DUR102</f>
        <v>0</v>
      </c>
      <c r="DUT105" s="1051"/>
      <c r="DUU105" s="1051"/>
      <c r="DUV105" s="1056"/>
      <c r="DUW105" s="1157">
        <f t="shared" ref="DUW105" si="820">DUV102</f>
        <v>0</v>
      </c>
      <c r="DUX105" s="1051"/>
      <c r="DUY105" s="1051"/>
      <c r="DUZ105" s="1056"/>
      <c r="DVA105" s="1157">
        <f t="shared" ref="DVA105" si="821">DUZ102</f>
        <v>0</v>
      </c>
      <c r="DVB105" s="1051"/>
      <c r="DVC105" s="1051"/>
      <c r="DVD105" s="1056"/>
      <c r="DVE105" s="1157">
        <f t="shared" ref="DVE105" si="822">DVD102</f>
        <v>0</v>
      </c>
      <c r="DVF105" s="1051"/>
      <c r="DVG105" s="1051"/>
      <c r="DVH105" s="1056"/>
      <c r="DVI105" s="1157">
        <f t="shared" ref="DVI105" si="823">DVH102</f>
        <v>0</v>
      </c>
      <c r="DVJ105" s="1051"/>
      <c r="DVK105" s="1051"/>
      <c r="DVL105" s="1056"/>
      <c r="DVM105" s="1157">
        <f t="shared" ref="DVM105" si="824">DVL102</f>
        <v>0</v>
      </c>
      <c r="DVN105" s="1051"/>
      <c r="DVO105" s="1051"/>
      <c r="DVP105" s="1056"/>
      <c r="DVQ105" s="1157">
        <f t="shared" ref="DVQ105" si="825">DVP102</f>
        <v>0</v>
      </c>
      <c r="DVR105" s="1051"/>
      <c r="DVS105" s="1051"/>
      <c r="DVT105" s="1056"/>
      <c r="DVU105" s="1157">
        <f t="shared" ref="DVU105" si="826">DVT102</f>
        <v>0</v>
      </c>
      <c r="DVV105" s="1051"/>
      <c r="DVW105" s="1051"/>
      <c r="DVX105" s="1056"/>
      <c r="DVY105" s="1157">
        <f t="shared" ref="DVY105" si="827">DVX102</f>
        <v>0</v>
      </c>
      <c r="DVZ105" s="1051"/>
      <c r="DWA105" s="1051"/>
      <c r="DWB105" s="1056"/>
      <c r="DWC105" s="1157">
        <f t="shared" ref="DWC105" si="828">DWB102</f>
        <v>0</v>
      </c>
      <c r="DWD105" s="1051"/>
      <c r="DWE105" s="1051"/>
      <c r="DWF105" s="1056"/>
      <c r="DWG105" s="1157">
        <f t="shared" ref="DWG105" si="829">DWF102</f>
        <v>0</v>
      </c>
      <c r="DWH105" s="1051"/>
      <c r="DWI105" s="1051"/>
      <c r="DWJ105" s="1056"/>
      <c r="DWK105" s="1157">
        <f t="shared" ref="DWK105" si="830">DWJ102</f>
        <v>0</v>
      </c>
      <c r="DWL105" s="1051"/>
      <c r="DWM105" s="1051"/>
      <c r="DWN105" s="1056"/>
      <c r="DWO105" s="1157">
        <f t="shared" ref="DWO105" si="831">DWN102</f>
        <v>0</v>
      </c>
      <c r="DWP105" s="1051"/>
      <c r="DWQ105" s="1051"/>
      <c r="DWR105" s="1056"/>
      <c r="DWS105" s="1157">
        <f t="shared" ref="DWS105" si="832">DWR102</f>
        <v>0</v>
      </c>
      <c r="DWT105" s="1051"/>
      <c r="DWU105" s="1051"/>
      <c r="DWV105" s="1056"/>
      <c r="DWW105" s="1157">
        <f t="shared" ref="DWW105" si="833">DWV102</f>
        <v>0</v>
      </c>
      <c r="DWX105" s="1051"/>
      <c r="DWY105" s="1051"/>
      <c r="DWZ105" s="1056"/>
      <c r="DXA105" s="1157">
        <f t="shared" ref="DXA105" si="834">DWZ102</f>
        <v>0</v>
      </c>
      <c r="DXB105" s="1051"/>
      <c r="DXC105" s="1051"/>
      <c r="DXD105" s="1056"/>
      <c r="DXE105" s="1157">
        <f t="shared" ref="DXE105" si="835">DXD102</f>
        <v>0</v>
      </c>
      <c r="DXF105" s="1051"/>
      <c r="DXG105" s="1051"/>
      <c r="DXH105" s="1056"/>
      <c r="DXI105" s="1157">
        <f t="shared" ref="DXI105" si="836">DXH102</f>
        <v>0</v>
      </c>
      <c r="DXJ105" s="1051"/>
      <c r="DXK105" s="1051"/>
      <c r="DXL105" s="1056"/>
      <c r="DXM105" s="1157">
        <f t="shared" ref="DXM105" si="837">DXL102</f>
        <v>0</v>
      </c>
      <c r="DXN105" s="1051"/>
      <c r="DXO105" s="1051"/>
      <c r="DXP105" s="1056"/>
      <c r="DXQ105" s="1157">
        <f t="shared" ref="DXQ105" si="838">DXP102</f>
        <v>0</v>
      </c>
      <c r="DXR105" s="1051"/>
      <c r="DXS105" s="1051"/>
      <c r="DXT105" s="1056"/>
      <c r="DXU105" s="1157">
        <f t="shared" ref="DXU105" si="839">DXT102</f>
        <v>0</v>
      </c>
      <c r="DXV105" s="1051"/>
      <c r="DXW105" s="1051"/>
      <c r="DXX105" s="1056"/>
      <c r="DXY105" s="1157">
        <f t="shared" ref="DXY105" si="840">DXX102</f>
        <v>0</v>
      </c>
      <c r="DXZ105" s="1051"/>
      <c r="DYA105" s="1051"/>
      <c r="DYB105" s="1056"/>
      <c r="DYC105" s="1157">
        <f t="shared" ref="DYC105" si="841">DYB102</f>
        <v>0</v>
      </c>
      <c r="DYD105" s="1051"/>
      <c r="DYE105" s="1051"/>
      <c r="DYF105" s="1056"/>
      <c r="DYG105" s="1157">
        <f t="shared" ref="DYG105" si="842">DYF102</f>
        <v>0</v>
      </c>
      <c r="DYH105" s="1051"/>
      <c r="DYI105" s="1051"/>
      <c r="DYJ105" s="1056"/>
      <c r="DYK105" s="1157">
        <f t="shared" ref="DYK105" si="843">DYJ102</f>
        <v>0</v>
      </c>
      <c r="DYL105" s="1051"/>
      <c r="DYM105" s="1051"/>
      <c r="DYN105" s="1056"/>
      <c r="DYO105" s="1157">
        <f t="shared" ref="DYO105" si="844">DYN102</f>
        <v>0</v>
      </c>
      <c r="DYP105" s="1051"/>
      <c r="DYQ105" s="1051"/>
      <c r="DYR105" s="1056"/>
      <c r="DYS105" s="1157">
        <f t="shared" ref="DYS105" si="845">DYR102</f>
        <v>0</v>
      </c>
      <c r="DYT105" s="1051"/>
      <c r="DYU105" s="1051"/>
      <c r="DYV105" s="1056"/>
      <c r="DYW105" s="1157">
        <f t="shared" ref="DYW105" si="846">DYV102</f>
        <v>0</v>
      </c>
      <c r="DYX105" s="1051"/>
      <c r="DYY105" s="1051"/>
      <c r="DYZ105" s="1056"/>
      <c r="DZA105" s="1157">
        <f t="shared" ref="DZA105" si="847">DYZ102</f>
        <v>0</v>
      </c>
      <c r="DZB105" s="1051"/>
      <c r="DZC105" s="1051"/>
      <c r="DZD105" s="1056"/>
      <c r="DZE105" s="1157">
        <f t="shared" ref="DZE105" si="848">DZD102</f>
        <v>0</v>
      </c>
      <c r="DZF105" s="1051"/>
      <c r="DZG105" s="1051"/>
      <c r="DZH105" s="1056"/>
      <c r="DZI105" s="1157">
        <f t="shared" ref="DZI105" si="849">DZH102</f>
        <v>0</v>
      </c>
      <c r="DZJ105" s="1051"/>
      <c r="DZK105" s="1051"/>
      <c r="DZL105" s="1056"/>
      <c r="DZM105" s="1157">
        <f t="shared" ref="DZM105" si="850">DZL102</f>
        <v>0</v>
      </c>
      <c r="DZN105" s="1051"/>
      <c r="DZO105" s="1051"/>
      <c r="DZP105" s="1056"/>
      <c r="DZQ105" s="1157">
        <f t="shared" ref="DZQ105" si="851">DZP102</f>
        <v>0</v>
      </c>
      <c r="DZR105" s="1051"/>
      <c r="DZS105" s="1051"/>
      <c r="DZT105" s="1056"/>
      <c r="DZU105" s="1157">
        <f t="shared" ref="DZU105" si="852">DZT102</f>
        <v>0</v>
      </c>
      <c r="DZV105" s="1051"/>
      <c r="DZW105" s="1051"/>
      <c r="DZX105" s="1056"/>
      <c r="DZY105" s="1157">
        <f t="shared" ref="DZY105" si="853">DZX102</f>
        <v>0</v>
      </c>
      <c r="DZZ105" s="1051"/>
      <c r="EAA105" s="1051"/>
      <c r="EAB105" s="1056"/>
      <c r="EAC105" s="1157">
        <f t="shared" ref="EAC105" si="854">EAB102</f>
        <v>0</v>
      </c>
      <c r="EAD105" s="1051"/>
      <c r="EAE105" s="1051"/>
      <c r="EAF105" s="1056"/>
      <c r="EAG105" s="1157">
        <f t="shared" ref="EAG105" si="855">EAF102</f>
        <v>0</v>
      </c>
      <c r="EAH105" s="1051"/>
      <c r="EAI105" s="1051"/>
      <c r="EAJ105" s="1056"/>
      <c r="EAK105" s="1157">
        <f t="shared" ref="EAK105" si="856">EAJ102</f>
        <v>0</v>
      </c>
      <c r="EAL105" s="1051"/>
      <c r="EAM105" s="1051"/>
      <c r="EAN105" s="1056"/>
      <c r="EAO105" s="1157">
        <f t="shared" ref="EAO105" si="857">EAN102</f>
        <v>0</v>
      </c>
      <c r="EAP105" s="1051"/>
      <c r="EAQ105" s="1051"/>
      <c r="EAR105" s="1056"/>
      <c r="EAS105" s="1157">
        <f t="shared" ref="EAS105" si="858">EAR102</f>
        <v>0</v>
      </c>
      <c r="EAT105" s="1051"/>
      <c r="EAU105" s="1051"/>
      <c r="EAV105" s="1056"/>
      <c r="EAW105" s="1157">
        <f t="shared" ref="EAW105" si="859">EAV102</f>
        <v>0</v>
      </c>
      <c r="EAX105" s="1051"/>
      <c r="EAY105" s="1051"/>
      <c r="EAZ105" s="1056"/>
      <c r="EBA105" s="1157">
        <f t="shared" ref="EBA105" si="860">EAZ102</f>
        <v>0</v>
      </c>
      <c r="EBB105" s="1051"/>
      <c r="EBC105" s="1051"/>
      <c r="EBD105" s="1056"/>
      <c r="EBE105" s="1157">
        <f t="shared" ref="EBE105" si="861">EBD102</f>
        <v>0</v>
      </c>
      <c r="EBF105" s="1051"/>
      <c r="EBG105" s="1051"/>
      <c r="EBH105" s="1056"/>
      <c r="EBI105" s="1157">
        <f t="shared" ref="EBI105" si="862">EBH102</f>
        <v>0</v>
      </c>
      <c r="EBJ105" s="1051"/>
      <c r="EBK105" s="1051"/>
      <c r="EBL105" s="1056"/>
      <c r="EBM105" s="1157">
        <f t="shared" ref="EBM105" si="863">EBL102</f>
        <v>0</v>
      </c>
      <c r="EBN105" s="1051"/>
      <c r="EBO105" s="1051"/>
      <c r="EBP105" s="1056"/>
      <c r="EBQ105" s="1157">
        <f t="shared" ref="EBQ105" si="864">EBP102</f>
        <v>0</v>
      </c>
      <c r="EBR105" s="1051"/>
      <c r="EBS105" s="1051"/>
      <c r="EBT105" s="1056"/>
      <c r="EBU105" s="1157">
        <f t="shared" ref="EBU105" si="865">EBT102</f>
        <v>0</v>
      </c>
      <c r="EBV105" s="1051"/>
      <c r="EBW105" s="1051"/>
      <c r="EBX105" s="1056"/>
      <c r="EBY105" s="1157">
        <f t="shared" ref="EBY105" si="866">EBX102</f>
        <v>0</v>
      </c>
      <c r="EBZ105" s="1051"/>
      <c r="ECA105" s="1051"/>
      <c r="ECB105" s="1056"/>
      <c r="ECC105" s="1157">
        <f t="shared" ref="ECC105" si="867">ECB102</f>
        <v>0</v>
      </c>
      <c r="ECD105" s="1051"/>
      <c r="ECE105" s="1051"/>
      <c r="ECF105" s="1056"/>
      <c r="ECG105" s="1157">
        <f t="shared" ref="ECG105" si="868">ECF102</f>
        <v>0</v>
      </c>
      <c r="ECH105" s="1051"/>
      <c r="ECI105" s="1051"/>
      <c r="ECJ105" s="1056"/>
      <c r="ECK105" s="1157">
        <f t="shared" ref="ECK105" si="869">ECJ102</f>
        <v>0</v>
      </c>
      <c r="ECL105" s="1051"/>
      <c r="ECM105" s="1051"/>
      <c r="ECN105" s="1056"/>
      <c r="ECO105" s="1157">
        <f t="shared" ref="ECO105" si="870">ECN102</f>
        <v>0</v>
      </c>
      <c r="ECP105" s="1051"/>
      <c r="ECQ105" s="1051"/>
      <c r="ECR105" s="1056"/>
      <c r="ECS105" s="1157">
        <f t="shared" ref="ECS105" si="871">ECR102</f>
        <v>0</v>
      </c>
      <c r="ECT105" s="1051"/>
      <c r="ECU105" s="1051"/>
      <c r="ECV105" s="1056"/>
      <c r="ECW105" s="1157">
        <f t="shared" ref="ECW105" si="872">ECV102</f>
        <v>0</v>
      </c>
      <c r="ECX105" s="1051"/>
      <c r="ECY105" s="1051"/>
      <c r="ECZ105" s="1056"/>
      <c r="EDA105" s="1157">
        <f t="shared" ref="EDA105" si="873">ECZ102</f>
        <v>0</v>
      </c>
      <c r="EDB105" s="1051"/>
      <c r="EDC105" s="1051"/>
      <c r="EDD105" s="1056"/>
      <c r="EDE105" s="1157">
        <f t="shared" ref="EDE105" si="874">EDD102</f>
        <v>0</v>
      </c>
      <c r="EDF105" s="1051"/>
      <c r="EDG105" s="1051"/>
      <c r="EDH105" s="1056"/>
      <c r="EDI105" s="1157">
        <f t="shared" ref="EDI105" si="875">EDH102</f>
        <v>0</v>
      </c>
      <c r="EDJ105" s="1051"/>
      <c r="EDK105" s="1051"/>
      <c r="EDL105" s="1056"/>
      <c r="EDM105" s="1157">
        <f t="shared" ref="EDM105" si="876">EDL102</f>
        <v>0</v>
      </c>
      <c r="EDN105" s="1051"/>
      <c r="EDO105" s="1051"/>
      <c r="EDP105" s="1056"/>
      <c r="EDQ105" s="1157">
        <f t="shared" ref="EDQ105" si="877">EDP102</f>
        <v>0</v>
      </c>
      <c r="EDR105" s="1051"/>
      <c r="EDS105" s="1051"/>
      <c r="EDT105" s="1056"/>
      <c r="EDU105" s="1157">
        <f t="shared" ref="EDU105" si="878">EDT102</f>
        <v>0</v>
      </c>
      <c r="EDV105" s="1051"/>
      <c r="EDW105" s="1051"/>
      <c r="EDX105" s="1056"/>
      <c r="EDY105" s="1157">
        <f t="shared" ref="EDY105" si="879">EDX102</f>
        <v>0</v>
      </c>
      <c r="EDZ105" s="1051"/>
      <c r="EEA105" s="1051"/>
      <c r="EEB105" s="1056"/>
      <c r="EEC105" s="1157">
        <f t="shared" ref="EEC105" si="880">EEB102</f>
        <v>0</v>
      </c>
      <c r="EED105" s="1051"/>
      <c r="EEE105" s="1051"/>
      <c r="EEF105" s="1056"/>
      <c r="EEG105" s="1157">
        <f t="shared" ref="EEG105" si="881">EEF102</f>
        <v>0</v>
      </c>
      <c r="EEH105" s="1051"/>
      <c r="EEI105" s="1051"/>
      <c r="EEJ105" s="1056"/>
      <c r="EEK105" s="1157">
        <f t="shared" ref="EEK105" si="882">EEJ102</f>
        <v>0</v>
      </c>
      <c r="EEL105" s="1051"/>
      <c r="EEM105" s="1051"/>
      <c r="EEN105" s="1056"/>
      <c r="EEO105" s="1157">
        <f t="shared" ref="EEO105" si="883">EEN102</f>
        <v>0</v>
      </c>
      <c r="EEP105" s="1051"/>
      <c r="EEQ105" s="1051"/>
      <c r="EER105" s="1056"/>
      <c r="EES105" s="1157">
        <f t="shared" ref="EES105" si="884">EER102</f>
        <v>0</v>
      </c>
      <c r="EET105" s="1051"/>
      <c r="EEU105" s="1051"/>
      <c r="EEV105" s="1056"/>
      <c r="EEW105" s="1157">
        <f t="shared" ref="EEW105" si="885">EEV102</f>
        <v>0</v>
      </c>
      <c r="EEX105" s="1051"/>
      <c r="EEY105" s="1051"/>
      <c r="EEZ105" s="1056"/>
      <c r="EFA105" s="1157">
        <f t="shared" ref="EFA105" si="886">EEZ102</f>
        <v>0</v>
      </c>
      <c r="EFB105" s="1051"/>
      <c r="EFC105" s="1051"/>
      <c r="EFD105" s="1056"/>
      <c r="EFE105" s="1157">
        <f t="shared" ref="EFE105" si="887">EFD102</f>
        <v>0</v>
      </c>
      <c r="EFF105" s="1051"/>
      <c r="EFG105" s="1051"/>
      <c r="EFH105" s="1056"/>
      <c r="EFI105" s="1157">
        <f t="shared" ref="EFI105" si="888">EFH102</f>
        <v>0</v>
      </c>
      <c r="EFJ105" s="1051"/>
      <c r="EFK105" s="1051"/>
      <c r="EFL105" s="1056"/>
      <c r="EFM105" s="1157">
        <f t="shared" ref="EFM105" si="889">EFL102</f>
        <v>0</v>
      </c>
      <c r="EFN105" s="1051"/>
      <c r="EFO105" s="1051"/>
      <c r="EFP105" s="1056"/>
      <c r="EFQ105" s="1157">
        <f t="shared" ref="EFQ105" si="890">EFP102</f>
        <v>0</v>
      </c>
      <c r="EFR105" s="1051"/>
      <c r="EFS105" s="1051"/>
      <c r="EFT105" s="1056"/>
      <c r="EFU105" s="1157">
        <f t="shared" ref="EFU105" si="891">EFT102</f>
        <v>0</v>
      </c>
      <c r="EFV105" s="1051"/>
      <c r="EFW105" s="1051"/>
      <c r="EFX105" s="1056"/>
      <c r="EFY105" s="1157">
        <f t="shared" ref="EFY105" si="892">EFX102</f>
        <v>0</v>
      </c>
      <c r="EFZ105" s="1051"/>
      <c r="EGA105" s="1051"/>
      <c r="EGB105" s="1056"/>
      <c r="EGC105" s="1157">
        <f t="shared" ref="EGC105" si="893">EGB102</f>
        <v>0</v>
      </c>
      <c r="EGD105" s="1051"/>
      <c r="EGE105" s="1051"/>
      <c r="EGF105" s="1056"/>
      <c r="EGG105" s="1157">
        <f t="shared" ref="EGG105" si="894">EGF102</f>
        <v>0</v>
      </c>
      <c r="EGH105" s="1051"/>
      <c r="EGI105" s="1051"/>
      <c r="EGJ105" s="1056"/>
      <c r="EGK105" s="1157">
        <f t="shared" ref="EGK105" si="895">EGJ102</f>
        <v>0</v>
      </c>
      <c r="EGL105" s="1051"/>
      <c r="EGM105" s="1051"/>
      <c r="EGN105" s="1056"/>
      <c r="EGO105" s="1157">
        <f t="shared" ref="EGO105" si="896">EGN102</f>
        <v>0</v>
      </c>
      <c r="EGP105" s="1051"/>
      <c r="EGQ105" s="1051"/>
      <c r="EGR105" s="1056"/>
      <c r="EGS105" s="1157">
        <f t="shared" ref="EGS105" si="897">EGR102</f>
        <v>0</v>
      </c>
      <c r="EGT105" s="1051"/>
      <c r="EGU105" s="1051"/>
      <c r="EGV105" s="1056"/>
      <c r="EGW105" s="1157">
        <f t="shared" ref="EGW105" si="898">EGV102</f>
        <v>0</v>
      </c>
      <c r="EGX105" s="1051"/>
      <c r="EGY105" s="1051"/>
      <c r="EGZ105" s="1056"/>
      <c r="EHA105" s="1157">
        <f t="shared" ref="EHA105" si="899">EGZ102</f>
        <v>0</v>
      </c>
      <c r="EHB105" s="1051"/>
      <c r="EHC105" s="1051"/>
      <c r="EHD105" s="1056"/>
      <c r="EHE105" s="1157">
        <f t="shared" ref="EHE105" si="900">EHD102</f>
        <v>0</v>
      </c>
      <c r="EHF105" s="1051"/>
      <c r="EHG105" s="1051"/>
      <c r="EHH105" s="1056"/>
      <c r="EHI105" s="1157">
        <f t="shared" ref="EHI105" si="901">EHH102</f>
        <v>0</v>
      </c>
      <c r="EHJ105" s="1051"/>
      <c r="EHK105" s="1051"/>
      <c r="EHL105" s="1056"/>
      <c r="EHM105" s="1157">
        <f t="shared" ref="EHM105" si="902">EHL102</f>
        <v>0</v>
      </c>
      <c r="EHN105" s="1051"/>
      <c r="EHO105" s="1051"/>
      <c r="EHP105" s="1056"/>
      <c r="EHQ105" s="1157">
        <f t="shared" ref="EHQ105" si="903">EHP102</f>
        <v>0</v>
      </c>
      <c r="EHR105" s="1051"/>
      <c r="EHS105" s="1051"/>
      <c r="EHT105" s="1056"/>
      <c r="EHU105" s="1157">
        <f t="shared" ref="EHU105" si="904">EHT102</f>
        <v>0</v>
      </c>
      <c r="EHV105" s="1051"/>
      <c r="EHW105" s="1051"/>
      <c r="EHX105" s="1056"/>
      <c r="EHY105" s="1157">
        <f t="shared" ref="EHY105" si="905">EHX102</f>
        <v>0</v>
      </c>
      <c r="EHZ105" s="1051"/>
      <c r="EIA105" s="1051"/>
      <c r="EIB105" s="1056"/>
      <c r="EIC105" s="1157">
        <f t="shared" ref="EIC105" si="906">EIB102</f>
        <v>0</v>
      </c>
      <c r="EID105" s="1051"/>
      <c r="EIE105" s="1051"/>
      <c r="EIF105" s="1056"/>
      <c r="EIG105" s="1157">
        <f t="shared" ref="EIG105" si="907">EIF102</f>
        <v>0</v>
      </c>
      <c r="EIH105" s="1051"/>
      <c r="EII105" s="1051"/>
      <c r="EIJ105" s="1056"/>
      <c r="EIK105" s="1157">
        <f t="shared" ref="EIK105" si="908">EIJ102</f>
        <v>0</v>
      </c>
      <c r="EIL105" s="1051"/>
      <c r="EIM105" s="1051"/>
      <c r="EIN105" s="1056"/>
      <c r="EIO105" s="1157">
        <f t="shared" ref="EIO105" si="909">EIN102</f>
        <v>0</v>
      </c>
      <c r="EIP105" s="1051"/>
      <c r="EIQ105" s="1051"/>
      <c r="EIR105" s="1056"/>
      <c r="EIS105" s="1157">
        <f t="shared" ref="EIS105" si="910">EIR102</f>
        <v>0</v>
      </c>
      <c r="EIT105" s="1051"/>
      <c r="EIU105" s="1051"/>
      <c r="EIV105" s="1056"/>
      <c r="EIW105" s="1157">
        <f t="shared" ref="EIW105" si="911">EIV102</f>
        <v>0</v>
      </c>
      <c r="EIX105" s="1051"/>
      <c r="EIY105" s="1051"/>
      <c r="EIZ105" s="1056"/>
      <c r="EJA105" s="1157">
        <f t="shared" ref="EJA105" si="912">EIZ102</f>
        <v>0</v>
      </c>
      <c r="EJB105" s="1051"/>
      <c r="EJC105" s="1051"/>
      <c r="EJD105" s="1056"/>
      <c r="EJE105" s="1157">
        <f t="shared" ref="EJE105" si="913">EJD102</f>
        <v>0</v>
      </c>
      <c r="EJF105" s="1051"/>
      <c r="EJG105" s="1051"/>
      <c r="EJH105" s="1056"/>
      <c r="EJI105" s="1157">
        <f t="shared" ref="EJI105" si="914">EJH102</f>
        <v>0</v>
      </c>
      <c r="EJJ105" s="1051"/>
      <c r="EJK105" s="1051"/>
      <c r="EJL105" s="1056"/>
      <c r="EJM105" s="1157">
        <f t="shared" ref="EJM105" si="915">EJL102</f>
        <v>0</v>
      </c>
      <c r="EJN105" s="1051"/>
      <c r="EJO105" s="1051"/>
      <c r="EJP105" s="1056"/>
      <c r="EJQ105" s="1157">
        <f t="shared" ref="EJQ105" si="916">EJP102</f>
        <v>0</v>
      </c>
      <c r="EJR105" s="1051"/>
      <c r="EJS105" s="1051"/>
      <c r="EJT105" s="1056"/>
      <c r="EJU105" s="1157">
        <f t="shared" ref="EJU105" si="917">EJT102</f>
        <v>0</v>
      </c>
      <c r="EJV105" s="1051"/>
      <c r="EJW105" s="1051"/>
      <c r="EJX105" s="1056"/>
      <c r="EJY105" s="1157">
        <f t="shared" ref="EJY105" si="918">EJX102</f>
        <v>0</v>
      </c>
      <c r="EJZ105" s="1051"/>
      <c r="EKA105" s="1051"/>
      <c r="EKB105" s="1056"/>
      <c r="EKC105" s="1157">
        <f t="shared" ref="EKC105" si="919">EKB102</f>
        <v>0</v>
      </c>
      <c r="EKD105" s="1051"/>
      <c r="EKE105" s="1051"/>
      <c r="EKF105" s="1056"/>
      <c r="EKG105" s="1157">
        <f t="shared" ref="EKG105" si="920">EKF102</f>
        <v>0</v>
      </c>
      <c r="EKH105" s="1051"/>
      <c r="EKI105" s="1051"/>
      <c r="EKJ105" s="1056"/>
      <c r="EKK105" s="1157">
        <f t="shared" ref="EKK105" si="921">EKJ102</f>
        <v>0</v>
      </c>
      <c r="EKL105" s="1051"/>
      <c r="EKM105" s="1051"/>
      <c r="EKN105" s="1056"/>
      <c r="EKO105" s="1157">
        <f t="shared" ref="EKO105" si="922">EKN102</f>
        <v>0</v>
      </c>
      <c r="EKP105" s="1051"/>
      <c r="EKQ105" s="1051"/>
      <c r="EKR105" s="1056"/>
      <c r="EKS105" s="1157">
        <f t="shared" ref="EKS105" si="923">EKR102</f>
        <v>0</v>
      </c>
      <c r="EKT105" s="1051"/>
      <c r="EKU105" s="1051"/>
      <c r="EKV105" s="1056"/>
      <c r="EKW105" s="1157">
        <f t="shared" ref="EKW105" si="924">EKV102</f>
        <v>0</v>
      </c>
      <c r="EKX105" s="1051"/>
      <c r="EKY105" s="1051"/>
      <c r="EKZ105" s="1056"/>
      <c r="ELA105" s="1157">
        <f t="shared" ref="ELA105" si="925">EKZ102</f>
        <v>0</v>
      </c>
      <c r="ELB105" s="1051"/>
      <c r="ELC105" s="1051"/>
      <c r="ELD105" s="1056"/>
      <c r="ELE105" s="1157">
        <f t="shared" ref="ELE105" si="926">ELD102</f>
        <v>0</v>
      </c>
      <c r="ELF105" s="1051"/>
      <c r="ELG105" s="1051"/>
      <c r="ELH105" s="1056"/>
      <c r="ELI105" s="1157">
        <f t="shared" ref="ELI105" si="927">ELH102</f>
        <v>0</v>
      </c>
      <c r="ELJ105" s="1051"/>
      <c r="ELK105" s="1051"/>
      <c r="ELL105" s="1056"/>
      <c r="ELM105" s="1157">
        <f t="shared" ref="ELM105" si="928">ELL102</f>
        <v>0</v>
      </c>
      <c r="ELN105" s="1051"/>
      <c r="ELO105" s="1051"/>
      <c r="ELP105" s="1056"/>
      <c r="ELQ105" s="1157">
        <f t="shared" ref="ELQ105" si="929">ELP102</f>
        <v>0</v>
      </c>
      <c r="ELR105" s="1051"/>
      <c r="ELS105" s="1051"/>
      <c r="ELT105" s="1056"/>
      <c r="ELU105" s="1157">
        <f t="shared" ref="ELU105" si="930">ELT102</f>
        <v>0</v>
      </c>
      <c r="ELV105" s="1051"/>
      <c r="ELW105" s="1051"/>
      <c r="ELX105" s="1056"/>
      <c r="ELY105" s="1157">
        <f t="shared" ref="ELY105" si="931">ELX102</f>
        <v>0</v>
      </c>
      <c r="ELZ105" s="1051"/>
      <c r="EMA105" s="1051"/>
      <c r="EMB105" s="1056"/>
      <c r="EMC105" s="1157">
        <f t="shared" ref="EMC105" si="932">EMB102</f>
        <v>0</v>
      </c>
      <c r="EMD105" s="1051"/>
      <c r="EME105" s="1051"/>
      <c r="EMF105" s="1056"/>
      <c r="EMG105" s="1157">
        <f t="shared" ref="EMG105" si="933">EMF102</f>
        <v>0</v>
      </c>
      <c r="EMH105" s="1051"/>
      <c r="EMI105" s="1051"/>
      <c r="EMJ105" s="1056"/>
      <c r="EMK105" s="1157">
        <f t="shared" ref="EMK105" si="934">EMJ102</f>
        <v>0</v>
      </c>
      <c r="EML105" s="1051"/>
      <c r="EMM105" s="1051"/>
      <c r="EMN105" s="1056"/>
      <c r="EMO105" s="1157">
        <f t="shared" ref="EMO105" si="935">EMN102</f>
        <v>0</v>
      </c>
      <c r="EMP105" s="1051"/>
      <c r="EMQ105" s="1051"/>
      <c r="EMR105" s="1056"/>
      <c r="EMS105" s="1157">
        <f t="shared" ref="EMS105" si="936">EMR102</f>
        <v>0</v>
      </c>
      <c r="EMT105" s="1051"/>
      <c r="EMU105" s="1051"/>
      <c r="EMV105" s="1056"/>
      <c r="EMW105" s="1157">
        <f t="shared" ref="EMW105" si="937">EMV102</f>
        <v>0</v>
      </c>
      <c r="EMX105" s="1051"/>
      <c r="EMY105" s="1051"/>
      <c r="EMZ105" s="1056"/>
      <c r="ENA105" s="1157">
        <f t="shared" ref="ENA105" si="938">EMZ102</f>
        <v>0</v>
      </c>
      <c r="ENB105" s="1051"/>
      <c r="ENC105" s="1051"/>
      <c r="END105" s="1056"/>
      <c r="ENE105" s="1157">
        <f t="shared" ref="ENE105" si="939">END102</f>
        <v>0</v>
      </c>
      <c r="ENF105" s="1051"/>
      <c r="ENG105" s="1051"/>
      <c r="ENH105" s="1056"/>
      <c r="ENI105" s="1157">
        <f t="shared" ref="ENI105" si="940">ENH102</f>
        <v>0</v>
      </c>
      <c r="ENJ105" s="1051"/>
      <c r="ENK105" s="1051"/>
      <c r="ENL105" s="1056"/>
      <c r="ENM105" s="1157">
        <f t="shared" ref="ENM105" si="941">ENL102</f>
        <v>0</v>
      </c>
      <c r="ENN105" s="1051"/>
      <c r="ENO105" s="1051"/>
      <c r="ENP105" s="1056"/>
      <c r="ENQ105" s="1157">
        <f t="shared" ref="ENQ105" si="942">ENP102</f>
        <v>0</v>
      </c>
      <c r="ENR105" s="1051"/>
      <c r="ENS105" s="1051"/>
      <c r="ENT105" s="1056"/>
      <c r="ENU105" s="1157">
        <f t="shared" ref="ENU105" si="943">ENT102</f>
        <v>0</v>
      </c>
      <c r="ENV105" s="1051"/>
      <c r="ENW105" s="1051"/>
      <c r="ENX105" s="1056"/>
      <c r="ENY105" s="1157">
        <f t="shared" ref="ENY105" si="944">ENX102</f>
        <v>0</v>
      </c>
      <c r="ENZ105" s="1051"/>
      <c r="EOA105" s="1051"/>
      <c r="EOB105" s="1056"/>
      <c r="EOC105" s="1157">
        <f t="shared" ref="EOC105" si="945">EOB102</f>
        <v>0</v>
      </c>
      <c r="EOD105" s="1051"/>
      <c r="EOE105" s="1051"/>
      <c r="EOF105" s="1056"/>
      <c r="EOG105" s="1157">
        <f t="shared" ref="EOG105" si="946">EOF102</f>
        <v>0</v>
      </c>
      <c r="EOH105" s="1051"/>
      <c r="EOI105" s="1051"/>
      <c r="EOJ105" s="1056"/>
      <c r="EOK105" s="1157">
        <f t="shared" ref="EOK105" si="947">EOJ102</f>
        <v>0</v>
      </c>
      <c r="EOL105" s="1051"/>
      <c r="EOM105" s="1051"/>
      <c r="EON105" s="1056"/>
      <c r="EOO105" s="1157">
        <f t="shared" ref="EOO105" si="948">EON102</f>
        <v>0</v>
      </c>
      <c r="EOP105" s="1051"/>
      <c r="EOQ105" s="1051"/>
      <c r="EOR105" s="1056"/>
      <c r="EOS105" s="1157">
        <f t="shared" ref="EOS105" si="949">EOR102</f>
        <v>0</v>
      </c>
      <c r="EOT105" s="1051"/>
      <c r="EOU105" s="1051"/>
      <c r="EOV105" s="1056"/>
      <c r="EOW105" s="1157">
        <f t="shared" ref="EOW105" si="950">EOV102</f>
        <v>0</v>
      </c>
      <c r="EOX105" s="1051"/>
      <c r="EOY105" s="1051"/>
      <c r="EOZ105" s="1056"/>
      <c r="EPA105" s="1157">
        <f t="shared" ref="EPA105" si="951">EOZ102</f>
        <v>0</v>
      </c>
      <c r="EPB105" s="1051"/>
      <c r="EPC105" s="1051"/>
      <c r="EPD105" s="1056"/>
      <c r="EPE105" s="1157">
        <f t="shared" ref="EPE105" si="952">EPD102</f>
        <v>0</v>
      </c>
      <c r="EPF105" s="1051"/>
      <c r="EPG105" s="1051"/>
      <c r="EPH105" s="1056"/>
      <c r="EPI105" s="1157">
        <f t="shared" ref="EPI105" si="953">EPH102</f>
        <v>0</v>
      </c>
      <c r="EPJ105" s="1051"/>
      <c r="EPK105" s="1051"/>
      <c r="EPL105" s="1056"/>
      <c r="EPM105" s="1157">
        <f t="shared" ref="EPM105" si="954">EPL102</f>
        <v>0</v>
      </c>
      <c r="EPN105" s="1051"/>
      <c r="EPO105" s="1051"/>
      <c r="EPP105" s="1056"/>
      <c r="EPQ105" s="1157">
        <f t="shared" ref="EPQ105" si="955">EPP102</f>
        <v>0</v>
      </c>
      <c r="EPR105" s="1051"/>
      <c r="EPS105" s="1051"/>
      <c r="EPT105" s="1056"/>
      <c r="EPU105" s="1157">
        <f t="shared" ref="EPU105" si="956">EPT102</f>
        <v>0</v>
      </c>
      <c r="EPV105" s="1051"/>
      <c r="EPW105" s="1051"/>
      <c r="EPX105" s="1056"/>
      <c r="EPY105" s="1157">
        <f t="shared" ref="EPY105" si="957">EPX102</f>
        <v>0</v>
      </c>
      <c r="EPZ105" s="1051"/>
      <c r="EQA105" s="1051"/>
      <c r="EQB105" s="1056"/>
      <c r="EQC105" s="1157">
        <f t="shared" ref="EQC105" si="958">EQB102</f>
        <v>0</v>
      </c>
      <c r="EQD105" s="1051"/>
      <c r="EQE105" s="1051"/>
      <c r="EQF105" s="1056"/>
      <c r="EQG105" s="1157">
        <f t="shared" ref="EQG105" si="959">EQF102</f>
        <v>0</v>
      </c>
      <c r="EQH105" s="1051"/>
      <c r="EQI105" s="1051"/>
      <c r="EQJ105" s="1056"/>
      <c r="EQK105" s="1157">
        <f t="shared" ref="EQK105" si="960">EQJ102</f>
        <v>0</v>
      </c>
      <c r="EQL105" s="1051"/>
      <c r="EQM105" s="1051"/>
      <c r="EQN105" s="1056"/>
      <c r="EQO105" s="1157">
        <f t="shared" ref="EQO105" si="961">EQN102</f>
        <v>0</v>
      </c>
      <c r="EQP105" s="1051"/>
      <c r="EQQ105" s="1051"/>
      <c r="EQR105" s="1056"/>
      <c r="EQS105" s="1157">
        <f t="shared" ref="EQS105" si="962">EQR102</f>
        <v>0</v>
      </c>
      <c r="EQT105" s="1051"/>
      <c r="EQU105" s="1051"/>
      <c r="EQV105" s="1056"/>
      <c r="EQW105" s="1157">
        <f t="shared" ref="EQW105" si="963">EQV102</f>
        <v>0</v>
      </c>
      <c r="EQX105" s="1051"/>
      <c r="EQY105" s="1051"/>
      <c r="EQZ105" s="1056"/>
      <c r="ERA105" s="1157">
        <f t="shared" ref="ERA105" si="964">EQZ102</f>
        <v>0</v>
      </c>
      <c r="ERB105" s="1051"/>
      <c r="ERC105" s="1051"/>
      <c r="ERD105" s="1056"/>
      <c r="ERE105" s="1157">
        <f t="shared" ref="ERE105" si="965">ERD102</f>
        <v>0</v>
      </c>
      <c r="ERF105" s="1051"/>
      <c r="ERG105" s="1051"/>
      <c r="ERH105" s="1056"/>
      <c r="ERI105" s="1157">
        <f t="shared" ref="ERI105" si="966">ERH102</f>
        <v>0</v>
      </c>
      <c r="ERJ105" s="1051"/>
      <c r="ERK105" s="1051"/>
      <c r="ERL105" s="1056"/>
      <c r="ERM105" s="1157">
        <f t="shared" ref="ERM105" si="967">ERL102</f>
        <v>0</v>
      </c>
      <c r="ERN105" s="1051"/>
      <c r="ERO105" s="1051"/>
      <c r="ERP105" s="1056"/>
      <c r="ERQ105" s="1157">
        <f t="shared" ref="ERQ105" si="968">ERP102</f>
        <v>0</v>
      </c>
      <c r="ERR105" s="1051"/>
      <c r="ERS105" s="1051"/>
      <c r="ERT105" s="1056"/>
      <c r="ERU105" s="1157">
        <f t="shared" ref="ERU105" si="969">ERT102</f>
        <v>0</v>
      </c>
      <c r="ERV105" s="1051"/>
      <c r="ERW105" s="1051"/>
      <c r="ERX105" s="1056"/>
      <c r="ERY105" s="1157">
        <f t="shared" ref="ERY105" si="970">ERX102</f>
        <v>0</v>
      </c>
      <c r="ERZ105" s="1051"/>
      <c r="ESA105" s="1051"/>
      <c r="ESB105" s="1056"/>
      <c r="ESC105" s="1157">
        <f t="shared" ref="ESC105" si="971">ESB102</f>
        <v>0</v>
      </c>
      <c r="ESD105" s="1051"/>
      <c r="ESE105" s="1051"/>
      <c r="ESF105" s="1056"/>
      <c r="ESG105" s="1157">
        <f t="shared" ref="ESG105" si="972">ESF102</f>
        <v>0</v>
      </c>
      <c r="ESH105" s="1051"/>
      <c r="ESI105" s="1051"/>
      <c r="ESJ105" s="1056"/>
      <c r="ESK105" s="1157">
        <f t="shared" ref="ESK105" si="973">ESJ102</f>
        <v>0</v>
      </c>
      <c r="ESL105" s="1051"/>
      <c r="ESM105" s="1051"/>
      <c r="ESN105" s="1056"/>
      <c r="ESO105" s="1157">
        <f t="shared" ref="ESO105" si="974">ESN102</f>
        <v>0</v>
      </c>
      <c r="ESP105" s="1051"/>
      <c r="ESQ105" s="1051"/>
      <c r="ESR105" s="1056"/>
      <c r="ESS105" s="1157">
        <f t="shared" ref="ESS105" si="975">ESR102</f>
        <v>0</v>
      </c>
      <c r="EST105" s="1051"/>
      <c r="ESU105" s="1051"/>
      <c r="ESV105" s="1056"/>
      <c r="ESW105" s="1157">
        <f t="shared" ref="ESW105" si="976">ESV102</f>
        <v>0</v>
      </c>
      <c r="ESX105" s="1051"/>
      <c r="ESY105" s="1051"/>
      <c r="ESZ105" s="1056"/>
      <c r="ETA105" s="1157">
        <f t="shared" ref="ETA105" si="977">ESZ102</f>
        <v>0</v>
      </c>
      <c r="ETB105" s="1051"/>
      <c r="ETC105" s="1051"/>
      <c r="ETD105" s="1056"/>
      <c r="ETE105" s="1157">
        <f t="shared" ref="ETE105" si="978">ETD102</f>
        <v>0</v>
      </c>
      <c r="ETF105" s="1051"/>
      <c r="ETG105" s="1051"/>
      <c r="ETH105" s="1056"/>
      <c r="ETI105" s="1157">
        <f t="shared" ref="ETI105" si="979">ETH102</f>
        <v>0</v>
      </c>
      <c r="ETJ105" s="1051"/>
      <c r="ETK105" s="1051"/>
      <c r="ETL105" s="1056"/>
      <c r="ETM105" s="1157">
        <f t="shared" ref="ETM105" si="980">ETL102</f>
        <v>0</v>
      </c>
      <c r="ETN105" s="1051"/>
      <c r="ETO105" s="1051"/>
      <c r="ETP105" s="1056"/>
      <c r="ETQ105" s="1157">
        <f t="shared" ref="ETQ105" si="981">ETP102</f>
        <v>0</v>
      </c>
      <c r="ETR105" s="1051"/>
      <c r="ETS105" s="1051"/>
      <c r="ETT105" s="1056"/>
      <c r="ETU105" s="1157">
        <f t="shared" ref="ETU105" si="982">ETT102</f>
        <v>0</v>
      </c>
      <c r="ETV105" s="1051"/>
      <c r="ETW105" s="1051"/>
      <c r="ETX105" s="1056"/>
      <c r="ETY105" s="1157">
        <f t="shared" ref="ETY105" si="983">ETX102</f>
        <v>0</v>
      </c>
      <c r="ETZ105" s="1051"/>
      <c r="EUA105" s="1051"/>
      <c r="EUB105" s="1056"/>
      <c r="EUC105" s="1157">
        <f t="shared" ref="EUC105" si="984">EUB102</f>
        <v>0</v>
      </c>
      <c r="EUD105" s="1051"/>
      <c r="EUE105" s="1051"/>
      <c r="EUF105" s="1056"/>
      <c r="EUG105" s="1157">
        <f t="shared" ref="EUG105" si="985">EUF102</f>
        <v>0</v>
      </c>
      <c r="EUH105" s="1051"/>
      <c r="EUI105" s="1051"/>
      <c r="EUJ105" s="1056"/>
      <c r="EUK105" s="1157">
        <f t="shared" ref="EUK105" si="986">EUJ102</f>
        <v>0</v>
      </c>
      <c r="EUL105" s="1051"/>
      <c r="EUM105" s="1051"/>
      <c r="EUN105" s="1056"/>
      <c r="EUO105" s="1157">
        <f t="shared" ref="EUO105" si="987">EUN102</f>
        <v>0</v>
      </c>
      <c r="EUP105" s="1051"/>
      <c r="EUQ105" s="1051"/>
      <c r="EUR105" s="1056"/>
      <c r="EUS105" s="1157">
        <f t="shared" ref="EUS105" si="988">EUR102</f>
        <v>0</v>
      </c>
      <c r="EUT105" s="1051"/>
      <c r="EUU105" s="1051"/>
      <c r="EUV105" s="1056"/>
      <c r="EUW105" s="1157">
        <f t="shared" ref="EUW105" si="989">EUV102</f>
        <v>0</v>
      </c>
      <c r="EUX105" s="1051"/>
      <c r="EUY105" s="1051"/>
      <c r="EUZ105" s="1056"/>
      <c r="EVA105" s="1157">
        <f t="shared" ref="EVA105" si="990">EUZ102</f>
        <v>0</v>
      </c>
      <c r="EVB105" s="1051"/>
      <c r="EVC105" s="1051"/>
      <c r="EVD105" s="1056"/>
      <c r="EVE105" s="1157">
        <f t="shared" ref="EVE105" si="991">EVD102</f>
        <v>0</v>
      </c>
      <c r="EVF105" s="1051"/>
      <c r="EVG105" s="1051"/>
      <c r="EVH105" s="1056"/>
      <c r="EVI105" s="1157">
        <f t="shared" ref="EVI105" si="992">EVH102</f>
        <v>0</v>
      </c>
      <c r="EVJ105" s="1051"/>
      <c r="EVK105" s="1051"/>
      <c r="EVL105" s="1056"/>
      <c r="EVM105" s="1157">
        <f t="shared" ref="EVM105" si="993">EVL102</f>
        <v>0</v>
      </c>
      <c r="EVN105" s="1051"/>
      <c r="EVO105" s="1051"/>
      <c r="EVP105" s="1056"/>
      <c r="EVQ105" s="1157">
        <f t="shared" ref="EVQ105" si="994">EVP102</f>
        <v>0</v>
      </c>
      <c r="EVR105" s="1051"/>
      <c r="EVS105" s="1051"/>
      <c r="EVT105" s="1056"/>
      <c r="EVU105" s="1157">
        <f t="shared" ref="EVU105" si="995">EVT102</f>
        <v>0</v>
      </c>
      <c r="EVV105" s="1051"/>
      <c r="EVW105" s="1051"/>
      <c r="EVX105" s="1056"/>
      <c r="EVY105" s="1157">
        <f t="shared" ref="EVY105" si="996">EVX102</f>
        <v>0</v>
      </c>
      <c r="EVZ105" s="1051"/>
      <c r="EWA105" s="1051"/>
      <c r="EWB105" s="1056"/>
      <c r="EWC105" s="1157">
        <f t="shared" ref="EWC105" si="997">EWB102</f>
        <v>0</v>
      </c>
      <c r="EWD105" s="1051"/>
      <c r="EWE105" s="1051"/>
      <c r="EWF105" s="1056"/>
      <c r="EWG105" s="1157">
        <f t="shared" ref="EWG105" si="998">EWF102</f>
        <v>0</v>
      </c>
      <c r="EWH105" s="1051"/>
      <c r="EWI105" s="1051"/>
      <c r="EWJ105" s="1056"/>
      <c r="EWK105" s="1157">
        <f t="shared" ref="EWK105" si="999">EWJ102</f>
        <v>0</v>
      </c>
      <c r="EWL105" s="1051"/>
      <c r="EWM105" s="1051"/>
      <c r="EWN105" s="1056"/>
      <c r="EWO105" s="1157">
        <f t="shared" ref="EWO105" si="1000">EWN102</f>
        <v>0</v>
      </c>
      <c r="EWP105" s="1051"/>
      <c r="EWQ105" s="1051"/>
      <c r="EWR105" s="1056"/>
      <c r="EWS105" s="1157">
        <f t="shared" ref="EWS105" si="1001">EWR102</f>
        <v>0</v>
      </c>
      <c r="EWT105" s="1051"/>
      <c r="EWU105" s="1051"/>
      <c r="EWV105" s="1056"/>
      <c r="EWW105" s="1157">
        <f t="shared" ref="EWW105" si="1002">EWV102</f>
        <v>0</v>
      </c>
      <c r="EWX105" s="1051"/>
      <c r="EWY105" s="1051"/>
      <c r="EWZ105" s="1056"/>
      <c r="EXA105" s="1157">
        <f t="shared" ref="EXA105" si="1003">EWZ102</f>
        <v>0</v>
      </c>
      <c r="EXB105" s="1051"/>
      <c r="EXC105" s="1051"/>
      <c r="EXD105" s="1056"/>
      <c r="EXE105" s="1157">
        <f t="shared" ref="EXE105" si="1004">EXD102</f>
        <v>0</v>
      </c>
      <c r="EXF105" s="1051"/>
      <c r="EXG105" s="1051"/>
      <c r="EXH105" s="1056"/>
      <c r="EXI105" s="1157">
        <f t="shared" ref="EXI105" si="1005">EXH102</f>
        <v>0</v>
      </c>
      <c r="EXJ105" s="1051"/>
      <c r="EXK105" s="1051"/>
      <c r="EXL105" s="1056"/>
      <c r="EXM105" s="1157">
        <f t="shared" ref="EXM105" si="1006">EXL102</f>
        <v>0</v>
      </c>
      <c r="EXN105" s="1051"/>
      <c r="EXO105" s="1051"/>
      <c r="EXP105" s="1056"/>
      <c r="EXQ105" s="1157">
        <f t="shared" ref="EXQ105" si="1007">EXP102</f>
        <v>0</v>
      </c>
      <c r="EXR105" s="1051"/>
      <c r="EXS105" s="1051"/>
      <c r="EXT105" s="1056"/>
      <c r="EXU105" s="1157">
        <f t="shared" ref="EXU105" si="1008">EXT102</f>
        <v>0</v>
      </c>
      <c r="EXV105" s="1051"/>
      <c r="EXW105" s="1051"/>
      <c r="EXX105" s="1056"/>
      <c r="EXY105" s="1157">
        <f t="shared" ref="EXY105" si="1009">EXX102</f>
        <v>0</v>
      </c>
      <c r="EXZ105" s="1051"/>
      <c r="EYA105" s="1051"/>
      <c r="EYB105" s="1056"/>
      <c r="EYC105" s="1157">
        <f t="shared" ref="EYC105" si="1010">EYB102</f>
        <v>0</v>
      </c>
      <c r="EYD105" s="1051"/>
      <c r="EYE105" s="1051"/>
      <c r="EYF105" s="1056"/>
      <c r="EYG105" s="1157">
        <f t="shared" ref="EYG105" si="1011">EYF102</f>
        <v>0</v>
      </c>
      <c r="EYH105" s="1051"/>
      <c r="EYI105" s="1051"/>
      <c r="EYJ105" s="1056"/>
      <c r="EYK105" s="1157">
        <f t="shared" ref="EYK105" si="1012">EYJ102</f>
        <v>0</v>
      </c>
      <c r="EYL105" s="1051"/>
      <c r="EYM105" s="1051"/>
      <c r="EYN105" s="1056"/>
      <c r="EYO105" s="1157">
        <f t="shared" ref="EYO105" si="1013">EYN102</f>
        <v>0</v>
      </c>
      <c r="EYP105" s="1051"/>
      <c r="EYQ105" s="1051"/>
      <c r="EYR105" s="1056"/>
      <c r="EYS105" s="1157">
        <f t="shared" ref="EYS105" si="1014">EYR102</f>
        <v>0</v>
      </c>
      <c r="EYT105" s="1051"/>
      <c r="EYU105" s="1051"/>
      <c r="EYV105" s="1056"/>
      <c r="EYW105" s="1157">
        <f t="shared" ref="EYW105" si="1015">EYV102</f>
        <v>0</v>
      </c>
      <c r="EYX105" s="1051"/>
      <c r="EYY105" s="1051"/>
      <c r="EYZ105" s="1056"/>
      <c r="EZA105" s="1157">
        <f t="shared" ref="EZA105" si="1016">EYZ102</f>
        <v>0</v>
      </c>
      <c r="EZB105" s="1051"/>
      <c r="EZC105" s="1051"/>
      <c r="EZD105" s="1056"/>
      <c r="EZE105" s="1157">
        <f t="shared" ref="EZE105" si="1017">EZD102</f>
        <v>0</v>
      </c>
      <c r="EZF105" s="1051"/>
      <c r="EZG105" s="1051"/>
      <c r="EZH105" s="1056"/>
      <c r="EZI105" s="1157">
        <f t="shared" ref="EZI105" si="1018">EZH102</f>
        <v>0</v>
      </c>
      <c r="EZJ105" s="1051"/>
      <c r="EZK105" s="1051"/>
      <c r="EZL105" s="1056"/>
      <c r="EZM105" s="1157">
        <f t="shared" ref="EZM105" si="1019">EZL102</f>
        <v>0</v>
      </c>
      <c r="EZN105" s="1051"/>
      <c r="EZO105" s="1051"/>
      <c r="EZP105" s="1056"/>
      <c r="EZQ105" s="1157">
        <f t="shared" ref="EZQ105" si="1020">EZP102</f>
        <v>0</v>
      </c>
      <c r="EZR105" s="1051"/>
      <c r="EZS105" s="1051"/>
      <c r="EZT105" s="1056"/>
      <c r="EZU105" s="1157">
        <f t="shared" ref="EZU105" si="1021">EZT102</f>
        <v>0</v>
      </c>
      <c r="EZV105" s="1051"/>
      <c r="EZW105" s="1051"/>
      <c r="EZX105" s="1056"/>
      <c r="EZY105" s="1157">
        <f t="shared" ref="EZY105" si="1022">EZX102</f>
        <v>0</v>
      </c>
      <c r="EZZ105" s="1051"/>
      <c r="FAA105" s="1051"/>
      <c r="FAB105" s="1056"/>
      <c r="FAC105" s="1157">
        <f t="shared" ref="FAC105" si="1023">FAB102</f>
        <v>0</v>
      </c>
      <c r="FAD105" s="1051"/>
      <c r="FAE105" s="1051"/>
      <c r="FAF105" s="1056"/>
      <c r="FAG105" s="1157">
        <f t="shared" ref="FAG105" si="1024">FAF102</f>
        <v>0</v>
      </c>
      <c r="FAH105" s="1051"/>
      <c r="FAI105" s="1051"/>
      <c r="FAJ105" s="1056"/>
      <c r="FAK105" s="1157">
        <f t="shared" ref="FAK105" si="1025">FAJ102</f>
        <v>0</v>
      </c>
      <c r="FAL105" s="1051"/>
      <c r="FAM105" s="1051"/>
      <c r="FAN105" s="1056"/>
      <c r="FAO105" s="1157">
        <f t="shared" ref="FAO105" si="1026">FAN102</f>
        <v>0</v>
      </c>
      <c r="FAP105" s="1051"/>
      <c r="FAQ105" s="1051"/>
      <c r="FAR105" s="1056"/>
      <c r="FAS105" s="1157">
        <f t="shared" ref="FAS105" si="1027">FAR102</f>
        <v>0</v>
      </c>
      <c r="FAT105" s="1051"/>
      <c r="FAU105" s="1051"/>
      <c r="FAV105" s="1056"/>
      <c r="FAW105" s="1157">
        <f t="shared" ref="FAW105" si="1028">FAV102</f>
        <v>0</v>
      </c>
      <c r="FAX105" s="1051"/>
      <c r="FAY105" s="1051"/>
      <c r="FAZ105" s="1056"/>
      <c r="FBA105" s="1157">
        <f t="shared" ref="FBA105" si="1029">FAZ102</f>
        <v>0</v>
      </c>
      <c r="FBB105" s="1051"/>
      <c r="FBC105" s="1051"/>
      <c r="FBD105" s="1056"/>
      <c r="FBE105" s="1157">
        <f t="shared" ref="FBE105" si="1030">FBD102</f>
        <v>0</v>
      </c>
      <c r="FBF105" s="1051"/>
      <c r="FBG105" s="1051"/>
      <c r="FBH105" s="1056"/>
      <c r="FBI105" s="1157">
        <f t="shared" ref="FBI105" si="1031">FBH102</f>
        <v>0</v>
      </c>
      <c r="FBJ105" s="1051"/>
      <c r="FBK105" s="1051"/>
      <c r="FBL105" s="1056"/>
      <c r="FBM105" s="1157">
        <f t="shared" ref="FBM105" si="1032">FBL102</f>
        <v>0</v>
      </c>
      <c r="FBN105" s="1051"/>
      <c r="FBO105" s="1051"/>
      <c r="FBP105" s="1056"/>
      <c r="FBQ105" s="1157">
        <f t="shared" ref="FBQ105" si="1033">FBP102</f>
        <v>0</v>
      </c>
      <c r="FBR105" s="1051"/>
      <c r="FBS105" s="1051"/>
      <c r="FBT105" s="1056"/>
      <c r="FBU105" s="1157">
        <f t="shared" ref="FBU105" si="1034">FBT102</f>
        <v>0</v>
      </c>
      <c r="FBV105" s="1051"/>
      <c r="FBW105" s="1051"/>
      <c r="FBX105" s="1056"/>
      <c r="FBY105" s="1157">
        <f t="shared" ref="FBY105" si="1035">FBX102</f>
        <v>0</v>
      </c>
      <c r="FBZ105" s="1051"/>
      <c r="FCA105" s="1051"/>
      <c r="FCB105" s="1056"/>
      <c r="FCC105" s="1157">
        <f t="shared" ref="FCC105" si="1036">FCB102</f>
        <v>0</v>
      </c>
      <c r="FCD105" s="1051"/>
      <c r="FCE105" s="1051"/>
      <c r="FCF105" s="1056"/>
      <c r="FCG105" s="1157">
        <f t="shared" ref="FCG105" si="1037">FCF102</f>
        <v>0</v>
      </c>
      <c r="FCH105" s="1051"/>
      <c r="FCI105" s="1051"/>
      <c r="FCJ105" s="1056"/>
      <c r="FCK105" s="1157">
        <f t="shared" ref="FCK105" si="1038">FCJ102</f>
        <v>0</v>
      </c>
      <c r="FCL105" s="1051"/>
      <c r="FCM105" s="1051"/>
      <c r="FCN105" s="1056"/>
      <c r="FCO105" s="1157">
        <f t="shared" ref="FCO105" si="1039">FCN102</f>
        <v>0</v>
      </c>
      <c r="FCP105" s="1051"/>
      <c r="FCQ105" s="1051"/>
      <c r="FCR105" s="1056"/>
      <c r="FCS105" s="1157">
        <f t="shared" ref="FCS105" si="1040">FCR102</f>
        <v>0</v>
      </c>
      <c r="FCT105" s="1051"/>
      <c r="FCU105" s="1051"/>
      <c r="FCV105" s="1056"/>
      <c r="FCW105" s="1157">
        <f t="shared" ref="FCW105" si="1041">FCV102</f>
        <v>0</v>
      </c>
      <c r="FCX105" s="1051"/>
      <c r="FCY105" s="1051"/>
      <c r="FCZ105" s="1056"/>
      <c r="FDA105" s="1157">
        <f t="shared" ref="FDA105" si="1042">FCZ102</f>
        <v>0</v>
      </c>
      <c r="FDB105" s="1051"/>
      <c r="FDC105" s="1051"/>
      <c r="FDD105" s="1056"/>
      <c r="FDE105" s="1157">
        <f t="shared" ref="FDE105" si="1043">FDD102</f>
        <v>0</v>
      </c>
      <c r="FDF105" s="1051"/>
      <c r="FDG105" s="1051"/>
      <c r="FDH105" s="1056"/>
      <c r="FDI105" s="1157">
        <f t="shared" ref="FDI105" si="1044">FDH102</f>
        <v>0</v>
      </c>
      <c r="FDJ105" s="1051"/>
      <c r="FDK105" s="1051"/>
      <c r="FDL105" s="1056"/>
      <c r="FDM105" s="1157">
        <f t="shared" ref="FDM105" si="1045">FDL102</f>
        <v>0</v>
      </c>
      <c r="FDN105" s="1051"/>
      <c r="FDO105" s="1051"/>
      <c r="FDP105" s="1056"/>
      <c r="FDQ105" s="1157">
        <f t="shared" ref="FDQ105" si="1046">FDP102</f>
        <v>0</v>
      </c>
      <c r="FDR105" s="1051"/>
      <c r="FDS105" s="1051"/>
      <c r="FDT105" s="1056"/>
      <c r="FDU105" s="1157">
        <f t="shared" ref="FDU105" si="1047">FDT102</f>
        <v>0</v>
      </c>
      <c r="FDV105" s="1051"/>
      <c r="FDW105" s="1051"/>
      <c r="FDX105" s="1056"/>
      <c r="FDY105" s="1157">
        <f t="shared" ref="FDY105" si="1048">FDX102</f>
        <v>0</v>
      </c>
      <c r="FDZ105" s="1051"/>
      <c r="FEA105" s="1051"/>
      <c r="FEB105" s="1056"/>
      <c r="FEC105" s="1157">
        <f t="shared" ref="FEC105" si="1049">FEB102</f>
        <v>0</v>
      </c>
      <c r="FED105" s="1051"/>
      <c r="FEE105" s="1051"/>
      <c r="FEF105" s="1056"/>
      <c r="FEG105" s="1157">
        <f t="shared" ref="FEG105" si="1050">FEF102</f>
        <v>0</v>
      </c>
      <c r="FEH105" s="1051"/>
      <c r="FEI105" s="1051"/>
      <c r="FEJ105" s="1056"/>
      <c r="FEK105" s="1157">
        <f t="shared" ref="FEK105" si="1051">FEJ102</f>
        <v>0</v>
      </c>
      <c r="FEL105" s="1051"/>
      <c r="FEM105" s="1051"/>
      <c r="FEN105" s="1056"/>
      <c r="FEO105" s="1157">
        <f t="shared" ref="FEO105" si="1052">FEN102</f>
        <v>0</v>
      </c>
      <c r="FEP105" s="1051"/>
      <c r="FEQ105" s="1051"/>
      <c r="FER105" s="1056"/>
      <c r="FES105" s="1157">
        <f t="shared" ref="FES105" si="1053">FER102</f>
        <v>0</v>
      </c>
      <c r="FET105" s="1051"/>
      <c r="FEU105" s="1051"/>
      <c r="FEV105" s="1056"/>
      <c r="FEW105" s="1157">
        <f t="shared" ref="FEW105" si="1054">FEV102</f>
        <v>0</v>
      </c>
      <c r="FEX105" s="1051"/>
      <c r="FEY105" s="1051"/>
      <c r="FEZ105" s="1056"/>
      <c r="FFA105" s="1157">
        <f t="shared" ref="FFA105" si="1055">FEZ102</f>
        <v>0</v>
      </c>
      <c r="FFB105" s="1051"/>
      <c r="FFC105" s="1051"/>
      <c r="FFD105" s="1056"/>
      <c r="FFE105" s="1157">
        <f t="shared" ref="FFE105" si="1056">FFD102</f>
        <v>0</v>
      </c>
      <c r="FFF105" s="1051"/>
      <c r="FFG105" s="1051"/>
      <c r="FFH105" s="1056"/>
      <c r="FFI105" s="1157">
        <f t="shared" ref="FFI105" si="1057">FFH102</f>
        <v>0</v>
      </c>
      <c r="FFJ105" s="1051"/>
      <c r="FFK105" s="1051"/>
      <c r="FFL105" s="1056"/>
      <c r="FFM105" s="1157">
        <f t="shared" ref="FFM105" si="1058">FFL102</f>
        <v>0</v>
      </c>
      <c r="FFN105" s="1051"/>
      <c r="FFO105" s="1051"/>
      <c r="FFP105" s="1056"/>
      <c r="FFQ105" s="1157">
        <f t="shared" ref="FFQ105" si="1059">FFP102</f>
        <v>0</v>
      </c>
      <c r="FFR105" s="1051"/>
      <c r="FFS105" s="1051"/>
      <c r="FFT105" s="1056"/>
      <c r="FFU105" s="1157">
        <f t="shared" ref="FFU105" si="1060">FFT102</f>
        <v>0</v>
      </c>
      <c r="FFV105" s="1051"/>
      <c r="FFW105" s="1051"/>
      <c r="FFX105" s="1056"/>
      <c r="FFY105" s="1157">
        <f t="shared" ref="FFY105" si="1061">FFX102</f>
        <v>0</v>
      </c>
      <c r="FFZ105" s="1051"/>
      <c r="FGA105" s="1051"/>
      <c r="FGB105" s="1056"/>
      <c r="FGC105" s="1157">
        <f t="shared" ref="FGC105" si="1062">FGB102</f>
        <v>0</v>
      </c>
      <c r="FGD105" s="1051"/>
      <c r="FGE105" s="1051"/>
      <c r="FGF105" s="1056"/>
      <c r="FGG105" s="1157">
        <f t="shared" ref="FGG105" si="1063">FGF102</f>
        <v>0</v>
      </c>
      <c r="FGH105" s="1051"/>
      <c r="FGI105" s="1051"/>
      <c r="FGJ105" s="1056"/>
      <c r="FGK105" s="1157">
        <f t="shared" ref="FGK105" si="1064">FGJ102</f>
        <v>0</v>
      </c>
      <c r="FGL105" s="1051"/>
      <c r="FGM105" s="1051"/>
      <c r="FGN105" s="1056"/>
      <c r="FGO105" s="1157">
        <f t="shared" ref="FGO105" si="1065">FGN102</f>
        <v>0</v>
      </c>
      <c r="FGP105" s="1051"/>
      <c r="FGQ105" s="1051"/>
      <c r="FGR105" s="1056"/>
      <c r="FGS105" s="1157">
        <f t="shared" ref="FGS105" si="1066">FGR102</f>
        <v>0</v>
      </c>
      <c r="FGT105" s="1051"/>
      <c r="FGU105" s="1051"/>
      <c r="FGV105" s="1056"/>
      <c r="FGW105" s="1157">
        <f t="shared" ref="FGW105" si="1067">FGV102</f>
        <v>0</v>
      </c>
      <c r="FGX105" s="1051"/>
      <c r="FGY105" s="1051"/>
      <c r="FGZ105" s="1056"/>
      <c r="FHA105" s="1157">
        <f t="shared" ref="FHA105" si="1068">FGZ102</f>
        <v>0</v>
      </c>
      <c r="FHB105" s="1051"/>
      <c r="FHC105" s="1051"/>
      <c r="FHD105" s="1056"/>
      <c r="FHE105" s="1157">
        <f t="shared" ref="FHE105" si="1069">FHD102</f>
        <v>0</v>
      </c>
      <c r="FHF105" s="1051"/>
      <c r="FHG105" s="1051"/>
      <c r="FHH105" s="1056"/>
      <c r="FHI105" s="1157">
        <f t="shared" ref="FHI105" si="1070">FHH102</f>
        <v>0</v>
      </c>
      <c r="FHJ105" s="1051"/>
      <c r="FHK105" s="1051"/>
      <c r="FHL105" s="1056"/>
      <c r="FHM105" s="1157">
        <f t="shared" ref="FHM105" si="1071">FHL102</f>
        <v>0</v>
      </c>
      <c r="FHN105" s="1051"/>
      <c r="FHO105" s="1051"/>
      <c r="FHP105" s="1056"/>
      <c r="FHQ105" s="1157">
        <f t="shared" ref="FHQ105" si="1072">FHP102</f>
        <v>0</v>
      </c>
      <c r="FHR105" s="1051"/>
      <c r="FHS105" s="1051"/>
      <c r="FHT105" s="1056"/>
      <c r="FHU105" s="1157">
        <f t="shared" ref="FHU105" si="1073">FHT102</f>
        <v>0</v>
      </c>
      <c r="FHV105" s="1051"/>
      <c r="FHW105" s="1051"/>
      <c r="FHX105" s="1056"/>
      <c r="FHY105" s="1157">
        <f t="shared" ref="FHY105" si="1074">FHX102</f>
        <v>0</v>
      </c>
      <c r="FHZ105" s="1051"/>
      <c r="FIA105" s="1051"/>
      <c r="FIB105" s="1056"/>
      <c r="FIC105" s="1157">
        <f t="shared" ref="FIC105" si="1075">FIB102</f>
        <v>0</v>
      </c>
      <c r="FID105" s="1051"/>
      <c r="FIE105" s="1051"/>
      <c r="FIF105" s="1056"/>
      <c r="FIG105" s="1157">
        <f t="shared" ref="FIG105" si="1076">FIF102</f>
        <v>0</v>
      </c>
      <c r="FIH105" s="1051"/>
      <c r="FII105" s="1051"/>
      <c r="FIJ105" s="1056"/>
      <c r="FIK105" s="1157">
        <f t="shared" ref="FIK105" si="1077">FIJ102</f>
        <v>0</v>
      </c>
      <c r="FIL105" s="1051"/>
      <c r="FIM105" s="1051"/>
      <c r="FIN105" s="1056"/>
      <c r="FIO105" s="1157">
        <f t="shared" ref="FIO105" si="1078">FIN102</f>
        <v>0</v>
      </c>
      <c r="FIP105" s="1051"/>
      <c r="FIQ105" s="1051"/>
      <c r="FIR105" s="1056"/>
      <c r="FIS105" s="1157">
        <f t="shared" ref="FIS105" si="1079">FIR102</f>
        <v>0</v>
      </c>
      <c r="FIT105" s="1051"/>
      <c r="FIU105" s="1051"/>
      <c r="FIV105" s="1056"/>
      <c r="FIW105" s="1157">
        <f t="shared" ref="FIW105" si="1080">FIV102</f>
        <v>0</v>
      </c>
      <c r="FIX105" s="1051"/>
      <c r="FIY105" s="1051"/>
      <c r="FIZ105" s="1056"/>
      <c r="FJA105" s="1157">
        <f t="shared" ref="FJA105" si="1081">FIZ102</f>
        <v>0</v>
      </c>
      <c r="FJB105" s="1051"/>
      <c r="FJC105" s="1051"/>
      <c r="FJD105" s="1056"/>
      <c r="FJE105" s="1157">
        <f t="shared" ref="FJE105" si="1082">FJD102</f>
        <v>0</v>
      </c>
      <c r="FJF105" s="1051"/>
      <c r="FJG105" s="1051"/>
      <c r="FJH105" s="1056"/>
      <c r="FJI105" s="1157">
        <f t="shared" ref="FJI105" si="1083">FJH102</f>
        <v>0</v>
      </c>
      <c r="FJJ105" s="1051"/>
      <c r="FJK105" s="1051"/>
      <c r="FJL105" s="1056"/>
      <c r="FJM105" s="1157">
        <f t="shared" ref="FJM105" si="1084">FJL102</f>
        <v>0</v>
      </c>
      <c r="FJN105" s="1051"/>
      <c r="FJO105" s="1051"/>
      <c r="FJP105" s="1056"/>
      <c r="FJQ105" s="1157">
        <f t="shared" ref="FJQ105" si="1085">FJP102</f>
        <v>0</v>
      </c>
      <c r="FJR105" s="1051"/>
      <c r="FJS105" s="1051"/>
      <c r="FJT105" s="1056"/>
      <c r="FJU105" s="1157">
        <f t="shared" ref="FJU105" si="1086">FJT102</f>
        <v>0</v>
      </c>
      <c r="FJV105" s="1051"/>
      <c r="FJW105" s="1051"/>
      <c r="FJX105" s="1056"/>
      <c r="FJY105" s="1157">
        <f t="shared" ref="FJY105" si="1087">FJX102</f>
        <v>0</v>
      </c>
      <c r="FJZ105" s="1051"/>
      <c r="FKA105" s="1051"/>
      <c r="FKB105" s="1056"/>
      <c r="FKC105" s="1157">
        <f t="shared" ref="FKC105" si="1088">FKB102</f>
        <v>0</v>
      </c>
      <c r="FKD105" s="1051"/>
      <c r="FKE105" s="1051"/>
      <c r="FKF105" s="1056"/>
      <c r="FKG105" s="1157">
        <f t="shared" ref="FKG105" si="1089">FKF102</f>
        <v>0</v>
      </c>
      <c r="FKH105" s="1051"/>
      <c r="FKI105" s="1051"/>
      <c r="FKJ105" s="1056"/>
      <c r="FKK105" s="1157">
        <f t="shared" ref="FKK105" si="1090">FKJ102</f>
        <v>0</v>
      </c>
      <c r="FKL105" s="1051"/>
      <c r="FKM105" s="1051"/>
      <c r="FKN105" s="1056"/>
      <c r="FKO105" s="1157">
        <f t="shared" ref="FKO105" si="1091">FKN102</f>
        <v>0</v>
      </c>
      <c r="FKP105" s="1051"/>
      <c r="FKQ105" s="1051"/>
      <c r="FKR105" s="1056"/>
      <c r="FKS105" s="1157">
        <f t="shared" ref="FKS105" si="1092">FKR102</f>
        <v>0</v>
      </c>
      <c r="FKT105" s="1051"/>
      <c r="FKU105" s="1051"/>
      <c r="FKV105" s="1056"/>
      <c r="FKW105" s="1157">
        <f t="shared" ref="FKW105" si="1093">FKV102</f>
        <v>0</v>
      </c>
      <c r="FKX105" s="1051"/>
      <c r="FKY105" s="1051"/>
      <c r="FKZ105" s="1056"/>
      <c r="FLA105" s="1157">
        <f t="shared" ref="FLA105" si="1094">FKZ102</f>
        <v>0</v>
      </c>
      <c r="FLB105" s="1051"/>
      <c r="FLC105" s="1051"/>
      <c r="FLD105" s="1056"/>
      <c r="FLE105" s="1157">
        <f t="shared" ref="FLE105" si="1095">FLD102</f>
        <v>0</v>
      </c>
      <c r="FLF105" s="1051"/>
      <c r="FLG105" s="1051"/>
      <c r="FLH105" s="1056"/>
      <c r="FLI105" s="1157">
        <f t="shared" ref="FLI105" si="1096">FLH102</f>
        <v>0</v>
      </c>
      <c r="FLJ105" s="1051"/>
      <c r="FLK105" s="1051"/>
      <c r="FLL105" s="1056"/>
      <c r="FLM105" s="1157">
        <f t="shared" ref="FLM105" si="1097">FLL102</f>
        <v>0</v>
      </c>
      <c r="FLN105" s="1051"/>
      <c r="FLO105" s="1051"/>
      <c r="FLP105" s="1056"/>
      <c r="FLQ105" s="1157">
        <f t="shared" ref="FLQ105" si="1098">FLP102</f>
        <v>0</v>
      </c>
      <c r="FLR105" s="1051"/>
      <c r="FLS105" s="1051"/>
      <c r="FLT105" s="1056"/>
      <c r="FLU105" s="1157">
        <f t="shared" ref="FLU105" si="1099">FLT102</f>
        <v>0</v>
      </c>
      <c r="FLV105" s="1051"/>
      <c r="FLW105" s="1051"/>
      <c r="FLX105" s="1056"/>
      <c r="FLY105" s="1157">
        <f t="shared" ref="FLY105" si="1100">FLX102</f>
        <v>0</v>
      </c>
      <c r="FLZ105" s="1051"/>
      <c r="FMA105" s="1051"/>
      <c r="FMB105" s="1056"/>
      <c r="FMC105" s="1157">
        <f t="shared" ref="FMC105" si="1101">FMB102</f>
        <v>0</v>
      </c>
      <c r="FMD105" s="1051"/>
      <c r="FME105" s="1051"/>
      <c r="FMF105" s="1056"/>
      <c r="FMG105" s="1157">
        <f t="shared" ref="FMG105" si="1102">FMF102</f>
        <v>0</v>
      </c>
      <c r="FMH105" s="1051"/>
      <c r="FMI105" s="1051"/>
      <c r="FMJ105" s="1056"/>
      <c r="FMK105" s="1157">
        <f t="shared" ref="FMK105" si="1103">FMJ102</f>
        <v>0</v>
      </c>
      <c r="FML105" s="1051"/>
      <c r="FMM105" s="1051"/>
      <c r="FMN105" s="1056"/>
      <c r="FMO105" s="1157">
        <f t="shared" ref="FMO105" si="1104">FMN102</f>
        <v>0</v>
      </c>
      <c r="FMP105" s="1051"/>
      <c r="FMQ105" s="1051"/>
      <c r="FMR105" s="1056"/>
      <c r="FMS105" s="1157">
        <f t="shared" ref="FMS105" si="1105">FMR102</f>
        <v>0</v>
      </c>
      <c r="FMT105" s="1051"/>
      <c r="FMU105" s="1051"/>
      <c r="FMV105" s="1056"/>
      <c r="FMW105" s="1157">
        <f t="shared" ref="FMW105" si="1106">FMV102</f>
        <v>0</v>
      </c>
      <c r="FMX105" s="1051"/>
      <c r="FMY105" s="1051"/>
      <c r="FMZ105" s="1056"/>
      <c r="FNA105" s="1157">
        <f t="shared" ref="FNA105" si="1107">FMZ102</f>
        <v>0</v>
      </c>
      <c r="FNB105" s="1051"/>
      <c r="FNC105" s="1051"/>
      <c r="FND105" s="1056"/>
      <c r="FNE105" s="1157">
        <f t="shared" ref="FNE105" si="1108">FND102</f>
        <v>0</v>
      </c>
      <c r="FNF105" s="1051"/>
      <c r="FNG105" s="1051"/>
      <c r="FNH105" s="1056"/>
      <c r="FNI105" s="1157">
        <f t="shared" ref="FNI105" si="1109">FNH102</f>
        <v>0</v>
      </c>
      <c r="FNJ105" s="1051"/>
      <c r="FNK105" s="1051"/>
      <c r="FNL105" s="1056"/>
      <c r="FNM105" s="1157">
        <f t="shared" ref="FNM105" si="1110">FNL102</f>
        <v>0</v>
      </c>
      <c r="FNN105" s="1051"/>
      <c r="FNO105" s="1051"/>
      <c r="FNP105" s="1056"/>
      <c r="FNQ105" s="1157">
        <f t="shared" ref="FNQ105" si="1111">FNP102</f>
        <v>0</v>
      </c>
      <c r="FNR105" s="1051"/>
      <c r="FNS105" s="1051"/>
      <c r="FNT105" s="1056"/>
      <c r="FNU105" s="1157">
        <f t="shared" ref="FNU105" si="1112">FNT102</f>
        <v>0</v>
      </c>
      <c r="FNV105" s="1051"/>
      <c r="FNW105" s="1051"/>
      <c r="FNX105" s="1056"/>
      <c r="FNY105" s="1157">
        <f t="shared" ref="FNY105" si="1113">FNX102</f>
        <v>0</v>
      </c>
      <c r="FNZ105" s="1051"/>
      <c r="FOA105" s="1051"/>
      <c r="FOB105" s="1056"/>
      <c r="FOC105" s="1157">
        <f t="shared" ref="FOC105" si="1114">FOB102</f>
        <v>0</v>
      </c>
      <c r="FOD105" s="1051"/>
      <c r="FOE105" s="1051"/>
      <c r="FOF105" s="1056"/>
      <c r="FOG105" s="1157">
        <f t="shared" ref="FOG105" si="1115">FOF102</f>
        <v>0</v>
      </c>
      <c r="FOH105" s="1051"/>
      <c r="FOI105" s="1051"/>
      <c r="FOJ105" s="1056"/>
      <c r="FOK105" s="1157">
        <f t="shared" ref="FOK105" si="1116">FOJ102</f>
        <v>0</v>
      </c>
      <c r="FOL105" s="1051"/>
      <c r="FOM105" s="1051"/>
      <c r="FON105" s="1056"/>
      <c r="FOO105" s="1157">
        <f t="shared" ref="FOO105" si="1117">FON102</f>
        <v>0</v>
      </c>
      <c r="FOP105" s="1051"/>
      <c r="FOQ105" s="1051"/>
      <c r="FOR105" s="1056"/>
      <c r="FOS105" s="1157">
        <f t="shared" ref="FOS105" si="1118">FOR102</f>
        <v>0</v>
      </c>
      <c r="FOT105" s="1051"/>
      <c r="FOU105" s="1051"/>
      <c r="FOV105" s="1056"/>
      <c r="FOW105" s="1157">
        <f t="shared" ref="FOW105" si="1119">FOV102</f>
        <v>0</v>
      </c>
      <c r="FOX105" s="1051"/>
      <c r="FOY105" s="1051"/>
      <c r="FOZ105" s="1056"/>
      <c r="FPA105" s="1157">
        <f t="shared" ref="FPA105" si="1120">FOZ102</f>
        <v>0</v>
      </c>
      <c r="FPB105" s="1051"/>
      <c r="FPC105" s="1051"/>
      <c r="FPD105" s="1056"/>
      <c r="FPE105" s="1157">
        <f t="shared" ref="FPE105" si="1121">FPD102</f>
        <v>0</v>
      </c>
      <c r="FPF105" s="1051"/>
      <c r="FPG105" s="1051"/>
      <c r="FPH105" s="1056"/>
      <c r="FPI105" s="1157">
        <f t="shared" ref="FPI105" si="1122">FPH102</f>
        <v>0</v>
      </c>
      <c r="FPJ105" s="1051"/>
      <c r="FPK105" s="1051"/>
      <c r="FPL105" s="1056"/>
      <c r="FPM105" s="1157">
        <f t="shared" ref="FPM105" si="1123">FPL102</f>
        <v>0</v>
      </c>
      <c r="FPN105" s="1051"/>
      <c r="FPO105" s="1051"/>
      <c r="FPP105" s="1056"/>
      <c r="FPQ105" s="1157">
        <f t="shared" ref="FPQ105" si="1124">FPP102</f>
        <v>0</v>
      </c>
      <c r="FPR105" s="1051"/>
      <c r="FPS105" s="1051"/>
      <c r="FPT105" s="1056"/>
      <c r="FPU105" s="1157">
        <f t="shared" ref="FPU105" si="1125">FPT102</f>
        <v>0</v>
      </c>
      <c r="FPV105" s="1051"/>
      <c r="FPW105" s="1051"/>
      <c r="FPX105" s="1056"/>
      <c r="FPY105" s="1157">
        <f t="shared" ref="FPY105" si="1126">FPX102</f>
        <v>0</v>
      </c>
      <c r="FPZ105" s="1051"/>
      <c r="FQA105" s="1051"/>
      <c r="FQB105" s="1056"/>
      <c r="FQC105" s="1157">
        <f t="shared" ref="FQC105" si="1127">FQB102</f>
        <v>0</v>
      </c>
      <c r="FQD105" s="1051"/>
      <c r="FQE105" s="1051"/>
      <c r="FQF105" s="1056"/>
      <c r="FQG105" s="1157">
        <f t="shared" ref="FQG105" si="1128">FQF102</f>
        <v>0</v>
      </c>
      <c r="FQH105" s="1051"/>
      <c r="FQI105" s="1051"/>
      <c r="FQJ105" s="1056"/>
      <c r="FQK105" s="1157">
        <f t="shared" ref="FQK105" si="1129">FQJ102</f>
        <v>0</v>
      </c>
      <c r="FQL105" s="1051"/>
      <c r="FQM105" s="1051"/>
      <c r="FQN105" s="1056"/>
      <c r="FQO105" s="1157">
        <f t="shared" ref="FQO105" si="1130">FQN102</f>
        <v>0</v>
      </c>
      <c r="FQP105" s="1051"/>
      <c r="FQQ105" s="1051"/>
      <c r="FQR105" s="1056"/>
      <c r="FQS105" s="1157">
        <f t="shared" ref="FQS105" si="1131">FQR102</f>
        <v>0</v>
      </c>
      <c r="FQT105" s="1051"/>
      <c r="FQU105" s="1051"/>
      <c r="FQV105" s="1056"/>
      <c r="FQW105" s="1157">
        <f t="shared" ref="FQW105" si="1132">FQV102</f>
        <v>0</v>
      </c>
      <c r="FQX105" s="1051"/>
      <c r="FQY105" s="1051"/>
      <c r="FQZ105" s="1056"/>
      <c r="FRA105" s="1157">
        <f t="shared" ref="FRA105" si="1133">FQZ102</f>
        <v>0</v>
      </c>
      <c r="FRB105" s="1051"/>
      <c r="FRC105" s="1051"/>
      <c r="FRD105" s="1056"/>
      <c r="FRE105" s="1157">
        <f t="shared" ref="FRE105" si="1134">FRD102</f>
        <v>0</v>
      </c>
      <c r="FRF105" s="1051"/>
      <c r="FRG105" s="1051"/>
      <c r="FRH105" s="1056"/>
      <c r="FRI105" s="1157">
        <f t="shared" ref="FRI105" si="1135">FRH102</f>
        <v>0</v>
      </c>
      <c r="FRJ105" s="1051"/>
      <c r="FRK105" s="1051"/>
      <c r="FRL105" s="1056"/>
      <c r="FRM105" s="1157">
        <f t="shared" ref="FRM105" si="1136">FRL102</f>
        <v>0</v>
      </c>
      <c r="FRN105" s="1051"/>
      <c r="FRO105" s="1051"/>
      <c r="FRP105" s="1056"/>
      <c r="FRQ105" s="1157">
        <f t="shared" ref="FRQ105" si="1137">FRP102</f>
        <v>0</v>
      </c>
      <c r="FRR105" s="1051"/>
      <c r="FRS105" s="1051"/>
      <c r="FRT105" s="1056"/>
      <c r="FRU105" s="1157">
        <f t="shared" ref="FRU105" si="1138">FRT102</f>
        <v>0</v>
      </c>
      <c r="FRV105" s="1051"/>
      <c r="FRW105" s="1051"/>
      <c r="FRX105" s="1056"/>
      <c r="FRY105" s="1157">
        <f t="shared" ref="FRY105" si="1139">FRX102</f>
        <v>0</v>
      </c>
      <c r="FRZ105" s="1051"/>
      <c r="FSA105" s="1051"/>
      <c r="FSB105" s="1056"/>
      <c r="FSC105" s="1157">
        <f t="shared" ref="FSC105" si="1140">FSB102</f>
        <v>0</v>
      </c>
      <c r="FSD105" s="1051"/>
      <c r="FSE105" s="1051"/>
      <c r="FSF105" s="1056"/>
      <c r="FSG105" s="1157">
        <f t="shared" ref="FSG105" si="1141">FSF102</f>
        <v>0</v>
      </c>
      <c r="FSH105" s="1051"/>
      <c r="FSI105" s="1051"/>
      <c r="FSJ105" s="1056"/>
      <c r="FSK105" s="1157">
        <f t="shared" ref="FSK105" si="1142">FSJ102</f>
        <v>0</v>
      </c>
      <c r="FSL105" s="1051"/>
      <c r="FSM105" s="1051"/>
      <c r="FSN105" s="1056"/>
      <c r="FSO105" s="1157">
        <f t="shared" ref="FSO105" si="1143">FSN102</f>
        <v>0</v>
      </c>
      <c r="FSP105" s="1051"/>
      <c r="FSQ105" s="1051"/>
      <c r="FSR105" s="1056"/>
      <c r="FSS105" s="1157">
        <f t="shared" ref="FSS105" si="1144">FSR102</f>
        <v>0</v>
      </c>
      <c r="FST105" s="1051"/>
      <c r="FSU105" s="1051"/>
      <c r="FSV105" s="1056"/>
      <c r="FSW105" s="1157">
        <f t="shared" ref="FSW105" si="1145">FSV102</f>
        <v>0</v>
      </c>
      <c r="FSX105" s="1051"/>
      <c r="FSY105" s="1051"/>
      <c r="FSZ105" s="1056"/>
      <c r="FTA105" s="1157">
        <f t="shared" ref="FTA105" si="1146">FSZ102</f>
        <v>0</v>
      </c>
      <c r="FTB105" s="1051"/>
      <c r="FTC105" s="1051"/>
      <c r="FTD105" s="1056"/>
      <c r="FTE105" s="1157">
        <f t="shared" ref="FTE105" si="1147">FTD102</f>
        <v>0</v>
      </c>
      <c r="FTF105" s="1051"/>
      <c r="FTG105" s="1051"/>
      <c r="FTH105" s="1056"/>
      <c r="FTI105" s="1157">
        <f t="shared" ref="FTI105" si="1148">FTH102</f>
        <v>0</v>
      </c>
      <c r="FTJ105" s="1051"/>
      <c r="FTK105" s="1051"/>
      <c r="FTL105" s="1056"/>
      <c r="FTM105" s="1157">
        <f t="shared" ref="FTM105" si="1149">FTL102</f>
        <v>0</v>
      </c>
      <c r="FTN105" s="1051"/>
      <c r="FTO105" s="1051"/>
      <c r="FTP105" s="1056"/>
      <c r="FTQ105" s="1157">
        <f t="shared" ref="FTQ105" si="1150">FTP102</f>
        <v>0</v>
      </c>
      <c r="FTR105" s="1051"/>
      <c r="FTS105" s="1051"/>
      <c r="FTT105" s="1056"/>
      <c r="FTU105" s="1157">
        <f t="shared" ref="FTU105" si="1151">FTT102</f>
        <v>0</v>
      </c>
      <c r="FTV105" s="1051"/>
      <c r="FTW105" s="1051"/>
      <c r="FTX105" s="1056"/>
      <c r="FTY105" s="1157">
        <f t="shared" ref="FTY105" si="1152">FTX102</f>
        <v>0</v>
      </c>
      <c r="FTZ105" s="1051"/>
      <c r="FUA105" s="1051"/>
      <c r="FUB105" s="1056"/>
      <c r="FUC105" s="1157">
        <f t="shared" ref="FUC105" si="1153">FUB102</f>
        <v>0</v>
      </c>
      <c r="FUD105" s="1051"/>
      <c r="FUE105" s="1051"/>
      <c r="FUF105" s="1056"/>
      <c r="FUG105" s="1157">
        <f t="shared" ref="FUG105" si="1154">FUF102</f>
        <v>0</v>
      </c>
      <c r="FUH105" s="1051"/>
      <c r="FUI105" s="1051"/>
      <c r="FUJ105" s="1056"/>
      <c r="FUK105" s="1157">
        <f t="shared" ref="FUK105" si="1155">FUJ102</f>
        <v>0</v>
      </c>
      <c r="FUL105" s="1051"/>
      <c r="FUM105" s="1051"/>
      <c r="FUN105" s="1056"/>
      <c r="FUO105" s="1157">
        <f t="shared" ref="FUO105" si="1156">FUN102</f>
        <v>0</v>
      </c>
      <c r="FUP105" s="1051"/>
      <c r="FUQ105" s="1051"/>
      <c r="FUR105" s="1056"/>
      <c r="FUS105" s="1157">
        <f t="shared" ref="FUS105" si="1157">FUR102</f>
        <v>0</v>
      </c>
      <c r="FUT105" s="1051"/>
      <c r="FUU105" s="1051"/>
      <c r="FUV105" s="1056"/>
      <c r="FUW105" s="1157">
        <f t="shared" ref="FUW105" si="1158">FUV102</f>
        <v>0</v>
      </c>
      <c r="FUX105" s="1051"/>
      <c r="FUY105" s="1051"/>
      <c r="FUZ105" s="1056"/>
      <c r="FVA105" s="1157">
        <f t="shared" ref="FVA105" si="1159">FUZ102</f>
        <v>0</v>
      </c>
      <c r="FVB105" s="1051"/>
      <c r="FVC105" s="1051"/>
      <c r="FVD105" s="1056"/>
      <c r="FVE105" s="1157">
        <f t="shared" ref="FVE105" si="1160">FVD102</f>
        <v>0</v>
      </c>
      <c r="FVF105" s="1051"/>
      <c r="FVG105" s="1051"/>
      <c r="FVH105" s="1056"/>
      <c r="FVI105" s="1157">
        <f t="shared" ref="FVI105" si="1161">FVH102</f>
        <v>0</v>
      </c>
      <c r="FVJ105" s="1051"/>
      <c r="FVK105" s="1051"/>
      <c r="FVL105" s="1056"/>
      <c r="FVM105" s="1157">
        <f t="shared" ref="FVM105" si="1162">FVL102</f>
        <v>0</v>
      </c>
      <c r="FVN105" s="1051"/>
      <c r="FVO105" s="1051"/>
      <c r="FVP105" s="1056"/>
      <c r="FVQ105" s="1157">
        <f t="shared" ref="FVQ105" si="1163">FVP102</f>
        <v>0</v>
      </c>
      <c r="FVR105" s="1051"/>
      <c r="FVS105" s="1051"/>
      <c r="FVT105" s="1056"/>
      <c r="FVU105" s="1157">
        <f t="shared" ref="FVU105" si="1164">FVT102</f>
        <v>0</v>
      </c>
      <c r="FVV105" s="1051"/>
      <c r="FVW105" s="1051"/>
      <c r="FVX105" s="1056"/>
      <c r="FVY105" s="1157">
        <f t="shared" ref="FVY105" si="1165">FVX102</f>
        <v>0</v>
      </c>
      <c r="FVZ105" s="1051"/>
      <c r="FWA105" s="1051"/>
      <c r="FWB105" s="1056"/>
      <c r="FWC105" s="1157">
        <f t="shared" ref="FWC105" si="1166">FWB102</f>
        <v>0</v>
      </c>
      <c r="FWD105" s="1051"/>
      <c r="FWE105" s="1051"/>
      <c r="FWF105" s="1056"/>
      <c r="FWG105" s="1157">
        <f t="shared" ref="FWG105" si="1167">FWF102</f>
        <v>0</v>
      </c>
      <c r="FWH105" s="1051"/>
      <c r="FWI105" s="1051"/>
      <c r="FWJ105" s="1056"/>
      <c r="FWK105" s="1157">
        <f t="shared" ref="FWK105" si="1168">FWJ102</f>
        <v>0</v>
      </c>
      <c r="FWL105" s="1051"/>
      <c r="FWM105" s="1051"/>
      <c r="FWN105" s="1056"/>
      <c r="FWO105" s="1157">
        <f t="shared" ref="FWO105" si="1169">FWN102</f>
        <v>0</v>
      </c>
      <c r="FWP105" s="1051"/>
      <c r="FWQ105" s="1051"/>
      <c r="FWR105" s="1056"/>
      <c r="FWS105" s="1157">
        <f t="shared" ref="FWS105" si="1170">FWR102</f>
        <v>0</v>
      </c>
      <c r="FWT105" s="1051"/>
      <c r="FWU105" s="1051"/>
      <c r="FWV105" s="1056"/>
      <c r="FWW105" s="1157">
        <f t="shared" ref="FWW105" si="1171">FWV102</f>
        <v>0</v>
      </c>
      <c r="FWX105" s="1051"/>
      <c r="FWY105" s="1051"/>
      <c r="FWZ105" s="1056"/>
      <c r="FXA105" s="1157">
        <f t="shared" ref="FXA105" si="1172">FWZ102</f>
        <v>0</v>
      </c>
      <c r="FXB105" s="1051"/>
      <c r="FXC105" s="1051"/>
      <c r="FXD105" s="1056"/>
      <c r="FXE105" s="1157">
        <f t="shared" ref="FXE105" si="1173">FXD102</f>
        <v>0</v>
      </c>
      <c r="FXF105" s="1051"/>
      <c r="FXG105" s="1051"/>
      <c r="FXH105" s="1056"/>
      <c r="FXI105" s="1157">
        <f t="shared" ref="FXI105" si="1174">FXH102</f>
        <v>0</v>
      </c>
      <c r="FXJ105" s="1051"/>
      <c r="FXK105" s="1051"/>
      <c r="FXL105" s="1056"/>
      <c r="FXM105" s="1157">
        <f t="shared" ref="FXM105" si="1175">FXL102</f>
        <v>0</v>
      </c>
      <c r="FXN105" s="1051"/>
      <c r="FXO105" s="1051"/>
      <c r="FXP105" s="1056"/>
      <c r="FXQ105" s="1157">
        <f t="shared" ref="FXQ105" si="1176">FXP102</f>
        <v>0</v>
      </c>
      <c r="FXR105" s="1051"/>
      <c r="FXS105" s="1051"/>
      <c r="FXT105" s="1056"/>
      <c r="FXU105" s="1157">
        <f t="shared" ref="FXU105" si="1177">FXT102</f>
        <v>0</v>
      </c>
      <c r="FXV105" s="1051"/>
      <c r="FXW105" s="1051"/>
      <c r="FXX105" s="1056"/>
      <c r="FXY105" s="1157">
        <f t="shared" ref="FXY105" si="1178">FXX102</f>
        <v>0</v>
      </c>
      <c r="FXZ105" s="1051"/>
      <c r="FYA105" s="1051"/>
      <c r="FYB105" s="1056"/>
      <c r="FYC105" s="1157">
        <f t="shared" ref="FYC105" si="1179">FYB102</f>
        <v>0</v>
      </c>
      <c r="FYD105" s="1051"/>
      <c r="FYE105" s="1051"/>
      <c r="FYF105" s="1056"/>
      <c r="FYG105" s="1157">
        <f t="shared" ref="FYG105" si="1180">FYF102</f>
        <v>0</v>
      </c>
      <c r="FYH105" s="1051"/>
      <c r="FYI105" s="1051"/>
      <c r="FYJ105" s="1056"/>
      <c r="FYK105" s="1157">
        <f t="shared" ref="FYK105" si="1181">FYJ102</f>
        <v>0</v>
      </c>
      <c r="FYL105" s="1051"/>
      <c r="FYM105" s="1051"/>
      <c r="FYN105" s="1056"/>
      <c r="FYO105" s="1157">
        <f t="shared" ref="FYO105" si="1182">FYN102</f>
        <v>0</v>
      </c>
      <c r="FYP105" s="1051"/>
      <c r="FYQ105" s="1051"/>
      <c r="FYR105" s="1056"/>
      <c r="FYS105" s="1157">
        <f t="shared" ref="FYS105" si="1183">FYR102</f>
        <v>0</v>
      </c>
      <c r="FYT105" s="1051"/>
      <c r="FYU105" s="1051"/>
      <c r="FYV105" s="1056"/>
      <c r="FYW105" s="1157">
        <f t="shared" ref="FYW105" si="1184">FYV102</f>
        <v>0</v>
      </c>
      <c r="FYX105" s="1051"/>
      <c r="FYY105" s="1051"/>
      <c r="FYZ105" s="1056"/>
      <c r="FZA105" s="1157">
        <f t="shared" ref="FZA105" si="1185">FYZ102</f>
        <v>0</v>
      </c>
      <c r="FZB105" s="1051"/>
      <c r="FZC105" s="1051"/>
      <c r="FZD105" s="1056"/>
      <c r="FZE105" s="1157">
        <f t="shared" ref="FZE105" si="1186">FZD102</f>
        <v>0</v>
      </c>
      <c r="FZF105" s="1051"/>
      <c r="FZG105" s="1051"/>
      <c r="FZH105" s="1056"/>
      <c r="FZI105" s="1157">
        <f t="shared" ref="FZI105" si="1187">FZH102</f>
        <v>0</v>
      </c>
      <c r="FZJ105" s="1051"/>
      <c r="FZK105" s="1051"/>
      <c r="FZL105" s="1056"/>
      <c r="FZM105" s="1157">
        <f t="shared" ref="FZM105" si="1188">FZL102</f>
        <v>0</v>
      </c>
      <c r="FZN105" s="1051"/>
      <c r="FZO105" s="1051"/>
      <c r="FZP105" s="1056"/>
      <c r="FZQ105" s="1157">
        <f t="shared" ref="FZQ105" si="1189">FZP102</f>
        <v>0</v>
      </c>
      <c r="FZR105" s="1051"/>
      <c r="FZS105" s="1051"/>
      <c r="FZT105" s="1056"/>
      <c r="FZU105" s="1157">
        <f t="shared" ref="FZU105" si="1190">FZT102</f>
        <v>0</v>
      </c>
      <c r="FZV105" s="1051"/>
      <c r="FZW105" s="1051"/>
      <c r="FZX105" s="1056"/>
      <c r="FZY105" s="1157">
        <f t="shared" ref="FZY105" si="1191">FZX102</f>
        <v>0</v>
      </c>
      <c r="FZZ105" s="1051"/>
      <c r="GAA105" s="1051"/>
      <c r="GAB105" s="1056"/>
      <c r="GAC105" s="1157">
        <f t="shared" ref="GAC105" si="1192">GAB102</f>
        <v>0</v>
      </c>
      <c r="GAD105" s="1051"/>
      <c r="GAE105" s="1051"/>
      <c r="GAF105" s="1056"/>
      <c r="GAG105" s="1157">
        <f t="shared" ref="GAG105" si="1193">GAF102</f>
        <v>0</v>
      </c>
      <c r="GAH105" s="1051"/>
      <c r="GAI105" s="1051"/>
      <c r="GAJ105" s="1056"/>
      <c r="GAK105" s="1157">
        <f t="shared" ref="GAK105" si="1194">GAJ102</f>
        <v>0</v>
      </c>
      <c r="GAL105" s="1051"/>
      <c r="GAM105" s="1051"/>
      <c r="GAN105" s="1056"/>
      <c r="GAO105" s="1157">
        <f t="shared" ref="GAO105" si="1195">GAN102</f>
        <v>0</v>
      </c>
      <c r="GAP105" s="1051"/>
      <c r="GAQ105" s="1051"/>
      <c r="GAR105" s="1056"/>
      <c r="GAS105" s="1157">
        <f t="shared" ref="GAS105" si="1196">GAR102</f>
        <v>0</v>
      </c>
      <c r="GAT105" s="1051"/>
      <c r="GAU105" s="1051"/>
      <c r="GAV105" s="1056"/>
      <c r="GAW105" s="1157">
        <f t="shared" ref="GAW105" si="1197">GAV102</f>
        <v>0</v>
      </c>
      <c r="GAX105" s="1051"/>
      <c r="GAY105" s="1051"/>
      <c r="GAZ105" s="1056"/>
      <c r="GBA105" s="1157">
        <f t="shared" ref="GBA105" si="1198">GAZ102</f>
        <v>0</v>
      </c>
      <c r="GBB105" s="1051"/>
      <c r="GBC105" s="1051"/>
      <c r="GBD105" s="1056"/>
      <c r="GBE105" s="1157">
        <f t="shared" ref="GBE105" si="1199">GBD102</f>
        <v>0</v>
      </c>
      <c r="GBF105" s="1051"/>
      <c r="GBG105" s="1051"/>
      <c r="GBH105" s="1056"/>
      <c r="GBI105" s="1157">
        <f t="shared" ref="GBI105" si="1200">GBH102</f>
        <v>0</v>
      </c>
      <c r="GBJ105" s="1051"/>
      <c r="GBK105" s="1051"/>
      <c r="GBL105" s="1056"/>
      <c r="GBM105" s="1157">
        <f t="shared" ref="GBM105" si="1201">GBL102</f>
        <v>0</v>
      </c>
      <c r="GBN105" s="1051"/>
      <c r="GBO105" s="1051"/>
      <c r="GBP105" s="1056"/>
      <c r="GBQ105" s="1157">
        <f t="shared" ref="GBQ105" si="1202">GBP102</f>
        <v>0</v>
      </c>
      <c r="GBR105" s="1051"/>
      <c r="GBS105" s="1051"/>
      <c r="GBT105" s="1056"/>
      <c r="GBU105" s="1157">
        <f t="shared" ref="GBU105" si="1203">GBT102</f>
        <v>0</v>
      </c>
      <c r="GBV105" s="1051"/>
      <c r="GBW105" s="1051"/>
      <c r="GBX105" s="1056"/>
      <c r="GBY105" s="1157">
        <f t="shared" ref="GBY105" si="1204">GBX102</f>
        <v>0</v>
      </c>
      <c r="GBZ105" s="1051"/>
      <c r="GCA105" s="1051"/>
      <c r="GCB105" s="1056"/>
      <c r="GCC105" s="1157">
        <f t="shared" ref="GCC105" si="1205">GCB102</f>
        <v>0</v>
      </c>
      <c r="GCD105" s="1051"/>
      <c r="GCE105" s="1051"/>
      <c r="GCF105" s="1056"/>
      <c r="GCG105" s="1157">
        <f t="shared" ref="GCG105" si="1206">GCF102</f>
        <v>0</v>
      </c>
      <c r="GCH105" s="1051"/>
      <c r="GCI105" s="1051"/>
      <c r="GCJ105" s="1056"/>
      <c r="GCK105" s="1157">
        <f t="shared" ref="GCK105" si="1207">GCJ102</f>
        <v>0</v>
      </c>
      <c r="GCL105" s="1051"/>
      <c r="GCM105" s="1051"/>
      <c r="GCN105" s="1056"/>
      <c r="GCO105" s="1157">
        <f t="shared" ref="GCO105" si="1208">GCN102</f>
        <v>0</v>
      </c>
      <c r="GCP105" s="1051"/>
      <c r="GCQ105" s="1051"/>
      <c r="GCR105" s="1056"/>
      <c r="GCS105" s="1157">
        <f t="shared" ref="GCS105" si="1209">GCR102</f>
        <v>0</v>
      </c>
      <c r="GCT105" s="1051"/>
      <c r="GCU105" s="1051"/>
      <c r="GCV105" s="1056"/>
      <c r="GCW105" s="1157">
        <f t="shared" ref="GCW105" si="1210">GCV102</f>
        <v>0</v>
      </c>
      <c r="GCX105" s="1051"/>
      <c r="GCY105" s="1051"/>
      <c r="GCZ105" s="1056"/>
      <c r="GDA105" s="1157">
        <f t="shared" ref="GDA105" si="1211">GCZ102</f>
        <v>0</v>
      </c>
      <c r="GDB105" s="1051"/>
      <c r="GDC105" s="1051"/>
      <c r="GDD105" s="1056"/>
      <c r="GDE105" s="1157">
        <f t="shared" ref="GDE105" si="1212">GDD102</f>
        <v>0</v>
      </c>
      <c r="GDF105" s="1051"/>
      <c r="GDG105" s="1051"/>
      <c r="GDH105" s="1056"/>
      <c r="GDI105" s="1157">
        <f t="shared" ref="GDI105" si="1213">GDH102</f>
        <v>0</v>
      </c>
      <c r="GDJ105" s="1051"/>
      <c r="GDK105" s="1051"/>
      <c r="GDL105" s="1056"/>
      <c r="GDM105" s="1157">
        <f t="shared" ref="GDM105" si="1214">GDL102</f>
        <v>0</v>
      </c>
      <c r="GDN105" s="1051"/>
      <c r="GDO105" s="1051"/>
      <c r="GDP105" s="1056"/>
      <c r="GDQ105" s="1157">
        <f t="shared" ref="GDQ105" si="1215">GDP102</f>
        <v>0</v>
      </c>
      <c r="GDR105" s="1051"/>
      <c r="GDS105" s="1051"/>
      <c r="GDT105" s="1056"/>
      <c r="GDU105" s="1157">
        <f t="shared" ref="GDU105" si="1216">GDT102</f>
        <v>0</v>
      </c>
      <c r="GDV105" s="1051"/>
      <c r="GDW105" s="1051"/>
      <c r="GDX105" s="1056"/>
      <c r="GDY105" s="1157">
        <f t="shared" ref="GDY105" si="1217">GDX102</f>
        <v>0</v>
      </c>
      <c r="GDZ105" s="1051"/>
      <c r="GEA105" s="1051"/>
      <c r="GEB105" s="1056"/>
      <c r="GEC105" s="1157">
        <f t="shared" ref="GEC105" si="1218">GEB102</f>
        <v>0</v>
      </c>
      <c r="GED105" s="1051"/>
      <c r="GEE105" s="1051"/>
      <c r="GEF105" s="1056"/>
      <c r="GEG105" s="1157">
        <f t="shared" ref="GEG105" si="1219">GEF102</f>
        <v>0</v>
      </c>
      <c r="GEH105" s="1051"/>
      <c r="GEI105" s="1051"/>
      <c r="GEJ105" s="1056"/>
      <c r="GEK105" s="1157">
        <f t="shared" ref="GEK105" si="1220">GEJ102</f>
        <v>0</v>
      </c>
      <c r="GEL105" s="1051"/>
      <c r="GEM105" s="1051"/>
      <c r="GEN105" s="1056"/>
      <c r="GEO105" s="1157">
        <f t="shared" ref="GEO105" si="1221">GEN102</f>
        <v>0</v>
      </c>
      <c r="GEP105" s="1051"/>
      <c r="GEQ105" s="1051"/>
      <c r="GER105" s="1056"/>
      <c r="GES105" s="1157">
        <f t="shared" ref="GES105" si="1222">GER102</f>
        <v>0</v>
      </c>
      <c r="GET105" s="1051"/>
      <c r="GEU105" s="1051"/>
      <c r="GEV105" s="1056"/>
      <c r="GEW105" s="1157">
        <f t="shared" ref="GEW105" si="1223">GEV102</f>
        <v>0</v>
      </c>
      <c r="GEX105" s="1051"/>
      <c r="GEY105" s="1051"/>
      <c r="GEZ105" s="1056"/>
      <c r="GFA105" s="1157">
        <f t="shared" ref="GFA105" si="1224">GEZ102</f>
        <v>0</v>
      </c>
      <c r="GFB105" s="1051"/>
      <c r="GFC105" s="1051"/>
      <c r="GFD105" s="1056"/>
      <c r="GFE105" s="1157">
        <f t="shared" ref="GFE105" si="1225">GFD102</f>
        <v>0</v>
      </c>
      <c r="GFF105" s="1051"/>
      <c r="GFG105" s="1051"/>
      <c r="GFH105" s="1056"/>
      <c r="GFI105" s="1157">
        <f t="shared" ref="GFI105" si="1226">GFH102</f>
        <v>0</v>
      </c>
      <c r="GFJ105" s="1051"/>
      <c r="GFK105" s="1051"/>
      <c r="GFL105" s="1056"/>
      <c r="GFM105" s="1157">
        <f t="shared" ref="GFM105" si="1227">GFL102</f>
        <v>0</v>
      </c>
      <c r="GFN105" s="1051"/>
      <c r="GFO105" s="1051"/>
      <c r="GFP105" s="1056"/>
      <c r="GFQ105" s="1157">
        <f t="shared" ref="GFQ105" si="1228">GFP102</f>
        <v>0</v>
      </c>
      <c r="GFR105" s="1051"/>
      <c r="GFS105" s="1051"/>
      <c r="GFT105" s="1056"/>
      <c r="GFU105" s="1157">
        <f t="shared" ref="GFU105" si="1229">GFT102</f>
        <v>0</v>
      </c>
      <c r="GFV105" s="1051"/>
      <c r="GFW105" s="1051"/>
      <c r="GFX105" s="1056"/>
      <c r="GFY105" s="1157">
        <f t="shared" ref="GFY105" si="1230">GFX102</f>
        <v>0</v>
      </c>
      <c r="GFZ105" s="1051"/>
      <c r="GGA105" s="1051"/>
      <c r="GGB105" s="1056"/>
      <c r="GGC105" s="1157">
        <f t="shared" ref="GGC105" si="1231">GGB102</f>
        <v>0</v>
      </c>
      <c r="GGD105" s="1051"/>
      <c r="GGE105" s="1051"/>
      <c r="GGF105" s="1056"/>
      <c r="GGG105" s="1157">
        <f t="shared" ref="GGG105" si="1232">GGF102</f>
        <v>0</v>
      </c>
      <c r="GGH105" s="1051"/>
      <c r="GGI105" s="1051"/>
      <c r="GGJ105" s="1056"/>
      <c r="GGK105" s="1157">
        <f t="shared" ref="GGK105" si="1233">GGJ102</f>
        <v>0</v>
      </c>
      <c r="GGL105" s="1051"/>
      <c r="GGM105" s="1051"/>
      <c r="GGN105" s="1056"/>
      <c r="GGO105" s="1157">
        <f t="shared" ref="GGO105" si="1234">GGN102</f>
        <v>0</v>
      </c>
      <c r="GGP105" s="1051"/>
      <c r="GGQ105" s="1051"/>
      <c r="GGR105" s="1056"/>
      <c r="GGS105" s="1157">
        <f t="shared" ref="GGS105" si="1235">GGR102</f>
        <v>0</v>
      </c>
      <c r="GGT105" s="1051"/>
      <c r="GGU105" s="1051"/>
      <c r="GGV105" s="1056"/>
      <c r="GGW105" s="1157">
        <f t="shared" ref="GGW105" si="1236">GGV102</f>
        <v>0</v>
      </c>
      <c r="GGX105" s="1051"/>
      <c r="GGY105" s="1051"/>
      <c r="GGZ105" s="1056"/>
      <c r="GHA105" s="1157">
        <f t="shared" ref="GHA105" si="1237">GGZ102</f>
        <v>0</v>
      </c>
      <c r="GHB105" s="1051"/>
      <c r="GHC105" s="1051"/>
      <c r="GHD105" s="1056"/>
      <c r="GHE105" s="1157">
        <f t="shared" ref="GHE105" si="1238">GHD102</f>
        <v>0</v>
      </c>
      <c r="GHF105" s="1051"/>
      <c r="GHG105" s="1051"/>
      <c r="GHH105" s="1056"/>
      <c r="GHI105" s="1157">
        <f t="shared" ref="GHI105" si="1239">GHH102</f>
        <v>0</v>
      </c>
      <c r="GHJ105" s="1051"/>
      <c r="GHK105" s="1051"/>
      <c r="GHL105" s="1056"/>
      <c r="GHM105" s="1157">
        <f t="shared" ref="GHM105" si="1240">GHL102</f>
        <v>0</v>
      </c>
      <c r="GHN105" s="1051"/>
      <c r="GHO105" s="1051"/>
      <c r="GHP105" s="1056"/>
      <c r="GHQ105" s="1157">
        <f t="shared" ref="GHQ105" si="1241">GHP102</f>
        <v>0</v>
      </c>
      <c r="GHR105" s="1051"/>
      <c r="GHS105" s="1051"/>
      <c r="GHT105" s="1056"/>
      <c r="GHU105" s="1157">
        <f t="shared" ref="GHU105" si="1242">GHT102</f>
        <v>0</v>
      </c>
      <c r="GHV105" s="1051"/>
      <c r="GHW105" s="1051"/>
      <c r="GHX105" s="1056"/>
      <c r="GHY105" s="1157">
        <f t="shared" ref="GHY105" si="1243">GHX102</f>
        <v>0</v>
      </c>
      <c r="GHZ105" s="1051"/>
      <c r="GIA105" s="1051"/>
      <c r="GIB105" s="1056"/>
      <c r="GIC105" s="1157">
        <f t="shared" ref="GIC105" si="1244">GIB102</f>
        <v>0</v>
      </c>
      <c r="GID105" s="1051"/>
      <c r="GIE105" s="1051"/>
      <c r="GIF105" s="1056"/>
      <c r="GIG105" s="1157">
        <f t="shared" ref="GIG105" si="1245">GIF102</f>
        <v>0</v>
      </c>
      <c r="GIH105" s="1051"/>
      <c r="GII105" s="1051"/>
      <c r="GIJ105" s="1056"/>
      <c r="GIK105" s="1157">
        <f t="shared" ref="GIK105" si="1246">GIJ102</f>
        <v>0</v>
      </c>
      <c r="GIL105" s="1051"/>
      <c r="GIM105" s="1051"/>
      <c r="GIN105" s="1056"/>
      <c r="GIO105" s="1157">
        <f t="shared" ref="GIO105" si="1247">GIN102</f>
        <v>0</v>
      </c>
      <c r="GIP105" s="1051"/>
      <c r="GIQ105" s="1051"/>
      <c r="GIR105" s="1056"/>
      <c r="GIS105" s="1157">
        <f t="shared" ref="GIS105" si="1248">GIR102</f>
        <v>0</v>
      </c>
      <c r="GIT105" s="1051"/>
      <c r="GIU105" s="1051"/>
      <c r="GIV105" s="1056"/>
      <c r="GIW105" s="1157">
        <f t="shared" ref="GIW105" si="1249">GIV102</f>
        <v>0</v>
      </c>
      <c r="GIX105" s="1051"/>
      <c r="GIY105" s="1051"/>
      <c r="GIZ105" s="1056"/>
      <c r="GJA105" s="1157">
        <f t="shared" ref="GJA105" si="1250">GIZ102</f>
        <v>0</v>
      </c>
      <c r="GJB105" s="1051"/>
      <c r="GJC105" s="1051"/>
      <c r="GJD105" s="1056"/>
      <c r="GJE105" s="1157">
        <f t="shared" ref="GJE105" si="1251">GJD102</f>
        <v>0</v>
      </c>
      <c r="GJF105" s="1051"/>
      <c r="GJG105" s="1051"/>
      <c r="GJH105" s="1056"/>
      <c r="GJI105" s="1157">
        <f t="shared" ref="GJI105" si="1252">GJH102</f>
        <v>0</v>
      </c>
      <c r="GJJ105" s="1051"/>
      <c r="GJK105" s="1051"/>
      <c r="GJL105" s="1056"/>
      <c r="GJM105" s="1157">
        <f t="shared" ref="GJM105" si="1253">GJL102</f>
        <v>0</v>
      </c>
      <c r="GJN105" s="1051"/>
      <c r="GJO105" s="1051"/>
      <c r="GJP105" s="1056"/>
      <c r="GJQ105" s="1157">
        <f t="shared" ref="GJQ105" si="1254">GJP102</f>
        <v>0</v>
      </c>
      <c r="GJR105" s="1051"/>
      <c r="GJS105" s="1051"/>
      <c r="GJT105" s="1056"/>
      <c r="GJU105" s="1157">
        <f t="shared" ref="GJU105" si="1255">GJT102</f>
        <v>0</v>
      </c>
      <c r="GJV105" s="1051"/>
      <c r="GJW105" s="1051"/>
      <c r="GJX105" s="1056"/>
      <c r="GJY105" s="1157">
        <f t="shared" ref="GJY105" si="1256">GJX102</f>
        <v>0</v>
      </c>
      <c r="GJZ105" s="1051"/>
      <c r="GKA105" s="1051"/>
      <c r="GKB105" s="1056"/>
      <c r="GKC105" s="1157">
        <f t="shared" ref="GKC105" si="1257">GKB102</f>
        <v>0</v>
      </c>
      <c r="GKD105" s="1051"/>
      <c r="GKE105" s="1051"/>
      <c r="GKF105" s="1056"/>
      <c r="GKG105" s="1157">
        <f t="shared" ref="GKG105" si="1258">GKF102</f>
        <v>0</v>
      </c>
      <c r="GKH105" s="1051"/>
      <c r="GKI105" s="1051"/>
      <c r="GKJ105" s="1056"/>
      <c r="GKK105" s="1157">
        <f t="shared" ref="GKK105" si="1259">GKJ102</f>
        <v>0</v>
      </c>
      <c r="GKL105" s="1051"/>
      <c r="GKM105" s="1051"/>
      <c r="GKN105" s="1056"/>
      <c r="GKO105" s="1157">
        <f t="shared" ref="GKO105" si="1260">GKN102</f>
        <v>0</v>
      </c>
      <c r="GKP105" s="1051"/>
      <c r="GKQ105" s="1051"/>
      <c r="GKR105" s="1056"/>
      <c r="GKS105" s="1157">
        <f t="shared" ref="GKS105" si="1261">GKR102</f>
        <v>0</v>
      </c>
      <c r="GKT105" s="1051"/>
      <c r="GKU105" s="1051"/>
      <c r="GKV105" s="1056"/>
      <c r="GKW105" s="1157">
        <f t="shared" ref="GKW105" si="1262">GKV102</f>
        <v>0</v>
      </c>
      <c r="GKX105" s="1051"/>
      <c r="GKY105" s="1051"/>
      <c r="GKZ105" s="1056"/>
      <c r="GLA105" s="1157">
        <f t="shared" ref="GLA105" si="1263">GKZ102</f>
        <v>0</v>
      </c>
      <c r="GLB105" s="1051"/>
      <c r="GLC105" s="1051"/>
      <c r="GLD105" s="1056"/>
      <c r="GLE105" s="1157">
        <f t="shared" ref="GLE105" si="1264">GLD102</f>
        <v>0</v>
      </c>
      <c r="GLF105" s="1051"/>
      <c r="GLG105" s="1051"/>
      <c r="GLH105" s="1056"/>
      <c r="GLI105" s="1157">
        <f t="shared" ref="GLI105" si="1265">GLH102</f>
        <v>0</v>
      </c>
      <c r="GLJ105" s="1051"/>
      <c r="GLK105" s="1051"/>
      <c r="GLL105" s="1056"/>
      <c r="GLM105" s="1157">
        <f t="shared" ref="GLM105" si="1266">GLL102</f>
        <v>0</v>
      </c>
      <c r="GLN105" s="1051"/>
      <c r="GLO105" s="1051"/>
      <c r="GLP105" s="1056"/>
      <c r="GLQ105" s="1157">
        <f t="shared" ref="GLQ105" si="1267">GLP102</f>
        <v>0</v>
      </c>
      <c r="GLR105" s="1051"/>
      <c r="GLS105" s="1051"/>
      <c r="GLT105" s="1056"/>
      <c r="GLU105" s="1157">
        <f t="shared" ref="GLU105" si="1268">GLT102</f>
        <v>0</v>
      </c>
      <c r="GLV105" s="1051"/>
      <c r="GLW105" s="1051"/>
      <c r="GLX105" s="1056"/>
      <c r="GLY105" s="1157">
        <f t="shared" ref="GLY105" si="1269">GLX102</f>
        <v>0</v>
      </c>
      <c r="GLZ105" s="1051"/>
      <c r="GMA105" s="1051"/>
      <c r="GMB105" s="1056"/>
      <c r="GMC105" s="1157">
        <f t="shared" ref="GMC105" si="1270">GMB102</f>
        <v>0</v>
      </c>
      <c r="GMD105" s="1051"/>
      <c r="GME105" s="1051"/>
      <c r="GMF105" s="1056"/>
      <c r="GMG105" s="1157">
        <f t="shared" ref="GMG105" si="1271">GMF102</f>
        <v>0</v>
      </c>
      <c r="GMH105" s="1051"/>
      <c r="GMI105" s="1051"/>
      <c r="GMJ105" s="1056"/>
      <c r="GMK105" s="1157">
        <f t="shared" ref="GMK105" si="1272">GMJ102</f>
        <v>0</v>
      </c>
      <c r="GML105" s="1051"/>
      <c r="GMM105" s="1051"/>
      <c r="GMN105" s="1056"/>
      <c r="GMO105" s="1157">
        <f t="shared" ref="GMO105" si="1273">GMN102</f>
        <v>0</v>
      </c>
      <c r="GMP105" s="1051"/>
      <c r="GMQ105" s="1051"/>
      <c r="GMR105" s="1056"/>
      <c r="GMS105" s="1157">
        <f t="shared" ref="GMS105" si="1274">GMR102</f>
        <v>0</v>
      </c>
      <c r="GMT105" s="1051"/>
      <c r="GMU105" s="1051"/>
      <c r="GMV105" s="1056"/>
      <c r="GMW105" s="1157">
        <f t="shared" ref="GMW105" si="1275">GMV102</f>
        <v>0</v>
      </c>
      <c r="GMX105" s="1051"/>
      <c r="GMY105" s="1051"/>
      <c r="GMZ105" s="1056"/>
      <c r="GNA105" s="1157">
        <f t="shared" ref="GNA105" si="1276">GMZ102</f>
        <v>0</v>
      </c>
      <c r="GNB105" s="1051"/>
      <c r="GNC105" s="1051"/>
      <c r="GND105" s="1056"/>
      <c r="GNE105" s="1157">
        <f t="shared" ref="GNE105" si="1277">GND102</f>
        <v>0</v>
      </c>
      <c r="GNF105" s="1051"/>
      <c r="GNG105" s="1051"/>
      <c r="GNH105" s="1056"/>
      <c r="GNI105" s="1157">
        <f t="shared" ref="GNI105" si="1278">GNH102</f>
        <v>0</v>
      </c>
      <c r="GNJ105" s="1051"/>
      <c r="GNK105" s="1051"/>
      <c r="GNL105" s="1056"/>
      <c r="GNM105" s="1157">
        <f t="shared" ref="GNM105" si="1279">GNL102</f>
        <v>0</v>
      </c>
      <c r="GNN105" s="1051"/>
      <c r="GNO105" s="1051"/>
      <c r="GNP105" s="1056"/>
      <c r="GNQ105" s="1157">
        <f t="shared" ref="GNQ105" si="1280">GNP102</f>
        <v>0</v>
      </c>
      <c r="GNR105" s="1051"/>
      <c r="GNS105" s="1051"/>
      <c r="GNT105" s="1056"/>
      <c r="GNU105" s="1157">
        <f t="shared" ref="GNU105" si="1281">GNT102</f>
        <v>0</v>
      </c>
      <c r="GNV105" s="1051"/>
      <c r="GNW105" s="1051"/>
      <c r="GNX105" s="1056"/>
      <c r="GNY105" s="1157">
        <f t="shared" ref="GNY105" si="1282">GNX102</f>
        <v>0</v>
      </c>
      <c r="GNZ105" s="1051"/>
      <c r="GOA105" s="1051"/>
      <c r="GOB105" s="1056"/>
      <c r="GOC105" s="1157">
        <f t="shared" ref="GOC105" si="1283">GOB102</f>
        <v>0</v>
      </c>
      <c r="GOD105" s="1051"/>
      <c r="GOE105" s="1051"/>
      <c r="GOF105" s="1056"/>
      <c r="GOG105" s="1157">
        <f t="shared" ref="GOG105" si="1284">GOF102</f>
        <v>0</v>
      </c>
      <c r="GOH105" s="1051"/>
      <c r="GOI105" s="1051"/>
      <c r="GOJ105" s="1056"/>
      <c r="GOK105" s="1157">
        <f t="shared" ref="GOK105" si="1285">GOJ102</f>
        <v>0</v>
      </c>
      <c r="GOL105" s="1051"/>
      <c r="GOM105" s="1051"/>
      <c r="GON105" s="1056"/>
      <c r="GOO105" s="1157">
        <f t="shared" ref="GOO105" si="1286">GON102</f>
        <v>0</v>
      </c>
      <c r="GOP105" s="1051"/>
      <c r="GOQ105" s="1051"/>
      <c r="GOR105" s="1056"/>
      <c r="GOS105" s="1157">
        <f t="shared" ref="GOS105" si="1287">GOR102</f>
        <v>0</v>
      </c>
      <c r="GOT105" s="1051"/>
      <c r="GOU105" s="1051"/>
      <c r="GOV105" s="1056"/>
      <c r="GOW105" s="1157">
        <f t="shared" ref="GOW105" si="1288">GOV102</f>
        <v>0</v>
      </c>
      <c r="GOX105" s="1051"/>
      <c r="GOY105" s="1051"/>
      <c r="GOZ105" s="1056"/>
      <c r="GPA105" s="1157">
        <f t="shared" ref="GPA105" si="1289">GOZ102</f>
        <v>0</v>
      </c>
      <c r="GPB105" s="1051"/>
      <c r="GPC105" s="1051"/>
      <c r="GPD105" s="1056"/>
      <c r="GPE105" s="1157">
        <f t="shared" ref="GPE105" si="1290">GPD102</f>
        <v>0</v>
      </c>
      <c r="GPF105" s="1051"/>
      <c r="GPG105" s="1051"/>
      <c r="GPH105" s="1056"/>
      <c r="GPI105" s="1157">
        <f t="shared" ref="GPI105" si="1291">GPH102</f>
        <v>0</v>
      </c>
      <c r="GPJ105" s="1051"/>
      <c r="GPK105" s="1051"/>
      <c r="GPL105" s="1056"/>
      <c r="GPM105" s="1157">
        <f t="shared" ref="GPM105" si="1292">GPL102</f>
        <v>0</v>
      </c>
      <c r="GPN105" s="1051"/>
      <c r="GPO105" s="1051"/>
      <c r="GPP105" s="1056"/>
      <c r="GPQ105" s="1157">
        <f t="shared" ref="GPQ105" si="1293">GPP102</f>
        <v>0</v>
      </c>
      <c r="GPR105" s="1051"/>
      <c r="GPS105" s="1051"/>
      <c r="GPT105" s="1056"/>
      <c r="GPU105" s="1157">
        <f t="shared" ref="GPU105" si="1294">GPT102</f>
        <v>0</v>
      </c>
      <c r="GPV105" s="1051"/>
      <c r="GPW105" s="1051"/>
      <c r="GPX105" s="1056"/>
      <c r="GPY105" s="1157">
        <f t="shared" ref="GPY105" si="1295">GPX102</f>
        <v>0</v>
      </c>
      <c r="GPZ105" s="1051"/>
      <c r="GQA105" s="1051"/>
      <c r="GQB105" s="1056"/>
      <c r="GQC105" s="1157">
        <f t="shared" ref="GQC105" si="1296">GQB102</f>
        <v>0</v>
      </c>
      <c r="GQD105" s="1051"/>
      <c r="GQE105" s="1051"/>
      <c r="GQF105" s="1056"/>
      <c r="GQG105" s="1157">
        <f t="shared" ref="GQG105" si="1297">GQF102</f>
        <v>0</v>
      </c>
      <c r="GQH105" s="1051"/>
      <c r="GQI105" s="1051"/>
      <c r="GQJ105" s="1056"/>
      <c r="GQK105" s="1157">
        <f t="shared" ref="GQK105" si="1298">GQJ102</f>
        <v>0</v>
      </c>
      <c r="GQL105" s="1051"/>
      <c r="GQM105" s="1051"/>
      <c r="GQN105" s="1056"/>
      <c r="GQO105" s="1157">
        <f t="shared" ref="GQO105" si="1299">GQN102</f>
        <v>0</v>
      </c>
      <c r="GQP105" s="1051"/>
      <c r="GQQ105" s="1051"/>
      <c r="GQR105" s="1056"/>
      <c r="GQS105" s="1157">
        <f t="shared" ref="GQS105" si="1300">GQR102</f>
        <v>0</v>
      </c>
      <c r="GQT105" s="1051"/>
      <c r="GQU105" s="1051"/>
      <c r="GQV105" s="1056"/>
      <c r="GQW105" s="1157">
        <f t="shared" ref="GQW105" si="1301">GQV102</f>
        <v>0</v>
      </c>
      <c r="GQX105" s="1051"/>
      <c r="GQY105" s="1051"/>
      <c r="GQZ105" s="1056"/>
      <c r="GRA105" s="1157">
        <f t="shared" ref="GRA105" si="1302">GQZ102</f>
        <v>0</v>
      </c>
      <c r="GRB105" s="1051"/>
      <c r="GRC105" s="1051"/>
      <c r="GRD105" s="1056"/>
      <c r="GRE105" s="1157">
        <f t="shared" ref="GRE105" si="1303">GRD102</f>
        <v>0</v>
      </c>
      <c r="GRF105" s="1051"/>
      <c r="GRG105" s="1051"/>
      <c r="GRH105" s="1056"/>
      <c r="GRI105" s="1157">
        <f t="shared" ref="GRI105" si="1304">GRH102</f>
        <v>0</v>
      </c>
      <c r="GRJ105" s="1051"/>
      <c r="GRK105" s="1051"/>
      <c r="GRL105" s="1056"/>
      <c r="GRM105" s="1157">
        <f t="shared" ref="GRM105" si="1305">GRL102</f>
        <v>0</v>
      </c>
      <c r="GRN105" s="1051"/>
      <c r="GRO105" s="1051"/>
      <c r="GRP105" s="1056"/>
      <c r="GRQ105" s="1157">
        <f t="shared" ref="GRQ105" si="1306">GRP102</f>
        <v>0</v>
      </c>
      <c r="GRR105" s="1051"/>
      <c r="GRS105" s="1051"/>
      <c r="GRT105" s="1056"/>
      <c r="GRU105" s="1157">
        <f t="shared" ref="GRU105" si="1307">GRT102</f>
        <v>0</v>
      </c>
      <c r="GRV105" s="1051"/>
      <c r="GRW105" s="1051"/>
      <c r="GRX105" s="1056"/>
      <c r="GRY105" s="1157">
        <f t="shared" ref="GRY105" si="1308">GRX102</f>
        <v>0</v>
      </c>
      <c r="GRZ105" s="1051"/>
      <c r="GSA105" s="1051"/>
      <c r="GSB105" s="1056"/>
      <c r="GSC105" s="1157">
        <f t="shared" ref="GSC105" si="1309">GSB102</f>
        <v>0</v>
      </c>
      <c r="GSD105" s="1051"/>
      <c r="GSE105" s="1051"/>
      <c r="GSF105" s="1056"/>
      <c r="GSG105" s="1157">
        <f t="shared" ref="GSG105" si="1310">GSF102</f>
        <v>0</v>
      </c>
      <c r="GSH105" s="1051"/>
      <c r="GSI105" s="1051"/>
      <c r="GSJ105" s="1056"/>
      <c r="GSK105" s="1157">
        <f t="shared" ref="GSK105" si="1311">GSJ102</f>
        <v>0</v>
      </c>
      <c r="GSL105" s="1051"/>
      <c r="GSM105" s="1051"/>
      <c r="GSN105" s="1056"/>
      <c r="GSO105" s="1157">
        <f t="shared" ref="GSO105" si="1312">GSN102</f>
        <v>0</v>
      </c>
      <c r="GSP105" s="1051"/>
      <c r="GSQ105" s="1051"/>
      <c r="GSR105" s="1056"/>
      <c r="GSS105" s="1157">
        <f t="shared" ref="GSS105" si="1313">GSR102</f>
        <v>0</v>
      </c>
      <c r="GST105" s="1051"/>
      <c r="GSU105" s="1051"/>
      <c r="GSV105" s="1056"/>
      <c r="GSW105" s="1157">
        <f t="shared" ref="GSW105" si="1314">GSV102</f>
        <v>0</v>
      </c>
      <c r="GSX105" s="1051"/>
      <c r="GSY105" s="1051"/>
      <c r="GSZ105" s="1056"/>
      <c r="GTA105" s="1157">
        <f t="shared" ref="GTA105" si="1315">GSZ102</f>
        <v>0</v>
      </c>
      <c r="GTB105" s="1051"/>
      <c r="GTC105" s="1051"/>
      <c r="GTD105" s="1056"/>
      <c r="GTE105" s="1157">
        <f t="shared" ref="GTE105" si="1316">GTD102</f>
        <v>0</v>
      </c>
      <c r="GTF105" s="1051"/>
      <c r="GTG105" s="1051"/>
      <c r="GTH105" s="1056"/>
      <c r="GTI105" s="1157">
        <f t="shared" ref="GTI105" si="1317">GTH102</f>
        <v>0</v>
      </c>
      <c r="GTJ105" s="1051"/>
      <c r="GTK105" s="1051"/>
      <c r="GTL105" s="1056"/>
      <c r="GTM105" s="1157">
        <f t="shared" ref="GTM105" si="1318">GTL102</f>
        <v>0</v>
      </c>
      <c r="GTN105" s="1051"/>
      <c r="GTO105" s="1051"/>
      <c r="GTP105" s="1056"/>
      <c r="GTQ105" s="1157">
        <f t="shared" ref="GTQ105" si="1319">GTP102</f>
        <v>0</v>
      </c>
      <c r="GTR105" s="1051"/>
      <c r="GTS105" s="1051"/>
      <c r="GTT105" s="1056"/>
      <c r="GTU105" s="1157">
        <f t="shared" ref="GTU105" si="1320">GTT102</f>
        <v>0</v>
      </c>
      <c r="GTV105" s="1051"/>
      <c r="GTW105" s="1051"/>
      <c r="GTX105" s="1056"/>
      <c r="GTY105" s="1157">
        <f t="shared" ref="GTY105" si="1321">GTX102</f>
        <v>0</v>
      </c>
      <c r="GTZ105" s="1051"/>
      <c r="GUA105" s="1051"/>
      <c r="GUB105" s="1056"/>
      <c r="GUC105" s="1157">
        <f t="shared" ref="GUC105" si="1322">GUB102</f>
        <v>0</v>
      </c>
      <c r="GUD105" s="1051"/>
      <c r="GUE105" s="1051"/>
      <c r="GUF105" s="1056"/>
      <c r="GUG105" s="1157">
        <f t="shared" ref="GUG105" si="1323">GUF102</f>
        <v>0</v>
      </c>
      <c r="GUH105" s="1051"/>
      <c r="GUI105" s="1051"/>
      <c r="GUJ105" s="1056"/>
      <c r="GUK105" s="1157">
        <f t="shared" ref="GUK105" si="1324">GUJ102</f>
        <v>0</v>
      </c>
      <c r="GUL105" s="1051"/>
      <c r="GUM105" s="1051"/>
      <c r="GUN105" s="1056"/>
      <c r="GUO105" s="1157">
        <f t="shared" ref="GUO105" si="1325">GUN102</f>
        <v>0</v>
      </c>
      <c r="GUP105" s="1051"/>
      <c r="GUQ105" s="1051"/>
      <c r="GUR105" s="1056"/>
      <c r="GUS105" s="1157">
        <f t="shared" ref="GUS105" si="1326">GUR102</f>
        <v>0</v>
      </c>
      <c r="GUT105" s="1051"/>
      <c r="GUU105" s="1051"/>
      <c r="GUV105" s="1056"/>
      <c r="GUW105" s="1157">
        <f t="shared" ref="GUW105" si="1327">GUV102</f>
        <v>0</v>
      </c>
      <c r="GUX105" s="1051"/>
      <c r="GUY105" s="1051"/>
      <c r="GUZ105" s="1056"/>
      <c r="GVA105" s="1157">
        <f t="shared" ref="GVA105" si="1328">GUZ102</f>
        <v>0</v>
      </c>
      <c r="GVB105" s="1051"/>
      <c r="GVC105" s="1051"/>
      <c r="GVD105" s="1056"/>
      <c r="GVE105" s="1157">
        <f t="shared" ref="GVE105" si="1329">GVD102</f>
        <v>0</v>
      </c>
      <c r="GVF105" s="1051"/>
      <c r="GVG105" s="1051"/>
      <c r="GVH105" s="1056"/>
      <c r="GVI105" s="1157">
        <f t="shared" ref="GVI105" si="1330">GVH102</f>
        <v>0</v>
      </c>
      <c r="GVJ105" s="1051"/>
      <c r="GVK105" s="1051"/>
      <c r="GVL105" s="1056"/>
      <c r="GVM105" s="1157">
        <f t="shared" ref="GVM105" si="1331">GVL102</f>
        <v>0</v>
      </c>
      <c r="GVN105" s="1051"/>
      <c r="GVO105" s="1051"/>
      <c r="GVP105" s="1056"/>
      <c r="GVQ105" s="1157">
        <f t="shared" ref="GVQ105" si="1332">GVP102</f>
        <v>0</v>
      </c>
      <c r="GVR105" s="1051"/>
      <c r="GVS105" s="1051"/>
      <c r="GVT105" s="1056"/>
      <c r="GVU105" s="1157">
        <f t="shared" ref="GVU105" si="1333">GVT102</f>
        <v>0</v>
      </c>
      <c r="GVV105" s="1051"/>
      <c r="GVW105" s="1051"/>
      <c r="GVX105" s="1056"/>
      <c r="GVY105" s="1157">
        <f t="shared" ref="GVY105" si="1334">GVX102</f>
        <v>0</v>
      </c>
      <c r="GVZ105" s="1051"/>
      <c r="GWA105" s="1051"/>
      <c r="GWB105" s="1056"/>
      <c r="GWC105" s="1157">
        <f t="shared" ref="GWC105" si="1335">GWB102</f>
        <v>0</v>
      </c>
      <c r="GWD105" s="1051"/>
      <c r="GWE105" s="1051"/>
      <c r="GWF105" s="1056"/>
      <c r="GWG105" s="1157">
        <f t="shared" ref="GWG105" si="1336">GWF102</f>
        <v>0</v>
      </c>
      <c r="GWH105" s="1051"/>
      <c r="GWI105" s="1051"/>
      <c r="GWJ105" s="1056"/>
      <c r="GWK105" s="1157">
        <f t="shared" ref="GWK105" si="1337">GWJ102</f>
        <v>0</v>
      </c>
      <c r="GWL105" s="1051"/>
      <c r="GWM105" s="1051"/>
      <c r="GWN105" s="1056"/>
      <c r="GWO105" s="1157">
        <f t="shared" ref="GWO105" si="1338">GWN102</f>
        <v>0</v>
      </c>
      <c r="GWP105" s="1051"/>
      <c r="GWQ105" s="1051"/>
      <c r="GWR105" s="1056"/>
      <c r="GWS105" s="1157">
        <f t="shared" ref="GWS105" si="1339">GWR102</f>
        <v>0</v>
      </c>
      <c r="GWT105" s="1051"/>
      <c r="GWU105" s="1051"/>
      <c r="GWV105" s="1056"/>
      <c r="GWW105" s="1157">
        <f t="shared" ref="GWW105" si="1340">GWV102</f>
        <v>0</v>
      </c>
      <c r="GWX105" s="1051"/>
      <c r="GWY105" s="1051"/>
      <c r="GWZ105" s="1056"/>
      <c r="GXA105" s="1157">
        <f t="shared" ref="GXA105" si="1341">GWZ102</f>
        <v>0</v>
      </c>
      <c r="GXB105" s="1051"/>
      <c r="GXC105" s="1051"/>
      <c r="GXD105" s="1056"/>
      <c r="GXE105" s="1157">
        <f t="shared" ref="GXE105" si="1342">GXD102</f>
        <v>0</v>
      </c>
      <c r="GXF105" s="1051"/>
      <c r="GXG105" s="1051"/>
      <c r="GXH105" s="1056"/>
      <c r="GXI105" s="1157">
        <f t="shared" ref="GXI105" si="1343">GXH102</f>
        <v>0</v>
      </c>
      <c r="GXJ105" s="1051"/>
      <c r="GXK105" s="1051"/>
      <c r="GXL105" s="1056"/>
      <c r="GXM105" s="1157">
        <f t="shared" ref="GXM105" si="1344">GXL102</f>
        <v>0</v>
      </c>
      <c r="GXN105" s="1051"/>
      <c r="GXO105" s="1051"/>
      <c r="GXP105" s="1056"/>
      <c r="GXQ105" s="1157">
        <f t="shared" ref="GXQ105" si="1345">GXP102</f>
        <v>0</v>
      </c>
      <c r="GXR105" s="1051"/>
      <c r="GXS105" s="1051"/>
      <c r="GXT105" s="1056"/>
      <c r="GXU105" s="1157">
        <f t="shared" ref="GXU105" si="1346">GXT102</f>
        <v>0</v>
      </c>
      <c r="GXV105" s="1051"/>
      <c r="GXW105" s="1051"/>
      <c r="GXX105" s="1056"/>
      <c r="GXY105" s="1157">
        <f t="shared" ref="GXY105" si="1347">GXX102</f>
        <v>0</v>
      </c>
      <c r="GXZ105" s="1051"/>
      <c r="GYA105" s="1051"/>
      <c r="GYB105" s="1056"/>
      <c r="GYC105" s="1157">
        <f t="shared" ref="GYC105" si="1348">GYB102</f>
        <v>0</v>
      </c>
      <c r="GYD105" s="1051"/>
      <c r="GYE105" s="1051"/>
      <c r="GYF105" s="1056"/>
      <c r="GYG105" s="1157">
        <f t="shared" ref="GYG105" si="1349">GYF102</f>
        <v>0</v>
      </c>
      <c r="GYH105" s="1051"/>
      <c r="GYI105" s="1051"/>
      <c r="GYJ105" s="1056"/>
      <c r="GYK105" s="1157">
        <f t="shared" ref="GYK105" si="1350">GYJ102</f>
        <v>0</v>
      </c>
      <c r="GYL105" s="1051"/>
      <c r="GYM105" s="1051"/>
      <c r="GYN105" s="1056"/>
      <c r="GYO105" s="1157">
        <f t="shared" ref="GYO105" si="1351">GYN102</f>
        <v>0</v>
      </c>
      <c r="GYP105" s="1051"/>
      <c r="GYQ105" s="1051"/>
      <c r="GYR105" s="1056"/>
      <c r="GYS105" s="1157">
        <f t="shared" ref="GYS105" si="1352">GYR102</f>
        <v>0</v>
      </c>
      <c r="GYT105" s="1051"/>
      <c r="GYU105" s="1051"/>
      <c r="GYV105" s="1056"/>
      <c r="GYW105" s="1157">
        <f t="shared" ref="GYW105" si="1353">GYV102</f>
        <v>0</v>
      </c>
      <c r="GYX105" s="1051"/>
      <c r="GYY105" s="1051"/>
      <c r="GYZ105" s="1056"/>
      <c r="GZA105" s="1157">
        <f t="shared" ref="GZA105" si="1354">GYZ102</f>
        <v>0</v>
      </c>
      <c r="GZB105" s="1051"/>
      <c r="GZC105" s="1051"/>
      <c r="GZD105" s="1056"/>
      <c r="GZE105" s="1157">
        <f t="shared" ref="GZE105" si="1355">GZD102</f>
        <v>0</v>
      </c>
      <c r="GZF105" s="1051"/>
      <c r="GZG105" s="1051"/>
      <c r="GZH105" s="1056"/>
      <c r="GZI105" s="1157">
        <f t="shared" ref="GZI105" si="1356">GZH102</f>
        <v>0</v>
      </c>
      <c r="GZJ105" s="1051"/>
      <c r="GZK105" s="1051"/>
      <c r="GZL105" s="1056"/>
      <c r="GZM105" s="1157">
        <f t="shared" ref="GZM105" si="1357">GZL102</f>
        <v>0</v>
      </c>
      <c r="GZN105" s="1051"/>
      <c r="GZO105" s="1051"/>
      <c r="GZP105" s="1056"/>
      <c r="GZQ105" s="1157">
        <f t="shared" ref="GZQ105" si="1358">GZP102</f>
        <v>0</v>
      </c>
      <c r="GZR105" s="1051"/>
      <c r="GZS105" s="1051"/>
      <c r="GZT105" s="1056"/>
      <c r="GZU105" s="1157">
        <f t="shared" ref="GZU105" si="1359">GZT102</f>
        <v>0</v>
      </c>
      <c r="GZV105" s="1051"/>
      <c r="GZW105" s="1051"/>
      <c r="GZX105" s="1056"/>
      <c r="GZY105" s="1157">
        <f t="shared" ref="GZY105" si="1360">GZX102</f>
        <v>0</v>
      </c>
      <c r="GZZ105" s="1051"/>
      <c r="HAA105" s="1051"/>
      <c r="HAB105" s="1056"/>
      <c r="HAC105" s="1157">
        <f t="shared" ref="HAC105" si="1361">HAB102</f>
        <v>0</v>
      </c>
      <c r="HAD105" s="1051"/>
      <c r="HAE105" s="1051"/>
      <c r="HAF105" s="1056"/>
      <c r="HAG105" s="1157">
        <f t="shared" ref="HAG105" si="1362">HAF102</f>
        <v>0</v>
      </c>
      <c r="HAH105" s="1051"/>
      <c r="HAI105" s="1051"/>
      <c r="HAJ105" s="1056"/>
      <c r="HAK105" s="1157">
        <f t="shared" ref="HAK105" si="1363">HAJ102</f>
        <v>0</v>
      </c>
      <c r="HAL105" s="1051"/>
      <c r="HAM105" s="1051"/>
      <c r="HAN105" s="1056"/>
      <c r="HAO105" s="1157">
        <f t="shared" ref="HAO105" si="1364">HAN102</f>
        <v>0</v>
      </c>
      <c r="HAP105" s="1051"/>
      <c r="HAQ105" s="1051"/>
      <c r="HAR105" s="1056"/>
      <c r="HAS105" s="1157">
        <f t="shared" ref="HAS105" si="1365">HAR102</f>
        <v>0</v>
      </c>
      <c r="HAT105" s="1051"/>
      <c r="HAU105" s="1051"/>
      <c r="HAV105" s="1056"/>
      <c r="HAW105" s="1157">
        <f t="shared" ref="HAW105" si="1366">HAV102</f>
        <v>0</v>
      </c>
      <c r="HAX105" s="1051"/>
      <c r="HAY105" s="1051"/>
      <c r="HAZ105" s="1056"/>
      <c r="HBA105" s="1157">
        <f t="shared" ref="HBA105" si="1367">HAZ102</f>
        <v>0</v>
      </c>
      <c r="HBB105" s="1051"/>
      <c r="HBC105" s="1051"/>
      <c r="HBD105" s="1056"/>
      <c r="HBE105" s="1157">
        <f t="shared" ref="HBE105" si="1368">HBD102</f>
        <v>0</v>
      </c>
      <c r="HBF105" s="1051"/>
      <c r="HBG105" s="1051"/>
      <c r="HBH105" s="1056"/>
      <c r="HBI105" s="1157">
        <f t="shared" ref="HBI105" si="1369">HBH102</f>
        <v>0</v>
      </c>
      <c r="HBJ105" s="1051"/>
      <c r="HBK105" s="1051"/>
      <c r="HBL105" s="1056"/>
      <c r="HBM105" s="1157">
        <f t="shared" ref="HBM105" si="1370">HBL102</f>
        <v>0</v>
      </c>
      <c r="HBN105" s="1051"/>
      <c r="HBO105" s="1051"/>
      <c r="HBP105" s="1056"/>
      <c r="HBQ105" s="1157">
        <f t="shared" ref="HBQ105" si="1371">HBP102</f>
        <v>0</v>
      </c>
      <c r="HBR105" s="1051"/>
      <c r="HBS105" s="1051"/>
      <c r="HBT105" s="1056"/>
      <c r="HBU105" s="1157">
        <f t="shared" ref="HBU105" si="1372">HBT102</f>
        <v>0</v>
      </c>
      <c r="HBV105" s="1051"/>
      <c r="HBW105" s="1051"/>
      <c r="HBX105" s="1056"/>
      <c r="HBY105" s="1157">
        <f t="shared" ref="HBY105" si="1373">HBX102</f>
        <v>0</v>
      </c>
      <c r="HBZ105" s="1051"/>
      <c r="HCA105" s="1051"/>
      <c r="HCB105" s="1056"/>
      <c r="HCC105" s="1157">
        <f t="shared" ref="HCC105" si="1374">HCB102</f>
        <v>0</v>
      </c>
      <c r="HCD105" s="1051"/>
      <c r="HCE105" s="1051"/>
      <c r="HCF105" s="1056"/>
      <c r="HCG105" s="1157">
        <f t="shared" ref="HCG105" si="1375">HCF102</f>
        <v>0</v>
      </c>
      <c r="HCH105" s="1051"/>
      <c r="HCI105" s="1051"/>
      <c r="HCJ105" s="1056"/>
      <c r="HCK105" s="1157">
        <f t="shared" ref="HCK105" si="1376">HCJ102</f>
        <v>0</v>
      </c>
      <c r="HCL105" s="1051"/>
      <c r="HCM105" s="1051"/>
      <c r="HCN105" s="1056"/>
      <c r="HCO105" s="1157">
        <f t="shared" ref="HCO105" si="1377">HCN102</f>
        <v>0</v>
      </c>
      <c r="HCP105" s="1051"/>
      <c r="HCQ105" s="1051"/>
      <c r="HCR105" s="1056"/>
      <c r="HCS105" s="1157">
        <f t="shared" ref="HCS105" si="1378">HCR102</f>
        <v>0</v>
      </c>
      <c r="HCT105" s="1051"/>
      <c r="HCU105" s="1051"/>
      <c r="HCV105" s="1056"/>
      <c r="HCW105" s="1157">
        <f t="shared" ref="HCW105" si="1379">HCV102</f>
        <v>0</v>
      </c>
      <c r="HCX105" s="1051"/>
      <c r="HCY105" s="1051"/>
      <c r="HCZ105" s="1056"/>
      <c r="HDA105" s="1157">
        <f t="shared" ref="HDA105" si="1380">HCZ102</f>
        <v>0</v>
      </c>
      <c r="HDB105" s="1051"/>
      <c r="HDC105" s="1051"/>
      <c r="HDD105" s="1056"/>
      <c r="HDE105" s="1157">
        <f t="shared" ref="HDE105" si="1381">HDD102</f>
        <v>0</v>
      </c>
      <c r="HDF105" s="1051"/>
      <c r="HDG105" s="1051"/>
      <c r="HDH105" s="1056"/>
      <c r="HDI105" s="1157">
        <f t="shared" ref="HDI105" si="1382">HDH102</f>
        <v>0</v>
      </c>
      <c r="HDJ105" s="1051"/>
      <c r="HDK105" s="1051"/>
      <c r="HDL105" s="1056"/>
      <c r="HDM105" s="1157">
        <f t="shared" ref="HDM105" si="1383">HDL102</f>
        <v>0</v>
      </c>
      <c r="HDN105" s="1051"/>
      <c r="HDO105" s="1051"/>
      <c r="HDP105" s="1056"/>
      <c r="HDQ105" s="1157">
        <f t="shared" ref="HDQ105" si="1384">HDP102</f>
        <v>0</v>
      </c>
      <c r="HDR105" s="1051"/>
      <c r="HDS105" s="1051"/>
      <c r="HDT105" s="1056"/>
      <c r="HDU105" s="1157">
        <f t="shared" ref="HDU105" si="1385">HDT102</f>
        <v>0</v>
      </c>
      <c r="HDV105" s="1051"/>
      <c r="HDW105" s="1051"/>
      <c r="HDX105" s="1056"/>
      <c r="HDY105" s="1157">
        <f t="shared" ref="HDY105" si="1386">HDX102</f>
        <v>0</v>
      </c>
      <c r="HDZ105" s="1051"/>
      <c r="HEA105" s="1051"/>
      <c r="HEB105" s="1056"/>
      <c r="HEC105" s="1157">
        <f t="shared" ref="HEC105" si="1387">HEB102</f>
        <v>0</v>
      </c>
      <c r="HED105" s="1051"/>
      <c r="HEE105" s="1051"/>
      <c r="HEF105" s="1056"/>
      <c r="HEG105" s="1157">
        <f t="shared" ref="HEG105" si="1388">HEF102</f>
        <v>0</v>
      </c>
      <c r="HEH105" s="1051"/>
      <c r="HEI105" s="1051"/>
      <c r="HEJ105" s="1056"/>
      <c r="HEK105" s="1157">
        <f t="shared" ref="HEK105" si="1389">HEJ102</f>
        <v>0</v>
      </c>
      <c r="HEL105" s="1051"/>
      <c r="HEM105" s="1051"/>
      <c r="HEN105" s="1056"/>
      <c r="HEO105" s="1157">
        <f t="shared" ref="HEO105" si="1390">HEN102</f>
        <v>0</v>
      </c>
      <c r="HEP105" s="1051"/>
      <c r="HEQ105" s="1051"/>
      <c r="HER105" s="1056"/>
      <c r="HES105" s="1157">
        <f t="shared" ref="HES105" si="1391">HER102</f>
        <v>0</v>
      </c>
      <c r="HET105" s="1051"/>
      <c r="HEU105" s="1051"/>
      <c r="HEV105" s="1056"/>
      <c r="HEW105" s="1157">
        <f t="shared" ref="HEW105" si="1392">HEV102</f>
        <v>0</v>
      </c>
      <c r="HEX105" s="1051"/>
      <c r="HEY105" s="1051"/>
      <c r="HEZ105" s="1056"/>
      <c r="HFA105" s="1157">
        <f t="shared" ref="HFA105" si="1393">HEZ102</f>
        <v>0</v>
      </c>
      <c r="HFB105" s="1051"/>
      <c r="HFC105" s="1051"/>
      <c r="HFD105" s="1056"/>
      <c r="HFE105" s="1157">
        <f t="shared" ref="HFE105" si="1394">HFD102</f>
        <v>0</v>
      </c>
      <c r="HFF105" s="1051"/>
      <c r="HFG105" s="1051"/>
      <c r="HFH105" s="1056"/>
      <c r="HFI105" s="1157">
        <f t="shared" ref="HFI105" si="1395">HFH102</f>
        <v>0</v>
      </c>
      <c r="HFJ105" s="1051"/>
      <c r="HFK105" s="1051"/>
      <c r="HFL105" s="1056"/>
      <c r="HFM105" s="1157">
        <f t="shared" ref="HFM105" si="1396">HFL102</f>
        <v>0</v>
      </c>
      <c r="HFN105" s="1051"/>
      <c r="HFO105" s="1051"/>
      <c r="HFP105" s="1056"/>
      <c r="HFQ105" s="1157">
        <f t="shared" ref="HFQ105" si="1397">HFP102</f>
        <v>0</v>
      </c>
      <c r="HFR105" s="1051"/>
      <c r="HFS105" s="1051"/>
      <c r="HFT105" s="1056"/>
      <c r="HFU105" s="1157">
        <f t="shared" ref="HFU105" si="1398">HFT102</f>
        <v>0</v>
      </c>
      <c r="HFV105" s="1051"/>
      <c r="HFW105" s="1051"/>
      <c r="HFX105" s="1056"/>
      <c r="HFY105" s="1157">
        <f t="shared" ref="HFY105" si="1399">HFX102</f>
        <v>0</v>
      </c>
      <c r="HFZ105" s="1051"/>
      <c r="HGA105" s="1051"/>
      <c r="HGB105" s="1056"/>
      <c r="HGC105" s="1157">
        <f t="shared" ref="HGC105" si="1400">HGB102</f>
        <v>0</v>
      </c>
      <c r="HGD105" s="1051"/>
      <c r="HGE105" s="1051"/>
      <c r="HGF105" s="1056"/>
      <c r="HGG105" s="1157">
        <f t="shared" ref="HGG105" si="1401">HGF102</f>
        <v>0</v>
      </c>
      <c r="HGH105" s="1051"/>
      <c r="HGI105" s="1051"/>
      <c r="HGJ105" s="1056"/>
      <c r="HGK105" s="1157">
        <f t="shared" ref="HGK105" si="1402">HGJ102</f>
        <v>0</v>
      </c>
      <c r="HGL105" s="1051"/>
      <c r="HGM105" s="1051"/>
      <c r="HGN105" s="1056"/>
      <c r="HGO105" s="1157">
        <f t="shared" ref="HGO105" si="1403">HGN102</f>
        <v>0</v>
      </c>
      <c r="HGP105" s="1051"/>
      <c r="HGQ105" s="1051"/>
      <c r="HGR105" s="1056"/>
      <c r="HGS105" s="1157">
        <f t="shared" ref="HGS105" si="1404">HGR102</f>
        <v>0</v>
      </c>
      <c r="HGT105" s="1051"/>
      <c r="HGU105" s="1051"/>
      <c r="HGV105" s="1056"/>
      <c r="HGW105" s="1157">
        <f t="shared" ref="HGW105" si="1405">HGV102</f>
        <v>0</v>
      </c>
      <c r="HGX105" s="1051"/>
      <c r="HGY105" s="1051"/>
      <c r="HGZ105" s="1056"/>
      <c r="HHA105" s="1157">
        <f t="shared" ref="HHA105" si="1406">HGZ102</f>
        <v>0</v>
      </c>
      <c r="HHB105" s="1051"/>
      <c r="HHC105" s="1051"/>
      <c r="HHD105" s="1056"/>
      <c r="HHE105" s="1157">
        <f t="shared" ref="HHE105" si="1407">HHD102</f>
        <v>0</v>
      </c>
      <c r="HHF105" s="1051"/>
      <c r="HHG105" s="1051"/>
      <c r="HHH105" s="1056"/>
      <c r="HHI105" s="1157">
        <f t="shared" ref="HHI105" si="1408">HHH102</f>
        <v>0</v>
      </c>
      <c r="HHJ105" s="1051"/>
      <c r="HHK105" s="1051"/>
      <c r="HHL105" s="1056"/>
      <c r="HHM105" s="1157">
        <f t="shared" ref="HHM105" si="1409">HHL102</f>
        <v>0</v>
      </c>
      <c r="HHN105" s="1051"/>
      <c r="HHO105" s="1051"/>
      <c r="HHP105" s="1056"/>
      <c r="HHQ105" s="1157">
        <f t="shared" ref="HHQ105" si="1410">HHP102</f>
        <v>0</v>
      </c>
      <c r="HHR105" s="1051"/>
      <c r="HHS105" s="1051"/>
      <c r="HHT105" s="1056"/>
      <c r="HHU105" s="1157">
        <f t="shared" ref="HHU105" si="1411">HHT102</f>
        <v>0</v>
      </c>
      <c r="HHV105" s="1051"/>
      <c r="HHW105" s="1051"/>
      <c r="HHX105" s="1056"/>
      <c r="HHY105" s="1157">
        <f t="shared" ref="HHY105" si="1412">HHX102</f>
        <v>0</v>
      </c>
      <c r="HHZ105" s="1051"/>
      <c r="HIA105" s="1051"/>
      <c r="HIB105" s="1056"/>
      <c r="HIC105" s="1157">
        <f t="shared" ref="HIC105" si="1413">HIB102</f>
        <v>0</v>
      </c>
      <c r="HID105" s="1051"/>
      <c r="HIE105" s="1051"/>
      <c r="HIF105" s="1056"/>
      <c r="HIG105" s="1157">
        <f t="shared" ref="HIG105" si="1414">HIF102</f>
        <v>0</v>
      </c>
      <c r="HIH105" s="1051"/>
      <c r="HII105" s="1051"/>
      <c r="HIJ105" s="1056"/>
      <c r="HIK105" s="1157">
        <f t="shared" ref="HIK105" si="1415">HIJ102</f>
        <v>0</v>
      </c>
      <c r="HIL105" s="1051"/>
      <c r="HIM105" s="1051"/>
      <c r="HIN105" s="1056"/>
      <c r="HIO105" s="1157">
        <f t="shared" ref="HIO105" si="1416">HIN102</f>
        <v>0</v>
      </c>
      <c r="HIP105" s="1051"/>
      <c r="HIQ105" s="1051"/>
      <c r="HIR105" s="1056"/>
      <c r="HIS105" s="1157">
        <f t="shared" ref="HIS105" si="1417">HIR102</f>
        <v>0</v>
      </c>
      <c r="HIT105" s="1051"/>
      <c r="HIU105" s="1051"/>
      <c r="HIV105" s="1056"/>
      <c r="HIW105" s="1157">
        <f t="shared" ref="HIW105" si="1418">HIV102</f>
        <v>0</v>
      </c>
      <c r="HIX105" s="1051"/>
      <c r="HIY105" s="1051"/>
      <c r="HIZ105" s="1056"/>
      <c r="HJA105" s="1157">
        <f t="shared" ref="HJA105" si="1419">HIZ102</f>
        <v>0</v>
      </c>
      <c r="HJB105" s="1051"/>
      <c r="HJC105" s="1051"/>
      <c r="HJD105" s="1056"/>
      <c r="HJE105" s="1157">
        <f t="shared" ref="HJE105" si="1420">HJD102</f>
        <v>0</v>
      </c>
      <c r="HJF105" s="1051"/>
      <c r="HJG105" s="1051"/>
      <c r="HJH105" s="1056"/>
      <c r="HJI105" s="1157">
        <f t="shared" ref="HJI105" si="1421">HJH102</f>
        <v>0</v>
      </c>
      <c r="HJJ105" s="1051"/>
      <c r="HJK105" s="1051"/>
      <c r="HJL105" s="1056"/>
      <c r="HJM105" s="1157">
        <f t="shared" ref="HJM105" si="1422">HJL102</f>
        <v>0</v>
      </c>
      <c r="HJN105" s="1051"/>
      <c r="HJO105" s="1051"/>
      <c r="HJP105" s="1056"/>
      <c r="HJQ105" s="1157">
        <f t="shared" ref="HJQ105" si="1423">HJP102</f>
        <v>0</v>
      </c>
      <c r="HJR105" s="1051"/>
      <c r="HJS105" s="1051"/>
      <c r="HJT105" s="1056"/>
      <c r="HJU105" s="1157">
        <f t="shared" ref="HJU105" si="1424">HJT102</f>
        <v>0</v>
      </c>
      <c r="HJV105" s="1051"/>
      <c r="HJW105" s="1051"/>
      <c r="HJX105" s="1056"/>
      <c r="HJY105" s="1157">
        <f t="shared" ref="HJY105" si="1425">HJX102</f>
        <v>0</v>
      </c>
      <c r="HJZ105" s="1051"/>
      <c r="HKA105" s="1051"/>
      <c r="HKB105" s="1056"/>
      <c r="HKC105" s="1157">
        <f t="shared" ref="HKC105" si="1426">HKB102</f>
        <v>0</v>
      </c>
      <c r="HKD105" s="1051"/>
      <c r="HKE105" s="1051"/>
      <c r="HKF105" s="1056"/>
      <c r="HKG105" s="1157">
        <f t="shared" ref="HKG105" si="1427">HKF102</f>
        <v>0</v>
      </c>
      <c r="HKH105" s="1051"/>
      <c r="HKI105" s="1051"/>
      <c r="HKJ105" s="1056"/>
      <c r="HKK105" s="1157">
        <f t="shared" ref="HKK105" si="1428">HKJ102</f>
        <v>0</v>
      </c>
      <c r="HKL105" s="1051"/>
      <c r="HKM105" s="1051"/>
      <c r="HKN105" s="1056"/>
      <c r="HKO105" s="1157">
        <f t="shared" ref="HKO105" si="1429">HKN102</f>
        <v>0</v>
      </c>
      <c r="HKP105" s="1051"/>
      <c r="HKQ105" s="1051"/>
      <c r="HKR105" s="1056"/>
      <c r="HKS105" s="1157">
        <f t="shared" ref="HKS105" si="1430">HKR102</f>
        <v>0</v>
      </c>
      <c r="HKT105" s="1051"/>
      <c r="HKU105" s="1051"/>
      <c r="HKV105" s="1056"/>
      <c r="HKW105" s="1157">
        <f t="shared" ref="HKW105" si="1431">HKV102</f>
        <v>0</v>
      </c>
      <c r="HKX105" s="1051"/>
      <c r="HKY105" s="1051"/>
      <c r="HKZ105" s="1056"/>
      <c r="HLA105" s="1157">
        <f t="shared" ref="HLA105" si="1432">HKZ102</f>
        <v>0</v>
      </c>
      <c r="HLB105" s="1051"/>
      <c r="HLC105" s="1051"/>
      <c r="HLD105" s="1056"/>
      <c r="HLE105" s="1157">
        <f t="shared" ref="HLE105" si="1433">HLD102</f>
        <v>0</v>
      </c>
      <c r="HLF105" s="1051"/>
      <c r="HLG105" s="1051"/>
      <c r="HLH105" s="1056"/>
      <c r="HLI105" s="1157">
        <f t="shared" ref="HLI105" si="1434">HLH102</f>
        <v>0</v>
      </c>
      <c r="HLJ105" s="1051"/>
      <c r="HLK105" s="1051"/>
      <c r="HLL105" s="1056"/>
      <c r="HLM105" s="1157">
        <f t="shared" ref="HLM105" si="1435">HLL102</f>
        <v>0</v>
      </c>
      <c r="HLN105" s="1051"/>
      <c r="HLO105" s="1051"/>
      <c r="HLP105" s="1056"/>
      <c r="HLQ105" s="1157">
        <f t="shared" ref="HLQ105" si="1436">HLP102</f>
        <v>0</v>
      </c>
      <c r="HLR105" s="1051"/>
      <c r="HLS105" s="1051"/>
      <c r="HLT105" s="1056"/>
      <c r="HLU105" s="1157">
        <f t="shared" ref="HLU105" si="1437">HLT102</f>
        <v>0</v>
      </c>
      <c r="HLV105" s="1051"/>
      <c r="HLW105" s="1051"/>
      <c r="HLX105" s="1056"/>
      <c r="HLY105" s="1157">
        <f t="shared" ref="HLY105" si="1438">HLX102</f>
        <v>0</v>
      </c>
      <c r="HLZ105" s="1051"/>
      <c r="HMA105" s="1051"/>
      <c r="HMB105" s="1056"/>
      <c r="HMC105" s="1157">
        <f t="shared" ref="HMC105" si="1439">HMB102</f>
        <v>0</v>
      </c>
      <c r="HMD105" s="1051"/>
      <c r="HME105" s="1051"/>
      <c r="HMF105" s="1056"/>
      <c r="HMG105" s="1157">
        <f t="shared" ref="HMG105" si="1440">HMF102</f>
        <v>0</v>
      </c>
      <c r="HMH105" s="1051"/>
      <c r="HMI105" s="1051"/>
      <c r="HMJ105" s="1056"/>
      <c r="HMK105" s="1157">
        <f t="shared" ref="HMK105" si="1441">HMJ102</f>
        <v>0</v>
      </c>
      <c r="HML105" s="1051"/>
      <c r="HMM105" s="1051"/>
      <c r="HMN105" s="1056"/>
      <c r="HMO105" s="1157">
        <f t="shared" ref="HMO105" si="1442">HMN102</f>
        <v>0</v>
      </c>
      <c r="HMP105" s="1051"/>
      <c r="HMQ105" s="1051"/>
      <c r="HMR105" s="1056"/>
      <c r="HMS105" s="1157">
        <f t="shared" ref="HMS105" si="1443">HMR102</f>
        <v>0</v>
      </c>
      <c r="HMT105" s="1051"/>
      <c r="HMU105" s="1051"/>
      <c r="HMV105" s="1056"/>
      <c r="HMW105" s="1157">
        <f t="shared" ref="HMW105" si="1444">HMV102</f>
        <v>0</v>
      </c>
      <c r="HMX105" s="1051"/>
      <c r="HMY105" s="1051"/>
      <c r="HMZ105" s="1056"/>
      <c r="HNA105" s="1157">
        <f t="shared" ref="HNA105" si="1445">HMZ102</f>
        <v>0</v>
      </c>
      <c r="HNB105" s="1051"/>
      <c r="HNC105" s="1051"/>
      <c r="HND105" s="1056"/>
      <c r="HNE105" s="1157">
        <f t="shared" ref="HNE105" si="1446">HND102</f>
        <v>0</v>
      </c>
      <c r="HNF105" s="1051"/>
      <c r="HNG105" s="1051"/>
      <c r="HNH105" s="1056"/>
      <c r="HNI105" s="1157">
        <f t="shared" ref="HNI105" si="1447">HNH102</f>
        <v>0</v>
      </c>
      <c r="HNJ105" s="1051"/>
      <c r="HNK105" s="1051"/>
      <c r="HNL105" s="1056"/>
      <c r="HNM105" s="1157">
        <f t="shared" ref="HNM105" si="1448">HNL102</f>
        <v>0</v>
      </c>
      <c r="HNN105" s="1051"/>
      <c r="HNO105" s="1051"/>
      <c r="HNP105" s="1056"/>
      <c r="HNQ105" s="1157">
        <f t="shared" ref="HNQ105" si="1449">HNP102</f>
        <v>0</v>
      </c>
      <c r="HNR105" s="1051"/>
      <c r="HNS105" s="1051"/>
      <c r="HNT105" s="1056"/>
      <c r="HNU105" s="1157">
        <f t="shared" ref="HNU105" si="1450">HNT102</f>
        <v>0</v>
      </c>
      <c r="HNV105" s="1051"/>
      <c r="HNW105" s="1051"/>
      <c r="HNX105" s="1056"/>
      <c r="HNY105" s="1157">
        <f t="shared" ref="HNY105" si="1451">HNX102</f>
        <v>0</v>
      </c>
      <c r="HNZ105" s="1051"/>
      <c r="HOA105" s="1051"/>
      <c r="HOB105" s="1056"/>
      <c r="HOC105" s="1157">
        <f t="shared" ref="HOC105" si="1452">HOB102</f>
        <v>0</v>
      </c>
      <c r="HOD105" s="1051"/>
      <c r="HOE105" s="1051"/>
      <c r="HOF105" s="1056"/>
      <c r="HOG105" s="1157">
        <f t="shared" ref="HOG105" si="1453">HOF102</f>
        <v>0</v>
      </c>
      <c r="HOH105" s="1051"/>
      <c r="HOI105" s="1051"/>
      <c r="HOJ105" s="1056"/>
      <c r="HOK105" s="1157">
        <f t="shared" ref="HOK105" si="1454">HOJ102</f>
        <v>0</v>
      </c>
      <c r="HOL105" s="1051"/>
      <c r="HOM105" s="1051"/>
      <c r="HON105" s="1056"/>
      <c r="HOO105" s="1157">
        <f t="shared" ref="HOO105" si="1455">HON102</f>
        <v>0</v>
      </c>
      <c r="HOP105" s="1051"/>
      <c r="HOQ105" s="1051"/>
      <c r="HOR105" s="1056"/>
      <c r="HOS105" s="1157">
        <f t="shared" ref="HOS105" si="1456">HOR102</f>
        <v>0</v>
      </c>
      <c r="HOT105" s="1051"/>
      <c r="HOU105" s="1051"/>
      <c r="HOV105" s="1056"/>
      <c r="HOW105" s="1157">
        <f t="shared" ref="HOW105" si="1457">HOV102</f>
        <v>0</v>
      </c>
      <c r="HOX105" s="1051"/>
      <c r="HOY105" s="1051"/>
      <c r="HOZ105" s="1056"/>
      <c r="HPA105" s="1157">
        <f t="shared" ref="HPA105" si="1458">HOZ102</f>
        <v>0</v>
      </c>
      <c r="HPB105" s="1051"/>
      <c r="HPC105" s="1051"/>
      <c r="HPD105" s="1056"/>
      <c r="HPE105" s="1157">
        <f t="shared" ref="HPE105" si="1459">HPD102</f>
        <v>0</v>
      </c>
      <c r="HPF105" s="1051"/>
      <c r="HPG105" s="1051"/>
      <c r="HPH105" s="1056"/>
      <c r="HPI105" s="1157">
        <f t="shared" ref="HPI105" si="1460">HPH102</f>
        <v>0</v>
      </c>
      <c r="HPJ105" s="1051"/>
      <c r="HPK105" s="1051"/>
      <c r="HPL105" s="1056"/>
      <c r="HPM105" s="1157">
        <f t="shared" ref="HPM105" si="1461">HPL102</f>
        <v>0</v>
      </c>
      <c r="HPN105" s="1051"/>
      <c r="HPO105" s="1051"/>
      <c r="HPP105" s="1056"/>
      <c r="HPQ105" s="1157">
        <f t="shared" ref="HPQ105" si="1462">HPP102</f>
        <v>0</v>
      </c>
      <c r="HPR105" s="1051"/>
      <c r="HPS105" s="1051"/>
      <c r="HPT105" s="1056"/>
      <c r="HPU105" s="1157">
        <f t="shared" ref="HPU105" si="1463">HPT102</f>
        <v>0</v>
      </c>
      <c r="HPV105" s="1051"/>
      <c r="HPW105" s="1051"/>
      <c r="HPX105" s="1056"/>
      <c r="HPY105" s="1157">
        <f t="shared" ref="HPY105" si="1464">HPX102</f>
        <v>0</v>
      </c>
      <c r="HPZ105" s="1051"/>
      <c r="HQA105" s="1051"/>
      <c r="HQB105" s="1056"/>
      <c r="HQC105" s="1157">
        <f t="shared" ref="HQC105" si="1465">HQB102</f>
        <v>0</v>
      </c>
      <c r="HQD105" s="1051"/>
      <c r="HQE105" s="1051"/>
      <c r="HQF105" s="1056"/>
      <c r="HQG105" s="1157">
        <f t="shared" ref="HQG105" si="1466">HQF102</f>
        <v>0</v>
      </c>
      <c r="HQH105" s="1051"/>
      <c r="HQI105" s="1051"/>
      <c r="HQJ105" s="1056"/>
      <c r="HQK105" s="1157">
        <f t="shared" ref="HQK105" si="1467">HQJ102</f>
        <v>0</v>
      </c>
      <c r="HQL105" s="1051"/>
      <c r="HQM105" s="1051"/>
      <c r="HQN105" s="1056"/>
      <c r="HQO105" s="1157">
        <f t="shared" ref="HQO105" si="1468">HQN102</f>
        <v>0</v>
      </c>
      <c r="HQP105" s="1051"/>
      <c r="HQQ105" s="1051"/>
      <c r="HQR105" s="1056"/>
      <c r="HQS105" s="1157">
        <f t="shared" ref="HQS105" si="1469">HQR102</f>
        <v>0</v>
      </c>
      <c r="HQT105" s="1051"/>
      <c r="HQU105" s="1051"/>
      <c r="HQV105" s="1056"/>
      <c r="HQW105" s="1157">
        <f t="shared" ref="HQW105" si="1470">HQV102</f>
        <v>0</v>
      </c>
      <c r="HQX105" s="1051"/>
      <c r="HQY105" s="1051"/>
      <c r="HQZ105" s="1056"/>
      <c r="HRA105" s="1157">
        <f t="shared" ref="HRA105" si="1471">HQZ102</f>
        <v>0</v>
      </c>
      <c r="HRB105" s="1051"/>
      <c r="HRC105" s="1051"/>
      <c r="HRD105" s="1056"/>
      <c r="HRE105" s="1157">
        <f t="shared" ref="HRE105" si="1472">HRD102</f>
        <v>0</v>
      </c>
      <c r="HRF105" s="1051"/>
      <c r="HRG105" s="1051"/>
      <c r="HRH105" s="1056"/>
      <c r="HRI105" s="1157">
        <f t="shared" ref="HRI105" si="1473">HRH102</f>
        <v>0</v>
      </c>
      <c r="HRJ105" s="1051"/>
      <c r="HRK105" s="1051"/>
      <c r="HRL105" s="1056"/>
      <c r="HRM105" s="1157">
        <f t="shared" ref="HRM105" si="1474">HRL102</f>
        <v>0</v>
      </c>
      <c r="HRN105" s="1051"/>
      <c r="HRO105" s="1051"/>
      <c r="HRP105" s="1056"/>
      <c r="HRQ105" s="1157">
        <f t="shared" ref="HRQ105" si="1475">HRP102</f>
        <v>0</v>
      </c>
      <c r="HRR105" s="1051"/>
      <c r="HRS105" s="1051"/>
      <c r="HRT105" s="1056"/>
      <c r="HRU105" s="1157">
        <f t="shared" ref="HRU105" si="1476">HRT102</f>
        <v>0</v>
      </c>
      <c r="HRV105" s="1051"/>
      <c r="HRW105" s="1051"/>
      <c r="HRX105" s="1056"/>
      <c r="HRY105" s="1157">
        <f t="shared" ref="HRY105" si="1477">HRX102</f>
        <v>0</v>
      </c>
      <c r="HRZ105" s="1051"/>
      <c r="HSA105" s="1051"/>
      <c r="HSB105" s="1056"/>
      <c r="HSC105" s="1157">
        <f t="shared" ref="HSC105" si="1478">HSB102</f>
        <v>0</v>
      </c>
      <c r="HSD105" s="1051"/>
      <c r="HSE105" s="1051"/>
      <c r="HSF105" s="1056"/>
      <c r="HSG105" s="1157">
        <f t="shared" ref="HSG105" si="1479">HSF102</f>
        <v>0</v>
      </c>
      <c r="HSH105" s="1051"/>
      <c r="HSI105" s="1051"/>
      <c r="HSJ105" s="1056"/>
      <c r="HSK105" s="1157">
        <f t="shared" ref="HSK105" si="1480">HSJ102</f>
        <v>0</v>
      </c>
      <c r="HSL105" s="1051"/>
      <c r="HSM105" s="1051"/>
      <c r="HSN105" s="1056"/>
      <c r="HSO105" s="1157">
        <f t="shared" ref="HSO105" si="1481">HSN102</f>
        <v>0</v>
      </c>
      <c r="HSP105" s="1051"/>
      <c r="HSQ105" s="1051"/>
      <c r="HSR105" s="1056"/>
      <c r="HSS105" s="1157">
        <f t="shared" ref="HSS105" si="1482">HSR102</f>
        <v>0</v>
      </c>
      <c r="HST105" s="1051"/>
      <c r="HSU105" s="1051"/>
      <c r="HSV105" s="1056"/>
      <c r="HSW105" s="1157">
        <f t="shared" ref="HSW105" si="1483">HSV102</f>
        <v>0</v>
      </c>
      <c r="HSX105" s="1051"/>
      <c r="HSY105" s="1051"/>
      <c r="HSZ105" s="1056"/>
      <c r="HTA105" s="1157">
        <f t="shared" ref="HTA105" si="1484">HSZ102</f>
        <v>0</v>
      </c>
      <c r="HTB105" s="1051"/>
      <c r="HTC105" s="1051"/>
      <c r="HTD105" s="1056"/>
      <c r="HTE105" s="1157">
        <f t="shared" ref="HTE105" si="1485">HTD102</f>
        <v>0</v>
      </c>
      <c r="HTF105" s="1051"/>
      <c r="HTG105" s="1051"/>
      <c r="HTH105" s="1056"/>
      <c r="HTI105" s="1157">
        <f t="shared" ref="HTI105" si="1486">HTH102</f>
        <v>0</v>
      </c>
      <c r="HTJ105" s="1051"/>
      <c r="HTK105" s="1051"/>
      <c r="HTL105" s="1056"/>
      <c r="HTM105" s="1157">
        <f t="shared" ref="HTM105" si="1487">HTL102</f>
        <v>0</v>
      </c>
      <c r="HTN105" s="1051"/>
      <c r="HTO105" s="1051"/>
      <c r="HTP105" s="1056"/>
      <c r="HTQ105" s="1157">
        <f t="shared" ref="HTQ105" si="1488">HTP102</f>
        <v>0</v>
      </c>
      <c r="HTR105" s="1051"/>
      <c r="HTS105" s="1051"/>
      <c r="HTT105" s="1056"/>
      <c r="HTU105" s="1157">
        <f t="shared" ref="HTU105" si="1489">HTT102</f>
        <v>0</v>
      </c>
      <c r="HTV105" s="1051"/>
      <c r="HTW105" s="1051"/>
      <c r="HTX105" s="1056"/>
      <c r="HTY105" s="1157">
        <f t="shared" ref="HTY105" si="1490">HTX102</f>
        <v>0</v>
      </c>
      <c r="HTZ105" s="1051"/>
      <c r="HUA105" s="1051"/>
      <c r="HUB105" s="1056"/>
      <c r="HUC105" s="1157">
        <f t="shared" ref="HUC105" si="1491">HUB102</f>
        <v>0</v>
      </c>
      <c r="HUD105" s="1051"/>
      <c r="HUE105" s="1051"/>
      <c r="HUF105" s="1056"/>
      <c r="HUG105" s="1157">
        <f t="shared" ref="HUG105" si="1492">HUF102</f>
        <v>0</v>
      </c>
      <c r="HUH105" s="1051"/>
      <c r="HUI105" s="1051"/>
      <c r="HUJ105" s="1056"/>
      <c r="HUK105" s="1157">
        <f t="shared" ref="HUK105" si="1493">HUJ102</f>
        <v>0</v>
      </c>
      <c r="HUL105" s="1051"/>
      <c r="HUM105" s="1051"/>
      <c r="HUN105" s="1056"/>
      <c r="HUO105" s="1157">
        <f t="shared" ref="HUO105" si="1494">HUN102</f>
        <v>0</v>
      </c>
      <c r="HUP105" s="1051"/>
      <c r="HUQ105" s="1051"/>
      <c r="HUR105" s="1056"/>
      <c r="HUS105" s="1157">
        <f t="shared" ref="HUS105" si="1495">HUR102</f>
        <v>0</v>
      </c>
      <c r="HUT105" s="1051"/>
      <c r="HUU105" s="1051"/>
      <c r="HUV105" s="1056"/>
      <c r="HUW105" s="1157">
        <f t="shared" ref="HUW105" si="1496">HUV102</f>
        <v>0</v>
      </c>
      <c r="HUX105" s="1051"/>
      <c r="HUY105" s="1051"/>
      <c r="HUZ105" s="1056"/>
      <c r="HVA105" s="1157">
        <f t="shared" ref="HVA105" si="1497">HUZ102</f>
        <v>0</v>
      </c>
      <c r="HVB105" s="1051"/>
      <c r="HVC105" s="1051"/>
      <c r="HVD105" s="1056"/>
      <c r="HVE105" s="1157">
        <f t="shared" ref="HVE105" si="1498">HVD102</f>
        <v>0</v>
      </c>
      <c r="HVF105" s="1051"/>
      <c r="HVG105" s="1051"/>
      <c r="HVH105" s="1056"/>
      <c r="HVI105" s="1157">
        <f t="shared" ref="HVI105" si="1499">HVH102</f>
        <v>0</v>
      </c>
      <c r="HVJ105" s="1051"/>
      <c r="HVK105" s="1051"/>
      <c r="HVL105" s="1056"/>
      <c r="HVM105" s="1157">
        <f t="shared" ref="HVM105" si="1500">HVL102</f>
        <v>0</v>
      </c>
      <c r="HVN105" s="1051"/>
      <c r="HVO105" s="1051"/>
      <c r="HVP105" s="1056"/>
      <c r="HVQ105" s="1157">
        <f t="shared" ref="HVQ105" si="1501">HVP102</f>
        <v>0</v>
      </c>
      <c r="HVR105" s="1051"/>
      <c r="HVS105" s="1051"/>
      <c r="HVT105" s="1056"/>
      <c r="HVU105" s="1157">
        <f t="shared" ref="HVU105" si="1502">HVT102</f>
        <v>0</v>
      </c>
      <c r="HVV105" s="1051"/>
      <c r="HVW105" s="1051"/>
      <c r="HVX105" s="1056"/>
      <c r="HVY105" s="1157">
        <f t="shared" ref="HVY105" si="1503">HVX102</f>
        <v>0</v>
      </c>
      <c r="HVZ105" s="1051"/>
      <c r="HWA105" s="1051"/>
      <c r="HWB105" s="1056"/>
      <c r="HWC105" s="1157">
        <f t="shared" ref="HWC105" si="1504">HWB102</f>
        <v>0</v>
      </c>
      <c r="HWD105" s="1051"/>
      <c r="HWE105" s="1051"/>
      <c r="HWF105" s="1056"/>
      <c r="HWG105" s="1157">
        <f t="shared" ref="HWG105" si="1505">HWF102</f>
        <v>0</v>
      </c>
      <c r="HWH105" s="1051"/>
      <c r="HWI105" s="1051"/>
      <c r="HWJ105" s="1056"/>
      <c r="HWK105" s="1157">
        <f t="shared" ref="HWK105" si="1506">HWJ102</f>
        <v>0</v>
      </c>
      <c r="HWL105" s="1051"/>
      <c r="HWM105" s="1051"/>
      <c r="HWN105" s="1056"/>
      <c r="HWO105" s="1157">
        <f t="shared" ref="HWO105" si="1507">HWN102</f>
        <v>0</v>
      </c>
      <c r="HWP105" s="1051"/>
      <c r="HWQ105" s="1051"/>
      <c r="HWR105" s="1056"/>
      <c r="HWS105" s="1157">
        <f t="shared" ref="HWS105" si="1508">HWR102</f>
        <v>0</v>
      </c>
      <c r="HWT105" s="1051"/>
      <c r="HWU105" s="1051"/>
      <c r="HWV105" s="1056"/>
      <c r="HWW105" s="1157">
        <f t="shared" ref="HWW105" si="1509">HWV102</f>
        <v>0</v>
      </c>
      <c r="HWX105" s="1051"/>
      <c r="HWY105" s="1051"/>
      <c r="HWZ105" s="1056"/>
      <c r="HXA105" s="1157">
        <f t="shared" ref="HXA105" si="1510">HWZ102</f>
        <v>0</v>
      </c>
      <c r="HXB105" s="1051"/>
      <c r="HXC105" s="1051"/>
      <c r="HXD105" s="1056"/>
      <c r="HXE105" s="1157">
        <f t="shared" ref="HXE105" si="1511">HXD102</f>
        <v>0</v>
      </c>
      <c r="HXF105" s="1051"/>
      <c r="HXG105" s="1051"/>
      <c r="HXH105" s="1056"/>
      <c r="HXI105" s="1157">
        <f t="shared" ref="HXI105" si="1512">HXH102</f>
        <v>0</v>
      </c>
      <c r="HXJ105" s="1051"/>
      <c r="HXK105" s="1051"/>
      <c r="HXL105" s="1056"/>
      <c r="HXM105" s="1157">
        <f t="shared" ref="HXM105" si="1513">HXL102</f>
        <v>0</v>
      </c>
      <c r="HXN105" s="1051"/>
      <c r="HXO105" s="1051"/>
      <c r="HXP105" s="1056"/>
      <c r="HXQ105" s="1157">
        <f t="shared" ref="HXQ105" si="1514">HXP102</f>
        <v>0</v>
      </c>
      <c r="HXR105" s="1051"/>
      <c r="HXS105" s="1051"/>
      <c r="HXT105" s="1056"/>
      <c r="HXU105" s="1157">
        <f t="shared" ref="HXU105" si="1515">HXT102</f>
        <v>0</v>
      </c>
      <c r="HXV105" s="1051"/>
      <c r="HXW105" s="1051"/>
      <c r="HXX105" s="1056"/>
      <c r="HXY105" s="1157">
        <f t="shared" ref="HXY105" si="1516">HXX102</f>
        <v>0</v>
      </c>
      <c r="HXZ105" s="1051"/>
      <c r="HYA105" s="1051"/>
      <c r="HYB105" s="1056"/>
      <c r="HYC105" s="1157">
        <f t="shared" ref="HYC105" si="1517">HYB102</f>
        <v>0</v>
      </c>
      <c r="HYD105" s="1051"/>
      <c r="HYE105" s="1051"/>
      <c r="HYF105" s="1056"/>
      <c r="HYG105" s="1157">
        <f t="shared" ref="HYG105" si="1518">HYF102</f>
        <v>0</v>
      </c>
      <c r="HYH105" s="1051"/>
      <c r="HYI105" s="1051"/>
      <c r="HYJ105" s="1056"/>
      <c r="HYK105" s="1157">
        <f t="shared" ref="HYK105" si="1519">HYJ102</f>
        <v>0</v>
      </c>
      <c r="HYL105" s="1051"/>
      <c r="HYM105" s="1051"/>
      <c r="HYN105" s="1056"/>
      <c r="HYO105" s="1157">
        <f t="shared" ref="HYO105" si="1520">HYN102</f>
        <v>0</v>
      </c>
      <c r="HYP105" s="1051"/>
      <c r="HYQ105" s="1051"/>
      <c r="HYR105" s="1056"/>
      <c r="HYS105" s="1157">
        <f t="shared" ref="HYS105" si="1521">HYR102</f>
        <v>0</v>
      </c>
      <c r="HYT105" s="1051"/>
      <c r="HYU105" s="1051"/>
      <c r="HYV105" s="1056"/>
      <c r="HYW105" s="1157">
        <f t="shared" ref="HYW105" si="1522">HYV102</f>
        <v>0</v>
      </c>
      <c r="HYX105" s="1051"/>
      <c r="HYY105" s="1051"/>
      <c r="HYZ105" s="1056"/>
      <c r="HZA105" s="1157">
        <f t="shared" ref="HZA105" si="1523">HYZ102</f>
        <v>0</v>
      </c>
      <c r="HZB105" s="1051"/>
      <c r="HZC105" s="1051"/>
      <c r="HZD105" s="1056"/>
      <c r="HZE105" s="1157">
        <f t="shared" ref="HZE105" si="1524">HZD102</f>
        <v>0</v>
      </c>
      <c r="HZF105" s="1051"/>
      <c r="HZG105" s="1051"/>
      <c r="HZH105" s="1056"/>
      <c r="HZI105" s="1157">
        <f t="shared" ref="HZI105" si="1525">HZH102</f>
        <v>0</v>
      </c>
      <c r="HZJ105" s="1051"/>
      <c r="HZK105" s="1051"/>
      <c r="HZL105" s="1056"/>
      <c r="HZM105" s="1157">
        <f t="shared" ref="HZM105" si="1526">HZL102</f>
        <v>0</v>
      </c>
      <c r="HZN105" s="1051"/>
      <c r="HZO105" s="1051"/>
      <c r="HZP105" s="1056"/>
      <c r="HZQ105" s="1157">
        <f t="shared" ref="HZQ105" si="1527">HZP102</f>
        <v>0</v>
      </c>
      <c r="HZR105" s="1051"/>
      <c r="HZS105" s="1051"/>
      <c r="HZT105" s="1056"/>
      <c r="HZU105" s="1157">
        <f t="shared" ref="HZU105" si="1528">HZT102</f>
        <v>0</v>
      </c>
      <c r="HZV105" s="1051"/>
      <c r="HZW105" s="1051"/>
      <c r="HZX105" s="1056"/>
      <c r="HZY105" s="1157">
        <f t="shared" ref="HZY105" si="1529">HZX102</f>
        <v>0</v>
      </c>
      <c r="HZZ105" s="1051"/>
      <c r="IAA105" s="1051"/>
      <c r="IAB105" s="1056"/>
      <c r="IAC105" s="1157">
        <f t="shared" ref="IAC105" si="1530">IAB102</f>
        <v>0</v>
      </c>
      <c r="IAD105" s="1051"/>
      <c r="IAE105" s="1051"/>
      <c r="IAF105" s="1056"/>
      <c r="IAG105" s="1157">
        <f t="shared" ref="IAG105" si="1531">IAF102</f>
        <v>0</v>
      </c>
      <c r="IAH105" s="1051"/>
      <c r="IAI105" s="1051"/>
      <c r="IAJ105" s="1056"/>
      <c r="IAK105" s="1157">
        <f t="shared" ref="IAK105" si="1532">IAJ102</f>
        <v>0</v>
      </c>
      <c r="IAL105" s="1051"/>
      <c r="IAM105" s="1051"/>
      <c r="IAN105" s="1056"/>
      <c r="IAO105" s="1157">
        <f t="shared" ref="IAO105" si="1533">IAN102</f>
        <v>0</v>
      </c>
      <c r="IAP105" s="1051"/>
      <c r="IAQ105" s="1051"/>
      <c r="IAR105" s="1056"/>
      <c r="IAS105" s="1157">
        <f t="shared" ref="IAS105" si="1534">IAR102</f>
        <v>0</v>
      </c>
      <c r="IAT105" s="1051"/>
      <c r="IAU105" s="1051"/>
      <c r="IAV105" s="1056"/>
      <c r="IAW105" s="1157">
        <f t="shared" ref="IAW105" si="1535">IAV102</f>
        <v>0</v>
      </c>
      <c r="IAX105" s="1051"/>
      <c r="IAY105" s="1051"/>
      <c r="IAZ105" s="1056"/>
      <c r="IBA105" s="1157">
        <f t="shared" ref="IBA105" si="1536">IAZ102</f>
        <v>0</v>
      </c>
      <c r="IBB105" s="1051"/>
      <c r="IBC105" s="1051"/>
      <c r="IBD105" s="1056"/>
      <c r="IBE105" s="1157">
        <f t="shared" ref="IBE105" si="1537">IBD102</f>
        <v>0</v>
      </c>
      <c r="IBF105" s="1051"/>
      <c r="IBG105" s="1051"/>
      <c r="IBH105" s="1056"/>
      <c r="IBI105" s="1157">
        <f t="shared" ref="IBI105" si="1538">IBH102</f>
        <v>0</v>
      </c>
      <c r="IBJ105" s="1051"/>
      <c r="IBK105" s="1051"/>
      <c r="IBL105" s="1056"/>
      <c r="IBM105" s="1157">
        <f t="shared" ref="IBM105" si="1539">IBL102</f>
        <v>0</v>
      </c>
      <c r="IBN105" s="1051"/>
      <c r="IBO105" s="1051"/>
      <c r="IBP105" s="1056"/>
      <c r="IBQ105" s="1157">
        <f t="shared" ref="IBQ105" si="1540">IBP102</f>
        <v>0</v>
      </c>
      <c r="IBR105" s="1051"/>
      <c r="IBS105" s="1051"/>
      <c r="IBT105" s="1056"/>
      <c r="IBU105" s="1157">
        <f t="shared" ref="IBU105" si="1541">IBT102</f>
        <v>0</v>
      </c>
      <c r="IBV105" s="1051"/>
      <c r="IBW105" s="1051"/>
      <c r="IBX105" s="1056"/>
      <c r="IBY105" s="1157">
        <f t="shared" ref="IBY105" si="1542">IBX102</f>
        <v>0</v>
      </c>
      <c r="IBZ105" s="1051"/>
      <c r="ICA105" s="1051"/>
      <c r="ICB105" s="1056"/>
      <c r="ICC105" s="1157">
        <f t="shared" ref="ICC105" si="1543">ICB102</f>
        <v>0</v>
      </c>
      <c r="ICD105" s="1051"/>
      <c r="ICE105" s="1051"/>
      <c r="ICF105" s="1056"/>
      <c r="ICG105" s="1157">
        <f t="shared" ref="ICG105" si="1544">ICF102</f>
        <v>0</v>
      </c>
      <c r="ICH105" s="1051"/>
      <c r="ICI105" s="1051"/>
      <c r="ICJ105" s="1056"/>
      <c r="ICK105" s="1157">
        <f t="shared" ref="ICK105" si="1545">ICJ102</f>
        <v>0</v>
      </c>
      <c r="ICL105" s="1051"/>
      <c r="ICM105" s="1051"/>
      <c r="ICN105" s="1056"/>
      <c r="ICO105" s="1157">
        <f t="shared" ref="ICO105" si="1546">ICN102</f>
        <v>0</v>
      </c>
      <c r="ICP105" s="1051"/>
      <c r="ICQ105" s="1051"/>
      <c r="ICR105" s="1056"/>
      <c r="ICS105" s="1157">
        <f t="shared" ref="ICS105" si="1547">ICR102</f>
        <v>0</v>
      </c>
      <c r="ICT105" s="1051"/>
      <c r="ICU105" s="1051"/>
      <c r="ICV105" s="1056"/>
      <c r="ICW105" s="1157">
        <f t="shared" ref="ICW105" si="1548">ICV102</f>
        <v>0</v>
      </c>
      <c r="ICX105" s="1051"/>
      <c r="ICY105" s="1051"/>
      <c r="ICZ105" s="1056"/>
      <c r="IDA105" s="1157">
        <f t="shared" ref="IDA105" si="1549">ICZ102</f>
        <v>0</v>
      </c>
      <c r="IDB105" s="1051"/>
      <c r="IDC105" s="1051"/>
      <c r="IDD105" s="1056"/>
      <c r="IDE105" s="1157">
        <f t="shared" ref="IDE105" si="1550">IDD102</f>
        <v>0</v>
      </c>
      <c r="IDF105" s="1051"/>
      <c r="IDG105" s="1051"/>
      <c r="IDH105" s="1056"/>
      <c r="IDI105" s="1157">
        <f t="shared" ref="IDI105" si="1551">IDH102</f>
        <v>0</v>
      </c>
      <c r="IDJ105" s="1051"/>
      <c r="IDK105" s="1051"/>
      <c r="IDL105" s="1056"/>
      <c r="IDM105" s="1157">
        <f t="shared" ref="IDM105" si="1552">IDL102</f>
        <v>0</v>
      </c>
      <c r="IDN105" s="1051"/>
      <c r="IDO105" s="1051"/>
      <c r="IDP105" s="1056"/>
      <c r="IDQ105" s="1157">
        <f t="shared" ref="IDQ105" si="1553">IDP102</f>
        <v>0</v>
      </c>
      <c r="IDR105" s="1051"/>
      <c r="IDS105" s="1051"/>
      <c r="IDT105" s="1056"/>
      <c r="IDU105" s="1157">
        <f t="shared" ref="IDU105" si="1554">IDT102</f>
        <v>0</v>
      </c>
      <c r="IDV105" s="1051"/>
      <c r="IDW105" s="1051"/>
      <c r="IDX105" s="1056"/>
      <c r="IDY105" s="1157">
        <f t="shared" ref="IDY105" si="1555">IDX102</f>
        <v>0</v>
      </c>
      <c r="IDZ105" s="1051"/>
      <c r="IEA105" s="1051"/>
      <c r="IEB105" s="1056"/>
      <c r="IEC105" s="1157">
        <f t="shared" ref="IEC105" si="1556">IEB102</f>
        <v>0</v>
      </c>
      <c r="IED105" s="1051"/>
      <c r="IEE105" s="1051"/>
      <c r="IEF105" s="1056"/>
      <c r="IEG105" s="1157">
        <f t="shared" ref="IEG105" si="1557">IEF102</f>
        <v>0</v>
      </c>
      <c r="IEH105" s="1051"/>
      <c r="IEI105" s="1051"/>
      <c r="IEJ105" s="1056"/>
      <c r="IEK105" s="1157">
        <f t="shared" ref="IEK105" si="1558">IEJ102</f>
        <v>0</v>
      </c>
      <c r="IEL105" s="1051"/>
      <c r="IEM105" s="1051"/>
      <c r="IEN105" s="1056"/>
      <c r="IEO105" s="1157">
        <f t="shared" ref="IEO105" si="1559">IEN102</f>
        <v>0</v>
      </c>
      <c r="IEP105" s="1051"/>
      <c r="IEQ105" s="1051"/>
      <c r="IER105" s="1056"/>
      <c r="IES105" s="1157">
        <f t="shared" ref="IES105" si="1560">IER102</f>
        <v>0</v>
      </c>
      <c r="IET105" s="1051"/>
      <c r="IEU105" s="1051"/>
      <c r="IEV105" s="1056"/>
      <c r="IEW105" s="1157">
        <f t="shared" ref="IEW105" si="1561">IEV102</f>
        <v>0</v>
      </c>
      <c r="IEX105" s="1051"/>
      <c r="IEY105" s="1051"/>
      <c r="IEZ105" s="1056"/>
      <c r="IFA105" s="1157">
        <f t="shared" ref="IFA105" si="1562">IEZ102</f>
        <v>0</v>
      </c>
      <c r="IFB105" s="1051"/>
      <c r="IFC105" s="1051"/>
      <c r="IFD105" s="1056"/>
      <c r="IFE105" s="1157">
        <f t="shared" ref="IFE105" si="1563">IFD102</f>
        <v>0</v>
      </c>
      <c r="IFF105" s="1051"/>
      <c r="IFG105" s="1051"/>
      <c r="IFH105" s="1056"/>
      <c r="IFI105" s="1157">
        <f t="shared" ref="IFI105" si="1564">IFH102</f>
        <v>0</v>
      </c>
      <c r="IFJ105" s="1051"/>
      <c r="IFK105" s="1051"/>
      <c r="IFL105" s="1056"/>
      <c r="IFM105" s="1157">
        <f t="shared" ref="IFM105" si="1565">IFL102</f>
        <v>0</v>
      </c>
      <c r="IFN105" s="1051"/>
      <c r="IFO105" s="1051"/>
      <c r="IFP105" s="1056"/>
      <c r="IFQ105" s="1157">
        <f t="shared" ref="IFQ105" si="1566">IFP102</f>
        <v>0</v>
      </c>
      <c r="IFR105" s="1051"/>
      <c r="IFS105" s="1051"/>
      <c r="IFT105" s="1056"/>
      <c r="IFU105" s="1157">
        <f t="shared" ref="IFU105" si="1567">IFT102</f>
        <v>0</v>
      </c>
      <c r="IFV105" s="1051"/>
      <c r="IFW105" s="1051"/>
      <c r="IFX105" s="1056"/>
      <c r="IFY105" s="1157">
        <f t="shared" ref="IFY105" si="1568">IFX102</f>
        <v>0</v>
      </c>
      <c r="IFZ105" s="1051"/>
      <c r="IGA105" s="1051"/>
      <c r="IGB105" s="1056"/>
      <c r="IGC105" s="1157">
        <f t="shared" ref="IGC105" si="1569">IGB102</f>
        <v>0</v>
      </c>
      <c r="IGD105" s="1051"/>
      <c r="IGE105" s="1051"/>
      <c r="IGF105" s="1056"/>
      <c r="IGG105" s="1157">
        <f t="shared" ref="IGG105" si="1570">IGF102</f>
        <v>0</v>
      </c>
      <c r="IGH105" s="1051"/>
      <c r="IGI105" s="1051"/>
      <c r="IGJ105" s="1056"/>
      <c r="IGK105" s="1157">
        <f t="shared" ref="IGK105" si="1571">IGJ102</f>
        <v>0</v>
      </c>
      <c r="IGL105" s="1051"/>
      <c r="IGM105" s="1051"/>
      <c r="IGN105" s="1056"/>
      <c r="IGO105" s="1157">
        <f t="shared" ref="IGO105" si="1572">IGN102</f>
        <v>0</v>
      </c>
      <c r="IGP105" s="1051"/>
      <c r="IGQ105" s="1051"/>
      <c r="IGR105" s="1056"/>
      <c r="IGS105" s="1157">
        <f t="shared" ref="IGS105" si="1573">IGR102</f>
        <v>0</v>
      </c>
      <c r="IGT105" s="1051"/>
      <c r="IGU105" s="1051"/>
      <c r="IGV105" s="1056"/>
      <c r="IGW105" s="1157">
        <f t="shared" ref="IGW105" si="1574">IGV102</f>
        <v>0</v>
      </c>
      <c r="IGX105" s="1051"/>
      <c r="IGY105" s="1051"/>
      <c r="IGZ105" s="1056"/>
      <c r="IHA105" s="1157">
        <f t="shared" ref="IHA105" si="1575">IGZ102</f>
        <v>0</v>
      </c>
      <c r="IHB105" s="1051"/>
      <c r="IHC105" s="1051"/>
      <c r="IHD105" s="1056"/>
      <c r="IHE105" s="1157">
        <f t="shared" ref="IHE105" si="1576">IHD102</f>
        <v>0</v>
      </c>
      <c r="IHF105" s="1051"/>
      <c r="IHG105" s="1051"/>
      <c r="IHH105" s="1056"/>
      <c r="IHI105" s="1157">
        <f t="shared" ref="IHI105" si="1577">IHH102</f>
        <v>0</v>
      </c>
      <c r="IHJ105" s="1051"/>
      <c r="IHK105" s="1051"/>
      <c r="IHL105" s="1056"/>
      <c r="IHM105" s="1157">
        <f t="shared" ref="IHM105" si="1578">IHL102</f>
        <v>0</v>
      </c>
      <c r="IHN105" s="1051"/>
      <c r="IHO105" s="1051"/>
      <c r="IHP105" s="1056"/>
      <c r="IHQ105" s="1157">
        <f t="shared" ref="IHQ105" si="1579">IHP102</f>
        <v>0</v>
      </c>
      <c r="IHR105" s="1051"/>
      <c r="IHS105" s="1051"/>
      <c r="IHT105" s="1056"/>
      <c r="IHU105" s="1157">
        <f t="shared" ref="IHU105" si="1580">IHT102</f>
        <v>0</v>
      </c>
      <c r="IHV105" s="1051"/>
      <c r="IHW105" s="1051"/>
      <c r="IHX105" s="1056"/>
      <c r="IHY105" s="1157">
        <f t="shared" ref="IHY105" si="1581">IHX102</f>
        <v>0</v>
      </c>
      <c r="IHZ105" s="1051"/>
      <c r="IIA105" s="1051"/>
      <c r="IIB105" s="1056"/>
      <c r="IIC105" s="1157">
        <f t="shared" ref="IIC105" si="1582">IIB102</f>
        <v>0</v>
      </c>
      <c r="IID105" s="1051"/>
      <c r="IIE105" s="1051"/>
      <c r="IIF105" s="1056"/>
      <c r="IIG105" s="1157">
        <f t="shared" ref="IIG105" si="1583">IIF102</f>
        <v>0</v>
      </c>
      <c r="IIH105" s="1051"/>
      <c r="III105" s="1051"/>
      <c r="IIJ105" s="1056"/>
      <c r="IIK105" s="1157">
        <f t="shared" ref="IIK105" si="1584">IIJ102</f>
        <v>0</v>
      </c>
      <c r="IIL105" s="1051"/>
      <c r="IIM105" s="1051"/>
      <c r="IIN105" s="1056"/>
      <c r="IIO105" s="1157">
        <f t="shared" ref="IIO105" si="1585">IIN102</f>
        <v>0</v>
      </c>
      <c r="IIP105" s="1051"/>
      <c r="IIQ105" s="1051"/>
      <c r="IIR105" s="1056"/>
      <c r="IIS105" s="1157">
        <f t="shared" ref="IIS105" si="1586">IIR102</f>
        <v>0</v>
      </c>
      <c r="IIT105" s="1051"/>
      <c r="IIU105" s="1051"/>
      <c r="IIV105" s="1056"/>
      <c r="IIW105" s="1157">
        <f t="shared" ref="IIW105" si="1587">IIV102</f>
        <v>0</v>
      </c>
      <c r="IIX105" s="1051"/>
      <c r="IIY105" s="1051"/>
      <c r="IIZ105" s="1056"/>
      <c r="IJA105" s="1157">
        <f t="shared" ref="IJA105" si="1588">IIZ102</f>
        <v>0</v>
      </c>
      <c r="IJB105" s="1051"/>
      <c r="IJC105" s="1051"/>
      <c r="IJD105" s="1056"/>
      <c r="IJE105" s="1157">
        <f t="shared" ref="IJE105" si="1589">IJD102</f>
        <v>0</v>
      </c>
      <c r="IJF105" s="1051"/>
      <c r="IJG105" s="1051"/>
      <c r="IJH105" s="1056"/>
      <c r="IJI105" s="1157">
        <f t="shared" ref="IJI105" si="1590">IJH102</f>
        <v>0</v>
      </c>
      <c r="IJJ105" s="1051"/>
      <c r="IJK105" s="1051"/>
      <c r="IJL105" s="1056"/>
      <c r="IJM105" s="1157">
        <f t="shared" ref="IJM105" si="1591">IJL102</f>
        <v>0</v>
      </c>
      <c r="IJN105" s="1051"/>
      <c r="IJO105" s="1051"/>
      <c r="IJP105" s="1056"/>
      <c r="IJQ105" s="1157">
        <f t="shared" ref="IJQ105" si="1592">IJP102</f>
        <v>0</v>
      </c>
      <c r="IJR105" s="1051"/>
      <c r="IJS105" s="1051"/>
      <c r="IJT105" s="1056"/>
      <c r="IJU105" s="1157">
        <f t="shared" ref="IJU105" si="1593">IJT102</f>
        <v>0</v>
      </c>
      <c r="IJV105" s="1051"/>
      <c r="IJW105" s="1051"/>
      <c r="IJX105" s="1056"/>
      <c r="IJY105" s="1157">
        <f t="shared" ref="IJY105" si="1594">IJX102</f>
        <v>0</v>
      </c>
      <c r="IJZ105" s="1051"/>
      <c r="IKA105" s="1051"/>
      <c r="IKB105" s="1056"/>
      <c r="IKC105" s="1157">
        <f t="shared" ref="IKC105" si="1595">IKB102</f>
        <v>0</v>
      </c>
      <c r="IKD105" s="1051"/>
      <c r="IKE105" s="1051"/>
      <c r="IKF105" s="1056"/>
      <c r="IKG105" s="1157">
        <f t="shared" ref="IKG105" si="1596">IKF102</f>
        <v>0</v>
      </c>
      <c r="IKH105" s="1051"/>
      <c r="IKI105" s="1051"/>
      <c r="IKJ105" s="1056"/>
      <c r="IKK105" s="1157">
        <f t="shared" ref="IKK105" si="1597">IKJ102</f>
        <v>0</v>
      </c>
      <c r="IKL105" s="1051"/>
      <c r="IKM105" s="1051"/>
      <c r="IKN105" s="1056"/>
      <c r="IKO105" s="1157">
        <f t="shared" ref="IKO105" si="1598">IKN102</f>
        <v>0</v>
      </c>
      <c r="IKP105" s="1051"/>
      <c r="IKQ105" s="1051"/>
      <c r="IKR105" s="1056"/>
      <c r="IKS105" s="1157">
        <f t="shared" ref="IKS105" si="1599">IKR102</f>
        <v>0</v>
      </c>
      <c r="IKT105" s="1051"/>
      <c r="IKU105" s="1051"/>
      <c r="IKV105" s="1056"/>
      <c r="IKW105" s="1157">
        <f t="shared" ref="IKW105" si="1600">IKV102</f>
        <v>0</v>
      </c>
      <c r="IKX105" s="1051"/>
      <c r="IKY105" s="1051"/>
      <c r="IKZ105" s="1056"/>
      <c r="ILA105" s="1157">
        <f t="shared" ref="ILA105" si="1601">IKZ102</f>
        <v>0</v>
      </c>
      <c r="ILB105" s="1051"/>
      <c r="ILC105" s="1051"/>
      <c r="ILD105" s="1056"/>
      <c r="ILE105" s="1157">
        <f t="shared" ref="ILE105" si="1602">ILD102</f>
        <v>0</v>
      </c>
      <c r="ILF105" s="1051"/>
      <c r="ILG105" s="1051"/>
      <c r="ILH105" s="1056"/>
      <c r="ILI105" s="1157">
        <f t="shared" ref="ILI105" si="1603">ILH102</f>
        <v>0</v>
      </c>
      <c r="ILJ105" s="1051"/>
      <c r="ILK105" s="1051"/>
      <c r="ILL105" s="1056"/>
      <c r="ILM105" s="1157">
        <f t="shared" ref="ILM105" si="1604">ILL102</f>
        <v>0</v>
      </c>
      <c r="ILN105" s="1051"/>
      <c r="ILO105" s="1051"/>
      <c r="ILP105" s="1056"/>
      <c r="ILQ105" s="1157">
        <f t="shared" ref="ILQ105" si="1605">ILP102</f>
        <v>0</v>
      </c>
      <c r="ILR105" s="1051"/>
      <c r="ILS105" s="1051"/>
      <c r="ILT105" s="1056"/>
      <c r="ILU105" s="1157">
        <f t="shared" ref="ILU105" si="1606">ILT102</f>
        <v>0</v>
      </c>
      <c r="ILV105" s="1051"/>
      <c r="ILW105" s="1051"/>
      <c r="ILX105" s="1056"/>
      <c r="ILY105" s="1157">
        <f t="shared" ref="ILY105" si="1607">ILX102</f>
        <v>0</v>
      </c>
      <c r="ILZ105" s="1051"/>
      <c r="IMA105" s="1051"/>
      <c r="IMB105" s="1056"/>
      <c r="IMC105" s="1157">
        <f t="shared" ref="IMC105" si="1608">IMB102</f>
        <v>0</v>
      </c>
      <c r="IMD105" s="1051"/>
      <c r="IME105" s="1051"/>
      <c r="IMF105" s="1056"/>
      <c r="IMG105" s="1157">
        <f t="shared" ref="IMG105" si="1609">IMF102</f>
        <v>0</v>
      </c>
      <c r="IMH105" s="1051"/>
      <c r="IMI105" s="1051"/>
      <c r="IMJ105" s="1056"/>
      <c r="IMK105" s="1157">
        <f t="shared" ref="IMK105" si="1610">IMJ102</f>
        <v>0</v>
      </c>
      <c r="IML105" s="1051"/>
      <c r="IMM105" s="1051"/>
      <c r="IMN105" s="1056"/>
      <c r="IMO105" s="1157">
        <f t="shared" ref="IMO105" si="1611">IMN102</f>
        <v>0</v>
      </c>
      <c r="IMP105" s="1051"/>
      <c r="IMQ105" s="1051"/>
      <c r="IMR105" s="1056"/>
      <c r="IMS105" s="1157">
        <f t="shared" ref="IMS105" si="1612">IMR102</f>
        <v>0</v>
      </c>
      <c r="IMT105" s="1051"/>
      <c r="IMU105" s="1051"/>
      <c r="IMV105" s="1056"/>
      <c r="IMW105" s="1157">
        <f t="shared" ref="IMW105" si="1613">IMV102</f>
        <v>0</v>
      </c>
      <c r="IMX105" s="1051"/>
      <c r="IMY105" s="1051"/>
      <c r="IMZ105" s="1056"/>
      <c r="INA105" s="1157">
        <f t="shared" ref="INA105" si="1614">IMZ102</f>
        <v>0</v>
      </c>
      <c r="INB105" s="1051"/>
      <c r="INC105" s="1051"/>
      <c r="IND105" s="1056"/>
      <c r="INE105" s="1157">
        <f t="shared" ref="INE105" si="1615">IND102</f>
        <v>0</v>
      </c>
      <c r="INF105" s="1051"/>
      <c r="ING105" s="1051"/>
      <c r="INH105" s="1056"/>
      <c r="INI105" s="1157">
        <f t="shared" ref="INI105" si="1616">INH102</f>
        <v>0</v>
      </c>
      <c r="INJ105" s="1051"/>
      <c r="INK105" s="1051"/>
      <c r="INL105" s="1056"/>
      <c r="INM105" s="1157">
        <f t="shared" ref="INM105" si="1617">INL102</f>
        <v>0</v>
      </c>
      <c r="INN105" s="1051"/>
      <c r="INO105" s="1051"/>
      <c r="INP105" s="1056"/>
      <c r="INQ105" s="1157">
        <f t="shared" ref="INQ105" si="1618">INP102</f>
        <v>0</v>
      </c>
      <c r="INR105" s="1051"/>
      <c r="INS105" s="1051"/>
      <c r="INT105" s="1056"/>
      <c r="INU105" s="1157">
        <f t="shared" ref="INU105" si="1619">INT102</f>
        <v>0</v>
      </c>
      <c r="INV105" s="1051"/>
      <c r="INW105" s="1051"/>
      <c r="INX105" s="1056"/>
      <c r="INY105" s="1157">
        <f t="shared" ref="INY105" si="1620">INX102</f>
        <v>0</v>
      </c>
      <c r="INZ105" s="1051"/>
      <c r="IOA105" s="1051"/>
      <c r="IOB105" s="1056"/>
      <c r="IOC105" s="1157">
        <f t="shared" ref="IOC105" si="1621">IOB102</f>
        <v>0</v>
      </c>
      <c r="IOD105" s="1051"/>
      <c r="IOE105" s="1051"/>
      <c r="IOF105" s="1056"/>
      <c r="IOG105" s="1157">
        <f t="shared" ref="IOG105" si="1622">IOF102</f>
        <v>0</v>
      </c>
      <c r="IOH105" s="1051"/>
      <c r="IOI105" s="1051"/>
      <c r="IOJ105" s="1056"/>
      <c r="IOK105" s="1157">
        <f t="shared" ref="IOK105" si="1623">IOJ102</f>
        <v>0</v>
      </c>
      <c r="IOL105" s="1051"/>
      <c r="IOM105" s="1051"/>
      <c r="ION105" s="1056"/>
      <c r="IOO105" s="1157">
        <f t="shared" ref="IOO105" si="1624">ION102</f>
        <v>0</v>
      </c>
      <c r="IOP105" s="1051"/>
      <c r="IOQ105" s="1051"/>
      <c r="IOR105" s="1056"/>
      <c r="IOS105" s="1157">
        <f t="shared" ref="IOS105" si="1625">IOR102</f>
        <v>0</v>
      </c>
      <c r="IOT105" s="1051"/>
      <c r="IOU105" s="1051"/>
      <c r="IOV105" s="1056"/>
      <c r="IOW105" s="1157">
        <f t="shared" ref="IOW105" si="1626">IOV102</f>
        <v>0</v>
      </c>
      <c r="IOX105" s="1051"/>
      <c r="IOY105" s="1051"/>
      <c r="IOZ105" s="1056"/>
      <c r="IPA105" s="1157">
        <f t="shared" ref="IPA105" si="1627">IOZ102</f>
        <v>0</v>
      </c>
      <c r="IPB105" s="1051"/>
      <c r="IPC105" s="1051"/>
      <c r="IPD105" s="1056"/>
      <c r="IPE105" s="1157">
        <f t="shared" ref="IPE105" si="1628">IPD102</f>
        <v>0</v>
      </c>
      <c r="IPF105" s="1051"/>
      <c r="IPG105" s="1051"/>
      <c r="IPH105" s="1056"/>
      <c r="IPI105" s="1157">
        <f t="shared" ref="IPI105" si="1629">IPH102</f>
        <v>0</v>
      </c>
      <c r="IPJ105" s="1051"/>
      <c r="IPK105" s="1051"/>
      <c r="IPL105" s="1056"/>
      <c r="IPM105" s="1157">
        <f t="shared" ref="IPM105" si="1630">IPL102</f>
        <v>0</v>
      </c>
      <c r="IPN105" s="1051"/>
      <c r="IPO105" s="1051"/>
      <c r="IPP105" s="1056"/>
      <c r="IPQ105" s="1157">
        <f t="shared" ref="IPQ105" si="1631">IPP102</f>
        <v>0</v>
      </c>
      <c r="IPR105" s="1051"/>
      <c r="IPS105" s="1051"/>
      <c r="IPT105" s="1056"/>
      <c r="IPU105" s="1157">
        <f t="shared" ref="IPU105" si="1632">IPT102</f>
        <v>0</v>
      </c>
      <c r="IPV105" s="1051"/>
      <c r="IPW105" s="1051"/>
      <c r="IPX105" s="1056"/>
      <c r="IPY105" s="1157">
        <f t="shared" ref="IPY105" si="1633">IPX102</f>
        <v>0</v>
      </c>
      <c r="IPZ105" s="1051"/>
      <c r="IQA105" s="1051"/>
      <c r="IQB105" s="1056"/>
      <c r="IQC105" s="1157">
        <f t="shared" ref="IQC105" si="1634">IQB102</f>
        <v>0</v>
      </c>
      <c r="IQD105" s="1051"/>
      <c r="IQE105" s="1051"/>
      <c r="IQF105" s="1056"/>
      <c r="IQG105" s="1157">
        <f t="shared" ref="IQG105" si="1635">IQF102</f>
        <v>0</v>
      </c>
      <c r="IQH105" s="1051"/>
      <c r="IQI105" s="1051"/>
      <c r="IQJ105" s="1056"/>
      <c r="IQK105" s="1157">
        <f t="shared" ref="IQK105" si="1636">IQJ102</f>
        <v>0</v>
      </c>
      <c r="IQL105" s="1051"/>
      <c r="IQM105" s="1051"/>
      <c r="IQN105" s="1056"/>
      <c r="IQO105" s="1157">
        <f t="shared" ref="IQO105" si="1637">IQN102</f>
        <v>0</v>
      </c>
      <c r="IQP105" s="1051"/>
      <c r="IQQ105" s="1051"/>
      <c r="IQR105" s="1056"/>
      <c r="IQS105" s="1157">
        <f t="shared" ref="IQS105" si="1638">IQR102</f>
        <v>0</v>
      </c>
      <c r="IQT105" s="1051"/>
      <c r="IQU105" s="1051"/>
      <c r="IQV105" s="1056"/>
      <c r="IQW105" s="1157">
        <f t="shared" ref="IQW105" si="1639">IQV102</f>
        <v>0</v>
      </c>
      <c r="IQX105" s="1051"/>
      <c r="IQY105" s="1051"/>
      <c r="IQZ105" s="1056"/>
      <c r="IRA105" s="1157">
        <f t="shared" ref="IRA105" si="1640">IQZ102</f>
        <v>0</v>
      </c>
      <c r="IRB105" s="1051"/>
      <c r="IRC105" s="1051"/>
      <c r="IRD105" s="1056"/>
      <c r="IRE105" s="1157">
        <f t="shared" ref="IRE105" si="1641">IRD102</f>
        <v>0</v>
      </c>
      <c r="IRF105" s="1051"/>
      <c r="IRG105" s="1051"/>
      <c r="IRH105" s="1056"/>
      <c r="IRI105" s="1157">
        <f t="shared" ref="IRI105" si="1642">IRH102</f>
        <v>0</v>
      </c>
      <c r="IRJ105" s="1051"/>
      <c r="IRK105" s="1051"/>
      <c r="IRL105" s="1056"/>
      <c r="IRM105" s="1157">
        <f t="shared" ref="IRM105" si="1643">IRL102</f>
        <v>0</v>
      </c>
      <c r="IRN105" s="1051"/>
      <c r="IRO105" s="1051"/>
      <c r="IRP105" s="1056"/>
      <c r="IRQ105" s="1157">
        <f t="shared" ref="IRQ105" si="1644">IRP102</f>
        <v>0</v>
      </c>
      <c r="IRR105" s="1051"/>
      <c r="IRS105" s="1051"/>
      <c r="IRT105" s="1056"/>
      <c r="IRU105" s="1157">
        <f t="shared" ref="IRU105" si="1645">IRT102</f>
        <v>0</v>
      </c>
      <c r="IRV105" s="1051"/>
      <c r="IRW105" s="1051"/>
      <c r="IRX105" s="1056"/>
      <c r="IRY105" s="1157">
        <f t="shared" ref="IRY105" si="1646">IRX102</f>
        <v>0</v>
      </c>
      <c r="IRZ105" s="1051"/>
      <c r="ISA105" s="1051"/>
      <c r="ISB105" s="1056"/>
      <c r="ISC105" s="1157">
        <f t="shared" ref="ISC105" si="1647">ISB102</f>
        <v>0</v>
      </c>
      <c r="ISD105" s="1051"/>
      <c r="ISE105" s="1051"/>
      <c r="ISF105" s="1056"/>
      <c r="ISG105" s="1157">
        <f t="shared" ref="ISG105" si="1648">ISF102</f>
        <v>0</v>
      </c>
      <c r="ISH105" s="1051"/>
      <c r="ISI105" s="1051"/>
      <c r="ISJ105" s="1056"/>
      <c r="ISK105" s="1157">
        <f t="shared" ref="ISK105" si="1649">ISJ102</f>
        <v>0</v>
      </c>
      <c r="ISL105" s="1051"/>
      <c r="ISM105" s="1051"/>
      <c r="ISN105" s="1056"/>
      <c r="ISO105" s="1157">
        <f t="shared" ref="ISO105" si="1650">ISN102</f>
        <v>0</v>
      </c>
      <c r="ISP105" s="1051"/>
      <c r="ISQ105" s="1051"/>
      <c r="ISR105" s="1056"/>
      <c r="ISS105" s="1157">
        <f t="shared" ref="ISS105" si="1651">ISR102</f>
        <v>0</v>
      </c>
      <c r="IST105" s="1051"/>
      <c r="ISU105" s="1051"/>
      <c r="ISV105" s="1056"/>
      <c r="ISW105" s="1157">
        <f t="shared" ref="ISW105" si="1652">ISV102</f>
        <v>0</v>
      </c>
      <c r="ISX105" s="1051"/>
      <c r="ISY105" s="1051"/>
      <c r="ISZ105" s="1056"/>
      <c r="ITA105" s="1157">
        <f t="shared" ref="ITA105" si="1653">ISZ102</f>
        <v>0</v>
      </c>
      <c r="ITB105" s="1051"/>
      <c r="ITC105" s="1051"/>
      <c r="ITD105" s="1056"/>
      <c r="ITE105" s="1157">
        <f t="shared" ref="ITE105" si="1654">ITD102</f>
        <v>0</v>
      </c>
      <c r="ITF105" s="1051"/>
      <c r="ITG105" s="1051"/>
      <c r="ITH105" s="1056"/>
      <c r="ITI105" s="1157">
        <f t="shared" ref="ITI105" si="1655">ITH102</f>
        <v>0</v>
      </c>
      <c r="ITJ105" s="1051"/>
      <c r="ITK105" s="1051"/>
      <c r="ITL105" s="1056"/>
      <c r="ITM105" s="1157">
        <f t="shared" ref="ITM105" si="1656">ITL102</f>
        <v>0</v>
      </c>
      <c r="ITN105" s="1051"/>
      <c r="ITO105" s="1051"/>
      <c r="ITP105" s="1056"/>
      <c r="ITQ105" s="1157">
        <f t="shared" ref="ITQ105" si="1657">ITP102</f>
        <v>0</v>
      </c>
      <c r="ITR105" s="1051"/>
      <c r="ITS105" s="1051"/>
      <c r="ITT105" s="1056"/>
      <c r="ITU105" s="1157">
        <f t="shared" ref="ITU105" si="1658">ITT102</f>
        <v>0</v>
      </c>
      <c r="ITV105" s="1051"/>
      <c r="ITW105" s="1051"/>
      <c r="ITX105" s="1056"/>
      <c r="ITY105" s="1157">
        <f t="shared" ref="ITY105" si="1659">ITX102</f>
        <v>0</v>
      </c>
      <c r="ITZ105" s="1051"/>
      <c r="IUA105" s="1051"/>
      <c r="IUB105" s="1056"/>
      <c r="IUC105" s="1157">
        <f t="shared" ref="IUC105" si="1660">IUB102</f>
        <v>0</v>
      </c>
      <c r="IUD105" s="1051"/>
      <c r="IUE105" s="1051"/>
      <c r="IUF105" s="1056"/>
      <c r="IUG105" s="1157">
        <f t="shared" ref="IUG105" si="1661">IUF102</f>
        <v>0</v>
      </c>
      <c r="IUH105" s="1051"/>
      <c r="IUI105" s="1051"/>
      <c r="IUJ105" s="1056"/>
      <c r="IUK105" s="1157">
        <f t="shared" ref="IUK105" si="1662">IUJ102</f>
        <v>0</v>
      </c>
      <c r="IUL105" s="1051"/>
      <c r="IUM105" s="1051"/>
      <c r="IUN105" s="1056"/>
      <c r="IUO105" s="1157">
        <f t="shared" ref="IUO105" si="1663">IUN102</f>
        <v>0</v>
      </c>
      <c r="IUP105" s="1051"/>
      <c r="IUQ105" s="1051"/>
      <c r="IUR105" s="1056"/>
      <c r="IUS105" s="1157">
        <f t="shared" ref="IUS105" si="1664">IUR102</f>
        <v>0</v>
      </c>
      <c r="IUT105" s="1051"/>
      <c r="IUU105" s="1051"/>
      <c r="IUV105" s="1056"/>
      <c r="IUW105" s="1157">
        <f t="shared" ref="IUW105" si="1665">IUV102</f>
        <v>0</v>
      </c>
      <c r="IUX105" s="1051"/>
      <c r="IUY105" s="1051"/>
      <c r="IUZ105" s="1056"/>
      <c r="IVA105" s="1157">
        <f t="shared" ref="IVA105" si="1666">IUZ102</f>
        <v>0</v>
      </c>
      <c r="IVB105" s="1051"/>
      <c r="IVC105" s="1051"/>
      <c r="IVD105" s="1056"/>
      <c r="IVE105" s="1157">
        <f t="shared" ref="IVE105" si="1667">IVD102</f>
        <v>0</v>
      </c>
      <c r="IVF105" s="1051"/>
      <c r="IVG105" s="1051"/>
      <c r="IVH105" s="1056"/>
      <c r="IVI105" s="1157">
        <f t="shared" ref="IVI105" si="1668">IVH102</f>
        <v>0</v>
      </c>
      <c r="IVJ105" s="1051"/>
      <c r="IVK105" s="1051"/>
      <c r="IVL105" s="1056"/>
      <c r="IVM105" s="1157">
        <f t="shared" ref="IVM105" si="1669">IVL102</f>
        <v>0</v>
      </c>
      <c r="IVN105" s="1051"/>
      <c r="IVO105" s="1051"/>
      <c r="IVP105" s="1056"/>
      <c r="IVQ105" s="1157">
        <f t="shared" ref="IVQ105" si="1670">IVP102</f>
        <v>0</v>
      </c>
      <c r="IVR105" s="1051"/>
      <c r="IVS105" s="1051"/>
      <c r="IVT105" s="1056"/>
      <c r="IVU105" s="1157">
        <f t="shared" ref="IVU105" si="1671">IVT102</f>
        <v>0</v>
      </c>
      <c r="IVV105" s="1051"/>
      <c r="IVW105" s="1051"/>
      <c r="IVX105" s="1056"/>
      <c r="IVY105" s="1157">
        <f t="shared" ref="IVY105" si="1672">IVX102</f>
        <v>0</v>
      </c>
      <c r="IVZ105" s="1051"/>
      <c r="IWA105" s="1051"/>
      <c r="IWB105" s="1056"/>
      <c r="IWC105" s="1157">
        <f t="shared" ref="IWC105" si="1673">IWB102</f>
        <v>0</v>
      </c>
      <c r="IWD105" s="1051"/>
      <c r="IWE105" s="1051"/>
      <c r="IWF105" s="1056"/>
      <c r="IWG105" s="1157">
        <f t="shared" ref="IWG105" si="1674">IWF102</f>
        <v>0</v>
      </c>
      <c r="IWH105" s="1051"/>
      <c r="IWI105" s="1051"/>
      <c r="IWJ105" s="1056"/>
      <c r="IWK105" s="1157">
        <f t="shared" ref="IWK105" si="1675">IWJ102</f>
        <v>0</v>
      </c>
      <c r="IWL105" s="1051"/>
      <c r="IWM105" s="1051"/>
      <c r="IWN105" s="1056"/>
      <c r="IWO105" s="1157">
        <f t="shared" ref="IWO105" si="1676">IWN102</f>
        <v>0</v>
      </c>
      <c r="IWP105" s="1051"/>
      <c r="IWQ105" s="1051"/>
      <c r="IWR105" s="1056"/>
      <c r="IWS105" s="1157">
        <f t="shared" ref="IWS105" si="1677">IWR102</f>
        <v>0</v>
      </c>
      <c r="IWT105" s="1051"/>
      <c r="IWU105" s="1051"/>
      <c r="IWV105" s="1056"/>
      <c r="IWW105" s="1157">
        <f t="shared" ref="IWW105" si="1678">IWV102</f>
        <v>0</v>
      </c>
      <c r="IWX105" s="1051"/>
      <c r="IWY105" s="1051"/>
      <c r="IWZ105" s="1056"/>
      <c r="IXA105" s="1157">
        <f t="shared" ref="IXA105" si="1679">IWZ102</f>
        <v>0</v>
      </c>
      <c r="IXB105" s="1051"/>
      <c r="IXC105" s="1051"/>
      <c r="IXD105" s="1056"/>
      <c r="IXE105" s="1157">
        <f t="shared" ref="IXE105" si="1680">IXD102</f>
        <v>0</v>
      </c>
      <c r="IXF105" s="1051"/>
      <c r="IXG105" s="1051"/>
      <c r="IXH105" s="1056"/>
      <c r="IXI105" s="1157">
        <f t="shared" ref="IXI105" si="1681">IXH102</f>
        <v>0</v>
      </c>
      <c r="IXJ105" s="1051"/>
      <c r="IXK105" s="1051"/>
      <c r="IXL105" s="1056"/>
      <c r="IXM105" s="1157">
        <f t="shared" ref="IXM105" si="1682">IXL102</f>
        <v>0</v>
      </c>
      <c r="IXN105" s="1051"/>
      <c r="IXO105" s="1051"/>
      <c r="IXP105" s="1056"/>
      <c r="IXQ105" s="1157">
        <f t="shared" ref="IXQ105" si="1683">IXP102</f>
        <v>0</v>
      </c>
      <c r="IXR105" s="1051"/>
      <c r="IXS105" s="1051"/>
      <c r="IXT105" s="1056"/>
      <c r="IXU105" s="1157">
        <f t="shared" ref="IXU105" si="1684">IXT102</f>
        <v>0</v>
      </c>
      <c r="IXV105" s="1051"/>
      <c r="IXW105" s="1051"/>
      <c r="IXX105" s="1056"/>
      <c r="IXY105" s="1157">
        <f t="shared" ref="IXY105" si="1685">IXX102</f>
        <v>0</v>
      </c>
      <c r="IXZ105" s="1051"/>
      <c r="IYA105" s="1051"/>
      <c r="IYB105" s="1056"/>
      <c r="IYC105" s="1157">
        <f t="shared" ref="IYC105" si="1686">IYB102</f>
        <v>0</v>
      </c>
      <c r="IYD105" s="1051"/>
      <c r="IYE105" s="1051"/>
      <c r="IYF105" s="1056"/>
      <c r="IYG105" s="1157">
        <f t="shared" ref="IYG105" si="1687">IYF102</f>
        <v>0</v>
      </c>
      <c r="IYH105" s="1051"/>
      <c r="IYI105" s="1051"/>
      <c r="IYJ105" s="1056"/>
      <c r="IYK105" s="1157">
        <f t="shared" ref="IYK105" si="1688">IYJ102</f>
        <v>0</v>
      </c>
      <c r="IYL105" s="1051"/>
      <c r="IYM105" s="1051"/>
      <c r="IYN105" s="1056"/>
      <c r="IYO105" s="1157">
        <f t="shared" ref="IYO105" si="1689">IYN102</f>
        <v>0</v>
      </c>
      <c r="IYP105" s="1051"/>
      <c r="IYQ105" s="1051"/>
      <c r="IYR105" s="1056"/>
      <c r="IYS105" s="1157">
        <f t="shared" ref="IYS105" si="1690">IYR102</f>
        <v>0</v>
      </c>
      <c r="IYT105" s="1051"/>
      <c r="IYU105" s="1051"/>
      <c r="IYV105" s="1056"/>
      <c r="IYW105" s="1157">
        <f t="shared" ref="IYW105" si="1691">IYV102</f>
        <v>0</v>
      </c>
      <c r="IYX105" s="1051"/>
      <c r="IYY105" s="1051"/>
      <c r="IYZ105" s="1056"/>
      <c r="IZA105" s="1157">
        <f t="shared" ref="IZA105" si="1692">IYZ102</f>
        <v>0</v>
      </c>
      <c r="IZB105" s="1051"/>
      <c r="IZC105" s="1051"/>
      <c r="IZD105" s="1056"/>
      <c r="IZE105" s="1157">
        <f t="shared" ref="IZE105" si="1693">IZD102</f>
        <v>0</v>
      </c>
      <c r="IZF105" s="1051"/>
      <c r="IZG105" s="1051"/>
      <c r="IZH105" s="1056"/>
      <c r="IZI105" s="1157">
        <f t="shared" ref="IZI105" si="1694">IZH102</f>
        <v>0</v>
      </c>
      <c r="IZJ105" s="1051"/>
      <c r="IZK105" s="1051"/>
      <c r="IZL105" s="1056"/>
      <c r="IZM105" s="1157">
        <f t="shared" ref="IZM105" si="1695">IZL102</f>
        <v>0</v>
      </c>
      <c r="IZN105" s="1051"/>
      <c r="IZO105" s="1051"/>
      <c r="IZP105" s="1056"/>
      <c r="IZQ105" s="1157">
        <f t="shared" ref="IZQ105" si="1696">IZP102</f>
        <v>0</v>
      </c>
      <c r="IZR105" s="1051"/>
      <c r="IZS105" s="1051"/>
      <c r="IZT105" s="1056"/>
      <c r="IZU105" s="1157">
        <f t="shared" ref="IZU105" si="1697">IZT102</f>
        <v>0</v>
      </c>
      <c r="IZV105" s="1051"/>
      <c r="IZW105" s="1051"/>
      <c r="IZX105" s="1056"/>
      <c r="IZY105" s="1157">
        <f t="shared" ref="IZY105" si="1698">IZX102</f>
        <v>0</v>
      </c>
      <c r="IZZ105" s="1051"/>
      <c r="JAA105" s="1051"/>
      <c r="JAB105" s="1056"/>
      <c r="JAC105" s="1157">
        <f t="shared" ref="JAC105" si="1699">JAB102</f>
        <v>0</v>
      </c>
      <c r="JAD105" s="1051"/>
      <c r="JAE105" s="1051"/>
      <c r="JAF105" s="1056"/>
      <c r="JAG105" s="1157">
        <f t="shared" ref="JAG105" si="1700">JAF102</f>
        <v>0</v>
      </c>
      <c r="JAH105" s="1051"/>
      <c r="JAI105" s="1051"/>
      <c r="JAJ105" s="1056"/>
      <c r="JAK105" s="1157">
        <f t="shared" ref="JAK105" si="1701">JAJ102</f>
        <v>0</v>
      </c>
      <c r="JAL105" s="1051"/>
      <c r="JAM105" s="1051"/>
      <c r="JAN105" s="1056"/>
      <c r="JAO105" s="1157">
        <f t="shared" ref="JAO105" si="1702">JAN102</f>
        <v>0</v>
      </c>
      <c r="JAP105" s="1051"/>
      <c r="JAQ105" s="1051"/>
      <c r="JAR105" s="1056"/>
      <c r="JAS105" s="1157">
        <f t="shared" ref="JAS105" si="1703">JAR102</f>
        <v>0</v>
      </c>
      <c r="JAT105" s="1051"/>
      <c r="JAU105" s="1051"/>
      <c r="JAV105" s="1056"/>
      <c r="JAW105" s="1157">
        <f t="shared" ref="JAW105" si="1704">JAV102</f>
        <v>0</v>
      </c>
      <c r="JAX105" s="1051"/>
      <c r="JAY105" s="1051"/>
      <c r="JAZ105" s="1056"/>
      <c r="JBA105" s="1157">
        <f t="shared" ref="JBA105" si="1705">JAZ102</f>
        <v>0</v>
      </c>
      <c r="JBB105" s="1051"/>
      <c r="JBC105" s="1051"/>
      <c r="JBD105" s="1056"/>
      <c r="JBE105" s="1157">
        <f t="shared" ref="JBE105" si="1706">JBD102</f>
        <v>0</v>
      </c>
      <c r="JBF105" s="1051"/>
      <c r="JBG105" s="1051"/>
      <c r="JBH105" s="1056"/>
      <c r="JBI105" s="1157">
        <f t="shared" ref="JBI105" si="1707">JBH102</f>
        <v>0</v>
      </c>
      <c r="JBJ105" s="1051"/>
      <c r="JBK105" s="1051"/>
      <c r="JBL105" s="1056"/>
      <c r="JBM105" s="1157">
        <f t="shared" ref="JBM105" si="1708">JBL102</f>
        <v>0</v>
      </c>
      <c r="JBN105" s="1051"/>
      <c r="JBO105" s="1051"/>
      <c r="JBP105" s="1056"/>
      <c r="JBQ105" s="1157">
        <f t="shared" ref="JBQ105" si="1709">JBP102</f>
        <v>0</v>
      </c>
      <c r="JBR105" s="1051"/>
      <c r="JBS105" s="1051"/>
      <c r="JBT105" s="1056"/>
      <c r="JBU105" s="1157">
        <f t="shared" ref="JBU105" si="1710">JBT102</f>
        <v>0</v>
      </c>
      <c r="JBV105" s="1051"/>
      <c r="JBW105" s="1051"/>
      <c r="JBX105" s="1056"/>
      <c r="JBY105" s="1157">
        <f t="shared" ref="JBY105" si="1711">JBX102</f>
        <v>0</v>
      </c>
      <c r="JBZ105" s="1051"/>
      <c r="JCA105" s="1051"/>
      <c r="JCB105" s="1056"/>
      <c r="JCC105" s="1157">
        <f t="shared" ref="JCC105" si="1712">JCB102</f>
        <v>0</v>
      </c>
      <c r="JCD105" s="1051"/>
      <c r="JCE105" s="1051"/>
      <c r="JCF105" s="1056"/>
      <c r="JCG105" s="1157">
        <f t="shared" ref="JCG105" si="1713">JCF102</f>
        <v>0</v>
      </c>
      <c r="JCH105" s="1051"/>
      <c r="JCI105" s="1051"/>
      <c r="JCJ105" s="1056"/>
      <c r="JCK105" s="1157">
        <f t="shared" ref="JCK105" si="1714">JCJ102</f>
        <v>0</v>
      </c>
      <c r="JCL105" s="1051"/>
      <c r="JCM105" s="1051"/>
      <c r="JCN105" s="1056"/>
      <c r="JCO105" s="1157">
        <f t="shared" ref="JCO105" si="1715">JCN102</f>
        <v>0</v>
      </c>
      <c r="JCP105" s="1051"/>
      <c r="JCQ105" s="1051"/>
      <c r="JCR105" s="1056"/>
      <c r="JCS105" s="1157">
        <f t="shared" ref="JCS105" si="1716">JCR102</f>
        <v>0</v>
      </c>
      <c r="JCT105" s="1051"/>
      <c r="JCU105" s="1051"/>
      <c r="JCV105" s="1056"/>
      <c r="JCW105" s="1157">
        <f t="shared" ref="JCW105" si="1717">JCV102</f>
        <v>0</v>
      </c>
      <c r="JCX105" s="1051"/>
      <c r="JCY105" s="1051"/>
      <c r="JCZ105" s="1056"/>
      <c r="JDA105" s="1157">
        <f t="shared" ref="JDA105" si="1718">JCZ102</f>
        <v>0</v>
      </c>
      <c r="JDB105" s="1051"/>
      <c r="JDC105" s="1051"/>
      <c r="JDD105" s="1056"/>
      <c r="JDE105" s="1157">
        <f t="shared" ref="JDE105" si="1719">JDD102</f>
        <v>0</v>
      </c>
      <c r="JDF105" s="1051"/>
      <c r="JDG105" s="1051"/>
      <c r="JDH105" s="1056"/>
      <c r="JDI105" s="1157">
        <f t="shared" ref="JDI105" si="1720">JDH102</f>
        <v>0</v>
      </c>
      <c r="JDJ105" s="1051"/>
      <c r="JDK105" s="1051"/>
      <c r="JDL105" s="1056"/>
      <c r="JDM105" s="1157">
        <f t="shared" ref="JDM105" si="1721">JDL102</f>
        <v>0</v>
      </c>
      <c r="JDN105" s="1051"/>
      <c r="JDO105" s="1051"/>
      <c r="JDP105" s="1056"/>
      <c r="JDQ105" s="1157">
        <f t="shared" ref="JDQ105" si="1722">JDP102</f>
        <v>0</v>
      </c>
      <c r="JDR105" s="1051"/>
      <c r="JDS105" s="1051"/>
      <c r="JDT105" s="1056"/>
      <c r="JDU105" s="1157">
        <f t="shared" ref="JDU105" si="1723">JDT102</f>
        <v>0</v>
      </c>
      <c r="JDV105" s="1051"/>
      <c r="JDW105" s="1051"/>
      <c r="JDX105" s="1056"/>
      <c r="JDY105" s="1157">
        <f t="shared" ref="JDY105" si="1724">JDX102</f>
        <v>0</v>
      </c>
      <c r="JDZ105" s="1051"/>
      <c r="JEA105" s="1051"/>
      <c r="JEB105" s="1056"/>
      <c r="JEC105" s="1157">
        <f t="shared" ref="JEC105" si="1725">JEB102</f>
        <v>0</v>
      </c>
      <c r="JED105" s="1051"/>
      <c r="JEE105" s="1051"/>
      <c r="JEF105" s="1056"/>
      <c r="JEG105" s="1157">
        <f t="shared" ref="JEG105" si="1726">JEF102</f>
        <v>0</v>
      </c>
      <c r="JEH105" s="1051"/>
      <c r="JEI105" s="1051"/>
      <c r="JEJ105" s="1056"/>
      <c r="JEK105" s="1157">
        <f t="shared" ref="JEK105" si="1727">JEJ102</f>
        <v>0</v>
      </c>
      <c r="JEL105" s="1051"/>
      <c r="JEM105" s="1051"/>
      <c r="JEN105" s="1056"/>
      <c r="JEO105" s="1157">
        <f t="shared" ref="JEO105" si="1728">JEN102</f>
        <v>0</v>
      </c>
      <c r="JEP105" s="1051"/>
      <c r="JEQ105" s="1051"/>
      <c r="JER105" s="1056"/>
      <c r="JES105" s="1157">
        <f t="shared" ref="JES105" si="1729">JER102</f>
        <v>0</v>
      </c>
      <c r="JET105" s="1051"/>
      <c r="JEU105" s="1051"/>
      <c r="JEV105" s="1056"/>
      <c r="JEW105" s="1157">
        <f t="shared" ref="JEW105" si="1730">JEV102</f>
        <v>0</v>
      </c>
      <c r="JEX105" s="1051"/>
      <c r="JEY105" s="1051"/>
      <c r="JEZ105" s="1056"/>
      <c r="JFA105" s="1157">
        <f t="shared" ref="JFA105" si="1731">JEZ102</f>
        <v>0</v>
      </c>
      <c r="JFB105" s="1051"/>
      <c r="JFC105" s="1051"/>
      <c r="JFD105" s="1056"/>
      <c r="JFE105" s="1157">
        <f t="shared" ref="JFE105" si="1732">JFD102</f>
        <v>0</v>
      </c>
      <c r="JFF105" s="1051"/>
      <c r="JFG105" s="1051"/>
      <c r="JFH105" s="1056"/>
      <c r="JFI105" s="1157">
        <f t="shared" ref="JFI105" si="1733">JFH102</f>
        <v>0</v>
      </c>
      <c r="JFJ105" s="1051"/>
      <c r="JFK105" s="1051"/>
      <c r="JFL105" s="1056"/>
      <c r="JFM105" s="1157">
        <f t="shared" ref="JFM105" si="1734">JFL102</f>
        <v>0</v>
      </c>
      <c r="JFN105" s="1051"/>
      <c r="JFO105" s="1051"/>
      <c r="JFP105" s="1056"/>
      <c r="JFQ105" s="1157">
        <f t="shared" ref="JFQ105" si="1735">JFP102</f>
        <v>0</v>
      </c>
      <c r="JFR105" s="1051"/>
      <c r="JFS105" s="1051"/>
      <c r="JFT105" s="1056"/>
      <c r="JFU105" s="1157">
        <f t="shared" ref="JFU105" si="1736">JFT102</f>
        <v>0</v>
      </c>
      <c r="JFV105" s="1051"/>
      <c r="JFW105" s="1051"/>
      <c r="JFX105" s="1056"/>
      <c r="JFY105" s="1157">
        <f t="shared" ref="JFY105" si="1737">JFX102</f>
        <v>0</v>
      </c>
      <c r="JFZ105" s="1051"/>
      <c r="JGA105" s="1051"/>
      <c r="JGB105" s="1056"/>
      <c r="JGC105" s="1157">
        <f t="shared" ref="JGC105" si="1738">JGB102</f>
        <v>0</v>
      </c>
      <c r="JGD105" s="1051"/>
      <c r="JGE105" s="1051"/>
      <c r="JGF105" s="1056"/>
      <c r="JGG105" s="1157">
        <f t="shared" ref="JGG105" si="1739">JGF102</f>
        <v>0</v>
      </c>
      <c r="JGH105" s="1051"/>
      <c r="JGI105" s="1051"/>
      <c r="JGJ105" s="1056"/>
      <c r="JGK105" s="1157">
        <f t="shared" ref="JGK105" si="1740">JGJ102</f>
        <v>0</v>
      </c>
      <c r="JGL105" s="1051"/>
      <c r="JGM105" s="1051"/>
      <c r="JGN105" s="1056"/>
      <c r="JGO105" s="1157">
        <f t="shared" ref="JGO105" si="1741">JGN102</f>
        <v>0</v>
      </c>
      <c r="JGP105" s="1051"/>
      <c r="JGQ105" s="1051"/>
      <c r="JGR105" s="1056"/>
      <c r="JGS105" s="1157">
        <f t="shared" ref="JGS105" si="1742">JGR102</f>
        <v>0</v>
      </c>
      <c r="JGT105" s="1051"/>
      <c r="JGU105" s="1051"/>
      <c r="JGV105" s="1056"/>
      <c r="JGW105" s="1157">
        <f t="shared" ref="JGW105" si="1743">JGV102</f>
        <v>0</v>
      </c>
      <c r="JGX105" s="1051"/>
      <c r="JGY105" s="1051"/>
      <c r="JGZ105" s="1056"/>
      <c r="JHA105" s="1157">
        <f t="shared" ref="JHA105" si="1744">JGZ102</f>
        <v>0</v>
      </c>
      <c r="JHB105" s="1051"/>
      <c r="JHC105" s="1051"/>
      <c r="JHD105" s="1056"/>
      <c r="JHE105" s="1157">
        <f t="shared" ref="JHE105" si="1745">JHD102</f>
        <v>0</v>
      </c>
      <c r="JHF105" s="1051"/>
      <c r="JHG105" s="1051"/>
      <c r="JHH105" s="1056"/>
      <c r="JHI105" s="1157">
        <f t="shared" ref="JHI105" si="1746">JHH102</f>
        <v>0</v>
      </c>
      <c r="JHJ105" s="1051"/>
      <c r="JHK105" s="1051"/>
      <c r="JHL105" s="1056"/>
      <c r="JHM105" s="1157">
        <f t="shared" ref="JHM105" si="1747">JHL102</f>
        <v>0</v>
      </c>
      <c r="JHN105" s="1051"/>
      <c r="JHO105" s="1051"/>
      <c r="JHP105" s="1056"/>
      <c r="JHQ105" s="1157">
        <f t="shared" ref="JHQ105" si="1748">JHP102</f>
        <v>0</v>
      </c>
      <c r="JHR105" s="1051"/>
      <c r="JHS105" s="1051"/>
      <c r="JHT105" s="1056"/>
      <c r="JHU105" s="1157">
        <f t="shared" ref="JHU105" si="1749">JHT102</f>
        <v>0</v>
      </c>
      <c r="JHV105" s="1051"/>
      <c r="JHW105" s="1051"/>
      <c r="JHX105" s="1056"/>
      <c r="JHY105" s="1157">
        <f t="shared" ref="JHY105" si="1750">JHX102</f>
        <v>0</v>
      </c>
      <c r="JHZ105" s="1051"/>
      <c r="JIA105" s="1051"/>
      <c r="JIB105" s="1056"/>
      <c r="JIC105" s="1157">
        <f t="shared" ref="JIC105" si="1751">JIB102</f>
        <v>0</v>
      </c>
      <c r="JID105" s="1051"/>
      <c r="JIE105" s="1051"/>
      <c r="JIF105" s="1056"/>
      <c r="JIG105" s="1157">
        <f t="shared" ref="JIG105" si="1752">JIF102</f>
        <v>0</v>
      </c>
      <c r="JIH105" s="1051"/>
      <c r="JII105" s="1051"/>
      <c r="JIJ105" s="1056"/>
      <c r="JIK105" s="1157">
        <f t="shared" ref="JIK105" si="1753">JIJ102</f>
        <v>0</v>
      </c>
      <c r="JIL105" s="1051"/>
      <c r="JIM105" s="1051"/>
      <c r="JIN105" s="1056"/>
      <c r="JIO105" s="1157">
        <f t="shared" ref="JIO105" si="1754">JIN102</f>
        <v>0</v>
      </c>
      <c r="JIP105" s="1051"/>
      <c r="JIQ105" s="1051"/>
      <c r="JIR105" s="1056"/>
      <c r="JIS105" s="1157">
        <f t="shared" ref="JIS105" si="1755">JIR102</f>
        <v>0</v>
      </c>
      <c r="JIT105" s="1051"/>
      <c r="JIU105" s="1051"/>
      <c r="JIV105" s="1056"/>
      <c r="JIW105" s="1157">
        <f t="shared" ref="JIW105" si="1756">JIV102</f>
        <v>0</v>
      </c>
      <c r="JIX105" s="1051"/>
      <c r="JIY105" s="1051"/>
      <c r="JIZ105" s="1056"/>
      <c r="JJA105" s="1157">
        <f t="shared" ref="JJA105" si="1757">JIZ102</f>
        <v>0</v>
      </c>
      <c r="JJB105" s="1051"/>
      <c r="JJC105" s="1051"/>
      <c r="JJD105" s="1056"/>
      <c r="JJE105" s="1157">
        <f t="shared" ref="JJE105" si="1758">JJD102</f>
        <v>0</v>
      </c>
      <c r="JJF105" s="1051"/>
      <c r="JJG105" s="1051"/>
      <c r="JJH105" s="1056"/>
      <c r="JJI105" s="1157">
        <f t="shared" ref="JJI105" si="1759">JJH102</f>
        <v>0</v>
      </c>
      <c r="JJJ105" s="1051"/>
      <c r="JJK105" s="1051"/>
      <c r="JJL105" s="1056"/>
      <c r="JJM105" s="1157">
        <f t="shared" ref="JJM105" si="1760">JJL102</f>
        <v>0</v>
      </c>
      <c r="JJN105" s="1051"/>
      <c r="JJO105" s="1051"/>
      <c r="JJP105" s="1056"/>
      <c r="JJQ105" s="1157">
        <f t="shared" ref="JJQ105" si="1761">JJP102</f>
        <v>0</v>
      </c>
      <c r="JJR105" s="1051"/>
      <c r="JJS105" s="1051"/>
      <c r="JJT105" s="1056"/>
      <c r="JJU105" s="1157">
        <f t="shared" ref="JJU105" si="1762">JJT102</f>
        <v>0</v>
      </c>
      <c r="JJV105" s="1051"/>
      <c r="JJW105" s="1051"/>
      <c r="JJX105" s="1056"/>
      <c r="JJY105" s="1157">
        <f t="shared" ref="JJY105" si="1763">JJX102</f>
        <v>0</v>
      </c>
      <c r="JJZ105" s="1051"/>
      <c r="JKA105" s="1051"/>
      <c r="JKB105" s="1056"/>
      <c r="JKC105" s="1157">
        <f t="shared" ref="JKC105" si="1764">JKB102</f>
        <v>0</v>
      </c>
      <c r="JKD105" s="1051"/>
      <c r="JKE105" s="1051"/>
      <c r="JKF105" s="1056"/>
      <c r="JKG105" s="1157">
        <f t="shared" ref="JKG105" si="1765">JKF102</f>
        <v>0</v>
      </c>
      <c r="JKH105" s="1051"/>
      <c r="JKI105" s="1051"/>
      <c r="JKJ105" s="1056"/>
      <c r="JKK105" s="1157">
        <f t="shared" ref="JKK105" si="1766">JKJ102</f>
        <v>0</v>
      </c>
      <c r="JKL105" s="1051"/>
      <c r="JKM105" s="1051"/>
      <c r="JKN105" s="1056"/>
      <c r="JKO105" s="1157">
        <f t="shared" ref="JKO105" si="1767">JKN102</f>
        <v>0</v>
      </c>
      <c r="JKP105" s="1051"/>
      <c r="JKQ105" s="1051"/>
      <c r="JKR105" s="1056"/>
      <c r="JKS105" s="1157">
        <f t="shared" ref="JKS105" si="1768">JKR102</f>
        <v>0</v>
      </c>
      <c r="JKT105" s="1051"/>
      <c r="JKU105" s="1051"/>
      <c r="JKV105" s="1056"/>
      <c r="JKW105" s="1157">
        <f t="shared" ref="JKW105" si="1769">JKV102</f>
        <v>0</v>
      </c>
      <c r="JKX105" s="1051"/>
      <c r="JKY105" s="1051"/>
      <c r="JKZ105" s="1056"/>
      <c r="JLA105" s="1157">
        <f t="shared" ref="JLA105" si="1770">JKZ102</f>
        <v>0</v>
      </c>
      <c r="JLB105" s="1051"/>
      <c r="JLC105" s="1051"/>
      <c r="JLD105" s="1056"/>
      <c r="JLE105" s="1157">
        <f t="shared" ref="JLE105" si="1771">JLD102</f>
        <v>0</v>
      </c>
      <c r="JLF105" s="1051"/>
      <c r="JLG105" s="1051"/>
      <c r="JLH105" s="1056"/>
      <c r="JLI105" s="1157">
        <f t="shared" ref="JLI105" si="1772">JLH102</f>
        <v>0</v>
      </c>
      <c r="JLJ105" s="1051"/>
      <c r="JLK105" s="1051"/>
      <c r="JLL105" s="1056"/>
      <c r="JLM105" s="1157">
        <f t="shared" ref="JLM105" si="1773">JLL102</f>
        <v>0</v>
      </c>
      <c r="JLN105" s="1051"/>
      <c r="JLO105" s="1051"/>
      <c r="JLP105" s="1056"/>
      <c r="JLQ105" s="1157">
        <f t="shared" ref="JLQ105" si="1774">JLP102</f>
        <v>0</v>
      </c>
      <c r="JLR105" s="1051"/>
      <c r="JLS105" s="1051"/>
      <c r="JLT105" s="1056"/>
      <c r="JLU105" s="1157">
        <f t="shared" ref="JLU105" si="1775">JLT102</f>
        <v>0</v>
      </c>
      <c r="JLV105" s="1051"/>
      <c r="JLW105" s="1051"/>
      <c r="JLX105" s="1056"/>
      <c r="JLY105" s="1157">
        <f t="shared" ref="JLY105" si="1776">JLX102</f>
        <v>0</v>
      </c>
      <c r="JLZ105" s="1051"/>
      <c r="JMA105" s="1051"/>
      <c r="JMB105" s="1056"/>
      <c r="JMC105" s="1157">
        <f t="shared" ref="JMC105" si="1777">JMB102</f>
        <v>0</v>
      </c>
      <c r="JMD105" s="1051"/>
      <c r="JME105" s="1051"/>
      <c r="JMF105" s="1056"/>
      <c r="JMG105" s="1157">
        <f t="shared" ref="JMG105" si="1778">JMF102</f>
        <v>0</v>
      </c>
      <c r="JMH105" s="1051"/>
      <c r="JMI105" s="1051"/>
      <c r="JMJ105" s="1056"/>
      <c r="JMK105" s="1157">
        <f t="shared" ref="JMK105" si="1779">JMJ102</f>
        <v>0</v>
      </c>
      <c r="JML105" s="1051"/>
      <c r="JMM105" s="1051"/>
      <c r="JMN105" s="1056"/>
      <c r="JMO105" s="1157">
        <f t="shared" ref="JMO105" si="1780">JMN102</f>
        <v>0</v>
      </c>
      <c r="JMP105" s="1051"/>
      <c r="JMQ105" s="1051"/>
      <c r="JMR105" s="1056"/>
      <c r="JMS105" s="1157">
        <f t="shared" ref="JMS105" si="1781">JMR102</f>
        <v>0</v>
      </c>
      <c r="JMT105" s="1051"/>
      <c r="JMU105" s="1051"/>
      <c r="JMV105" s="1056"/>
      <c r="JMW105" s="1157">
        <f t="shared" ref="JMW105" si="1782">JMV102</f>
        <v>0</v>
      </c>
      <c r="JMX105" s="1051"/>
      <c r="JMY105" s="1051"/>
      <c r="JMZ105" s="1056"/>
      <c r="JNA105" s="1157">
        <f t="shared" ref="JNA105" si="1783">JMZ102</f>
        <v>0</v>
      </c>
      <c r="JNB105" s="1051"/>
      <c r="JNC105" s="1051"/>
      <c r="JND105" s="1056"/>
      <c r="JNE105" s="1157">
        <f t="shared" ref="JNE105" si="1784">JND102</f>
        <v>0</v>
      </c>
      <c r="JNF105" s="1051"/>
      <c r="JNG105" s="1051"/>
      <c r="JNH105" s="1056"/>
      <c r="JNI105" s="1157">
        <f t="shared" ref="JNI105" si="1785">JNH102</f>
        <v>0</v>
      </c>
      <c r="JNJ105" s="1051"/>
      <c r="JNK105" s="1051"/>
      <c r="JNL105" s="1056"/>
      <c r="JNM105" s="1157">
        <f t="shared" ref="JNM105" si="1786">JNL102</f>
        <v>0</v>
      </c>
      <c r="JNN105" s="1051"/>
      <c r="JNO105" s="1051"/>
      <c r="JNP105" s="1056"/>
      <c r="JNQ105" s="1157">
        <f t="shared" ref="JNQ105" si="1787">JNP102</f>
        <v>0</v>
      </c>
      <c r="JNR105" s="1051"/>
      <c r="JNS105" s="1051"/>
      <c r="JNT105" s="1056"/>
      <c r="JNU105" s="1157">
        <f t="shared" ref="JNU105" si="1788">JNT102</f>
        <v>0</v>
      </c>
      <c r="JNV105" s="1051"/>
      <c r="JNW105" s="1051"/>
      <c r="JNX105" s="1056"/>
      <c r="JNY105" s="1157">
        <f t="shared" ref="JNY105" si="1789">JNX102</f>
        <v>0</v>
      </c>
      <c r="JNZ105" s="1051"/>
      <c r="JOA105" s="1051"/>
      <c r="JOB105" s="1056"/>
      <c r="JOC105" s="1157">
        <f t="shared" ref="JOC105" si="1790">JOB102</f>
        <v>0</v>
      </c>
      <c r="JOD105" s="1051"/>
      <c r="JOE105" s="1051"/>
      <c r="JOF105" s="1056"/>
      <c r="JOG105" s="1157">
        <f t="shared" ref="JOG105" si="1791">JOF102</f>
        <v>0</v>
      </c>
      <c r="JOH105" s="1051"/>
      <c r="JOI105" s="1051"/>
      <c r="JOJ105" s="1056"/>
      <c r="JOK105" s="1157">
        <f t="shared" ref="JOK105" si="1792">JOJ102</f>
        <v>0</v>
      </c>
      <c r="JOL105" s="1051"/>
      <c r="JOM105" s="1051"/>
      <c r="JON105" s="1056"/>
      <c r="JOO105" s="1157">
        <f t="shared" ref="JOO105" si="1793">JON102</f>
        <v>0</v>
      </c>
      <c r="JOP105" s="1051"/>
      <c r="JOQ105" s="1051"/>
      <c r="JOR105" s="1056"/>
      <c r="JOS105" s="1157">
        <f t="shared" ref="JOS105" si="1794">JOR102</f>
        <v>0</v>
      </c>
      <c r="JOT105" s="1051"/>
      <c r="JOU105" s="1051"/>
      <c r="JOV105" s="1056"/>
      <c r="JOW105" s="1157">
        <f t="shared" ref="JOW105" si="1795">JOV102</f>
        <v>0</v>
      </c>
      <c r="JOX105" s="1051"/>
      <c r="JOY105" s="1051"/>
      <c r="JOZ105" s="1056"/>
      <c r="JPA105" s="1157">
        <f t="shared" ref="JPA105" si="1796">JOZ102</f>
        <v>0</v>
      </c>
      <c r="JPB105" s="1051"/>
      <c r="JPC105" s="1051"/>
      <c r="JPD105" s="1056"/>
      <c r="JPE105" s="1157">
        <f t="shared" ref="JPE105" si="1797">JPD102</f>
        <v>0</v>
      </c>
      <c r="JPF105" s="1051"/>
      <c r="JPG105" s="1051"/>
      <c r="JPH105" s="1056"/>
      <c r="JPI105" s="1157">
        <f t="shared" ref="JPI105" si="1798">JPH102</f>
        <v>0</v>
      </c>
      <c r="JPJ105" s="1051"/>
      <c r="JPK105" s="1051"/>
      <c r="JPL105" s="1056"/>
      <c r="JPM105" s="1157">
        <f t="shared" ref="JPM105" si="1799">JPL102</f>
        <v>0</v>
      </c>
      <c r="JPN105" s="1051"/>
      <c r="JPO105" s="1051"/>
      <c r="JPP105" s="1056"/>
      <c r="JPQ105" s="1157">
        <f t="shared" ref="JPQ105" si="1800">JPP102</f>
        <v>0</v>
      </c>
      <c r="JPR105" s="1051"/>
      <c r="JPS105" s="1051"/>
      <c r="JPT105" s="1056"/>
      <c r="JPU105" s="1157">
        <f t="shared" ref="JPU105" si="1801">JPT102</f>
        <v>0</v>
      </c>
      <c r="JPV105" s="1051"/>
      <c r="JPW105" s="1051"/>
      <c r="JPX105" s="1056"/>
      <c r="JPY105" s="1157">
        <f t="shared" ref="JPY105" si="1802">JPX102</f>
        <v>0</v>
      </c>
      <c r="JPZ105" s="1051"/>
      <c r="JQA105" s="1051"/>
      <c r="JQB105" s="1056"/>
      <c r="JQC105" s="1157">
        <f t="shared" ref="JQC105" si="1803">JQB102</f>
        <v>0</v>
      </c>
      <c r="JQD105" s="1051"/>
      <c r="JQE105" s="1051"/>
      <c r="JQF105" s="1056"/>
      <c r="JQG105" s="1157">
        <f t="shared" ref="JQG105" si="1804">JQF102</f>
        <v>0</v>
      </c>
      <c r="JQH105" s="1051"/>
      <c r="JQI105" s="1051"/>
      <c r="JQJ105" s="1056"/>
      <c r="JQK105" s="1157">
        <f t="shared" ref="JQK105" si="1805">JQJ102</f>
        <v>0</v>
      </c>
      <c r="JQL105" s="1051"/>
      <c r="JQM105" s="1051"/>
      <c r="JQN105" s="1056"/>
      <c r="JQO105" s="1157">
        <f t="shared" ref="JQO105" si="1806">JQN102</f>
        <v>0</v>
      </c>
      <c r="JQP105" s="1051"/>
      <c r="JQQ105" s="1051"/>
      <c r="JQR105" s="1056"/>
      <c r="JQS105" s="1157">
        <f t="shared" ref="JQS105" si="1807">JQR102</f>
        <v>0</v>
      </c>
      <c r="JQT105" s="1051"/>
      <c r="JQU105" s="1051"/>
      <c r="JQV105" s="1056"/>
      <c r="JQW105" s="1157">
        <f t="shared" ref="JQW105" si="1808">JQV102</f>
        <v>0</v>
      </c>
      <c r="JQX105" s="1051"/>
      <c r="JQY105" s="1051"/>
      <c r="JQZ105" s="1056"/>
      <c r="JRA105" s="1157">
        <f t="shared" ref="JRA105" si="1809">JQZ102</f>
        <v>0</v>
      </c>
      <c r="JRB105" s="1051"/>
      <c r="JRC105" s="1051"/>
      <c r="JRD105" s="1056"/>
      <c r="JRE105" s="1157">
        <f t="shared" ref="JRE105" si="1810">JRD102</f>
        <v>0</v>
      </c>
      <c r="JRF105" s="1051"/>
      <c r="JRG105" s="1051"/>
      <c r="JRH105" s="1056"/>
      <c r="JRI105" s="1157">
        <f t="shared" ref="JRI105" si="1811">JRH102</f>
        <v>0</v>
      </c>
      <c r="JRJ105" s="1051"/>
      <c r="JRK105" s="1051"/>
      <c r="JRL105" s="1056"/>
      <c r="JRM105" s="1157">
        <f t="shared" ref="JRM105" si="1812">JRL102</f>
        <v>0</v>
      </c>
      <c r="JRN105" s="1051"/>
      <c r="JRO105" s="1051"/>
      <c r="JRP105" s="1056"/>
      <c r="JRQ105" s="1157">
        <f t="shared" ref="JRQ105" si="1813">JRP102</f>
        <v>0</v>
      </c>
      <c r="JRR105" s="1051"/>
      <c r="JRS105" s="1051"/>
      <c r="JRT105" s="1056"/>
      <c r="JRU105" s="1157">
        <f t="shared" ref="JRU105" si="1814">JRT102</f>
        <v>0</v>
      </c>
      <c r="JRV105" s="1051"/>
      <c r="JRW105" s="1051"/>
      <c r="JRX105" s="1056"/>
      <c r="JRY105" s="1157">
        <f t="shared" ref="JRY105" si="1815">JRX102</f>
        <v>0</v>
      </c>
      <c r="JRZ105" s="1051"/>
      <c r="JSA105" s="1051"/>
      <c r="JSB105" s="1056"/>
      <c r="JSC105" s="1157">
        <f t="shared" ref="JSC105" si="1816">JSB102</f>
        <v>0</v>
      </c>
      <c r="JSD105" s="1051"/>
      <c r="JSE105" s="1051"/>
      <c r="JSF105" s="1056"/>
      <c r="JSG105" s="1157">
        <f t="shared" ref="JSG105" si="1817">JSF102</f>
        <v>0</v>
      </c>
      <c r="JSH105" s="1051"/>
      <c r="JSI105" s="1051"/>
      <c r="JSJ105" s="1056"/>
      <c r="JSK105" s="1157">
        <f t="shared" ref="JSK105" si="1818">JSJ102</f>
        <v>0</v>
      </c>
      <c r="JSL105" s="1051"/>
      <c r="JSM105" s="1051"/>
      <c r="JSN105" s="1056"/>
      <c r="JSO105" s="1157">
        <f t="shared" ref="JSO105" si="1819">JSN102</f>
        <v>0</v>
      </c>
      <c r="JSP105" s="1051"/>
      <c r="JSQ105" s="1051"/>
      <c r="JSR105" s="1056"/>
      <c r="JSS105" s="1157">
        <f t="shared" ref="JSS105" si="1820">JSR102</f>
        <v>0</v>
      </c>
      <c r="JST105" s="1051"/>
      <c r="JSU105" s="1051"/>
      <c r="JSV105" s="1056"/>
      <c r="JSW105" s="1157">
        <f t="shared" ref="JSW105" si="1821">JSV102</f>
        <v>0</v>
      </c>
      <c r="JSX105" s="1051"/>
      <c r="JSY105" s="1051"/>
      <c r="JSZ105" s="1056"/>
      <c r="JTA105" s="1157">
        <f t="shared" ref="JTA105" si="1822">JSZ102</f>
        <v>0</v>
      </c>
      <c r="JTB105" s="1051"/>
      <c r="JTC105" s="1051"/>
      <c r="JTD105" s="1056"/>
      <c r="JTE105" s="1157">
        <f t="shared" ref="JTE105" si="1823">JTD102</f>
        <v>0</v>
      </c>
      <c r="JTF105" s="1051"/>
      <c r="JTG105" s="1051"/>
      <c r="JTH105" s="1056"/>
      <c r="JTI105" s="1157">
        <f t="shared" ref="JTI105" si="1824">JTH102</f>
        <v>0</v>
      </c>
      <c r="JTJ105" s="1051"/>
      <c r="JTK105" s="1051"/>
      <c r="JTL105" s="1056"/>
      <c r="JTM105" s="1157">
        <f t="shared" ref="JTM105" si="1825">JTL102</f>
        <v>0</v>
      </c>
      <c r="JTN105" s="1051"/>
      <c r="JTO105" s="1051"/>
      <c r="JTP105" s="1056"/>
      <c r="JTQ105" s="1157">
        <f t="shared" ref="JTQ105" si="1826">JTP102</f>
        <v>0</v>
      </c>
      <c r="JTR105" s="1051"/>
      <c r="JTS105" s="1051"/>
      <c r="JTT105" s="1056"/>
      <c r="JTU105" s="1157">
        <f t="shared" ref="JTU105" si="1827">JTT102</f>
        <v>0</v>
      </c>
      <c r="JTV105" s="1051"/>
      <c r="JTW105" s="1051"/>
      <c r="JTX105" s="1056"/>
      <c r="JTY105" s="1157">
        <f t="shared" ref="JTY105" si="1828">JTX102</f>
        <v>0</v>
      </c>
      <c r="JTZ105" s="1051"/>
      <c r="JUA105" s="1051"/>
      <c r="JUB105" s="1056"/>
      <c r="JUC105" s="1157">
        <f t="shared" ref="JUC105" si="1829">JUB102</f>
        <v>0</v>
      </c>
      <c r="JUD105" s="1051"/>
      <c r="JUE105" s="1051"/>
      <c r="JUF105" s="1056"/>
      <c r="JUG105" s="1157">
        <f t="shared" ref="JUG105" si="1830">JUF102</f>
        <v>0</v>
      </c>
      <c r="JUH105" s="1051"/>
      <c r="JUI105" s="1051"/>
      <c r="JUJ105" s="1056"/>
      <c r="JUK105" s="1157">
        <f t="shared" ref="JUK105" si="1831">JUJ102</f>
        <v>0</v>
      </c>
      <c r="JUL105" s="1051"/>
      <c r="JUM105" s="1051"/>
      <c r="JUN105" s="1056"/>
      <c r="JUO105" s="1157">
        <f t="shared" ref="JUO105" si="1832">JUN102</f>
        <v>0</v>
      </c>
      <c r="JUP105" s="1051"/>
      <c r="JUQ105" s="1051"/>
      <c r="JUR105" s="1056"/>
      <c r="JUS105" s="1157">
        <f t="shared" ref="JUS105" si="1833">JUR102</f>
        <v>0</v>
      </c>
      <c r="JUT105" s="1051"/>
      <c r="JUU105" s="1051"/>
      <c r="JUV105" s="1056"/>
      <c r="JUW105" s="1157">
        <f t="shared" ref="JUW105" si="1834">JUV102</f>
        <v>0</v>
      </c>
      <c r="JUX105" s="1051"/>
      <c r="JUY105" s="1051"/>
      <c r="JUZ105" s="1056"/>
      <c r="JVA105" s="1157">
        <f t="shared" ref="JVA105" si="1835">JUZ102</f>
        <v>0</v>
      </c>
      <c r="JVB105" s="1051"/>
      <c r="JVC105" s="1051"/>
      <c r="JVD105" s="1056"/>
      <c r="JVE105" s="1157">
        <f t="shared" ref="JVE105" si="1836">JVD102</f>
        <v>0</v>
      </c>
      <c r="JVF105" s="1051"/>
      <c r="JVG105" s="1051"/>
      <c r="JVH105" s="1056"/>
      <c r="JVI105" s="1157">
        <f t="shared" ref="JVI105" si="1837">JVH102</f>
        <v>0</v>
      </c>
      <c r="JVJ105" s="1051"/>
      <c r="JVK105" s="1051"/>
      <c r="JVL105" s="1056"/>
      <c r="JVM105" s="1157">
        <f t="shared" ref="JVM105" si="1838">JVL102</f>
        <v>0</v>
      </c>
      <c r="JVN105" s="1051"/>
      <c r="JVO105" s="1051"/>
      <c r="JVP105" s="1056"/>
      <c r="JVQ105" s="1157">
        <f t="shared" ref="JVQ105" si="1839">JVP102</f>
        <v>0</v>
      </c>
      <c r="JVR105" s="1051"/>
      <c r="JVS105" s="1051"/>
      <c r="JVT105" s="1056"/>
      <c r="JVU105" s="1157">
        <f t="shared" ref="JVU105" si="1840">JVT102</f>
        <v>0</v>
      </c>
      <c r="JVV105" s="1051"/>
      <c r="JVW105" s="1051"/>
      <c r="JVX105" s="1056"/>
      <c r="JVY105" s="1157">
        <f t="shared" ref="JVY105" si="1841">JVX102</f>
        <v>0</v>
      </c>
      <c r="JVZ105" s="1051"/>
      <c r="JWA105" s="1051"/>
      <c r="JWB105" s="1056"/>
      <c r="JWC105" s="1157">
        <f t="shared" ref="JWC105" si="1842">JWB102</f>
        <v>0</v>
      </c>
      <c r="JWD105" s="1051"/>
      <c r="JWE105" s="1051"/>
      <c r="JWF105" s="1056"/>
      <c r="JWG105" s="1157">
        <f t="shared" ref="JWG105" si="1843">JWF102</f>
        <v>0</v>
      </c>
      <c r="JWH105" s="1051"/>
      <c r="JWI105" s="1051"/>
      <c r="JWJ105" s="1056"/>
      <c r="JWK105" s="1157">
        <f t="shared" ref="JWK105" si="1844">JWJ102</f>
        <v>0</v>
      </c>
      <c r="JWL105" s="1051"/>
      <c r="JWM105" s="1051"/>
      <c r="JWN105" s="1056"/>
      <c r="JWO105" s="1157">
        <f t="shared" ref="JWO105" si="1845">JWN102</f>
        <v>0</v>
      </c>
      <c r="JWP105" s="1051"/>
      <c r="JWQ105" s="1051"/>
      <c r="JWR105" s="1056"/>
      <c r="JWS105" s="1157">
        <f t="shared" ref="JWS105" si="1846">JWR102</f>
        <v>0</v>
      </c>
      <c r="JWT105" s="1051"/>
      <c r="JWU105" s="1051"/>
      <c r="JWV105" s="1056"/>
      <c r="JWW105" s="1157">
        <f t="shared" ref="JWW105" si="1847">JWV102</f>
        <v>0</v>
      </c>
      <c r="JWX105" s="1051"/>
      <c r="JWY105" s="1051"/>
      <c r="JWZ105" s="1056"/>
      <c r="JXA105" s="1157">
        <f t="shared" ref="JXA105" si="1848">JWZ102</f>
        <v>0</v>
      </c>
      <c r="JXB105" s="1051"/>
      <c r="JXC105" s="1051"/>
      <c r="JXD105" s="1056"/>
      <c r="JXE105" s="1157">
        <f t="shared" ref="JXE105" si="1849">JXD102</f>
        <v>0</v>
      </c>
      <c r="JXF105" s="1051"/>
      <c r="JXG105" s="1051"/>
      <c r="JXH105" s="1056"/>
      <c r="JXI105" s="1157">
        <f t="shared" ref="JXI105" si="1850">JXH102</f>
        <v>0</v>
      </c>
      <c r="JXJ105" s="1051"/>
      <c r="JXK105" s="1051"/>
      <c r="JXL105" s="1056"/>
      <c r="JXM105" s="1157">
        <f t="shared" ref="JXM105" si="1851">JXL102</f>
        <v>0</v>
      </c>
      <c r="JXN105" s="1051"/>
      <c r="JXO105" s="1051"/>
      <c r="JXP105" s="1056"/>
      <c r="JXQ105" s="1157">
        <f t="shared" ref="JXQ105" si="1852">JXP102</f>
        <v>0</v>
      </c>
      <c r="JXR105" s="1051"/>
      <c r="JXS105" s="1051"/>
      <c r="JXT105" s="1056"/>
      <c r="JXU105" s="1157">
        <f t="shared" ref="JXU105" si="1853">JXT102</f>
        <v>0</v>
      </c>
      <c r="JXV105" s="1051"/>
      <c r="JXW105" s="1051"/>
      <c r="JXX105" s="1056"/>
      <c r="JXY105" s="1157">
        <f t="shared" ref="JXY105" si="1854">JXX102</f>
        <v>0</v>
      </c>
      <c r="JXZ105" s="1051"/>
      <c r="JYA105" s="1051"/>
      <c r="JYB105" s="1056"/>
      <c r="JYC105" s="1157">
        <f t="shared" ref="JYC105" si="1855">JYB102</f>
        <v>0</v>
      </c>
      <c r="JYD105" s="1051"/>
      <c r="JYE105" s="1051"/>
      <c r="JYF105" s="1056"/>
      <c r="JYG105" s="1157">
        <f t="shared" ref="JYG105" si="1856">JYF102</f>
        <v>0</v>
      </c>
      <c r="JYH105" s="1051"/>
      <c r="JYI105" s="1051"/>
      <c r="JYJ105" s="1056"/>
      <c r="JYK105" s="1157">
        <f t="shared" ref="JYK105" si="1857">JYJ102</f>
        <v>0</v>
      </c>
      <c r="JYL105" s="1051"/>
      <c r="JYM105" s="1051"/>
      <c r="JYN105" s="1056"/>
      <c r="JYO105" s="1157">
        <f t="shared" ref="JYO105" si="1858">JYN102</f>
        <v>0</v>
      </c>
      <c r="JYP105" s="1051"/>
      <c r="JYQ105" s="1051"/>
      <c r="JYR105" s="1056"/>
      <c r="JYS105" s="1157">
        <f t="shared" ref="JYS105" si="1859">JYR102</f>
        <v>0</v>
      </c>
      <c r="JYT105" s="1051"/>
      <c r="JYU105" s="1051"/>
      <c r="JYV105" s="1056"/>
      <c r="JYW105" s="1157">
        <f t="shared" ref="JYW105" si="1860">JYV102</f>
        <v>0</v>
      </c>
      <c r="JYX105" s="1051"/>
      <c r="JYY105" s="1051"/>
      <c r="JYZ105" s="1056"/>
      <c r="JZA105" s="1157">
        <f t="shared" ref="JZA105" si="1861">JYZ102</f>
        <v>0</v>
      </c>
      <c r="JZB105" s="1051"/>
      <c r="JZC105" s="1051"/>
      <c r="JZD105" s="1056"/>
      <c r="JZE105" s="1157">
        <f t="shared" ref="JZE105" si="1862">JZD102</f>
        <v>0</v>
      </c>
      <c r="JZF105" s="1051"/>
      <c r="JZG105" s="1051"/>
      <c r="JZH105" s="1056"/>
      <c r="JZI105" s="1157">
        <f t="shared" ref="JZI105" si="1863">JZH102</f>
        <v>0</v>
      </c>
      <c r="JZJ105" s="1051"/>
      <c r="JZK105" s="1051"/>
      <c r="JZL105" s="1056"/>
      <c r="JZM105" s="1157">
        <f t="shared" ref="JZM105" si="1864">JZL102</f>
        <v>0</v>
      </c>
      <c r="JZN105" s="1051"/>
      <c r="JZO105" s="1051"/>
      <c r="JZP105" s="1056"/>
      <c r="JZQ105" s="1157">
        <f t="shared" ref="JZQ105" si="1865">JZP102</f>
        <v>0</v>
      </c>
      <c r="JZR105" s="1051"/>
      <c r="JZS105" s="1051"/>
      <c r="JZT105" s="1056"/>
      <c r="JZU105" s="1157">
        <f t="shared" ref="JZU105" si="1866">JZT102</f>
        <v>0</v>
      </c>
      <c r="JZV105" s="1051"/>
      <c r="JZW105" s="1051"/>
      <c r="JZX105" s="1056"/>
      <c r="JZY105" s="1157">
        <f t="shared" ref="JZY105" si="1867">JZX102</f>
        <v>0</v>
      </c>
      <c r="JZZ105" s="1051"/>
      <c r="KAA105" s="1051"/>
      <c r="KAB105" s="1056"/>
      <c r="KAC105" s="1157">
        <f t="shared" ref="KAC105" si="1868">KAB102</f>
        <v>0</v>
      </c>
      <c r="KAD105" s="1051"/>
      <c r="KAE105" s="1051"/>
      <c r="KAF105" s="1056"/>
      <c r="KAG105" s="1157">
        <f t="shared" ref="KAG105" si="1869">KAF102</f>
        <v>0</v>
      </c>
      <c r="KAH105" s="1051"/>
      <c r="KAI105" s="1051"/>
      <c r="KAJ105" s="1056"/>
      <c r="KAK105" s="1157">
        <f t="shared" ref="KAK105" si="1870">KAJ102</f>
        <v>0</v>
      </c>
      <c r="KAL105" s="1051"/>
      <c r="KAM105" s="1051"/>
      <c r="KAN105" s="1056"/>
      <c r="KAO105" s="1157">
        <f t="shared" ref="KAO105" si="1871">KAN102</f>
        <v>0</v>
      </c>
      <c r="KAP105" s="1051"/>
      <c r="KAQ105" s="1051"/>
      <c r="KAR105" s="1056"/>
      <c r="KAS105" s="1157">
        <f t="shared" ref="KAS105" si="1872">KAR102</f>
        <v>0</v>
      </c>
      <c r="KAT105" s="1051"/>
      <c r="KAU105" s="1051"/>
      <c r="KAV105" s="1056"/>
      <c r="KAW105" s="1157">
        <f t="shared" ref="KAW105" si="1873">KAV102</f>
        <v>0</v>
      </c>
      <c r="KAX105" s="1051"/>
      <c r="KAY105" s="1051"/>
      <c r="KAZ105" s="1056"/>
      <c r="KBA105" s="1157">
        <f t="shared" ref="KBA105" si="1874">KAZ102</f>
        <v>0</v>
      </c>
      <c r="KBB105" s="1051"/>
      <c r="KBC105" s="1051"/>
      <c r="KBD105" s="1056"/>
      <c r="KBE105" s="1157">
        <f t="shared" ref="KBE105" si="1875">KBD102</f>
        <v>0</v>
      </c>
      <c r="KBF105" s="1051"/>
      <c r="KBG105" s="1051"/>
      <c r="KBH105" s="1056"/>
      <c r="KBI105" s="1157">
        <f t="shared" ref="KBI105" si="1876">KBH102</f>
        <v>0</v>
      </c>
      <c r="KBJ105" s="1051"/>
      <c r="KBK105" s="1051"/>
      <c r="KBL105" s="1056"/>
      <c r="KBM105" s="1157">
        <f t="shared" ref="KBM105" si="1877">KBL102</f>
        <v>0</v>
      </c>
      <c r="KBN105" s="1051"/>
      <c r="KBO105" s="1051"/>
      <c r="KBP105" s="1056"/>
      <c r="KBQ105" s="1157">
        <f t="shared" ref="KBQ105" si="1878">KBP102</f>
        <v>0</v>
      </c>
      <c r="KBR105" s="1051"/>
      <c r="KBS105" s="1051"/>
      <c r="KBT105" s="1056"/>
      <c r="KBU105" s="1157">
        <f t="shared" ref="KBU105" si="1879">KBT102</f>
        <v>0</v>
      </c>
      <c r="KBV105" s="1051"/>
      <c r="KBW105" s="1051"/>
      <c r="KBX105" s="1056"/>
      <c r="KBY105" s="1157">
        <f t="shared" ref="KBY105" si="1880">KBX102</f>
        <v>0</v>
      </c>
      <c r="KBZ105" s="1051"/>
      <c r="KCA105" s="1051"/>
      <c r="KCB105" s="1056"/>
      <c r="KCC105" s="1157">
        <f t="shared" ref="KCC105" si="1881">KCB102</f>
        <v>0</v>
      </c>
      <c r="KCD105" s="1051"/>
      <c r="KCE105" s="1051"/>
      <c r="KCF105" s="1056"/>
      <c r="KCG105" s="1157">
        <f t="shared" ref="KCG105" si="1882">KCF102</f>
        <v>0</v>
      </c>
      <c r="KCH105" s="1051"/>
      <c r="KCI105" s="1051"/>
      <c r="KCJ105" s="1056"/>
      <c r="KCK105" s="1157">
        <f t="shared" ref="KCK105" si="1883">KCJ102</f>
        <v>0</v>
      </c>
      <c r="KCL105" s="1051"/>
      <c r="KCM105" s="1051"/>
      <c r="KCN105" s="1056"/>
      <c r="KCO105" s="1157">
        <f t="shared" ref="KCO105" si="1884">KCN102</f>
        <v>0</v>
      </c>
      <c r="KCP105" s="1051"/>
      <c r="KCQ105" s="1051"/>
      <c r="KCR105" s="1056"/>
      <c r="KCS105" s="1157">
        <f t="shared" ref="KCS105" si="1885">KCR102</f>
        <v>0</v>
      </c>
      <c r="KCT105" s="1051"/>
      <c r="KCU105" s="1051"/>
      <c r="KCV105" s="1056"/>
      <c r="KCW105" s="1157">
        <f t="shared" ref="KCW105" si="1886">KCV102</f>
        <v>0</v>
      </c>
      <c r="KCX105" s="1051"/>
      <c r="KCY105" s="1051"/>
      <c r="KCZ105" s="1056"/>
      <c r="KDA105" s="1157">
        <f t="shared" ref="KDA105" si="1887">KCZ102</f>
        <v>0</v>
      </c>
      <c r="KDB105" s="1051"/>
      <c r="KDC105" s="1051"/>
      <c r="KDD105" s="1056"/>
      <c r="KDE105" s="1157">
        <f t="shared" ref="KDE105" si="1888">KDD102</f>
        <v>0</v>
      </c>
      <c r="KDF105" s="1051"/>
      <c r="KDG105" s="1051"/>
      <c r="KDH105" s="1056"/>
      <c r="KDI105" s="1157">
        <f t="shared" ref="KDI105" si="1889">KDH102</f>
        <v>0</v>
      </c>
      <c r="KDJ105" s="1051"/>
      <c r="KDK105" s="1051"/>
      <c r="KDL105" s="1056"/>
      <c r="KDM105" s="1157">
        <f t="shared" ref="KDM105" si="1890">KDL102</f>
        <v>0</v>
      </c>
      <c r="KDN105" s="1051"/>
      <c r="KDO105" s="1051"/>
      <c r="KDP105" s="1056"/>
      <c r="KDQ105" s="1157">
        <f t="shared" ref="KDQ105" si="1891">KDP102</f>
        <v>0</v>
      </c>
      <c r="KDR105" s="1051"/>
      <c r="KDS105" s="1051"/>
      <c r="KDT105" s="1056"/>
      <c r="KDU105" s="1157">
        <f t="shared" ref="KDU105" si="1892">KDT102</f>
        <v>0</v>
      </c>
      <c r="KDV105" s="1051"/>
      <c r="KDW105" s="1051"/>
      <c r="KDX105" s="1056"/>
      <c r="KDY105" s="1157">
        <f t="shared" ref="KDY105" si="1893">KDX102</f>
        <v>0</v>
      </c>
      <c r="KDZ105" s="1051"/>
      <c r="KEA105" s="1051"/>
      <c r="KEB105" s="1056"/>
      <c r="KEC105" s="1157">
        <f t="shared" ref="KEC105" si="1894">KEB102</f>
        <v>0</v>
      </c>
      <c r="KED105" s="1051"/>
      <c r="KEE105" s="1051"/>
      <c r="KEF105" s="1056"/>
      <c r="KEG105" s="1157">
        <f t="shared" ref="KEG105" si="1895">KEF102</f>
        <v>0</v>
      </c>
      <c r="KEH105" s="1051"/>
      <c r="KEI105" s="1051"/>
      <c r="KEJ105" s="1056"/>
      <c r="KEK105" s="1157">
        <f t="shared" ref="KEK105" si="1896">KEJ102</f>
        <v>0</v>
      </c>
      <c r="KEL105" s="1051"/>
      <c r="KEM105" s="1051"/>
      <c r="KEN105" s="1056"/>
      <c r="KEO105" s="1157">
        <f t="shared" ref="KEO105" si="1897">KEN102</f>
        <v>0</v>
      </c>
      <c r="KEP105" s="1051"/>
      <c r="KEQ105" s="1051"/>
      <c r="KER105" s="1056"/>
      <c r="KES105" s="1157">
        <f t="shared" ref="KES105" si="1898">KER102</f>
        <v>0</v>
      </c>
      <c r="KET105" s="1051"/>
      <c r="KEU105" s="1051"/>
      <c r="KEV105" s="1056"/>
      <c r="KEW105" s="1157">
        <f t="shared" ref="KEW105" si="1899">KEV102</f>
        <v>0</v>
      </c>
      <c r="KEX105" s="1051"/>
      <c r="KEY105" s="1051"/>
      <c r="KEZ105" s="1056"/>
      <c r="KFA105" s="1157">
        <f t="shared" ref="KFA105" si="1900">KEZ102</f>
        <v>0</v>
      </c>
      <c r="KFB105" s="1051"/>
      <c r="KFC105" s="1051"/>
      <c r="KFD105" s="1056"/>
      <c r="KFE105" s="1157">
        <f t="shared" ref="KFE105" si="1901">KFD102</f>
        <v>0</v>
      </c>
      <c r="KFF105" s="1051"/>
      <c r="KFG105" s="1051"/>
      <c r="KFH105" s="1056"/>
      <c r="KFI105" s="1157">
        <f t="shared" ref="KFI105" si="1902">KFH102</f>
        <v>0</v>
      </c>
      <c r="KFJ105" s="1051"/>
      <c r="KFK105" s="1051"/>
      <c r="KFL105" s="1056"/>
      <c r="KFM105" s="1157">
        <f t="shared" ref="KFM105" si="1903">KFL102</f>
        <v>0</v>
      </c>
      <c r="KFN105" s="1051"/>
      <c r="KFO105" s="1051"/>
      <c r="KFP105" s="1056"/>
      <c r="KFQ105" s="1157">
        <f t="shared" ref="KFQ105" si="1904">KFP102</f>
        <v>0</v>
      </c>
      <c r="KFR105" s="1051"/>
      <c r="KFS105" s="1051"/>
      <c r="KFT105" s="1056"/>
      <c r="KFU105" s="1157">
        <f t="shared" ref="KFU105" si="1905">KFT102</f>
        <v>0</v>
      </c>
      <c r="KFV105" s="1051"/>
      <c r="KFW105" s="1051"/>
      <c r="KFX105" s="1056"/>
      <c r="KFY105" s="1157">
        <f t="shared" ref="KFY105" si="1906">KFX102</f>
        <v>0</v>
      </c>
      <c r="KFZ105" s="1051"/>
      <c r="KGA105" s="1051"/>
      <c r="KGB105" s="1056"/>
      <c r="KGC105" s="1157">
        <f t="shared" ref="KGC105" si="1907">KGB102</f>
        <v>0</v>
      </c>
      <c r="KGD105" s="1051"/>
      <c r="KGE105" s="1051"/>
      <c r="KGF105" s="1056"/>
      <c r="KGG105" s="1157">
        <f t="shared" ref="KGG105" si="1908">KGF102</f>
        <v>0</v>
      </c>
      <c r="KGH105" s="1051"/>
      <c r="KGI105" s="1051"/>
      <c r="KGJ105" s="1056"/>
      <c r="KGK105" s="1157">
        <f t="shared" ref="KGK105" si="1909">KGJ102</f>
        <v>0</v>
      </c>
      <c r="KGL105" s="1051"/>
      <c r="KGM105" s="1051"/>
      <c r="KGN105" s="1056"/>
      <c r="KGO105" s="1157">
        <f t="shared" ref="KGO105" si="1910">KGN102</f>
        <v>0</v>
      </c>
      <c r="KGP105" s="1051"/>
      <c r="KGQ105" s="1051"/>
      <c r="KGR105" s="1056"/>
      <c r="KGS105" s="1157">
        <f t="shared" ref="KGS105" si="1911">KGR102</f>
        <v>0</v>
      </c>
      <c r="KGT105" s="1051"/>
      <c r="KGU105" s="1051"/>
      <c r="KGV105" s="1056"/>
      <c r="KGW105" s="1157">
        <f t="shared" ref="KGW105" si="1912">KGV102</f>
        <v>0</v>
      </c>
      <c r="KGX105" s="1051"/>
      <c r="KGY105" s="1051"/>
      <c r="KGZ105" s="1056"/>
      <c r="KHA105" s="1157">
        <f t="shared" ref="KHA105" si="1913">KGZ102</f>
        <v>0</v>
      </c>
      <c r="KHB105" s="1051"/>
      <c r="KHC105" s="1051"/>
      <c r="KHD105" s="1056"/>
      <c r="KHE105" s="1157">
        <f t="shared" ref="KHE105" si="1914">KHD102</f>
        <v>0</v>
      </c>
      <c r="KHF105" s="1051"/>
      <c r="KHG105" s="1051"/>
      <c r="KHH105" s="1056"/>
      <c r="KHI105" s="1157">
        <f t="shared" ref="KHI105" si="1915">KHH102</f>
        <v>0</v>
      </c>
      <c r="KHJ105" s="1051"/>
      <c r="KHK105" s="1051"/>
      <c r="KHL105" s="1056"/>
      <c r="KHM105" s="1157">
        <f t="shared" ref="KHM105" si="1916">KHL102</f>
        <v>0</v>
      </c>
      <c r="KHN105" s="1051"/>
      <c r="KHO105" s="1051"/>
      <c r="KHP105" s="1056"/>
      <c r="KHQ105" s="1157">
        <f t="shared" ref="KHQ105" si="1917">KHP102</f>
        <v>0</v>
      </c>
      <c r="KHR105" s="1051"/>
      <c r="KHS105" s="1051"/>
      <c r="KHT105" s="1056"/>
      <c r="KHU105" s="1157">
        <f t="shared" ref="KHU105" si="1918">KHT102</f>
        <v>0</v>
      </c>
      <c r="KHV105" s="1051"/>
      <c r="KHW105" s="1051"/>
      <c r="KHX105" s="1056"/>
      <c r="KHY105" s="1157">
        <f t="shared" ref="KHY105" si="1919">KHX102</f>
        <v>0</v>
      </c>
      <c r="KHZ105" s="1051"/>
      <c r="KIA105" s="1051"/>
      <c r="KIB105" s="1056"/>
      <c r="KIC105" s="1157">
        <f t="shared" ref="KIC105" si="1920">KIB102</f>
        <v>0</v>
      </c>
      <c r="KID105" s="1051"/>
      <c r="KIE105" s="1051"/>
      <c r="KIF105" s="1056"/>
      <c r="KIG105" s="1157">
        <f t="shared" ref="KIG105" si="1921">KIF102</f>
        <v>0</v>
      </c>
      <c r="KIH105" s="1051"/>
      <c r="KII105" s="1051"/>
      <c r="KIJ105" s="1056"/>
      <c r="KIK105" s="1157">
        <f t="shared" ref="KIK105" si="1922">KIJ102</f>
        <v>0</v>
      </c>
      <c r="KIL105" s="1051"/>
      <c r="KIM105" s="1051"/>
      <c r="KIN105" s="1056"/>
      <c r="KIO105" s="1157">
        <f t="shared" ref="KIO105" si="1923">KIN102</f>
        <v>0</v>
      </c>
      <c r="KIP105" s="1051"/>
      <c r="KIQ105" s="1051"/>
      <c r="KIR105" s="1056"/>
      <c r="KIS105" s="1157">
        <f t="shared" ref="KIS105" si="1924">KIR102</f>
        <v>0</v>
      </c>
      <c r="KIT105" s="1051"/>
      <c r="KIU105" s="1051"/>
      <c r="KIV105" s="1056"/>
      <c r="KIW105" s="1157">
        <f t="shared" ref="KIW105" si="1925">KIV102</f>
        <v>0</v>
      </c>
      <c r="KIX105" s="1051"/>
      <c r="KIY105" s="1051"/>
      <c r="KIZ105" s="1056"/>
      <c r="KJA105" s="1157">
        <f t="shared" ref="KJA105" si="1926">KIZ102</f>
        <v>0</v>
      </c>
      <c r="KJB105" s="1051"/>
      <c r="KJC105" s="1051"/>
      <c r="KJD105" s="1056"/>
      <c r="KJE105" s="1157">
        <f t="shared" ref="KJE105" si="1927">KJD102</f>
        <v>0</v>
      </c>
      <c r="KJF105" s="1051"/>
      <c r="KJG105" s="1051"/>
      <c r="KJH105" s="1056"/>
      <c r="KJI105" s="1157">
        <f t="shared" ref="KJI105" si="1928">KJH102</f>
        <v>0</v>
      </c>
      <c r="KJJ105" s="1051"/>
      <c r="KJK105" s="1051"/>
      <c r="KJL105" s="1056"/>
      <c r="KJM105" s="1157">
        <f t="shared" ref="KJM105" si="1929">KJL102</f>
        <v>0</v>
      </c>
      <c r="KJN105" s="1051"/>
      <c r="KJO105" s="1051"/>
      <c r="KJP105" s="1056"/>
      <c r="KJQ105" s="1157">
        <f t="shared" ref="KJQ105" si="1930">KJP102</f>
        <v>0</v>
      </c>
      <c r="KJR105" s="1051"/>
      <c r="KJS105" s="1051"/>
      <c r="KJT105" s="1056"/>
      <c r="KJU105" s="1157">
        <f t="shared" ref="KJU105" si="1931">KJT102</f>
        <v>0</v>
      </c>
      <c r="KJV105" s="1051"/>
      <c r="KJW105" s="1051"/>
      <c r="KJX105" s="1056"/>
      <c r="KJY105" s="1157">
        <f t="shared" ref="KJY105" si="1932">KJX102</f>
        <v>0</v>
      </c>
      <c r="KJZ105" s="1051"/>
      <c r="KKA105" s="1051"/>
      <c r="KKB105" s="1056"/>
      <c r="KKC105" s="1157">
        <f t="shared" ref="KKC105" si="1933">KKB102</f>
        <v>0</v>
      </c>
      <c r="KKD105" s="1051"/>
      <c r="KKE105" s="1051"/>
      <c r="KKF105" s="1056"/>
      <c r="KKG105" s="1157">
        <f t="shared" ref="KKG105" si="1934">KKF102</f>
        <v>0</v>
      </c>
      <c r="KKH105" s="1051"/>
      <c r="KKI105" s="1051"/>
      <c r="KKJ105" s="1056"/>
      <c r="KKK105" s="1157">
        <f t="shared" ref="KKK105" si="1935">KKJ102</f>
        <v>0</v>
      </c>
      <c r="KKL105" s="1051"/>
      <c r="KKM105" s="1051"/>
      <c r="KKN105" s="1056"/>
      <c r="KKO105" s="1157">
        <f t="shared" ref="KKO105" si="1936">KKN102</f>
        <v>0</v>
      </c>
      <c r="KKP105" s="1051"/>
      <c r="KKQ105" s="1051"/>
      <c r="KKR105" s="1056"/>
      <c r="KKS105" s="1157">
        <f t="shared" ref="KKS105" si="1937">KKR102</f>
        <v>0</v>
      </c>
      <c r="KKT105" s="1051"/>
      <c r="KKU105" s="1051"/>
      <c r="KKV105" s="1056"/>
      <c r="KKW105" s="1157">
        <f t="shared" ref="KKW105" si="1938">KKV102</f>
        <v>0</v>
      </c>
      <c r="KKX105" s="1051"/>
      <c r="KKY105" s="1051"/>
      <c r="KKZ105" s="1056"/>
      <c r="KLA105" s="1157">
        <f t="shared" ref="KLA105" si="1939">KKZ102</f>
        <v>0</v>
      </c>
      <c r="KLB105" s="1051"/>
      <c r="KLC105" s="1051"/>
      <c r="KLD105" s="1056"/>
      <c r="KLE105" s="1157">
        <f t="shared" ref="KLE105" si="1940">KLD102</f>
        <v>0</v>
      </c>
      <c r="KLF105" s="1051"/>
      <c r="KLG105" s="1051"/>
      <c r="KLH105" s="1056"/>
      <c r="KLI105" s="1157">
        <f t="shared" ref="KLI105" si="1941">KLH102</f>
        <v>0</v>
      </c>
      <c r="KLJ105" s="1051"/>
      <c r="KLK105" s="1051"/>
      <c r="KLL105" s="1056"/>
      <c r="KLM105" s="1157">
        <f t="shared" ref="KLM105" si="1942">KLL102</f>
        <v>0</v>
      </c>
      <c r="KLN105" s="1051"/>
      <c r="KLO105" s="1051"/>
      <c r="KLP105" s="1056"/>
      <c r="KLQ105" s="1157">
        <f t="shared" ref="KLQ105" si="1943">KLP102</f>
        <v>0</v>
      </c>
      <c r="KLR105" s="1051"/>
      <c r="KLS105" s="1051"/>
      <c r="KLT105" s="1056"/>
      <c r="KLU105" s="1157">
        <f t="shared" ref="KLU105" si="1944">KLT102</f>
        <v>0</v>
      </c>
      <c r="KLV105" s="1051"/>
      <c r="KLW105" s="1051"/>
      <c r="KLX105" s="1056"/>
      <c r="KLY105" s="1157">
        <f t="shared" ref="KLY105" si="1945">KLX102</f>
        <v>0</v>
      </c>
      <c r="KLZ105" s="1051"/>
      <c r="KMA105" s="1051"/>
      <c r="KMB105" s="1056"/>
      <c r="KMC105" s="1157">
        <f t="shared" ref="KMC105" si="1946">KMB102</f>
        <v>0</v>
      </c>
      <c r="KMD105" s="1051"/>
      <c r="KME105" s="1051"/>
      <c r="KMF105" s="1056"/>
      <c r="KMG105" s="1157">
        <f t="shared" ref="KMG105" si="1947">KMF102</f>
        <v>0</v>
      </c>
      <c r="KMH105" s="1051"/>
      <c r="KMI105" s="1051"/>
      <c r="KMJ105" s="1056"/>
      <c r="KMK105" s="1157">
        <f t="shared" ref="KMK105" si="1948">KMJ102</f>
        <v>0</v>
      </c>
      <c r="KML105" s="1051"/>
      <c r="KMM105" s="1051"/>
      <c r="KMN105" s="1056"/>
      <c r="KMO105" s="1157">
        <f t="shared" ref="KMO105" si="1949">KMN102</f>
        <v>0</v>
      </c>
      <c r="KMP105" s="1051"/>
      <c r="KMQ105" s="1051"/>
      <c r="KMR105" s="1056"/>
      <c r="KMS105" s="1157">
        <f t="shared" ref="KMS105" si="1950">KMR102</f>
        <v>0</v>
      </c>
      <c r="KMT105" s="1051"/>
      <c r="KMU105" s="1051"/>
      <c r="KMV105" s="1056"/>
      <c r="KMW105" s="1157">
        <f t="shared" ref="KMW105" si="1951">KMV102</f>
        <v>0</v>
      </c>
      <c r="KMX105" s="1051"/>
      <c r="KMY105" s="1051"/>
      <c r="KMZ105" s="1056"/>
      <c r="KNA105" s="1157">
        <f t="shared" ref="KNA105" si="1952">KMZ102</f>
        <v>0</v>
      </c>
      <c r="KNB105" s="1051"/>
      <c r="KNC105" s="1051"/>
      <c r="KND105" s="1056"/>
      <c r="KNE105" s="1157">
        <f t="shared" ref="KNE105" si="1953">KND102</f>
        <v>0</v>
      </c>
      <c r="KNF105" s="1051"/>
      <c r="KNG105" s="1051"/>
      <c r="KNH105" s="1056"/>
      <c r="KNI105" s="1157">
        <f t="shared" ref="KNI105" si="1954">KNH102</f>
        <v>0</v>
      </c>
      <c r="KNJ105" s="1051"/>
      <c r="KNK105" s="1051"/>
      <c r="KNL105" s="1056"/>
      <c r="KNM105" s="1157">
        <f t="shared" ref="KNM105" si="1955">KNL102</f>
        <v>0</v>
      </c>
      <c r="KNN105" s="1051"/>
      <c r="KNO105" s="1051"/>
      <c r="KNP105" s="1056"/>
      <c r="KNQ105" s="1157">
        <f t="shared" ref="KNQ105" si="1956">KNP102</f>
        <v>0</v>
      </c>
      <c r="KNR105" s="1051"/>
      <c r="KNS105" s="1051"/>
      <c r="KNT105" s="1056"/>
      <c r="KNU105" s="1157">
        <f t="shared" ref="KNU105" si="1957">KNT102</f>
        <v>0</v>
      </c>
      <c r="KNV105" s="1051"/>
      <c r="KNW105" s="1051"/>
      <c r="KNX105" s="1056"/>
      <c r="KNY105" s="1157">
        <f t="shared" ref="KNY105" si="1958">KNX102</f>
        <v>0</v>
      </c>
      <c r="KNZ105" s="1051"/>
      <c r="KOA105" s="1051"/>
      <c r="KOB105" s="1056"/>
      <c r="KOC105" s="1157">
        <f t="shared" ref="KOC105" si="1959">KOB102</f>
        <v>0</v>
      </c>
      <c r="KOD105" s="1051"/>
      <c r="KOE105" s="1051"/>
      <c r="KOF105" s="1056"/>
      <c r="KOG105" s="1157">
        <f t="shared" ref="KOG105" si="1960">KOF102</f>
        <v>0</v>
      </c>
      <c r="KOH105" s="1051"/>
      <c r="KOI105" s="1051"/>
      <c r="KOJ105" s="1056"/>
      <c r="KOK105" s="1157">
        <f t="shared" ref="KOK105" si="1961">KOJ102</f>
        <v>0</v>
      </c>
      <c r="KOL105" s="1051"/>
      <c r="KOM105" s="1051"/>
      <c r="KON105" s="1056"/>
      <c r="KOO105" s="1157">
        <f t="shared" ref="KOO105" si="1962">KON102</f>
        <v>0</v>
      </c>
      <c r="KOP105" s="1051"/>
      <c r="KOQ105" s="1051"/>
      <c r="KOR105" s="1056"/>
      <c r="KOS105" s="1157">
        <f t="shared" ref="KOS105" si="1963">KOR102</f>
        <v>0</v>
      </c>
      <c r="KOT105" s="1051"/>
      <c r="KOU105" s="1051"/>
      <c r="KOV105" s="1056"/>
      <c r="KOW105" s="1157">
        <f t="shared" ref="KOW105" si="1964">KOV102</f>
        <v>0</v>
      </c>
      <c r="KOX105" s="1051"/>
      <c r="KOY105" s="1051"/>
      <c r="KOZ105" s="1056"/>
      <c r="KPA105" s="1157">
        <f t="shared" ref="KPA105" si="1965">KOZ102</f>
        <v>0</v>
      </c>
      <c r="KPB105" s="1051"/>
      <c r="KPC105" s="1051"/>
      <c r="KPD105" s="1056"/>
      <c r="KPE105" s="1157">
        <f t="shared" ref="KPE105" si="1966">KPD102</f>
        <v>0</v>
      </c>
      <c r="KPF105" s="1051"/>
      <c r="KPG105" s="1051"/>
      <c r="KPH105" s="1056"/>
      <c r="KPI105" s="1157">
        <f t="shared" ref="KPI105" si="1967">KPH102</f>
        <v>0</v>
      </c>
      <c r="KPJ105" s="1051"/>
      <c r="KPK105" s="1051"/>
      <c r="KPL105" s="1056"/>
      <c r="KPM105" s="1157">
        <f t="shared" ref="KPM105" si="1968">KPL102</f>
        <v>0</v>
      </c>
      <c r="KPN105" s="1051"/>
      <c r="KPO105" s="1051"/>
      <c r="KPP105" s="1056"/>
      <c r="KPQ105" s="1157">
        <f t="shared" ref="KPQ105" si="1969">KPP102</f>
        <v>0</v>
      </c>
      <c r="KPR105" s="1051"/>
      <c r="KPS105" s="1051"/>
      <c r="KPT105" s="1056"/>
      <c r="KPU105" s="1157">
        <f t="shared" ref="KPU105" si="1970">KPT102</f>
        <v>0</v>
      </c>
      <c r="KPV105" s="1051"/>
      <c r="KPW105" s="1051"/>
      <c r="KPX105" s="1056"/>
      <c r="KPY105" s="1157">
        <f t="shared" ref="KPY105" si="1971">KPX102</f>
        <v>0</v>
      </c>
      <c r="KPZ105" s="1051"/>
      <c r="KQA105" s="1051"/>
      <c r="KQB105" s="1056"/>
      <c r="KQC105" s="1157">
        <f t="shared" ref="KQC105" si="1972">KQB102</f>
        <v>0</v>
      </c>
      <c r="KQD105" s="1051"/>
      <c r="KQE105" s="1051"/>
      <c r="KQF105" s="1056"/>
      <c r="KQG105" s="1157">
        <f t="shared" ref="KQG105" si="1973">KQF102</f>
        <v>0</v>
      </c>
      <c r="KQH105" s="1051"/>
      <c r="KQI105" s="1051"/>
      <c r="KQJ105" s="1056"/>
      <c r="KQK105" s="1157">
        <f t="shared" ref="KQK105" si="1974">KQJ102</f>
        <v>0</v>
      </c>
      <c r="KQL105" s="1051"/>
      <c r="KQM105" s="1051"/>
      <c r="KQN105" s="1056"/>
      <c r="KQO105" s="1157">
        <f t="shared" ref="KQO105" si="1975">KQN102</f>
        <v>0</v>
      </c>
      <c r="KQP105" s="1051"/>
      <c r="KQQ105" s="1051"/>
      <c r="KQR105" s="1056"/>
      <c r="KQS105" s="1157">
        <f t="shared" ref="KQS105" si="1976">KQR102</f>
        <v>0</v>
      </c>
      <c r="KQT105" s="1051"/>
      <c r="KQU105" s="1051"/>
      <c r="KQV105" s="1056"/>
      <c r="KQW105" s="1157">
        <f t="shared" ref="KQW105" si="1977">KQV102</f>
        <v>0</v>
      </c>
      <c r="KQX105" s="1051"/>
      <c r="KQY105" s="1051"/>
      <c r="KQZ105" s="1056"/>
      <c r="KRA105" s="1157">
        <f t="shared" ref="KRA105" si="1978">KQZ102</f>
        <v>0</v>
      </c>
      <c r="KRB105" s="1051"/>
      <c r="KRC105" s="1051"/>
      <c r="KRD105" s="1056"/>
      <c r="KRE105" s="1157">
        <f t="shared" ref="KRE105" si="1979">KRD102</f>
        <v>0</v>
      </c>
      <c r="KRF105" s="1051"/>
      <c r="KRG105" s="1051"/>
      <c r="KRH105" s="1056"/>
      <c r="KRI105" s="1157">
        <f t="shared" ref="KRI105" si="1980">KRH102</f>
        <v>0</v>
      </c>
      <c r="KRJ105" s="1051"/>
      <c r="KRK105" s="1051"/>
      <c r="KRL105" s="1056"/>
      <c r="KRM105" s="1157">
        <f t="shared" ref="KRM105" si="1981">KRL102</f>
        <v>0</v>
      </c>
      <c r="KRN105" s="1051"/>
      <c r="KRO105" s="1051"/>
      <c r="KRP105" s="1056"/>
      <c r="KRQ105" s="1157">
        <f t="shared" ref="KRQ105" si="1982">KRP102</f>
        <v>0</v>
      </c>
      <c r="KRR105" s="1051"/>
      <c r="KRS105" s="1051"/>
      <c r="KRT105" s="1056"/>
      <c r="KRU105" s="1157">
        <f t="shared" ref="KRU105" si="1983">KRT102</f>
        <v>0</v>
      </c>
      <c r="KRV105" s="1051"/>
      <c r="KRW105" s="1051"/>
      <c r="KRX105" s="1056"/>
      <c r="KRY105" s="1157">
        <f t="shared" ref="KRY105" si="1984">KRX102</f>
        <v>0</v>
      </c>
      <c r="KRZ105" s="1051"/>
      <c r="KSA105" s="1051"/>
      <c r="KSB105" s="1056"/>
      <c r="KSC105" s="1157">
        <f t="shared" ref="KSC105" si="1985">KSB102</f>
        <v>0</v>
      </c>
      <c r="KSD105" s="1051"/>
      <c r="KSE105" s="1051"/>
      <c r="KSF105" s="1056"/>
      <c r="KSG105" s="1157">
        <f t="shared" ref="KSG105" si="1986">KSF102</f>
        <v>0</v>
      </c>
      <c r="KSH105" s="1051"/>
      <c r="KSI105" s="1051"/>
      <c r="KSJ105" s="1056"/>
      <c r="KSK105" s="1157">
        <f t="shared" ref="KSK105" si="1987">KSJ102</f>
        <v>0</v>
      </c>
      <c r="KSL105" s="1051"/>
      <c r="KSM105" s="1051"/>
      <c r="KSN105" s="1056"/>
      <c r="KSO105" s="1157">
        <f t="shared" ref="KSO105" si="1988">KSN102</f>
        <v>0</v>
      </c>
      <c r="KSP105" s="1051"/>
      <c r="KSQ105" s="1051"/>
      <c r="KSR105" s="1056"/>
      <c r="KSS105" s="1157">
        <f t="shared" ref="KSS105" si="1989">KSR102</f>
        <v>0</v>
      </c>
      <c r="KST105" s="1051"/>
      <c r="KSU105" s="1051"/>
      <c r="KSV105" s="1056"/>
      <c r="KSW105" s="1157">
        <f t="shared" ref="KSW105" si="1990">KSV102</f>
        <v>0</v>
      </c>
      <c r="KSX105" s="1051"/>
      <c r="KSY105" s="1051"/>
      <c r="KSZ105" s="1056"/>
      <c r="KTA105" s="1157">
        <f t="shared" ref="KTA105" si="1991">KSZ102</f>
        <v>0</v>
      </c>
      <c r="KTB105" s="1051"/>
      <c r="KTC105" s="1051"/>
      <c r="KTD105" s="1056"/>
      <c r="KTE105" s="1157">
        <f t="shared" ref="KTE105" si="1992">KTD102</f>
        <v>0</v>
      </c>
      <c r="KTF105" s="1051"/>
      <c r="KTG105" s="1051"/>
      <c r="KTH105" s="1056"/>
      <c r="KTI105" s="1157">
        <f t="shared" ref="KTI105" si="1993">KTH102</f>
        <v>0</v>
      </c>
      <c r="KTJ105" s="1051"/>
      <c r="KTK105" s="1051"/>
      <c r="KTL105" s="1056"/>
      <c r="KTM105" s="1157">
        <f t="shared" ref="KTM105" si="1994">KTL102</f>
        <v>0</v>
      </c>
      <c r="KTN105" s="1051"/>
      <c r="KTO105" s="1051"/>
      <c r="KTP105" s="1056"/>
      <c r="KTQ105" s="1157">
        <f t="shared" ref="KTQ105" si="1995">KTP102</f>
        <v>0</v>
      </c>
      <c r="KTR105" s="1051"/>
      <c r="KTS105" s="1051"/>
      <c r="KTT105" s="1056"/>
      <c r="KTU105" s="1157">
        <f t="shared" ref="KTU105" si="1996">KTT102</f>
        <v>0</v>
      </c>
      <c r="KTV105" s="1051"/>
      <c r="KTW105" s="1051"/>
      <c r="KTX105" s="1056"/>
      <c r="KTY105" s="1157">
        <f t="shared" ref="KTY105" si="1997">KTX102</f>
        <v>0</v>
      </c>
      <c r="KTZ105" s="1051"/>
      <c r="KUA105" s="1051"/>
      <c r="KUB105" s="1056"/>
      <c r="KUC105" s="1157">
        <f t="shared" ref="KUC105" si="1998">KUB102</f>
        <v>0</v>
      </c>
      <c r="KUD105" s="1051"/>
      <c r="KUE105" s="1051"/>
      <c r="KUF105" s="1056"/>
      <c r="KUG105" s="1157">
        <f t="shared" ref="KUG105" si="1999">KUF102</f>
        <v>0</v>
      </c>
      <c r="KUH105" s="1051"/>
      <c r="KUI105" s="1051"/>
      <c r="KUJ105" s="1056"/>
      <c r="KUK105" s="1157">
        <f t="shared" ref="KUK105" si="2000">KUJ102</f>
        <v>0</v>
      </c>
      <c r="KUL105" s="1051"/>
      <c r="KUM105" s="1051"/>
      <c r="KUN105" s="1056"/>
      <c r="KUO105" s="1157">
        <f t="shared" ref="KUO105" si="2001">KUN102</f>
        <v>0</v>
      </c>
      <c r="KUP105" s="1051"/>
      <c r="KUQ105" s="1051"/>
      <c r="KUR105" s="1056"/>
      <c r="KUS105" s="1157">
        <f t="shared" ref="KUS105" si="2002">KUR102</f>
        <v>0</v>
      </c>
      <c r="KUT105" s="1051"/>
      <c r="KUU105" s="1051"/>
      <c r="KUV105" s="1056"/>
      <c r="KUW105" s="1157">
        <f t="shared" ref="KUW105" si="2003">KUV102</f>
        <v>0</v>
      </c>
      <c r="KUX105" s="1051"/>
      <c r="KUY105" s="1051"/>
      <c r="KUZ105" s="1056"/>
      <c r="KVA105" s="1157">
        <f t="shared" ref="KVA105" si="2004">KUZ102</f>
        <v>0</v>
      </c>
      <c r="KVB105" s="1051"/>
      <c r="KVC105" s="1051"/>
      <c r="KVD105" s="1056"/>
      <c r="KVE105" s="1157">
        <f t="shared" ref="KVE105" si="2005">KVD102</f>
        <v>0</v>
      </c>
      <c r="KVF105" s="1051"/>
      <c r="KVG105" s="1051"/>
      <c r="KVH105" s="1056"/>
      <c r="KVI105" s="1157">
        <f t="shared" ref="KVI105" si="2006">KVH102</f>
        <v>0</v>
      </c>
      <c r="KVJ105" s="1051"/>
      <c r="KVK105" s="1051"/>
      <c r="KVL105" s="1056"/>
      <c r="KVM105" s="1157">
        <f t="shared" ref="KVM105" si="2007">KVL102</f>
        <v>0</v>
      </c>
      <c r="KVN105" s="1051"/>
      <c r="KVO105" s="1051"/>
      <c r="KVP105" s="1056"/>
      <c r="KVQ105" s="1157">
        <f t="shared" ref="KVQ105" si="2008">KVP102</f>
        <v>0</v>
      </c>
      <c r="KVR105" s="1051"/>
      <c r="KVS105" s="1051"/>
      <c r="KVT105" s="1056"/>
      <c r="KVU105" s="1157">
        <f t="shared" ref="KVU105" si="2009">KVT102</f>
        <v>0</v>
      </c>
      <c r="KVV105" s="1051"/>
      <c r="KVW105" s="1051"/>
      <c r="KVX105" s="1056"/>
      <c r="KVY105" s="1157">
        <f t="shared" ref="KVY105" si="2010">KVX102</f>
        <v>0</v>
      </c>
      <c r="KVZ105" s="1051"/>
      <c r="KWA105" s="1051"/>
      <c r="KWB105" s="1056"/>
      <c r="KWC105" s="1157">
        <f t="shared" ref="KWC105" si="2011">KWB102</f>
        <v>0</v>
      </c>
      <c r="KWD105" s="1051"/>
      <c r="KWE105" s="1051"/>
      <c r="KWF105" s="1056"/>
      <c r="KWG105" s="1157">
        <f t="shared" ref="KWG105" si="2012">KWF102</f>
        <v>0</v>
      </c>
      <c r="KWH105" s="1051"/>
      <c r="KWI105" s="1051"/>
      <c r="KWJ105" s="1056"/>
      <c r="KWK105" s="1157">
        <f t="shared" ref="KWK105" si="2013">KWJ102</f>
        <v>0</v>
      </c>
      <c r="KWL105" s="1051"/>
      <c r="KWM105" s="1051"/>
      <c r="KWN105" s="1056"/>
      <c r="KWO105" s="1157">
        <f t="shared" ref="KWO105" si="2014">KWN102</f>
        <v>0</v>
      </c>
      <c r="KWP105" s="1051"/>
      <c r="KWQ105" s="1051"/>
      <c r="KWR105" s="1056"/>
      <c r="KWS105" s="1157">
        <f t="shared" ref="KWS105" si="2015">KWR102</f>
        <v>0</v>
      </c>
      <c r="KWT105" s="1051"/>
      <c r="KWU105" s="1051"/>
      <c r="KWV105" s="1056"/>
      <c r="KWW105" s="1157">
        <f t="shared" ref="KWW105" si="2016">KWV102</f>
        <v>0</v>
      </c>
      <c r="KWX105" s="1051"/>
      <c r="KWY105" s="1051"/>
      <c r="KWZ105" s="1056"/>
      <c r="KXA105" s="1157">
        <f t="shared" ref="KXA105" si="2017">KWZ102</f>
        <v>0</v>
      </c>
      <c r="KXB105" s="1051"/>
      <c r="KXC105" s="1051"/>
      <c r="KXD105" s="1056"/>
      <c r="KXE105" s="1157">
        <f t="shared" ref="KXE105" si="2018">KXD102</f>
        <v>0</v>
      </c>
      <c r="KXF105" s="1051"/>
      <c r="KXG105" s="1051"/>
      <c r="KXH105" s="1056"/>
      <c r="KXI105" s="1157">
        <f t="shared" ref="KXI105" si="2019">KXH102</f>
        <v>0</v>
      </c>
      <c r="KXJ105" s="1051"/>
      <c r="KXK105" s="1051"/>
      <c r="KXL105" s="1056"/>
      <c r="KXM105" s="1157">
        <f t="shared" ref="KXM105" si="2020">KXL102</f>
        <v>0</v>
      </c>
      <c r="KXN105" s="1051"/>
      <c r="KXO105" s="1051"/>
      <c r="KXP105" s="1056"/>
      <c r="KXQ105" s="1157">
        <f t="shared" ref="KXQ105" si="2021">KXP102</f>
        <v>0</v>
      </c>
      <c r="KXR105" s="1051"/>
      <c r="KXS105" s="1051"/>
      <c r="KXT105" s="1056"/>
      <c r="KXU105" s="1157">
        <f t="shared" ref="KXU105" si="2022">KXT102</f>
        <v>0</v>
      </c>
      <c r="KXV105" s="1051"/>
      <c r="KXW105" s="1051"/>
      <c r="KXX105" s="1056"/>
      <c r="KXY105" s="1157">
        <f t="shared" ref="KXY105" si="2023">KXX102</f>
        <v>0</v>
      </c>
      <c r="KXZ105" s="1051"/>
      <c r="KYA105" s="1051"/>
      <c r="KYB105" s="1056"/>
      <c r="KYC105" s="1157">
        <f t="shared" ref="KYC105" si="2024">KYB102</f>
        <v>0</v>
      </c>
      <c r="KYD105" s="1051"/>
      <c r="KYE105" s="1051"/>
      <c r="KYF105" s="1056"/>
      <c r="KYG105" s="1157">
        <f t="shared" ref="KYG105" si="2025">KYF102</f>
        <v>0</v>
      </c>
      <c r="KYH105" s="1051"/>
      <c r="KYI105" s="1051"/>
      <c r="KYJ105" s="1056"/>
      <c r="KYK105" s="1157">
        <f t="shared" ref="KYK105" si="2026">KYJ102</f>
        <v>0</v>
      </c>
      <c r="KYL105" s="1051"/>
      <c r="KYM105" s="1051"/>
      <c r="KYN105" s="1056"/>
      <c r="KYO105" s="1157">
        <f t="shared" ref="KYO105" si="2027">KYN102</f>
        <v>0</v>
      </c>
      <c r="KYP105" s="1051"/>
      <c r="KYQ105" s="1051"/>
      <c r="KYR105" s="1056"/>
      <c r="KYS105" s="1157">
        <f t="shared" ref="KYS105" si="2028">KYR102</f>
        <v>0</v>
      </c>
      <c r="KYT105" s="1051"/>
      <c r="KYU105" s="1051"/>
      <c r="KYV105" s="1056"/>
      <c r="KYW105" s="1157">
        <f t="shared" ref="KYW105" si="2029">KYV102</f>
        <v>0</v>
      </c>
      <c r="KYX105" s="1051"/>
      <c r="KYY105" s="1051"/>
      <c r="KYZ105" s="1056"/>
      <c r="KZA105" s="1157">
        <f t="shared" ref="KZA105" si="2030">KYZ102</f>
        <v>0</v>
      </c>
      <c r="KZB105" s="1051"/>
      <c r="KZC105" s="1051"/>
      <c r="KZD105" s="1056"/>
      <c r="KZE105" s="1157">
        <f t="shared" ref="KZE105" si="2031">KZD102</f>
        <v>0</v>
      </c>
      <c r="KZF105" s="1051"/>
      <c r="KZG105" s="1051"/>
      <c r="KZH105" s="1056"/>
      <c r="KZI105" s="1157">
        <f t="shared" ref="KZI105" si="2032">KZH102</f>
        <v>0</v>
      </c>
      <c r="KZJ105" s="1051"/>
      <c r="KZK105" s="1051"/>
      <c r="KZL105" s="1056"/>
      <c r="KZM105" s="1157">
        <f t="shared" ref="KZM105" si="2033">KZL102</f>
        <v>0</v>
      </c>
      <c r="KZN105" s="1051"/>
      <c r="KZO105" s="1051"/>
      <c r="KZP105" s="1056"/>
      <c r="KZQ105" s="1157">
        <f t="shared" ref="KZQ105" si="2034">KZP102</f>
        <v>0</v>
      </c>
      <c r="KZR105" s="1051"/>
      <c r="KZS105" s="1051"/>
      <c r="KZT105" s="1056"/>
      <c r="KZU105" s="1157">
        <f t="shared" ref="KZU105" si="2035">KZT102</f>
        <v>0</v>
      </c>
      <c r="KZV105" s="1051"/>
      <c r="KZW105" s="1051"/>
      <c r="KZX105" s="1056"/>
      <c r="KZY105" s="1157">
        <f t="shared" ref="KZY105" si="2036">KZX102</f>
        <v>0</v>
      </c>
      <c r="KZZ105" s="1051"/>
      <c r="LAA105" s="1051"/>
      <c r="LAB105" s="1056"/>
      <c r="LAC105" s="1157">
        <f t="shared" ref="LAC105" si="2037">LAB102</f>
        <v>0</v>
      </c>
      <c r="LAD105" s="1051"/>
      <c r="LAE105" s="1051"/>
      <c r="LAF105" s="1056"/>
      <c r="LAG105" s="1157">
        <f t="shared" ref="LAG105" si="2038">LAF102</f>
        <v>0</v>
      </c>
      <c r="LAH105" s="1051"/>
      <c r="LAI105" s="1051"/>
      <c r="LAJ105" s="1056"/>
      <c r="LAK105" s="1157">
        <f t="shared" ref="LAK105" si="2039">LAJ102</f>
        <v>0</v>
      </c>
      <c r="LAL105" s="1051"/>
      <c r="LAM105" s="1051"/>
      <c r="LAN105" s="1056"/>
      <c r="LAO105" s="1157">
        <f t="shared" ref="LAO105" si="2040">LAN102</f>
        <v>0</v>
      </c>
      <c r="LAP105" s="1051"/>
      <c r="LAQ105" s="1051"/>
      <c r="LAR105" s="1056"/>
      <c r="LAS105" s="1157">
        <f t="shared" ref="LAS105" si="2041">LAR102</f>
        <v>0</v>
      </c>
      <c r="LAT105" s="1051"/>
      <c r="LAU105" s="1051"/>
      <c r="LAV105" s="1056"/>
      <c r="LAW105" s="1157">
        <f t="shared" ref="LAW105" si="2042">LAV102</f>
        <v>0</v>
      </c>
      <c r="LAX105" s="1051"/>
      <c r="LAY105" s="1051"/>
      <c r="LAZ105" s="1056"/>
      <c r="LBA105" s="1157">
        <f t="shared" ref="LBA105" si="2043">LAZ102</f>
        <v>0</v>
      </c>
      <c r="LBB105" s="1051"/>
      <c r="LBC105" s="1051"/>
      <c r="LBD105" s="1056"/>
      <c r="LBE105" s="1157">
        <f t="shared" ref="LBE105" si="2044">LBD102</f>
        <v>0</v>
      </c>
      <c r="LBF105" s="1051"/>
      <c r="LBG105" s="1051"/>
      <c r="LBH105" s="1056"/>
      <c r="LBI105" s="1157">
        <f t="shared" ref="LBI105" si="2045">LBH102</f>
        <v>0</v>
      </c>
      <c r="LBJ105" s="1051"/>
      <c r="LBK105" s="1051"/>
      <c r="LBL105" s="1056"/>
      <c r="LBM105" s="1157">
        <f t="shared" ref="LBM105" si="2046">LBL102</f>
        <v>0</v>
      </c>
      <c r="LBN105" s="1051"/>
      <c r="LBO105" s="1051"/>
      <c r="LBP105" s="1056"/>
      <c r="LBQ105" s="1157">
        <f t="shared" ref="LBQ105" si="2047">LBP102</f>
        <v>0</v>
      </c>
      <c r="LBR105" s="1051"/>
      <c r="LBS105" s="1051"/>
      <c r="LBT105" s="1056"/>
      <c r="LBU105" s="1157">
        <f t="shared" ref="LBU105" si="2048">LBT102</f>
        <v>0</v>
      </c>
      <c r="LBV105" s="1051"/>
      <c r="LBW105" s="1051"/>
      <c r="LBX105" s="1056"/>
      <c r="LBY105" s="1157">
        <f t="shared" ref="LBY105" si="2049">LBX102</f>
        <v>0</v>
      </c>
      <c r="LBZ105" s="1051"/>
      <c r="LCA105" s="1051"/>
      <c r="LCB105" s="1056"/>
      <c r="LCC105" s="1157">
        <f t="shared" ref="LCC105" si="2050">LCB102</f>
        <v>0</v>
      </c>
      <c r="LCD105" s="1051"/>
      <c r="LCE105" s="1051"/>
      <c r="LCF105" s="1056"/>
      <c r="LCG105" s="1157">
        <f t="shared" ref="LCG105" si="2051">LCF102</f>
        <v>0</v>
      </c>
      <c r="LCH105" s="1051"/>
      <c r="LCI105" s="1051"/>
      <c r="LCJ105" s="1056"/>
      <c r="LCK105" s="1157">
        <f t="shared" ref="LCK105" si="2052">LCJ102</f>
        <v>0</v>
      </c>
      <c r="LCL105" s="1051"/>
      <c r="LCM105" s="1051"/>
      <c r="LCN105" s="1056"/>
      <c r="LCO105" s="1157">
        <f t="shared" ref="LCO105" si="2053">LCN102</f>
        <v>0</v>
      </c>
      <c r="LCP105" s="1051"/>
      <c r="LCQ105" s="1051"/>
      <c r="LCR105" s="1056"/>
      <c r="LCS105" s="1157">
        <f t="shared" ref="LCS105" si="2054">LCR102</f>
        <v>0</v>
      </c>
      <c r="LCT105" s="1051"/>
      <c r="LCU105" s="1051"/>
      <c r="LCV105" s="1056"/>
      <c r="LCW105" s="1157">
        <f t="shared" ref="LCW105" si="2055">LCV102</f>
        <v>0</v>
      </c>
      <c r="LCX105" s="1051"/>
      <c r="LCY105" s="1051"/>
      <c r="LCZ105" s="1056"/>
      <c r="LDA105" s="1157">
        <f t="shared" ref="LDA105" si="2056">LCZ102</f>
        <v>0</v>
      </c>
      <c r="LDB105" s="1051"/>
      <c r="LDC105" s="1051"/>
      <c r="LDD105" s="1056"/>
      <c r="LDE105" s="1157">
        <f t="shared" ref="LDE105" si="2057">LDD102</f>
        <v>0</v>
      </c>
      <c r="LDF105" s="1051"/>
      <c r="LDG105" s="1051"/>
      <c r="LDH105" s="1056"/>
      <c r="LDI105" s="1157">
        <f t="shared" ref="LDI105" si="2058">LDH102</f>
        <v>0</v>
      </c>
      <c r="LDJ105" s="1051"/>
      <c r="LDK105" s="1051"/>
      <c r="LDL105" s="1056"/>
      <c r="LDM105" s="1157">
        <f t="shared" ref="LDM105" si="2059">LDL102</f>
        <v>0</v>
      </c>
      <c r="LDN105" s="1051"/>
      <c r="LDO105" s="1051"/>
      <c r="LDP105" s="1056"/>
      <c r="LDQ105" s="1157">
        <f t="shared" ref="LDQ105" si="2060">LDP102</f>
        <v>0</v>
      </c>
      <c r="LDR105" s="1051"/>
      <c r="LDS105" s="1051"/>
      <c r="LDT105" s="1056"/>
      <c r="LDU105" s="1157">
        <f t="shared" ref="LDU105" si="2061">LDT102</f>
        <v>0</v>
      </c>
      <c r="LDV105" s="1051"/>
      <c r="LDW105" s="1051"/>
      <c r="LDX105" s="1056"/>
      <c r="LDY105" s="1157">
        <f t="shared" ref="LDY105" si="2062">LDX102</f>
        <v>0</v>
      </c>
      <c r="LDZ105" s="1051"/>
      <c r="LEA105" s="1051"/>
      <c r="LEB105" s="1056"/>
      <c r="LEC105" s="1157">
        <f t="shared" ref="LEC105" si="2063">LEB102</f>
        <v>0</v>
      </c>
      <c r="LED105" s="1051"/>
      <c r="LEE105" s="1051"/>
      <c r="LEF105" s="1056"/>
      <c r="LEG105" s="1157">
        <f t="shared" ref="LEG105" si="2064">LEF102</f>
        <v>0</v>
      </c>
      <c r="LEH105" s="1051"/>
      <c r="LEI105" s="1051"/>
      <c r="LEJ105" s="1056"/>
      <c r="LEK105" s="1157">
        <f t="shared" ref="LEK105" si="2065">LEJ102</f>
        <v>0</v>
      </c>
      <c r="LEL105" s="1051"/>
      <c r="LEM105" s="1051"/>
      <c r="LEN105" s="1056"/>
      <c r="LEO105" s="1157">
        <f t="shared" ref="LEO105" si="2066">LEN102</f>
        <v>0</v>
      </c>
      <c r="LEP105" s="1051"/>
      <c r="LEQ105" s="1051"/>
      <c r="LER105" s="1056"/>
      <c r="LES105" s="1157">
        <f t="shared" ref="LES105" si="2067">LER102</f>
        <v>0</v>
      </c>
      <c r="LET105" s="1051"/>
      <c r="LEU105" s="1051"/>
      <c r="LEV105" s="1056"/>
      <c r="LEW105" s="1157">
        <f t="shared" ref="LEW105" si="2068">LEV102</f>
        <v>0</v>
      </c>
      <c r="LEX105" s="1051"/>
      <c r="LEY105" s="1051"/>
      <c r="LEZ105" s="1056"/>
      <c r="LFA105" s="1157">
        <f t="shared" ref="LFA105" si="2069">LEZ102</f>
        <v>0</v>
      </c>
      <c r="LFB105" s="1051"/>
      <c r="LFC105" s="1051"/>
      <c r="LFD105" s="1056"/>
      <c r="LFE105" s="1157">
        <f t="shared" ref="LFE105" si="2070">LFD102</f>
        <v>0</v>
      </c>
      <c r="LFF105" s="1051"/>
      <c r="LFG105" s="1051"/>
      <c r="LFH105" s="1056"/>
      <c r="LFI105" s="1157">
        <f t="shared" ref="LFI105" si="2071">LFH102</f>
        <v>0</v>
      </c>
      <c r="LFJ105" s="1051"/>
      <c r="LFK105" s="1051"/>
      <c r="LFL105" s="1056"/>
      <c r="LFM105" s="1157">
        <f t="shared" ref="LFM105" si="2072">LFL102</f>
        <v>0</v>
      </c>
      <c r="LFN105" s="1051"/>
      <c r="LFO105" s="1051"/>
      <c r="LFP105" s="1056"/>
      <c r="LFQ105" s="1157">
        <f t="shared" ref="LFQ105" si="2073">LFP102</f>
        <v>0</v>
      </c>
      <c r="LFR105" s="1051"/>
      <c r="LFS105" s="1051"/>
      <c r="LFT105" s="1056"/>
      <c r="LFU105" s="1157">
        <f t="shared" ref="LFU105" si="2074">LFT102</f>
        <v>0</v>
      </c>
      <c r="LFV105" s="1051"/>
      <c r="LFW105" s="1051"/>
      <c r="LFX105" s="1056"/>
      <c r="LFY105" s="1157">
        <f t="shared" ref="LFY105" si="2075">LFX102</f>
        <v>0</v>
      </c>
      <c r="LFZ105" s="1051"/>
      <c r="LGA105" s="1051"/>
      <c r="LGB105" s="1056"/>
      <c r="LGC105" s="1157">
        <f t="shared" ref="LGC105" si="2076">LGB102</f>
        <v>0</v>
      </c>
      <c r="LGD105" s="1051"/>
      <c r="LGE105" s="1051"/>
      <c r="LGF105" s="1056"/>
      <c r="LGG105" s="1157">
        <f t="shared" ref="LGG105" si="2077">LGF102</f>
        <v>0</v>
      </c>
      <c r="LGH105" s="1051"/>
      <c r="LGI105" s="1051"/>
      <c r="LGJ105" s="1056"/>
      <c r="LGK105" s="1157">
        <f t="shared" ref="LGK105" si="2078">LGJ102</f>
        <v>0</v>
      </c>
      <c r="LGL105" s="1051"/>
      <c r="LGM105" s="1051"/>
      <c r="LGN105" s="1056"/>
      <c r="LGO105" s="1157">
        <f t="shared" ref="LGO105" si="2079">LGN102</f>
        <v>0</v>
      </c>
      <c r="LGP105" s="1051"/>
      <c r="LGQ105" s="1051"/>
      <c r="LGR105" s="1056"/>
      <c r="LGS105" s="1157">
        <f t="shared" ref="LGS105" si="2080">LGR102</f>
        <v>0</v>
      </c>
      <c r="LGT105" s="1051"/>
      <c r="LGU105" s="1051"/>
      <c r="LGV105" s="1056"/>
      <c r="LGW105" s="1157">
        <f t="shared" ref="LGW105" si="2081">LGV102</f>
        <v>0</v>
      </c>
      <c r="LGX105" s="1051"/>
      <c r="LGY105" s="1051"/>
      <c r="LGZ105" s="1056"/>
      <c r="LHA105" s="1157">
        <f t="shared" ref="LHA105" si="2082">LGZ102</f>
        <v>0</v>
      </c>
      <c r="LHB105" s="1051"/>
      <c r="LHC105" s="1051"/>
      <c r="LHD105" s="1056"/>
      <c r="LHE105" s="1157">
        <f t="shared" ref="LHE105" si="2083">LHD102</f>
        <v>0</v>
      </c>
      <c r="LHF105" s="1051"/>
      <c r="LHG105" s="1051"/>
      <c r="LHH105" s="1056"/>
      <c r="LHI105" s="1157">
        <f t="shared" ref="LHI105" si="2084">LHH102</f>
        <v>0</v>
      </c>
      <c r="LHJ105" s="1051"/>
      <c r="LHK105" s="1051"/>
      <c r="LHL105" s="1056"/>
      <c r="LHM105" s="1157">
        <f t="shared" ref="LHM105" si="2085">LHL102</f>
        <v>0</v>
      </c>
      <c r="LHN105" s="1051"/>
      <c r="LHO105" s="1051"/>
      <c r="LHP105" s="1056"/>
      <c r="LHQ105" s="1157">
        <f t="shared" ref="LHQ105" si="2086">LHP102</f>
        <v>0</v>
      </c>
      <c r="LHR105" s="1051"/>
      <c r="LHS105" s="1051"/>
      <c r="LHT105" s="1056"/>
      <c r="LHU105" s="1157">
        <f t="shared" ref="LHU105" si="2087">LHT102</f>
        <v>0</v>
      </c>
      <c r="LHV105" s="1051"/>
      <c r="LHW105" s="1051"/>
      <c r="LHX105" s="1056"/>
      <c r="LHY105" s="1157">
        <f t="shared" ref="LHY105" si="2088">LHX102</f>
        <v>0</v>
      </c>
      <c r="LHZ105" s="1051"/>
      <c r="LIA105" s="1051"/>
      <c r="LIB105" s="1056"/>
      <c r="LIC105" s="1157">
        <f t="shared" ref="LIC105" si="2089">LIB102</f>
        <v>0</v>
      </c>
      <c r="LID105" s="1051"/>
      <c r="LIE105" s="1051"/>
      <c r="LIF105" s="1056"/>
      <c r="LIG105" s="1157">
        <f t="shared" ref="LIG105" si="2090">LIF102</f>
        <v>0</v>
      </c>
      <c r="LIH105" s="1051"/>
      <c r="LII105" s="1051"/>
      <c r="LIJ105" s="1056"/>
      <c r="LIK105" s="1157">
        <f t="shared" ref="LIK105" si="2091">LIJ102</f>
        <v>0</v>
      </c>
      <c r="LIL105" s="1051"/>
      <c r="LIM105" s="1051"/>
      <c r="LIN105" s="1056"/>
      <c r="LIO105" s="1157">
        <f t="shared" ref="LIO105" si="2092">LIN102</f>
        <v>0</v>
      </c>
      <c r="LIP105" s="1051"/>
      <c r="LIQ105" s="1051"/>
      <c r="LIR105" s="1056"/>
      <c r="LIS105" s="1157">
        <f t="shared" ref="LIS105" si="2093">LIR102</f>
        <v>0</v>
      </c>
      <c r="LIT105" s="1051"/>
      <c r="LIU105" s="1051"/>
      <c r="LIV105" s="1056"/>
      <c r="LIW105" s="1157">
        <f t="shared" ref="LIW105" si="2094">LIV102</f>
        <v>0</v>
      </c>
      <c r="LIX105" s="1051"/>
      <c r="LIY105" s="1051"/>
      <c r="LIZ105" s="1056"/>
      <c r="LJA105" s="1157">
        <f t="shared" ref="LJA105" si="2095">LIZ102</f>
        <v>0</v>
      </c>
      <c r="LJB105" s="1051"/>
      <c r="LJC105" s="1051"/>
      <c r="LJD105" s="1056"/>
      <c r="LJE105" s="1157">
        <f t="shared" ref="LJE105" si="2096">LJD102</f>
        <v>0</v>
      </c>
      <c r="LJF105" s="1051"/>
      <c r="LJG105" s="1051"/>
      <c r="LJH105" s="1056"/>
      <c r="LJI105" s="1157">
        <f t="shared" ref="LJI105" si="2097">LJH102</f>
        <v>0</v>
      </c>
      <c r="LJJ105" s="1051"/>
      <c r="LJK105" s="1051"/>
      <c r="LJL105" s="1056"/>
      <c r="LJM105" s="1157">
        <f t="shared" ref="LJM105" si="2098">LJL102</f>
        <v>0</v>
      </c>
      <c r="LJN105" s="1051"/>
      <c r="LJO105" s="1051"/>
      <c r="LJP105" s="1056"/>
      <c r="LJQ105" s="1157">
        <f t="shared" ref="LJQ105" si="2099">LJP102</f>
        <v>0</v>
      </c>
      <c r="LJR105" s="1051"/>
      <c r="LJS105" s="1051"/>
      <c r="LJT105" s="1056"/>
      <c r="LJU105" s="1157">
        <f t="shared" ref="LJU105" si="2100">LJT102</f>
        <v>0</v>
      </c>
      <c r="LJV105" s="1051"/>
      <c r="LJW105" s="1051"/>
      <c r="LJX105" s="1056"/>
      <c r="LJY105" s="1157">
        <f t="shared" ref="LJY105" si="2101">LJX102</f>
        <v>0</v>
      </c>
      <c r="LJZ105" s="1051"/>
      <c r="LKA105" s="1051"/>
      <c r="LKB105" s="1056"/>
      <c r="LKC105" s="1157">
        <f t="shared" ref="LKC105" si="2102">LKB102</f>
        <v>0</v>
      </c>
      <c r="LKD105" s="1051"/>
      <c r="LKE105" s="1051"/>
      <c r="LKF105" s="1056"/>
      <c r="LKG105" s="1157">
        <f t="shared" ref="LKG105" si="2103">LKF102</f>
        <v>0</v>
      </c>
      <c r="LKH105" s="1051"/>
      <c r="LKI105" s="1051"/>
      <c r="LKJ105" s="1056"/>
      <c r="LKK105" s="1157">
        <f t="shared" ref="LKK105" si="2104">LKJ102</f>
        <v>0</v>
      </c>
      <c r="LKL105" s="1051"/>
      <c r="LKM105" s="1051"/>
      <c r="LKN105" s="1056"/>
      <c r="LKO105" s="1157">
        <f t="shared" ref="LKO105" si="2105">LKN102</f>
        <v>0</v>
      </c>
      <c r="LKP105" s="1051"/>
      <c r="LKQ105" s="1051"/>
      <c r="LKR105" s="1056"/>
      <c r="LKS105" s="1157">
        <f t="shared" ref="LKS105" si="2106">LKR102</f>
        <v>0</v>
      </c>
      <c r="LKT105" s="1051"/>
      <c r="LKU105" s="1051"/>
      <c r="LKV105" s="1056"/>
      <c r="LKW105" s="1157">
        <f t="shared" ref="LKW105" si="2107">LKV102</f>
        <v>0</v>
      </c>
      <c r="LKX105" s="1051"/>
      <c r="LKY105" s="1051"/>
      <c r="LKZ105" s="1056"/>
      <c r="LLA105" s="1157">
        <f t="shared" ref="LLA105" si="2108">LKZ102</f>
        <v>0</v>
      </c>
      <c r="LLB105" s="1051"/>
      <c r="LLC105" s="1051"/>
      <c r="LLD105" s="1056"/>
      <c r="LLE105" s="1157">
        <f t="shared" ref="LLE105" si="2109">LLD102</f>
        <v>0</v>
      </c>
      <c r="LLF105" s="1051"/>
      <c r="LLG105" s="1051"/>
      <c r="LLH105" s="1056"/>
      <c r="LLI105" s="1157">
        <f t="shared" ref="LLI105" si="2110">LLH102</f>
        <v>0</v>
      </c>
      <c r="LLJ105" s="1051"/>
      <c r="LLK105" s="1051"/>
      <c r="LLL105" s="1056"/>
      <c r="LLM105" s="1157">
        <f t="shared" ref="LLM105" si="2111">LLL102</f>
        <v>0</v>
      </c>
      <c r="LLN105" s="1051"/>
      <c r="LLO105" s="1051"/>
      <c r="LLP105" s="1056"/>
      <c r="LLQ105" s="1157">
        <f t="shared" ref="LLQ105" si="2112">LLP102</f>
        <v>0</v>
      </c>
      <c r="LLR105" s="1051"/>
      <c r="LLS105" s="1051"/>
      <c r="LLT105" s="1056"/>
      <c r="LLU105" s="1157">
        <f t="shared" ref="LLU105" si="2113">LLT102</f>
        <v>0</v>
      </c>
      <c r="LLV105" s="1051"/>
      <c r="LLW105" s="1051"/>
      <c r="LLX105" s="1056"/>
      <c r="LLY105" s="1157">
        <f t="shared" ref="LLY105" si="2114">LLX102</f>
        <v>0</v>
      </c>
      <c r="LLZ105" s="1051"/>
      <c r="LMA105" s="1051"/>
      <c r="LMB105" s="1056"/>
      <c r="LMC105" s="1157">
        <f t="shared" ref="LMC105" si="2115">LMB102</f>
        <v>0</v>
      </c>
      <c r="LMD105" s="1051"/>
      <c r="LME105" s="1051"/>
      <c r="LMF105" s="1056"/>
      <c r="LMG105" s="1157">
        <f t="shared" ref="LMG105" si="2116">LMF102</f>
        <v>0</v>
      </c>
      <c r="LMH105" s="1051"/>
      <c r="LMI105" s="1051"/>
      <c r="LMJ105" s="1056"/>
      <c r="LMK105" s="1157">
        <f t="shared" ref="LMK105" si="2117">LMJ102</f>
        <v>0</v>
      </c>
      <c r="LML105" s="1051"/>
      <c r="LMM105" s="1051"/>
      <c r="LMN105" s="1056"/>
      <c r="LMO105" s="1157">
        <f t="shared" ref="LMO105" si="2118">LMN102</f>
        <v>0</v>
      </c>
      <c r="LMP105" s="1051"/>
      <c r="LMQ105" s="1051"/>
      <c r="LMR105" s="1056"/>
      <c r="LMS105" s="1157">
        <f t="shared" ref="LMS105" si="2119">LMR102</f>
        <v>0</v>
      </c>
      <c r="LMT105" s="1051"/>
      <c r="LMU105" s="1051"/>
      <c r="LMV105" s="1056"/>
      <c r="LMW105" s="1157">
        <f t="shared" ref="LMW105" si="2120">LMV102</f>
        <v>0</v>
      </c>
      <c r="LMX105" s="1051"/>
      <c r="LMY105" s="1051"/>
      <c r="LMZ105" s="1056"/>
      <c r="LNA105" s="1157">
        <f t="shared" ref="LNA105" si="2121">LMZ102</f>
        <v>0</v>
      </c>
      <c r="LNB105" s="1051"/>
      <c r="LNC105" s="1051"/>
      <c r="LND105" s="1056"/>
      <c r="LNE105" s="1157">
        <f t="shared" ref="LNE105" si="2122">LND102</f>
        <v>0</v>
      </c>
      <c r="LNF105" s="1051"/>
      <c r="LNG105" s="1051"/>
      <c r="LNH105" s="1056"/>
      <c r="LNI105" s="1157">
        <f t="shared" ref="LNI105" si="2123">LNH102</f>
        <v>0</v>
      </c>
      <c r="LNJ105" s="1051"/>
      <c r="LNK105" s="1051"/>
      <c r="LNL105" s="1056"/>
      <c r="LNM105" s="1157">
        <f t="shared" ref="LNM105" si="2124">LNL102</f>
        <v>0</v>
      </c>
      <c r="LNN105" s="1051"/>
      <c r="LNO105" s="1051"/>
      <c r="LNP105" s="1056"/>
      <c r="LNQ105" s="1157">
        <f t="shared" ref="LNQ105" si="2125">LNP102</f>
        <v>0</v>
      </c>
      <c r="LNR105" s="1051"/>
      <c r="LNS105" s="1051"/>
      <c r="LNT105" s="1056"/>
      <c r="LNU105" s="1157">
        <f t="shared" ref="LNU105" si="2126">LNT102</f>
        <v>0</v>
      </c>
      <c r="LNV105" s="1051"/>
      <c r="LNW105" s="1051"/>
      <c r="LNX105" s="1056"/>
      <c r="LNY105" s="1157">
        <f t="shared" ref="LNY105" si="2127">LNX102</f>
        <v>0</v>
      </c>
      <c r="LNZ105" s="1051"/>
      <c r="LOA105" s="1051"/>
      <c r="LOB105" s="1056"/>
      <c r="LOC105" s="1157">
        <f t="shared" ref="LOC105" si="2128">LOB102</f>
        <v>0</v>
      </c>
      <c r="LOD105" s="1051"/>
      <c r="LOE105" s="1051"/>
      <c r="LOF105" s="1056"/>
      <c r="LOG105" s="1157">
        <f t="shared" ref="LOG105" si="2129">LOF102</f>
        <v>0</v>
      </c>
      <c r="LOH105" s="1051"/>
      <c r="LOI105" s="1051"/>
      <c r="LOJ105" s="1056"/>
      <c r="LOK105" s="1157">
        <f t="shared" ref="LOK105" si="2130">LOJ102</f>
        <v>0</v>
      </c>
      <c r="LOL105" s="1051"/>
      <c r="LOM105" s="1051"/>
      <c r="LON105" s="1056"/>
      <c r="LOO105" s="1157">
        <f t="shared" ref="LOO105" si="2131">LON102</f>
        <v>0</v>
      </c>
      <c r="LOP105" s="1051"/>
      <c r="LOQ105" s="1051"/>
      <c r="LOR105" s="1056"/>
      <c r="LOS105" s="1157">
        <f t="shared" ref="LOS105" si="2132">LOR102</f>
        <v>0</v>
      </c>
      <c r="LOT105" s="1051"/>
      <c r="LOU105" s="1051"/>
      <c r="LOV105" s="1056"/>
      <c r="LOW105" s="1157">
        <f t="shared" ref="LOW105" si="2133">LOV102</f>
        <v>0</v>
      </c>
      <c r="LOX105" s="1051"/>
      <c r="LOY105" s="1051"/>
      <c r="LOZ105" s="1056"/>
      <c r="LPA105" s="1157">
        <f t="shared" ref="LPA105" si="2134">LOZ102</f>
        <v>0</v>
      </c>
      <c r="LPB105" s="1051"/>
      <c r="LPC105" s="1051"/>
      <c r="LPD105" s="1056"/>
      <c r="LPE105" s="1157">
        <f t="shared" ref="LPE105" si="2135">LPD102</f>
        <v>0</v>
      </c>
      <c r="LPF105" s="1051"/>
      <c r="LPG105" s="1051"/>
      <c r="LPH105" s="1056"/>
      <c r="LPI105" s="1157">
        <f t="shared" ref="LPI105" si="2136">LPH102</f>
        <v>0</v>
      </c>
      <c r="LPJ105" s="1051"/>
      <c r="LPK105" s="1051"/>
      <c r="LPL105" s="1056"/>
      <c r="LPM105" s="1157">
        <f t="shared" ref="LPM105" si="2137">LPL102</f>
        <v>0</v>
      </c>
      <c r="LPN105" s="1051"/>
      <c r="LPO105" s="1051"/>
      <c r="LPP105" s="1056"/>
      <c r="LPQ105" s="1157">
        <f t="shared" ref="LPQ105" si="2138">LPP102</f>
        <v>0</v>
      </c>
      <c r="LPR105" s="1051"/>
      <c r="LPS105" s="1051"/>
      <c r="LPT105" s="1056"/>
      <c r="LPU105" s="1157">
        <f t="shared" ref="LPU105" si="2139">LPT102</f>
        <v>0</v>
      </c>
      <c r="LPV105" s="1051"/>
      <c r="LPW105" s="1051"/>
      <c r="LPX105" s="1056"/>
      <c r="LPY105" s="1157">
        <f t="shared" ref="LPY105" si="2140">LPX102</f>
        <v>0</v>
      </c>
      <c r="LPZ105" s="1051"/>
      <c r="LQA105" s="1051"/>
      <c r="LQB105" s="1056"/>
      <c r="LQC105" s="1157">
        <f t="shared" ref="LQC105" si="2141">LQB102</f>
        <v>0</v>
      </c>
      <c r="LQD105" s="1051"/>
      <c r="LQE105" s="1051"/>
      <c r="LQF105" s="1056"/>
      <c r="LQG105" s="1157">
        <f t="shared" ref="LQG105" si="2142">LQF102</f>
        <v>0</v>
      </c>
      <c r="LQH105" s="1051"/>
      <c r="LQI105" s="1051"/>
      <c r="LQJ105" s="1056"/>
      <c r="LQK105" s="1157">
        <f t="shared" ref="LQK105" si="2143">LQJ102</f>
        <v>0</v>
      </c>
      <c r="LQL105" s="1051"/>
      <c r="LQM105" s="1051"/>
      <c r="LQN105" s="1056"/>
      <c r="LQO105" s="1157">
        <f t="shared" ref="LQO105" si="2144">LQN102</f>
        <v>0</v>
      </c>
      <c r="LQP105" s="1051"/>
      <c r="LQQ105" s="1051"/>
      <c r="LQR105" s="1056"/>
      <c r="LQS105" s="1157">
        <f t="shared" ref="LQS105" si="2145">LQR102</f>
        <v>0</v>
      </c>
      <c r="LQT105" s="1051"/>
      <c r="LQU105" s="1051"/>
      <c r="LQV105" s="1056"/>
      <c r="LQW105" s="1157">
        <f t="shared" ref="LQW105" si="2146">LQV102</f>
        <v>0</v>
      </c>
      <c r="LQX105" s="1051"/>
      <c r="LQY105" s="1051"/>
      <c r="LQZ105" s="1056"/>
      <c r="LRA105" s="1157">
        <f t="shared" ref="LRA105" si="2147">LQZ102</f>
        <v>0</v>
      </c>
      <c r="LRB105" s="1051"/>
      <c r="LRC105" s="1051"/>
      <c r="LRD105" s="1056"/>
      <c r="LRE105" s="1157">
        <f t="shared" ref="LRE105" si="2148">LRD102</f>
        <v>0</v>
      </c>
      <c r="LRF105" s="1051"/>
      <c r="LRG105" s="1051"/>
      <c r="LRH105" s="1056"/>
      <c r="LRI105" s="1157">
        <f t="shared" ref="LRI105" si="2149">LRH102</f>
        <v>0</v>
      </c>
      <c r="LRJ105" s="1051"/>
      <c r="LRK105" s="1051"/>
      <c r="LRL105" s="1056"/>
      <c r="LRM105" s="1157">
        <f t="shared" ref="LRM105" si="2150">LRL102</f>
        <v>0</v>
      </c>
      <c r="LRN105" s="1051"/>
      <c r="LRO105" s="1051"/>
      <c r="LRP105" s="1056"/>
      <c r="LRQ105" s="1157">
        <f t="shared" ref="LRQ105" si="2151">LRP102</f>
        <v>0</v>
      </c>
      <c r="LRR105" s="1051"/>
      <c r="LRS105" s="1051"/>
      <c r="LRT105" s="1056"/>
      <c r="LRU105" s="1157">
        <f t="shared" ref="LRU105" si="2152">LRT102</f>
        <v>0</v>
      </c>
      <c r="LRV105" s="1051"/>
      <c r="LRW105" s="1051"/>
      <c r="LRX105" s="1056"/>
      <c r="LRY105" s="1157">
        <f t="shared" ref="LRY105" si="2153">LRX102</f>
        <v>0</v>
      </c>
      <c r="LRZ105" s="1051"/>
      <c r="LSA105" s="1051"/>
      <c r="LSB105" s="1056"/>
      <c r="LSC105" s="1157">
        <f t="shared" ref="LSC105" si="2154">LSB102</f>
        <v>0</v>
      </c>
      <c r="LSD105" s="1051"/>
      <c r="LSE105" s="1051"/>
      <c r="LSF105" s="1056"/>
      <c r="LSG105" s="1157">
        <f t="shared" ref="LSG105" si="2155">LSF102</f>
        <v>0</v>
      </c>
      <c r="LSH105" s="1051"/>
      <c r="LSI105" s="1051"/>
      <c r="LSJ105" s="1056"/>
      <c r="LSK105" s="1157">
        <f t="shared" ref="LSK105" si="2156">LSJ102</f>
        <v>0</v>
      </c>
      <c r="LSL105" s="1051"/>
      <c r="LSM105" s="1051"/>
      <c r="LSN105" s="1056"/>
      <c r="LSO105" s="1157">
        <f t="shared" ref="LSO105" si="2157">LSN102</f>
        <v>0</v>
      </c>
      <c r="LSP105" s="1051"/>
      <c r="LSQ105" s="1051"/>
      <c r="LSR105" s="1056"/>
      <c r="LSS105" s="1157">
        <f t="shared" ref="LSS105" si="2158">LSR102</f>
        <v>0</v>
      </c>
      <c r="LST105" s="1051"/>
      <c r="LSU105" s="1051"/>
      <c r="LSV105" s="1056"/>
      <c r="LSW105" s="1157">
        <f t="shared" ref="LSW105" si="2159">LSV102</f>
        <v>0</v>
      </c>
      <c r="LSX105" s="1051"/>
      <c r="LSY105" s="1051"/>
      <c r="LSZ105" s="1056"/>
      <c r="LTA105" s="1157">
        <f t="shared" ref="LTA105" si="2160">LSZ102</f>
        <v>0</v>
      </c>
      <c r="LTB105" s="1051"/>
      <c r="LTC105" s="1051"/>
      <c r="LTD105" s="1056"/>
      <c r="LTE105" s="1157">
        <f t="shared" ref="LTE105" si="2161">LTD102</f>
        <v>0</v>
      </c>
      <c r="LTF105" s="1051"/>
      <c r="LTG105" s="1051"/>
      <c r="LTH105" s="1056"/>
      <c r="LTI105" s="1157">
        <f t="shared" ref="LTI105" si="2162">LTH102</f>
        <v>0</v>
      </c>
      <c r="LTJ105" s="1051"/>
      <c r="LTK105" s="1051"/>
      <c r="LTL105" s="1056"/>
      <c r="LTM105" s="1157">
        <f t="shared" ref="LTM105" si="2163">LTL102</f>
        <v>0</v>
      </c>
      <c r="LTN105" s="1051"/>
      <c r="LTO105" s="1051"/>
      <c r="LTP105" s="1056"/>
      <c r="LTQ105" s="1157">
        <f t="shared" ref="LTQ105" si="2164">LTP102</f>
        <v>0</v>
      </c>
      <c r="LTR105" s="1051"/>
      <c r="LTS105" s="1051"/>
      <c r="LTT105" s="1056"/>
      <c r="LTU105" s="1157">
        <f t="shared" ref="LTU105" si="2165">LTT102</f>
        <v>0</v>
      </c>
      <c r="LTV105" s="1051"/>
      <c r="LTW105" s="1051"/>
      <c r="LTX105" s="1056"/>
      <c r="LTY105" s="1157">
        <f t="shared" ref="LTY105" si="2166">LTX102</f>
        <v>0</v>
      </c>
      <c r="LTZ105" s="1051"/>
      <c r="LUA105" s="1051"/>
      <c r="LUB105" s="1056"/>
      <c r="LUC105" s="1157">
        <f t="shared" ref="LUC105" si="2167">LUB102</f>
        <v>0</v>
      </c>
      <c r="LUD105" s="1051"/>
      <c r="LUE105" s="1051"/>
      <c r="LUF105" s="1056"/>
      <c r="LUG105" s="1157">
        <f t="shared" ref="LUG105" si="2168">LUF102</f>
        <v>0</v>
      </c>
      <c r="LUH105" s="1051"/>
      <c r="LUI105" s="1051"/>
      <c r="LUJ105" s="1056"/>
      <c r="LUK105" s="1157">
        <f t="shared" ref="LUK105" si="2169">LUJ102</f>
        <v>0</v>
      </c>
      <c r="LUL105" s="1051"/>
      <c r="LUM105" s="1051"/>
      <c r="LUN105" s="1056"/>
      <c r="LUO105" s="1157">
        <f t="shared" ref="LUO105" si="2170">LUN102</f>
        <v>0</v>
      </c>
      <c r="LUP105" s="1051"/>
      <c r="LUQ105" s="1051"/>
      <c r="LUR105" s="1056"/>
      <c r="LUS105" s="1157">
        <f t="shared" ref="LUS105" si="2171">LUR102</f>
        <v>0</v>
      </c>
      <c r="LUT105" s="1051"/>
      <c r="LUU105" s="1051"/>
      <c r="LUV105" s="1056"/>
      <c r="LUW105" s="1157">
        <f t="shared" ref="LUW105" si="2172">LUV102</f>
        <v>0</v>
      </c>
      <c r="LUX105" s="1051"/>
      <c r="LUY105" s="1051"/>
      <c r="LUZ105" s="1056"/>
      <c r="LVA105" s="1157">
        <f t="shared" ref="LVA105" si="2173">LUZ102</f>
        <v>0</v>
      </c>
      <c r="LVB105" s="1051"/>
      <c r="LVC105" s="1051"/>
      <c r="LVD105" s="1056"/>
      <c r="LVE105" s="1157">
        <f t="shared" ref="LVE105" si="2174">LVD102</f>
        <v>0</v>
      </c>
      <c r="LVF105" s="1051"/>
      <c r="LVG105" s="1051"/>
      <c r="LVH105" s="1056"/>
      <c r="LVI105" s="1157">
        <f t="shared" ref="LVI105" si="2175">LVH102</f>
        <v>0</v>
      </c>
      <c r="LVJ105" s="1051"/>
      <c r="LVK105" s="1051"/>
      <c r="LVL105" s="1056"/>
      <c r="LVM105" s="1157">
        <f t="shared" ref="LVM105" si="2176">LVL102</f>
        <v>0</v>
      </c>
      <c r="LVN105" s="1051"/>
      <c r="LVO105" s="1051"/>
      <c r="LVP105" s="1056"/>
      <c r="LVQ105" s="1157">
        <f t="shared" ref="LVQ105" si="2177">LVP102</f>
        <v>0</v>
      </c>
      <c r="LVR105" s="1051"/>
      <c r="LVS105" s="1051"/>
      <c r="LVT105" s="1056"/>
      <c r="LVU105" s="1157">
        <f t="shared" ref="LVU105" si="2178">LVT102</f>
        <v>0</v>
      </c>
      <c r="LVV105" s="1051"/>
      <c r="LVW105" s="1051"/>
      <c r="LVX105" s="1056"/>
      <c r="LVY105" s="1157">
        <f t="shared" ref="LVY105" si="2179">LVX102</f>
        <v>0</v>
      </c>
      <c r="LVZ105" s="1051"/>
      <c r="LWA105" s="1051"/>
      <c r="LWB105" s="1056"/>
      <c r="LWC105" s="1157">
        <f t="shared" ref="LWC105" si="2180">LWB102</f>
        <v>0</v>
      </c>
      <c r="LWD105" s="1051"/>
      <c r="LWE105" s="1051"/>
      <c r="LWF105" s="1056"/>
      <c r="LWG105" s="1157">
        <f t="shared" ref="LWG105" si="2181">LWF102</f>
        <v>0</v>
      </c>
      <c r="LWH105" s="1051"/>
      <c r="LWI105" s="1051"/>
      <c r="LWJ105" s="1056"/>
      <c r="LWK105" s="1157">
        <f t="shared" ref="LWK105" si="2182">LWJ102</f>
        <v>0</v>
      </c>
      <c r="LWL105" s="1051"/>
      <c r="LWM105" s="1051"/>
      <c r="LWN105" s="1056"/>
      <c r="LWO105" s="1157">
        <f t="shared" ref="LWO105" si="2183">LWN102</f>
        <v>0</v>
      </c>
      <c r="LWP105" s="1051"/>
      <c r="LWQ105" s="1051"/>
      <c r="LWR105" s="1056"/>
      <c r="LWS105" s="1157">
        <f t="shared" ref="LWS105" si="2184">LWR102</f>
        <v>0</v>
      </c>
      <c r="LWT105" s="1051"/>
      <c r="LWU105" s="1051"/>
      <c r="LWV105" s="1056"/>
      <c r="LWW105" s="1157">
        <f t="shared" ref="LWW105" si="2185">LWV102</f>
        <v>0</v>
      </c>
      <c r="LWX105" s="1051"/>
      <c r="LWY105" s="1051"/>
      <c r="LWZ105" s="1056"/>
      <c r="LXA105" s="1157">
        <f t="shared" ref="LXA105" si="2186">LWZ102</f>
        <v>0</v>
      </c>
      <c r="LXB105" s="1051"/>
      <c r="LXC105" s="1051"/>
      <c r="LXD105" s="1056"/>
      <c r="LXE105" s="1157">
        <f t="shared" ref="LXE105" si="2187">LXD102</f>
        <v>0</v>
      </c>
      <c r="LXF105" s="1051"/>
      <c r="LXG105" s="1051"/>
      <c r="LXH105" s="1056"/>
      <c r="LXI105" s="1157">
        <f t="shared" ref="LXI105" si="2188">LXH102</f>
        <v>0</v>
      </c>
      <c r="LXJ105" s="1051"/>
      <c r="LXK105" s="1051"/>
      <c r="LXL105" s="1056"/>
      <c r="LXM105" s="1157">
        <f t="shared" ref="LXM105" si="2189">LXL102</f>
        <v>0</v>
      </c>
      <c r="LXN105" s="1051"/>
      <c r="LXO105" s="1051"/>
      <c r="LXP105" s="1056"/>
      <c r="LXQ105" s="1157">
        <f t="shared" ref="LXQ105" si="2190">LXP102</f>
        <v>0</v>
      </c>
      <c r="LXR105" s="1051"/>
      <c r="LXS105" s="1051"/>
      <c r="LXT105" s="1056"/>
      <c r="LXU105" s="1157">
        <f t="shared" ref="LXU105" si="2191">LXT102</f>
        <v>0</v>
      </c>
      <c r="LXV105" s="1051"/>
      <c r="LXW105" s="1051"/>
      <c r="LXX105" s="1056"/>
      <c r="LXY105" s="1157">
        <f t="shared" ref="LXY105" si="2192">LXX102</f>
        <v>0</v>
      </c>
      <c r="LXZ105" s="1051"/>
      <c r="LYA105" s="1051"/>
      <c r="LYB105" s="1056"/>
      <c r="LYC105" s="1157">
        <f t="shared" ref="LYC105" si="2193">LYB102</f>
        <v>0</v>
      </c>
      <c r="LYD105" s="1051"/>
      <c r="LYE105" s="1051"/>
      <c r="LYF105" s="1056"/>
      <c r="LYG105" s="1157">
        <f t="shared" ref="LYG105" si="2194">LYF102</f>
        <v>0</v>
      </c>
      <c r="LYH105" s="1051"/>
      <c r="LYI105" s="1051"/>
      <c r="LYJ105" s="1056"/>
      <c r="LYK105" s="1157">
        <f t="shared" ref="LYK105" si="2195">LYJ102</f>
        <v>0</v>
      </c>
      <c r="LYL105" s="1051"/>
      <c r="LYM105" s="1051"/>
      <c r="LYN105" s="1056"/>
      <c r="LYO105" s="1157">
        <f t="shared" ref="LYO105" si="2196">LYN102</f>
        <v>0</v>
      </c>
      <c r="LYP105" s="1051"/>
      <c r="LYQ105" s="1051"/>
      <c r="LYR105" s="1056"/>
      <c r="LYS105" s="1157">
        <f t="shared" ref="LYS105" si="2197">LYR102</f>
        <v>0</v>
      </c>
      <c r="LYT105" s="1051"/>
      <c r="LYU105" s="1051"/>
      <c r="LYV105" s="1056"/>
      <c r="LYW105" s="1157">
        <f t="shared" ref="LYW105" si="2198">LYV102</f>
        <v>0</v>
      </c>
      <c r="LYX105" s="1051"/>
      <c r="LYY105" s="1051"/>
      <c r="LYZ105" s="1056"/>
      <c r="LZA105" s="1157">
        <f t="shared" ref="LZA105" si="2199">LYZ102</f>
        <v>0</v>
      </c>
      <c r="LZB105" s="1051"/>
      <c r="LZC105" s="1051"/>
      <c r="LZD105" s="1056"/>
      <c r="LZE105" s="1157">
        <f t="shared" ref="LZE105" si="2200">LZD102</f>
        <v>0</v>
      </c>
      <c r="LZF105" s="1051"/>
      <c r="LZG105" s="1051"/>
      <c r="LZH105" s="1056"/>
      <c r="LZI105" s="1157">
        <f t="shared" ref="LZI105" si="2201">LZH102</f>
        <v>0</v>
      </c>
      <c r="LZJ105" s="1051"/>
      <c r="LZK105" s="1051"/>
      <c r="LZL105" s="1056"/>
      <c r="LZM105" s="1157">
        <f t="shared" ref="LZM105" si="2202">LZL102</f>
        <v>0</v>
      </c>
      <c r="LZN105" s="1051"/>
      <c r="LZO105" s="1051"/>
      <c r="LZP105" s="1056"/>
      <c r="LZQ105" s="1157">
        <f t="shared" ref="LZQ105" si="2203">LZP102</f>
        <v>0</v>
      </c>
      <c r="LZR105" s="1051"/>
      <c r="LZS105" s="1051"/>
      <c r="LZT105" s="1056"/>
      <c r="LZU105" s="1157">
        <f t="shared" ref="LZU105" si="2204">LZT102</f>
        <v>0</v>
      </c>
      <c r="LZV105" s="1051"/>
      <c r="LZW105" s="1051"/>
      <c r="LZX105" s="1056"/>
      <c r="LZY105" s="1157">
        <f t="shared" ref="LZY105" si="2205">LZX102</f>
        <v>0</v>
      </c>
      <c r="LZZ105" s="1051"/>
      <c r="MAA105" s="1051"/>
      <c r="MAB105" s="1056"/>
      <c r="MAC105" s="1157">
        <f t="shared" ref="MAC105" si="2206">MAB102</f>
        <v>0</v>
      </c>
      <c r="MAD105" s="1051"/>
      <c r="MAE105" s="1051"/>
      <c r="MAF105" s="1056"/>
      <c r="MAG105" s="1157">
        <f t="shared" ref="MAG105" si="2207">MAF102</f>
        <v>0</v>
      </c>
      <c r="MAH105" s="1051"/>
      <c r="MAI105" s="1051"/>
      <c r="MAJ105" s="1056"/>
      <c r="MAK105" s="1157">
        <f t="shared" ref="MAK105" si="2208">MAJ102</f>
        <v>0</v>
      </c>
      <c r="MAL105" s="1051"/>
      <c r="MAM105" s="1051"/>
      <c r="MAN105" s="1056"/>
      <c r="MAO105" s="1157">
        <f t="shared" ref="MAO105" si="2209">MAN102</f>
        <v>0</v>
      </c>
      <c r="MAP105" s="1051"/>
      <c r="MAQ105" s="1051"/>
      <c r="MAR105" s="1056"/>
      <c r="MAS105" s="1157">
        <f t="shared" ref="MAS105" si="2210">MAR102</f>
        <v>0</v>
      </c>
      <c r="MAT105" s="1051"/>
      <c r="MAU105" s="1051"/>
      <c r="MAV105" s="1056"/>
      <c r="MAW105" s="1157">
        <f t="shared" ref="MAW105" si="2211">MAV102</f>
        <v>0</v>
      </c>
      <c r="MAX105" s="1051"/>
      <c r="MAY105" s="1051"/>
      <c r="MAZ105" s="1056"/>
      <c r="MBA105" s="1157">
        <f t="shared" ref="MBA105" si="2212">MAZ102</f>
        <v>0</v>
      </c>
      <c r="MBB105" s="1051"/>
      <c r="MBC105" s="1051"/>
      <c r="MBD105" s="1056"/>
      <c r="MBE105" s="1157">
        <f t="shared" ref="MBE105" si="2213">MBD102</f>
        <v>0</v>
      </c>
      <c r="MBF105" s="1051"/>
      <c r="MBG105" s="1051"/>
      <c r="MBH105" s="1056"/>
      <c r="MBI105" s="1157">
        <f t="shared" ref="MBI105" si="2214">MBH102</f>
        <v>0</v>
      </c>
      <c r="MBJ105" s="1051"/>
      <c r="MBK105" s="1051"/>
      <c r="MBL105" s="1056"/>
      <c r="MBM105" s="1157">
        <f t="shared" ref="MBM105" si="2215">MBL102</f>
        <v>0</v>
      </c>
      <c r="MBN105" s="1051"/>
      <c r="MBO105" s="1051"/>
      <c r="MBP105" s="1056"/>
      <c r="MBQ105" s="1157">
        <f t="shared" ref="MBQ105" si="2216">MBP102</f>
        <v>0</v>
      </c>
      <c r="MBR105" s="1051"/>
      <c r="MBS105" s="1051"/>
      <c r="MBT105" s="1056"/>
      <c r="MBU105" s="1157">
        <f t="shared" ref="MBU105" si="2217">MBT102</f>
        <v>0</v>
      </c>
      <c r="MBV105" s="1051"/>
      <c r="MBW105" s="1051"/>
      <c r="MBX105" s="1056"/>
      <c r="MBY105" s="1157">
        <f t="shared" ref="MBY105" si="2218">MBX102</f>
        <v>0</v>
      </c>
      <c r="MBZ105" s="1051"/>
      <c r="MCA105" s="1051"/>
      <c r="MCB105" s="1056"/>
      <c r="MCC105" s="1157">
        <f t="shared" ref="MCC105" si="2219">MCB102</f>
        <v>0</v>
      </c>
      <c r="MCD105" s="1051"/>
      <c r="MCE105" s="1051"/>
      <c r="MCF105" s="1056"/>
      <c r="MCG105" s="1157">
        <f t="shared" ref="MCG105" si="2220">MCF102</f>
        <v>0</v>
      </c>
      <c r="MCH105" s="1051"/>
      <c r="MCI105" s="1051"/>
      <c r="MCJ105" s="1056"/>
      <c r="MCK105" s="1157">
        <f t="shared" ref="MCK105" si="2221">MCJ102</f>
        <v>0</v>
      </c>
      <c r="MCL105" s="1051"/>
      <c r="MCM105" s="1051"/>
      <c r="MCN105" s="1056"/>
      <c r="MCO105" s="1157">
        <f t="shared" ref="MCO105" si="2222">MCN102</f>
        <v>0</v>
      </c>
      <c r="MCP105" s="1051"/>
      <c r="MCQ105" s="1051"/>
      <c r="MCR105" s="1056"/>
      <c r="MCS105" s="1157">
        <f t="shared" ref="MCS105" si="2223">MCR102</f>
        <v>0</v>
      </c>
      <c r="MCT105" s="1051"/>
      <c r="MCU105" s="1051"/>
      <c r="MCV105" s="1056"/>
      <c r="MCW105" s="1157">
        <f t="shared" ref="MCW105" si="2224">MCV102</f>
        <v>0</v>
      </c>
      <c r="MCX105" s="1051"/>
      <c r="MCY105" s="1051"/>
      <c r="MCZ105" s="1056"/>
      <c r="MDA105" s="1157">
        <f t="shared" ref="MDA105" si="2225">MCZ102</f>
        <v>0</v>
      </c>
      <c r="MDB105" s="1051"/>
      <c r="MDC105" s="1051"/>
      <c r="MDD105" s="1056"/>
      <c r="MDE105" s="1157">
        <f t="shared" ref="MDE105" si="2226">MDD102</f>
        <v>0</v>
      </c>
      <c r="MDF105" s="1051"/>
      <c r="MDG105" s="1051"/>
      <c r="MDH105" s="1056"/>
      <c r="MDI105" s="1157">
        <f t="shared" ref="MDI105" si="2227">MDH102</f>
        <v>0</v>
      </c>
      <c r="MDJ105" s="1051"/>
      <c r="MDK105" s="1051"/>
      <c r="MDL105" s="1056"/>
      <c r="MDM105" s="1157">
        <f t="shared" ref="MDM105" si="2228">MDL102</f>
        <v>0</v>
      </c>
      <c r="MDN105" s="1051"/>
      <c r="MDO105" s="1051"/>
      <c r="MDP105" s="1056"/>
      <c r="MDQ105" s="1157">
        <f t="shared" ref="MDQ105" si="2229">MDP102</f>
        <v>0</v>
      </c>
      <c r="MDR105" s="1051"/>
      <c r="MDS105" s="1051"/>
      <c r="MDT105" s="1056"/>
      <c r="MDU105" s="1157">
        <f t="shared" ref="MDU105" si="2230">MDT102</f>
        <v>0</v>
      </c>
      <c r="MDV105" s="1051"/>
      <c r="MDW105" s="1051"/>
      <c r="MDX105" s="1056"/>
      <c r="MDY105" s="1157">
        <f t="shared" ref="MDY105" si="2231">MDX102</f>
        <v>0</v>
      </c>
      <c r="MDZ105" s="1051"/>
      <c r="MEA105" s="1051"/>
      <c r="MEB105" s="1056"/>
      <c r="MEC105" s="1157">
        <f t="shared" ref="MEC105" si="2232">MEB102</f>
        <v>0</v>
      </c>
      <c r="MED105" s="1051"/>
      <c r="MEE105" s="1051"/>
      <c r="MEF105" s="1056"/>
      <c r="MEG105" s="1157">
        <f t="shared" ref="MEG105" si="2233">MEF102</f>
        <v>0</v>
      </c>
      <c r="MEH105" s="1051"/>
      <c r="MEI105" s="1051"/>
      <c r="MEJ105" s="1056"/>
      <c r="MEK105" s="1157">
        <f t="shared" ref="MEK105" si="2234">MEJ102</f>
        <v>0</v>
      </c>
      <c r="MEL105" s="1051"/>
      <c r="MEM105" s="1051"/>
      <c r="MEN105" s="1056"/>
      <c r="MEO105" s="1157">
        <f t="shared" ref="MEO105" si="2235">MEN102</f>
        <v>0</v>
      </c>
      <c r="MEP105" s="1051"/>
      <c r="MEQ105" s="1051"/>
      <c r="MER105" s="1056"/>
      <c r="MES105" s="1157">
        <f t="shared" ref="MES105" si="2236">MER102</f>
        <v>0</v>
      </c>
      <c r="MET105" s="1051"/>
      <c r="MEU105" s="1051"/>
      <c r="MEV105" s="1056"/>
      <c r="MEW105" s="1157">
        <f t="shared" ref="MEW105" si="2237">MEV102</f>
        <v>0</v>
      </c>
      <c r="MEX105" s="1051"/>
      <c r="MEY105" s="1051"/>
      <c r="MEZ105" s="1056"/>
      <c r="MFA105" s="1157">
        <f t="shared" ref="MFA105" si="2238">MEZ102</f>
        <v>0</v>
      </c>
      <c r="MFB105" s="1051"/>
      <c r="MFC105" s="1051"/>
      <c r="MFD105" s="1056"/>
      <c r="MFE105" s="1157">
        <f t="shared" ref="MFE105" si="2239">MFD102</f>
        <v>0</v>
      </c>
      <c r="MFF105" s="1051"/>
      <c r="MFG105" s="1051"/>
      <c r="MFH105" s="1056"/>
      <c r="MFI105" s="1157">
        <f t="shared" ref="MFI105" si="2240">MFH102</f>
        <v>0</v>
      </c>
      <c r="MFJ105" s="1051"/>
      <c r="MFK105" s="1051"/>
      <c r="MFL105" s="1056"/>
      <c r="MFM105" s="1157">
        <f t="shared" ref="MFM105" si="2241">MFL102</f>
        <v>0</v>
      </c>
      <c r="MFN105" s="1051"/>
      <c r="MFO105" s="1051"/>
      <c r="MFP105" s="1056"/>
      <c r="MFQ105" s="1157">
        <f t="shared" ref="MFQ105" si="2242">MFP102</f>
        <v>0</v>
      </c>
      <c r="MFR105" s="1051"/>
      <c r="MFS105" s="1051"/>
      <c r="MFT105" s="1056"/>
      <c r="MFU105" s="1157">
        <f t="shared" ref="MFU105" si="2243">MFT102</f>
        <v>0</v>
      </c>
      <c r="MFV105" s="1051"/>
      <c r="MFW105" s="1051"/>
      <c r="MFX105" s="1056"/>
      <c r="MFY105" s="1157">
        <f t="shared" ref="MFY105" si="2244">MFX102</f>
        <v>0</v>
      </c>
      <c r="MFZ105" s="1051"/>
      <c r="MGA105" s="1051"/>
      <c r="MGB105" s="1056"/>
      <c r="MGC105" s="1157">
        <f t="shared" ref="MGC105" si="2245">MGB102</f>
        <v>0</v>
      </c>
      <c r="MGD105" s="1051"/>
      <c r="MGE105" s="1051"/>
      <c r="MGF105" s="1056"/>
      <c r="MGG105" s="1157">
        <f t="shared" ref="MGG105" si="2246">MGF102</f>
        <v>0</v>
      </c>
      <c r="MGH105" s="1051"/>
      <c r="MGI105" s="1051"/>
      <c r="MGJ105" s="1056"/>
      <c r="MGK105" s="1157">
        <f t="shared" ref="MGK105" si="2247">MGJ102</f>
        <v>0</v>
      </c>
      <c r="MGL105" s="1051"/>
      <c r="MGM105" s="1051"/>
      <c r="MGN105" s="1056"/>
      <c r="MGO105" s="1157">
        <f t="shared" ref="MGO105" si="2248">MGN102</f>
        <v>0</v>
      </c>
      <c r="MGP105" s="1051"/>
      <c r="MGQ105" s="1051"/>
      <c r="MGR105" s="1056"/>
      <c r="MGS105" s="1157">
        <f t="shared" ref="MGS105" si="2249">MGR102</f>
        <v>0</v>
      </c>
      <c r="MGT105" s="1051"/>
      <c r="MGU105" s="1051"/>
      <c r="MGV105" s="1056"/>
      <c r="MGW105" s="1157">
        <f t="shared" ref="MGW105" si="2250">MGV102</f>
        <v>0</v>
      </c>
      <c r="MGX105" s="1051"/>
      <c r="MGY105" s="1051"/>
      <c r="MGZ105" s="1056"/>
      <c r="MHA105" s="1157">
        <f t="shared" ref="MHA105" si="2251">MGZ102</f>
        <v>0</v>
      </c>
      <c r="MHB105" s="1051"/>
      <c r="MHC105" s="1051"/>
      <c r="MHD105" s="1056"/>
      <c r="MHE105" s="1157">
        <f t="shared" ref="MHE105" si="2252">MHD102</f>
        <v>0</v>
      </c>
      <c r="MHF105" s="1051"/>
      <c r="MHG105" s="1051"/>
      <c r="MHH105" s="1056"/>
      <c r="MHI105" s="1157">
        <f t="shared" ref="MHI105" si="2253">MHH102</f>
        <v>0</v>
      </c>
      <c r="MHJ105" s="1051"/>
      <c r="MHK105" s="1051"/>
      <c r="MHL105" s="1056"/>
      <c r="MHM105" s="1157">
        <f t="shared" ref="MHM105" si="2254">MHL102</f>
        <v>0</v>
      </c>
      <c r="MHN105" s="1051"/>
      <c r="MHO105" s="1051"/>
      <c r="MHP105" s="1056"/>
      <c r="MHQ105" s="1157">
        <f t="shared" ref="MHQ105" si="2255">MHP102</f>
        <v>0</v>
      </c>
      <c r="MHR105" s="1051"/>
      <c r="MHS105" s="1051"/>
      <c r="MHT105" s="1056"/>
      <c r="MHU105" s="1157">
        <f t="shared" ref="MHU105" si="2256">MHT102</f>
        <v>0</v>
      </c>
      <c r="MHV105" s="1051"/>
      <c r="MHW105" s="1051"/>
      <c r="MHX105" s="1056"/>
      <c r="MHY105" s="1157">
        <f t="shared" ref="MHY105" si="2257">MHX102</f>
        <v>0</v>
      </c>
      <c r="MHZ105" s="1051"/>
      <c r="MIA105" s="1051"/>
      <c r="MIB105" s="1056"/>
      <c r="MIC105" s="1157">
        <f t="shared" ref="MIC105" si="2258">MIB102</f>
        <v>0</v>
      </c>
      <c r="MID105" s="1051"/>
      <c r="MIE105" s="1051"/>
      <c r="MIF105" s="1056"/>
      <c r="MIG105" s="1157">
        <f t="shared" ref="MIG105" si="2259">MIF102</f>
        <v>0</v>
      </c>
      <c r="MIH105" s="1051"/>
      <c r="MII105" s="1051"/>
      <c r="MIJ105" s="1056"/>
      <c r="MIK105" s="1157">
        <f t="shared" ref="MIK105" si="2260">MIJ102</f>
        <v>0</v>
      </c>
      <c r="MIL105" s="1051"/>
      <c r="MIM105" s="1051"/>
      <c r="MIN105" s="1056"/>
      <c r="MIO105" s="1157">
        <f t="shared" ref="MIO105" si="2261">MIN102</f>
        <v>0</v>
      </c>
      <c r="MIP105" s="1051"/>
      <c r="MIQ105" s="1051"/>
      <c r="MIR105" s="1056"/>
      <c r="MIS105" s="1157">
        <f t="shared" ref="MIS105" si="2262">MIR102</f>
        <v>0</v>
      </c>
      <c r="MIT105" s="1051"/>
      <c r="MIU105" s="1051"/>
      <c r="MIV105" s="1056"/>
      <c r="MIW105" s="1157">
        <f t="shared" ref="MIW105" si="2263">MIV102</f>
        <v>0</v>
      </c>
      <c r="MIX105" s="1051"/>
      <c r="MIY105" s="1051"/>
      <c r="MIZ105" s="1056"/>
      <c r="MJA105" s="1157">
        <f t="shared" ref="MJA105" si="2264">MIZ102</f>
        <v>0</v>
      </c>
      <c r="MJB105" s="1051"/>
      <c r="MJC105" s="1051"/>
      <c r="MJD105" s="1056"/>
      <c r="MJE105" s="1157">
        <f t="shared" ref="MJE105" si="2265">MJD102</f>
        <v>0</v>
      </c>
      <c r="MJF105" s="1051"/>
      <c r="MJG105" s="1051"/>
      <c r="MJH105" s="1056"/>
      <c r="MJI105" s="1157">
        <f t="shared" ref="MJI105" si="2266">MJH102</f>
        <v>0</v>
      </c>
      <c r="MJJ105" s="1051"/>
      <c r="MJK105" s="1051"/>
      <c r="MJL105" s="1056"/>
      <c r="MJM105" s="1157">
        <f t="shared" ref="MJM105" si="2267">MJL102</f>
        <v>0</v>
      </c>
      <c r="MJN105" s="1051"/>
      <c r="MJO105" s="1051"/>
      <c r="MJP105" s="1056"/>
      <c r="MJQ105" s="1157">
        <f t="shared" ref="MJQ105" si="2268">MJP102</f>
        <v>0</v>
      </c>
      <c r="MJR105" s="1051"/>
      <c r="MJS105" s="1051"/>
      <c r="MJT105" s="1056"/>
      <c r="MJU105" s="1157">
        <f t="shared" ref="MJU105" si="2269">MJT102</f>
        <v>0</v>
      </c>
      <c r="MJV105" s="1051"/>
      <c r="MJW105" s="1051"/>
      <c r="MJX105" s="1056"/>
      <c r="MJY105" s="1157">
        <f t="shared" ref="MJY105" si="2270">MJX102</f>
        <v>0</v>
      </c>
      <c r="MJZ105" s="1051"/>
      <c r="MKA105" s="1051"/>
      <c r="MKB105" s="1056"/>
      <c r="MKC105" s="1157">
        <f t="shared" ref="MKC105" si="2271">MKB102</f>
        <v>0</v>
      </c>
      <c r="MKD105" s="1051"/>
      <c r="MKE105" s="1051"/>
      <c r="MKF105" s="1056"/>
      <c r="MKG105" s="1157">
        <f t="shared" ref="MKG105" si="2272">MKF102</f>
        <v>0</v>
      </c>
      <c r="MKH105" s="1051"/>
      <c r="MKI105" s="1051"/>
      <c r="MKJ105" s="1056"/>
      <c r="MKK105" s="1157">
        <f t="shared" ref="MKK105" si="2273">MKJ102</f>
        <v>0</v>
      </c>
      <c r="MKL105" s="1051"/>
      <c r="MKM105" s="1051"/>
      <c r="MKN105" s="1056"/>
      <c r="MKO105" s="1157">
        <f t="shared" ref="MKO105" si="2274">MKN102</f>
        <v>0</v>
      </c>
      <c r="MKP105" s="1051"/>
      <c r="MKQ105" s="1051"/>
      <c r="MKR105" s="1056"/>
      <c r="MKS105" s="1157">
        <f t="shared" ref="MKS105" si="2275">MKR102</f>
        <v>0</v>
      </c>
      <c r="MKT105" s="1051"/>
      <c r="MKU105" s="1051"/>
      <c r="MKV105" s="1056"/>
      <c r="MKW105" s="1157">
        <f t="shared" ref="MKW105" si="2276">MKV102</f>
        <v>0</v>
      </c>
      <c r="MKX105" s="1051"/>
      <c r="MKY105" s="1051"/>
      <c r="MKZ105" s="1056"/>
      <c r="MLA105" s="1157">
        <f t="shared" ref="MLA105" si="2277">MKZ102</f>
        <v>0</v>
      </c>
      <c r="MLB105" s="1051"/>
      <c r="MLC105" s="1051"/>
      <c r="MLD105" s="1056"/>
      <c r="MLE105" s="1157">
        <f t="shared" ref="MLE105" si="2278">MLD102</f>
        <v>0</v>
      </c>
      <c r="MLF105" s="1051"/>
      <c r="MLG105" s="1051"/>
      <c r="MLH105" s="1056"/>
      <c r="MLI105" s="1157">
        <f t="shared" ref="MLI105" si="2279">MLH102</f>
        <v>0</v>
      </c>
      <c r="MLJ105" s="1051"/>
      <c r="MLK105" s="1051"/>
      <c r="MLL105" s="1056"/>
      <c r="MLM105" s="1157">
        <f t="shared" ref="MLM105" si="2280">MLL102</f>
        <v>0</v>
      </c>
      <c r="MLN105" s="1051"/>
      <c r="MLO105" s="1051"/>
      <c r="MLP105" s="1056"/>
      <c r="MLQ105" s="1157">
        <f t="shared" ref="MLQ105" si="2281">MLP102</f>
        <v>0</v>
      </c>
      <c r="MLR105" s="1051"/>
      <c r="MLS105" s="1051"/>
      <c r="MLT105" s="1056"/>
      <c r="MLU105" s="1157">
        <f t="shared" ref="MLU105" si="2282">MLT102</f>
        <v>0</v>
      </c>
      <c r="MLV105" s="1051"/>
      <c r="MLW105" s="1051"/>
      <c r="MLX105" s="1056"/>
      <c r="MLY105" s="1157">
        <f t="shared" ref="MLY105" si="2283">MLX102</f>
        <v>0</v>
      </c>
      <c r="MLZ105" s="1051"/>
      <c r="MMA105" s="1051"/>
      <c r="MMB105" s="1056"/>
      <c r="MMC105" s="1157">
        <f t="shared" ref="MMC105" si="2284">MMB102</f>
        <v>0</v>
      </c>
      <c r="MMD105" s="1051"/>
      <c r="MME105" s="1051"/>
      <c r="MMF105" s="1056"/>
      <c r="MMG105" s="1157">
        <f t="shared" ref="MMG105" si="2285">MMF102</f>
        <v>0</v>
      </c>
      <c r="MMH105" s="1051"/>
      <c r="MMI105" s="1051"/>
      <c r="MMJ105" s="1056"/>
      <c r="MMK105" s="1157">
        <f t="shared" ref="MMK105" si="2286">MMJ102</f>
        <v>0</v>
      </c>
      <c r="MML105" s="1051"/>
      <c r="MMM105" s="1051"/>
      <c r="MMN105" s="1056"/>
      <c r="MMO105" s="1157">
        <f t="shared" ref="MMO105" si="2287">MMN102</f>
        <v>0</v>
      </c>
      <c r="MMP105" s="1051"/>
      <c r="MMQ105" s="1051"/>
      <c r="MMR105" s="1056"/>
      <c r="MMS105" s="1157">
        <f t="shared" ref="MMS105" si="2288">MMR102</f>
        <v>0</v>
      </c>
      <c r="MMT105" s="1051"/>
      <c r="MMU105" s="1051"/>
      <c r="MMV105" s="1056"/>
      <c r="MMW105" s="1157">
        <f t="shared" ref="MMW105" si="2289">MMV102</f>
        <v>0</v>
      </c>
      <c r="MMX105" s="1051"/>
      <c r="MMY105" s="1051"/>
      <c r="MMZ105" s="1056"/>
      <c r="MNA105" s="1157">
        <f t="shared" ref="MNA105" si="2290">MMZ102</f>
        <v>0</v>
      </c>
      <c r="MNB105" s="1051"/>
      <c r="MNC105" s="1051"/>
      <c r="MND105" s="1056"/>
      <c r="MNE105" s="1157">
        <f t="shared" ref="MNE105" si="2291">MND102</f>
        <v>0</v>
      </c>
      <c r="MNF105" s="1051"/>
      <c r="MNG105" s="1051"/>
      <c r="MNH105" s="1056"/>
      <c r="MNI105" s="1157">
        <f t="shared" ref="MNI105" si="2292">MNH102</f>
        <v>0</v>
      </c>
      <c r="MNJ105" s="1051"/>
      <c r="MNK105" s="1051"/>
      <c r="MNL105" s="1056"/>
      <c r="MNM105" s="1157">
        <f t="shared" ref="MNM105" si="2293">MNL102</f>
        <v>0</v>
      </c>
      <c r="MNN105" s="1051"/>
      <c r="MNO105" s="1051"/>
      <c r="MNP105" s="1056"/>
      <c r="MNQ105" s="1157">
        <f t="shared" ref="MNQ105" si="2294">MNP102</f>
        <v>0</v>
      </c>
      <c r="MNR105" s="1051"/>
      <c r="MNS105" s="1051"/>
      <c r="MNT105" s="1056"/>
      <c r="MNU105" s="1157">
        <f t="shared" ref="MNU105" si="2295">MNT102</f>
        <v>0</v>
      </c>
      <c r="MNV105" s="1051"/>
      <c r="MNW105" s="1051"/>
      <c r="MNX105" s="1056"/>
      <c r="MNY105" s="1157">
        <f t="shared" ref="MNY105" si="2296">MNX102</f>
        <v>0</v>
      </c>
      <c r="MNZ105" s="1051"/>
      <c r="MOA105" s="1051"/>
      <c r="MOB105" s="1056"/>
      <c r="MOC105" s="1157">
        <f t="shared" ref="MOC105" si="2297">MOB102</f>
        <v>0</v>
      </c>
      <c r="MOD105" s="1051"/>
      <c r="MOE105" s="1051"/>
      <c r="MOF105" s="1056"/>
      <c r="MOG105" s="1157">
        <f t="shared" ref="MOG105" si="2298">MOF102</f>
        <v>0</v>
      </c>
      <c r="MOH105" s="1051"/>
      <c r="MOI105" s="1051"/>
      <c r="MOJ105" s="1056"/>
      <c r="MOK105" s="1157">
        <f t="shared" ref="MOK105" si="2299">MOJ102</f>
        <v>0</v>
      </c>
      <c r="MOL105" s="1051"/>
      <c r="MOM105" s="1051"/>
      <c r="MON105" s="1056"/>
      <c r="MOO105" s="1157">
        <f t="shared" ref="MOO105" si="2300">MON102</f>
        <v>0</v>
      </c>
      <c r="MOP105" s="1051"/>
      <c r="MOQ105" s="1051"/>
      <c r="MOR105" s="1056"/>
      <c r="MOS105" s="1157">
        <f t="shared" ref="MOS105" si="2301">MOR102</f>
        <v>0</v>
      </c>
      <c r="MOT105" s="1051"/>
      <c r="MOU105" s="1051"/>
      <c r="MOV105" s="1056"/>
      <c r="MOW105" s="1157">
        <f t="shared" ref="MOW105" si="2302">MOV102</f>
        <v>0</v>
      </c>
      <c r="MOX105" s="1051"/>
      <c r="MOY105" s="1051"/>
      <c r="MOZ105" s="1056"/>
      <c r="MPA105" s="1157">
        <f t="shared" ref="MPA105" si="2303">MOZ102</f>
        <v>0</v>
      </c>
      <c r="MPB105" s="1051"/>
      <c r="MPC105" s="1051"/>
      <c r="MPD105" s="1056"/>
      <c r="MPE105" s="1157">
        <f t="shared" ref="MPE105" si="2304">MPD102</f>
        <v>0</v>
      </c>
      <c r="MPF105" s="1051"/>
      <c r="MPG105" s="1051"/>
      <c r="MPH105" s="1056"/>
      <c r="MPI105" s="1157">
        <f t="shared" ref="MPI105" si="2305">MPH102</f>
        <v>0</v>
      </c>
      <c r="MPJ105" s="1051"/>
      <c r="MPK105" s="1051"/>
      <c r="MPL105" s="1056"/>
      <c r="MPM105" s="1157">
        <f t="shared" ref="MPM105" si="2306">MPL102</f>
        <v>0</v>
      </c>
      <c r="MPN105" s="1051"/>
      <c r="MPO105" s="1051"/>
      <c r="MPP105" s="1056"/>
      <c r="MPQ105" s="1157">
        <f t="shared" ref="MPQ105" si="2307">MPP102</f>
        <v>0</v>
      </c>
      <c r="MPR105" s="1051"/>
      <c r="MPS105" s="1051"/>
      <c r="MPT105" s="1056"/>
      <c r="MPU105" s="1157">
        <f t="shared" ref="MPU105" si="2308">MPT102</f>
        <v>0</v>
      </c>
      <c r="MPV105" s="1051"/>
      <c r="MPW105" s="1051"/>
      <c r="MPX105" s="1056"/>
      <c r="MPY105" s="1157">
        <f t="shared" ref="MPY105" si="2309">MPX102</f>
        <v>0</v>
      </c>
      <c r="MPZ105" s="1051"/>
      <c r="MQA105" s="1051"/>
      <c r="MQB105" s="1056"/>
      <c r="MQC105" s="1157">
        <f t="shared" ref="MQC105" si="2310">MQB102</f>
        <v>0</v>
      </c>
      <c r="MQD105" s="1051"/>
      <c r="MQE105" s="1051"/>
      <c r="MQF105" s="1056"/>
      <c r="MQG105" s="1157">
        <f t="shared" ref="MQG105" si="2311">MQF102</f>
        <v>0</v>
      </c>
      <c r="MQH105" s="1051"/>
      <c r="MQI105" s="1051"/>
      <c r="MQJ105" s="1056"/>
      <c r="MQK105" s="1157">
        <f t="shared" ref="MQK105" si="2312">MQJ102</f>
        <v>0</v>
      </c>
      <c r="MQL105" s="1051"/>
      <c r="MQM105" s="1051"/>
      <c r="MQN105" s="1056"/>
      <c r="MQO105" s="1157">
        <f t="shared" ref="MQO105" si="2313">MQN102</f>
        <v>0</v>
      </c>
      <c r="MQP105" s="1051"/>
      <c r="MQQ105" s="1051"/>
      <c r="MQR105" s="1056"/>
      <c r="MQS105" s="1157">
        <f t="shared" ref="MQS105" si="2314">MQR102</f>
        <v>0</v>
      </c>
      <c r="MQT105" s="1051"/>
      <c r="MQU105" s="1051"/>
      <c r="MQV105" s="1056"/>
      <c r="MQW105" s="1157">
        <f t="shared" ref="MQW105" si="2315">MQV102</f>
        <v>0</v>
      </c>
      <c r="MQX105" s="1051"/>
      <c r="MQY105" s="1051"/>
      <c r="MQZ105" s="1056"/>
      <c r="MRA105" s="1157">
        <f t="shared" ref="MRA105" si="2316">MQZ102</f>
        <v>0</v>
      </c>
      <c r="MRB105" s="1051"/>
      <c r="MRC105" s="1051"/>
      <c r="MRD105" s="1056"/>
      <c r="MRE105" s="1157">
        <f t="shared" ref="MRE105" si="2317">MRD102</f>
        <v>0</v>
      </c>
      <c r="MRF105" s="1051"/>
      <c r="MRG105" s="1051"/>
      <c r="MRH105" s="1056"/>
      <c r="MRI105" s="1157">
        <f t="shared" ref="MRI105" si="2318">MRH102</f>
        <v>0</v>
      </c>
      <c r="MRJ105" s="1051"/>
      <c r="MRK105" s="1051"/>
      <c r="MRL105" s="1056"/>
      <c r="MRM105" s="1157">
        <f t="shared" ref="MRM105" si="2319">MRL102</f>
        <v>0</v>
      </c>
      <c r="MRN105" s="1051"/>
      <c r="MRO105" s="1051"/>
      <c r="MRP105" s="1056"/>
      <c r="MRQ105" s="1157">
        <f t="shared" ref="MRQ105" si="2320">MRP102</f>
        <v>0</v>
      </c>
      <c r="MRR105" s="1051"/>
      <c r="MRS105" s="1051"/>
      <c r="MRT105" s="1056"/>
      <c r="MRU105" s="1157">
        <f t="shared" ref="MRU105" si="2321">MRT102</f>
        <v>0</v>
      </c>
      <c r="MRV105" s="1051"/>
      <c r="MRW105" s="1051"/>
      <c r="MRX105" s="1056"/>
      <c r="MRY105" s="1157">
        <f t="shared" ref="MRY105" si="2322">MRX102</f>
        <v>0</v>
      </c>
      <c r="MRZ105" s="1051"/>
      <c r="MSA105" s="1051"/>
      <c r="MSB105" s="1056"/>
      <c r="MSC105" s="1157">
        <f t="shared" ref="MSC105" si="2323">MSB102</f>
        <v>0</v>
      </c>
      <c r="MSD105" s="1051"/>
      <c r="MSE105" s="1051"/>
      <c r="MSF105" s="1056"/>
      <c r="MSG105" s="1157">
        <f t="shared" ref="MSG105" si="2324">MSF102</f>
        <v>0</v>
      </c>
      <c r="MSH105" s="1051"/>
      <c r="MSI105" s="1051"/>
      <c r="MSJ105" s="1056"/>
      <c r="MSK105" s="1157">
        <f t="shared" ref="MSK105" si="2325">MSJ102</f>
        <v>0</v>
      </c>
      <c r="MSL105" s="1051"/>
      <c r="MSM105" s="1051"/>
      <c r="MSN105" s="1056"/>
      <c r="MSO105" s="1157">
        <f t="shared" ref="MSO105" si="2326">MSN102</f>
        <v>0</v>
      </c>
      <c r="MSP105" s="1051"/>
      <c r="MSQ105" s="1051"/>
      <c r="MSR105" s="1056"/>
      <c r="MSS105" s="1157">
        <f t="shared" ref="MSS105" si="2327">MSR102</f>
        <v>0</v>
      </c>
      <c r="MST105" s="1051"/>
      <c r="MSU105" s="1051"/>
      <c r="MSV105" s="1056"/>
      <c r="MSW105" s="1157">
        <f t="shared" ref="MSW105" si="2328">MSV102</f>
        <v>0</v>
      </c>
      <c r="MSX105" s="1051"/>
      <c r="MSY105" s="1051"/>
      <c r="MSZ105" s="1056"/>
      <c r="MTA105" s="1157">
        <f t="shared" ref="MTA105" si="2329">MSZ102</f>
        <v>0</v>
      </c>
      <c r="MTB105" s="1051"/>
      <c r="MTC105" s="1051"/>
      <c r="MTD105" s="1056"/>
      <c r="MTE105" s="1157">
        <f t="shared" ref="MTE105" si="2330">MTD102</f>
        <v>0</v>
      </c>
      <c r="MTF105" s="1051"/>
      <c r="MTG105" s="1051"/>
      <c r="MTH105" s="1056"/>
      <c r="MTI105" s="1157">
        <f t="shared" ref="MTI105" si="2331">MTH102</f>
        <v>0</v>
      </c>
      <c r="MTJ105" s="1051"/>
      <c r="MTK105" s="1051"/>
      <c r="MTL105" s="1056"/>
      <c r="MTM105" s="1157">
        <f t="shared" ref="MTM105" si="2332">MTL102</f>
        <v>0</v>
      </c>
      <c r="MTN105" s="1051"/>
      <c r="MTO105" s="1051"/>
      <c r="MTP105" s="1056"/>
      <c r="MTQ105" s="1157">
        <f t="shared" ref="MTQ105" si="2333">MTP102</f>
        <v>0</v>
      </c>
      <c r="MTR105" s="1051"/>
      <c r="MTS105" s="1051"/>
      <c r="MTT105" s="1056"/>
      <c r="MTU105" s="1157">
        <f t="shared" ref="MTU105" si="2334">MTT102</f>
        <v>0</v>
      </c>
      <c r="MTV105" s="1051"/>
      <c r="MTW105" s="1051"/>
      <c r="MTX105" s="1056"/>
      <c r="MTY105" s="1157">
        <f t="shared" ref="MTY105" si="2335">MTX102</f>
        <v>0</v>
      </c>
      <c r="MTZ105" s="1051"/>
      <c r="MUA105" s="1051"/>
      <c r="MUB105" s="1056"/>
      <c r="MUC105" s="1157">
        <f t="shared" ref="MUC105" si="2336">MUB102</f>
        <v>0</v>
      </c>
      <c r="MUD105" s="1051"/>
      <c r="MUE105" s="1051"/>
      <c r="MUF105" s="1056"/>
      <c r="MUG105" s="1157">
        <f t="shared" ref="MUG105" si="2337">MUF102</f>
        <v>0</v>
      </c>
      <c r="MUH105" s="1051"/>
      <c r="MUI105" s="1051"/>
      <c r="MUJ105" s="1056"/>
      <c r="MUK105" s="1157">
        <f t="shared" ref="MUK105" si="2338">MUJ102</f>
        <v>0</v>
      </c>
      <c r="MUL105" s="1051"/>
      <c r="MUM105" s="1051"/>
      <c r="MUN105" s="1056"/>
      <c r="MUO105" s="1157">
        <f t="shared" ref="MUO105" si="2339">MUN102</f>
        <v>0</v>
      </c>
      <c r="MUP105" s="1051"/>
      <c r="MUQ105" s="1051"/>
      <c r="MUR105" s="1056"/>
      <c r="MUS105" s="1157">
        <f t="shared" ref="MUS105" si="2340">MUR102</f>
        <v>0</v>
      </c>
      <c r="MUT105" s="1051"/>
      <c r="MUU105" s="1051"/>
      <c r="MUV105" s="1056"/>
      <c r="MUW105" s="1157">
        <f t="shared" ref="MUW105" si="2341">MUV102</f>
        <v>0</v>
      </c>
      <c r="MUX105" s="1051"/>
      <c r="MUY105" s="1051"/>
      <c r="MUZ105" s="1056"/>
      <c r="MVA105" s="1157">
        <f t="shared" ref="MVA105" si="2342">MUZ102</f>
        <v>0</v>
      </c>
      <c r="MVB105" s="1051"/>
      <c r="MVC105" s="1051"/>
      <c r="MVD105" s="1056"/>
      <c r="MVE105" s="1157">
        <f t="shared" ref="MVE105" si="2343">MVD102</f>
        <v>0</v>
      </c>
      <c r="MVF105" s="1051"/>
      <c r="MVG105" s="1051"/>
      <c r="MVH105" s="1056"/>
      <c r="MVI105" s="1157">
        <f t="shared" ref="MVI105" si="2344">MVH102</f>
        <v>0</v>
      </c>
      <c r="MVJ105" s="1051"/>
      <c r="MVK105" s="1051"/>
      <c r="MVL105" s="1056"/>
      <c r="MVM105" s="1157">
        <f t="shared" ref="MVM105" si="2345">MVL102</f>
        <v>0</v>
      </c>
      <c r="MVN105" s="1051"/>
      <c r="MVO105" s="1051"/>
      <c r="MVP105" s="1056"/>
      <c r="MVQ105" s="1157">
        <f t="shared" ref="MVQ105" si="2346">MVP102</f>
        <v>0</v>
      </c>
      <c r="MVR105" s="1051"/>
      <c r="MVS105" s="1051"/>
      <c r="MVT105" s="1056"/>
      <c r="MVU105" s="1157">
        <f t="shared" ref="MVU105" si="2347">MVT102</f>
        <v>0</v>
      </c>
      <c r="MVV105" s="1051"/>
      <c r="MVW105" s="1051"/>
      <c r="MVX105" s="1056"/>
      <c r="MVY105" s="1157">
        <f t="shared" ref="MVY105" si="2348">MVX102</f>
        <v>0</v>
      </c>
      <c r="MVZ105" s="1051"/>
      <c r="MWA105" s="1051"/>
      <c r="MWB105" s="1056"/>
      <c r="MWC105" s="1157">
        <f t="shared" ref="MWC105" si="2349">MWB102</f>
        <v>0</v>
      </c>
      <c r="MWD105" s="1051"/>
      <c r="MWE105" s="1051"/>
      <c r="MWF105" s="1056"/>
      <c r="MWG105" s="1157">
        <f t="shared" ref="MWG105" si="2350">MWF102</f>
        <v>0</v>
      </c>
      <c r="MWH105" s="1051"/>
      <c r="MWI105" s="1051"/>
      <c r="MWJ105" s="1056"/>
      <c r="MWK105" s="1157">
        <f t="shared" ref="MWK105" si="2351">MWJ102</f>
        <v>0</v>
      </c>
      <c r="MWL105" s="1051"/>
      <c r="MWM105" s="1051"/>
      <c r="MWN105" s="1056"/>
      <c r="MWO105" s="1157">
        <f t="shared" ref="MWO105" si="2352">MWN102</f>
        <v>0</v>
      </c>
      <c r="MWP105" s="1051"/>
      <c r="MWQ105" s="1051"/>
      <c r="MWR105" s="1056"/>
      <c r="MWS105" s="1157">
        <f t="shared" ref="MWS105" si="2353">MWR102</f>
        <v>0</v>
      </c>
      <c r="MWT105" s="1051"/>
      <c r="MWU105" s="1051"/>
      <c r="MWV105" s="1056"/>
      <c r="MWW105" s="1157">
        <f t="shared" ref="MWW105" si="2354">MWV102</f>
        <v>0</v>
      </c>
      <c r="MWX105" s="1051"/>
      <c r="MWY105" s="1051"/>
      <c r="MWZ105" s="1056"/>
      <c r="MXA105" s="1157">
        <f t="shared" ref="MXA105" si="2355">MWZ102</f>
        <v>0</v>
      </c>
      <c r="MXB105" s="1051"/>
      <c r="MXC105" s="1051"/>
      <c r="MXD105" s="1056"/>
      <c r="MXE105" s="1157">
        <f t="shared" ref="MXE105" si="2356">MXD102</f>
        <v>0</v>
      </c>
      <c r="MXF105" s="1051"/>
      <c r="MXG105" s="1051"/>
      <c r="MXH105" s="1056"/>
      <c r="MXI105" s="1157">
        <f t="shared" ref="MXI105" si="2357">MXH102</f>
        <v>0</v>
      </c>
      <c r="MXJ105" s="1051"/>
      <c r="MXK105" s="1051"/>
      <c r="MXL105" s="1056"/>
      <c r="MXM105" s="1157">
        <f t="shared" ref="MXM105" si="2358">MXL102</f>
        <v>0</v>
      </c>
      <c r="MXN105" s="1051"/>
      <c r="MXO105" s="1051"/>
      <c r="MXP105" s="1056"/>
      <c r="MXQ105" s="1157">
        <f t="shared" ref="MXQ105" si="2359">MXP102</f>
        <v>0</v>
      </c>
      <c r="MXR105" s="1051"/>
      <c r="MXS105" s="1051"/>
      <c r="MXT105" s="1056"/>
      <c r="MXU105" s="1157">
        <f t="shared" ref="MXU105" si="2360">MXT102</f>
        <v>0</v>
      </c>
      <c r="MXV105" s="1051"/>
      <c r="MXW105" s="1051"/>
      <c r="MXX105" s="1056"/>
      <c r="MXY105" s="1157">
        <f t="shared" ref="MXY105" si="2361">MXX102</f>
        <v>0</v>
      </c>
      <c r="MXZ105" s="1051"/>
      <c r="MYA105" s="1051"/>
      <c r="MYB105" s="1056"/>
      <c r="MYC105" s="1157">
        <f t="shared" ref="MYC105" si="2362">MYB102</f>
        <v>0</v>
      </c>
      <c r="MYD105" s="1051"/>
      <c r="MYE105" s="1051"/>
      <c r="MYF105" s="1056"/>
      <c r="MYG105" s="1157">
        <f t="shared" ref="MYG105" si="2363">MYF102</f>
        <v>0</v>
      </c>
      <c r="MYH105" s="1051"/>
      <c r="MYI105" s="1051"/>
      <c r="MYJ105" s="1056"/>
      <c r="MYK105" s="1157">
        <f t="shared" ref="MYK105" si="2364">MYJ102</f>
        <v>0</v>
      </c>
      <c r="MYL105" s="1051"/>
      <c r="MYM105" s="1051"/>
      <c r="MYN105" s="1056"/>
      <c r="MYO105" s="1157">
        <f t="shared" ref="MYO105" si="2365">MYN102</f>
        <v>0</v>
      </c>
      <c r="MYP105" s="1051"/>
      <c r="MYQ105" s="1051"/>
      <c r="MYR105" s="1056"/>
      <c r="MYS105" s="1157">
        <f t="shared" ref="MYS105" si="2366">MYR102</f>
        <v>0</v>
      </c>
      <c r="MYT105" s="1051"/>
      <c r="MYU105" s="1051"/>
      <c r="MYV105" s="1056"/>
      <c r="MYW105" s="1157">
        <f t="shared" ref="MYW105" si="2367">MYV102</f>
        <v>0</v>
      </c>
      <c r="MYX105" s="1051"/>
      <c r="MYY105" s="1051"/>
      <c r="MYZ105" s="1056"/>
      <c r="MZA105" s="1157">
        <f t="shared" ref="MZA105" si="2368">MYZ102</f>
        <v>0</v>
      </c>
      <c r="MZB105" s="1051"/>
      <c r="MZC105" s="1051"/>
      <c r="MZD105" s="1056"/>
      <c r="MZE105" s="1157">
        <f t="shared" ref="MZE105" si="2369">MZD102</f>
        <v>0</v>
      </c>
      <c r="MZF105" s="1051"/>
      <c r="MZG105" s="1051"/>
      <c r="MZH105" s="1056"/>
      <c r="MZI105" s="1157">
        <f t="shared" ref="MZI105" si="2370">MZH102</f>
        <v>0</v>
      </c>
      <c r="MZJ105" s="1051"/>
      <c r="MZK105" s="1051"/>
      <c r="MZL105" s="1056"/>
      <c r="MZM105" s="1157">
        <f t="shared" ref="MZM105" si="2371">MZL102</f>
        <v>0</v>
      </c>
      <c r="MZN105" s="1051"/>
      <c r="MZO105" s="1051"/>
      <c r="MZP105" s="1056"/>
      <c r="MZQ105" s="1157">
        <f t="shared" ref="MZQ105" si="2372">MZP102</f>
        <v>0</v>
      </c>
      <c r="MZR105" s="1051"/>
      <c r="MZS105" s="1051"/>
      <c r="MZT105" s="1056"/>
      <c r="MZU105" s="1157">
        <f t="shared" ref="MZU105" si="2373">MZT102</f>
        <v>0</v>
      </c>
      <c r="MZV105" s="1051"/>
      <c r="MZW105" s="1051"/>
      <c r="MZX105" s="1056"/>
      <c r="MZY105" s="1157">
        <f t="shared" ref="MZY105" si="2374">MZX102</f>
        <v>0</v>
      </c>
      <c r="MZZ105" s="1051"/>
      <c r="NAA105" s="1051"/>
      <c r="NAB105" s="1056"/>
      <c r="NAC105" s="1157">
        <f t="shared" ref="NAC105" si="2375">NAB102</f>
        <v>0</v>
      </c>
      <c r="NAD105" s="1051"/>
      <c r="NAE105" s="1051"/>
      <c r="NAF105" s="1056"/>
      <c r="NAG105" s="1157">
        <f t="shared" ref="NAG105" si="2376">NAF102</f>
        <v>0</v>
      </c>
      <c r="NAH105" s="1051"/>
      <c r="NAI105" s="1051"/>
      <c r="NAJ105" s="1056"/>
      <c r="NAK105" s="1157">
        <f t="shared" ref="NAK105" si="2377">NAJ102</f>
        <v>0</v>
      </c>
      <c r="NAL105" s="1051"/>
      <c r="NAM105" s="1051"/>
      <c r="NAN105" s="1056"/>
      <c r="NAO105" s="1157">
        <f t="shared" ref="NAO105" si="2378">NAN102</f>
        <v>0</v>
      </c>
      <c r="NAP105" s="1051"/>
      <c r="NAQ105" s="1051"/>
      <c r="NAR105" s="1056"/>
      <c r="NAS105" s="1157">
        <f t="shared" ref="NAS105" si="2379">NAR102</f>
        <v>0</v>
      </c>
      <c r="NAT105" s="1051"/>
      <c r="NAU105" s="1051"/>
      <c r="NAV105" s="1056"/>
      <c r="NAW105" s="1157">
        <f t="shared" ref="NAW105" si="2380">NAV102</f>
        <v>0</v>
      </c>
      <c r="NAX105" s="1051"/>
      <c r="NAY105" s="1051"/>
      <c r="NAZ105" s="1056"/>
      <c r="NBA105" s="1157">
        <f t="shared" ref="NBA105" si="2381">NAZ102</f>
        <v>0</v>
      </c>
      <c r="NBB105" s="1051"/>
      <c r="NBC105" s="1051"/>
      <c r="NBD105" s="1056"/>
      <c r="NBE105" s="1157">
        <f t="shared" ref="NBE105" si="2382">NBD102</f>
        <v>0</v>
      </c>
      <c r="NBF105" s="1051"/>
      <c r="NBG105" s="1051"/>
      <c r="NBH105" s="1056"/>
      <c r="NBI105" s="1157">
        <f t="shared" ref="NBI105" si="2383">NBH102</f>
        <v>0</v>
      </c>
      <c r="NBJ105" s="1051"/>
      <c r="NBK105" s="1051"/>
      <c r="NBL105" s="1056"/>
      <c r="NBM105" s="1157">
        <f t="shared" ref="NBM105" si="2384">NBL102</f>
        <v>0</v>
      </c>
      <c r="NBN105" s="1051"/>
      <c r="NBO105" s="1051"/>
      <c r="NBP105" s="1056"/>
      <c r="NBQ105" s="1157">
        <f t="shared" ref="NBQ105" si="2385">NBP102</f>
        <v>0</v>
      </c>
      <c r="NBR105" s="1051"/>
      <c r="NBS105" s="1051"/>
      <c r="NBT105" s="1056"/>
      <c r="NBU105" s="1157">
        <f t="shared" ref="NBU105" si="2386">NBT102</f>
        <v>0</v>
      </c>
      <c r="NBV105" s="1051"/>
      <c r="NBW105" s="1051"/>
      <c r="NBX105" s="1056"/>
      <c r="NBY105" s="1157">
        <f t="shared" ref="NBY105" si="2387">NBX102</f>
        <v>0</v>
      </c>
      <c r="NBZ105" s="1051"/>
      <c r="NCA105" s="1051"/>
      <c r="NCB105" s="1056"/>
      <c r="NCC105" s="1157">
        <f t="shared" ref="NCC105" si="2388">NCB102</f>
        <v>0</v>
      </c>
      <c r="NCD105" s="1051"/>
      <c r="NCE105" s="1051"/>
      <c r="NCF105" s="1056"/>
      <c r="NCG105" s="1157">
        <f t="shared" ref="NCG105" si="2389">NCF102</f>
        <v>0</v>
      </c>
      <c r="NCH105" s="1051"/>
      <c r="NCI105" s="1051"/>
      <c r="NCJ105" s="1056"/>
      <c r="NCK105" s="1157">
        <f t="shared" ref="NCK105" si="2390">NCJ102</f>
        <v>0</v>
      </c>
      <c r="NCL105" s="1051"/>
      <c r="NCM105" s="1051"/>
      <c r="NCN105" s="1056"/>
      <c r="NCO105" s="1157">
        <f t="shared" ref="NCO105" si="2391">NCN102</f>
        <v>0</v>
      </c>
      <c r="NCP105" s="1051"/>
      <c r="NCQ105" s="1051"/>
      <c r="NCR105" s="1056"/>
      <c r="NCS105" s="1157">
        <f t="shared" ref="NCS105" si="2392">NCR102</f>
        <v>0</v>
      </c>
      <c r="NCT105" s="1051"/>
      <c r="NCU105" s="1051"/>
      <c r="NCV105" s="1056"/>
      <c r="NCW105" s="1157">
        <f t="shared" ref="NCW105" si="2393">NCV102</f>
        <v>0</v>
      </c>
      <c r="NCX105" s="1051"/>
      <c r="NCY105" s="1051"/>
      <c r="NCZ105" s="1056"/>
      <c r="NDA105" s="1157">
        <f t="shared" ref="NDA105" si="2394">NCZ102</f>
        <v>0</v>
      </c>
      <c r="NDB105" s="1051"/>
      <c r="NDC105" s="1051"/>
      <c r="NDD105" s="1056"/>
      <c r="NDE105" s="1157">
        <f t="shared" ref="NDE105" si="2395">NDD102</f>
        <v>0</v>
      </c>
      <c r="NDF105" s="1051"/>
      <c r="NDG105" s="1051"/>
      <c r="NDH105" s="1056"/>
      <c r="NDI105" s="1157">
        <f t="shared" ref="NDI105" si="2396">NDH102</f>
        <v>0</v>
      </c>
      <c r="NDJ105" s="1051"/>
      <c r="NDK105" s="1051"/>
      <c r="NDL105" s="1056"/>
      <c r="NDM105" s="1157">
        <f t="shared" ref="NDM105" si="2397">NDL102</f>
        <v>0</v>
      </c>
      <c r="NDN105" s="1051"/>
      <c r="NDO105" s="1051"/>
      <c r="NDP105" s="1056"/>
      <c r="NDQ105" s="1157">
        <f t="shared" ref="NDQ105" si="2398">NDP102</f>
        <v>0</v>
      </c>
      <c r="NDR105" s="1051"/>
      <c r="NDS105" s="1051"/>
      <c r="NDT105" s="1056"/>
      <c r="NDU105" s="1157">
        <f t="shared" ref="NDU105" si="2399">NDT102</f>
        <v>0</v>
      </c>
      <c r="NDV105" s="1051"/>
      <c r="NDW105" s="1051"/>
      <c r="NDX105" s="1056"/>
      <c r="NDY105" s="1157">
        <f t="shared" ref="NDY105" si="2400">NDX102</f>
        <v>0</v>
      </c>
      <c r="NDZ105" s="1051"/>
      <c r="NEA105" s="1051"/>
      <c r="NEB105" s="1056"/>
      <c r="NEC105" s="1157">
        <f t="shared" ref="NEC105" si="2401">NEB102</f>
        <v>0</v>
      </c>
      <c r="NED105" s="1051"/>
      <c r="NEE105" s="1051"/>
      <c r="NEF105" s="1056"/>
      <c r="NEG105" s="1157">
        <f t="shared" ref="NEG105" si="2402">NEF102</f>
        <v>0</v>
      </c>
      <c r="NEH105" s="1051"/>
      <c r="NEI105" s="1051"/>
      <c r="NEJ105" s="1056"/>
      <c r="NEK105" s="1157">
        <f t="shared" ref="NEK105" si="2403">NEJ102</f>
        <v>0</v>
      </c>
      <c r="NEL105" s="1051"/>
      <c r="NEM105" s="1051"/>
      <c r="NEN105" s="1056"/>
      <c r="NEO105" s="1157">
        <f t="shared" ref="NEO105" si="2404">NEN102</f>
        <v>0</v>
      </c>
      <c r="NEP105" s="1051"/>
      <c r="NEQ105" s="1051"/>
      <c r="NER105" s="1056"/>
      <c r="NES105" s="1157">
        <f t="shared" ref="NES105" si="2405">NER102</f>
        <v>0</v>
      </c>
      <c r="NET105" s="1051"/>
      <c r="NEU105" s="1051"/>
      <c r="NEV105" s="1056"/>
      <c r="NEW105" s="1157">
        <f t="shared" ref="NEW105" si="2406">NEV102</f>
        <v>0</v>
      </c>
      <c r="NEX105" s="1051"/>
      <c r="NEY105" s="1051"/>
      <c r="NEZ105" s="1056"/>
      <c r="NFA105" s="1157">
        <f t="shared" ref="NFA105" si="2407">NEZ102</f>
        <v>0</v>
      </c>
      <c r="NFB105" s="1051"/>
      <c r="NFC105" s="1051"/>
      <c r="NFD105" s="1056"/>
      <c r="NFE105" s="1157">
        <f t="shared" ref="NFE105" si="2408">NFD102</f>
        <v>0</v>
      </c>
      <c r="NFF105" s="1051"/>
      <c r="NFG105" s="1051"/>
      <c r="NFH105" s="1056"/>
      <c r="NFI105" s="1157">
        <f t="shared" ref="NFI105" si="2409">NFH102</f>
        <v>0</v>
      </c>
      <c r="NFJ105" s="1051"/>
      <c r="NFK105" s="1051"/>
      <c r="NFL105" s="1056"/>
      <c r="NFM105" s="1157">
        <f t="shared" ref="NFM105" si="2410">NFL102</f>
        <v>0</v>
      </c>
      <c r="NFN105" s="1051"/>
      <c r="NFO105" s="1051"/>
      <c r="NFP105" s="1056"/>
      <c r="NFQ105" s="1157">
        <f t="shared" ref="NFQ105" si="2411">NFP102</f>
        <v>0</v>
      </c>
      <c r="NFR105" s="1051"/>
      <c r="NFS105" s="1051"/>
      <c r="NFT105" s="1056"/>
      <c r="NFU105" s="1157">
        <f t="shared" ref="NFU105" si="2412">NFT102</f>
        <v>0</v>
      </c>
      <c r="NFV105" s="1051"/>
      <c r="NFW105" s="1051"/>
      <c r="NFX105" s="1056"/>
      <c r="NFY105" s="1157">
        <f t="shared" ref="NFY105" si="2413">NFX102</f>
        <v>0</v>
      </c>
      <c r="NFZ105" s="1051"/>
      <c r="NGA105" s="1051"/>
      <c r="NGB105" s="1056"/>
      <c r="NGC105" s="1157">
        <f t="shared" ref="NGC105" si="2414">NGB102</f>
        <v>0</v>
      </c>
      <c r="NGD105" s="1051"/>
      <c r="NGE105" s="1051"/>
      <c r="NGF105" s="1056"/>
      <c r="NGG105" s="1157">
        <f t="shared" ref="NGG105" si="2415">NGF102</f>
        <v>0</v>
      </c>
      <c r="NGH105" s="1051"/>
      <c r="NGI105" s="1051"/>
      <c r="NGJ105" s="1056"/>
      <c r="NGK105" s="1157">
        <f t="shared" ref="NGK105" si="2416">NGJ102</f>
        <v>0</v>
      </c>
      <c r="NGL105" s="1051"/>
      <c r="NGM105" s="1051"/>
      <c r="NGN105" s="1056"/>
      <c r="NGO105" s="1157">
        <f t="shared" ref="NGO105" si="2417">NGN102</f>
        <v>0</v>
      </c>
      <c r="NGP105" s="1051"/>
      <c r="NGQ105" s="1051"/>
      <c r="NGR105" s="1056"/>
      <c r="NGS105" s="1157">
        <f t="shared" ref="NGS105" si="2418">NGR102</f>
        <v>0</v>
      </c>
      <c r="NGT105" s="1051"/>
      <c r="NGU105" s="1051"/>
      <c r="NGV105" s="1056"/>
      <c r="NGW105" s="1157">
        <f t="shared" ref="NGW105" si="2419">NGV102</f>
        <v>0</v>
      </c>
      <c r="NGX105" s="1051"/>
      <c r="NGY105" s="1051"/>
      <c r="NGZ105" s="1056"/>
      <c r="NHA105" s="1157">
        <f t="shared" ref="NHA105" si="2420">NGZ102</f>
        <v>0</v>
      </c>
      <c r="NHB105" s="1051"/>
      <c r="NHC105" s="1051"/>
      <c r="NHD105" s="1056"/>
      <c r="NHE105" s="1157">
        <f t="shared" ref="NHE105" si="2421">NHD102</f>
        <v>0</v>
      </c>
      <c r="NHF105" s="1051"/>
      <c r="NHG105" s="1051"/>
      <c r="NHH105" s="1056"/>
      <c r="NHI105" s="1157">
        <f t="shared" ref="NHI105" si="2422">NHH102</f>
        <v>0</v>
      </c>
      <c r="NHJ105" s="1051"/>
      <c r="NHK105" s="1051"/>
      <c r="NHL105" s="1056"/>
      <c r="NHM105" s="1157">
        <f t="shared" ref="NHM105" si="2423">NHL102</f>
        <v>0</v>
      </c>
      <c r="NHN105" s="1051"/>
      <c r="NHO105" s="1051"/>
      <c r="NHP105" s="1056"/>
      <c r="NHQ105" s="1157">
        <f t="shared" ref="NHQ105" si="2424">NHP102</f>
        <v>0</v>
      </c>
      <c r="NHR105" s="1051"/>
      <c r="NHS105" s="1051"/>
      <c r="NHT105" s="1056"/>
      <c r="NHU105" s="1157">
        <f t="shared" ref="NHU105" si="2425">NHT102</f>
        <v>0</v>
      </c>
      <c r="NHV105" s="1051"/>
      <c r="NHW105" s="1051"/>
      <c r="NHX105" s="1056"/>
      <c r="NHY105" s="1157">
        <f t="shared" ref="NHY105" si="2426">NHX102</f>
        <v>0</v>
      </c>
      <c r="NHZ105" s="1051"/>
      <c r="NIA105" s="1051"/>
      <c r="NIB105" s="1056"/>
      <c r="NIC105" s="1157">
        <f t="shared" ref="NIC105" si="2427">NIB102</f>
        <v>0</v>
      </c>
      <c r="NID105" s="1051"/>
      <c r="NIE105" s="1051"/>
      <c r="NIF105" s="1056"/>
      <c r="NIG105" s="1157">
        <f t="shared" ref="NIG105" si="2428">NIF102</f>
        <v>0</v>
      </c>
      <c r="NIH105" s="1051"/>
      <c r="NII105" s="1051"/>
      <c r="NIJ105" s="1056"/>
      <c r="NIK105" s="1157">
        <f t="shared" ref="NIK105" si="2429">NIJ102</f>
        <v>0</v>
      </c>
      <c r="NIL105" s="1051"/>
      <c r="NIM105" s="1051"/>
      <c r="NIN105" s="1056"/>
      <c r="NIO105" s="1157">
        <f t="shared" ref="NIO105" si="2430">NIN102</f>
        <v>0</v>
      </c>
      <c r="NIP105" s="1051"/>
      <c r="NIQ105" s="1051"/>
      <c r="NIR105" s="1056"/>
      <c r="NIS105" s="1157">
        <f t="shared" ref="NIS105" si="2431">NIR102</f>
        <v>0</v>
      </c>
      <c r="NIT105" s="1051"/>
      <c r="NIU105" s="1051"/>
      <c r="NIV105" s="1056"/>
      <c r="NIW105" s="1157">
        <f t="shared" ref="NIW105" si="2432">NIV102</f>
        <v>0</v>
      </c>
      <c r="NIX105" s="1051"/>
      <c r="NIY105" s="1051"/>
      <c r="NIZ105" s="1056"/>
      <c r="NJA105" s="1157">
        <f t="shared" ref="NJA105" si="2433">NIZ102</f>
        <v>0</v>
      </c>
      <c r="NJB105" s="1051"/>
      <c r="NJC105" s="1051"/>
      <c r="NJD105" s="1056"/>
      <c r="NJE105" s="1157">
        <f t="shared" ref="NJE105" si="2434">NJD102</f>
        <v>0</v>
      </c>
      <c r="NJF105" s="1051"/>
      <c r="NJG105" s="1051"/>
      <c r="NJH105" s="1056"/>
      <c r="NJI105" s="1157">
        <f t="shared" ref="NJI105" si="2435">NJH102</f>
        <v>0</v>
      </c>
      <c r="NJJ105" s="1051"/>
      <c r="NJK105" s="1051"/>
      <c r="NJL105" s="1056"/>
      <c r="NJM105" s="1157">
        <f t="shared" ref="NJM105" si="2436">NJL102</f>
        <v>0</v>
      </c>
      <c r="NJN105" s="1051"/>
      <c r="NJO105" s="1051"/>
      <c r="NJP105" s="1056"/>
      <c r="NJQ105" s="1157">
        <f t="shared" ref="NJQ105" si="2437">NJP102</f>
        <v>0</v>
      </c>
      <c r="NJR105" s="1051"/>
      <c r="NJS105" s="1051"/>
      <c r="NJT105" s="1056"/>
      <c r="NJU105" s="1157">
        <f t="shared" ref="NJU105" si="2438">NJT102</f>
        <v>0</v>
      </c>
      <c r="NJV105" s="1051"/>
      <c r="NJW105" s="1051"/>
      <c r="NJX105" s="1056"/>
      <c r="NJY105" s="1157">
        <f t="shared" ref="NJY105" si="2439">NJX102</f>
        <v>0</v>
      </c>
      <c r="NJZ105" s="1051"/>
      <c r="NKA105" s="1051"/>
      <c r="NKB105" s="1056"/>
      <c r="NKC105" s="1157">
        <f t="shared" ref="NKC105" si="2440">NKB102</f>
        <v>0</v>
      </c>
      <c r="NKD105" s="1051"/>
      <c r="NKE105" s="1051"/>
      <c r="NKF105" s="1056"/>
      <c r="NKG105" s="1157">
        <f t="shared" ref="NKG105" si="2441">NKF102</f>
        <v>0</v>
      </c>
      <c r="NKH105" s="1051"/>
      <c r="NKI105" s="1051"/>
      <c r="NKJ105" s="1056"/>
      <c r="NKK105" s="1157">
        <f t="shared" ref="NKK105" si="2442">NKJ102</f>
        <v>0</v>
      </c>
      <c r="NKL105" s="1051"/>
      <c r="NKM105" s="1051"/>
      <c r="NKN105" s="1056"/>
      <c r="NKO105" s="1157">
        <f t="shared" ref="NKO105" si="2443">NKN102</f>
        <v>0</v>
      </c>
      <c r="NKP105" s="1051"/>
      <c r="NKQ105" s="1051"/>
      <c r="NKR105" s="1056"/>
      <c r="NKS105" s="1157">
        <f t="shared" ref="NKS105" si="2444">NKR102</f>
        <v>0</v>
      </c>
      <c r="NKT105" s="1051"/>
      <c r="NKU105" s="1051"/>
      <c r="NKV105" s="1056"/>
      <c r="NKW105" s="1157">
        <f t="shared" ref="NKW105" si="2445">NKV102</f>
        <v>0</v>
      </c>
      <c r="NKX105" s="1051"/>
      <c r="NKY105" s="1051"/>
      <c r="NKZ105" s="1056"/>
      <c r="NLA105" s="1157">
        <f t="shared" ref="NLA105" si="2446">NKZ102</f>
        <v>0</v>
      </c>
      <c r="NLB105" s="1051"/>
      <c r="NLC105" s="1051"/>
      <c r="NLD105" s="1056"/>
      <c r="NLE105" s="1157">
        <f t="shared" ref="NLE105" si="2447">NLD102</f>
        <v>0</v>
      </c>
      <c r="NLF105" s="1051"/>
      <c r="NLG105" s="1051"/>
      <c r="NLH105" s="1056"/>
      <c r="NLI105" s="1157">
        <f t="shared" ref="NLI105" si="2448">NLH102</f>
        <v>0</v>
      </c>
      <c r="NLJ105" s="1051"/>
      <c r="NLK105" s="1051"/>
      <c r="NLL105" s="1056"/>
      <c r="NLM105" s="1157">
        <f t="shared" ref="NLM105" si="2449">NLL102</f>
        <v>0</v>
      </c>
      <c r="NLN105" s="1051"/>
      <c r="NLO105" s="1051"/>
      <c r="NLP105" s="1056"/>
      <c r="NLQ105" s="1157">
        <f t="shared" ref="NLQ105" si="2450">NLP102</f>
        <v>0</v>
      </c>
      <c r="NLR105" s="1051"/>
      <c r="NLS105" s="1051"/>
      <c r="NLT105" s="1056"/>
      <c r="NLU105" s="1157">
        <f t="shared" ref="NLU105" si="2451">NLT102</f>
        <v>0</v>
      </c>
      <c r="NLV105" s="1051"/>
      <c r="NLW105" s="1051"/>
      <c r="NLX105" s="1056"/>
      <c r="NLY105" s="1157">
        <f t="shared" ref="NLY105" si="2452">NLX102</f>
        <v>0</v>
      </c>
      <c r="NLZ105" s="1051"/>
      <c r="NMA105" s="1051"/>
      <c r="NMB105" s="1056"/>
      <c r="NMC105" s="1157">
        <f t="shared" ref="NMC105" si="2453">NMB102</f>
        <v>0</v>
      </c>
      <c r="NMD105" s="1051"/>
      <c r="NME105" s="1051"/>
      <c r="NMF105" s="1056"/>
      <c r="NMG105" s="1157">
        <f t="shared" ref="NMG105" si="2454">NMF102</f>
        <v>0</v>
      </c>
      <c r="NMH105" s="1051"/>
      <c r="NMI105" s="1051"/>
      <c r="NMJ105" s="1056"/>
      <c r="NMK105" s="1157">
        <f t="shared" ref="NMK105" si="2455">NMJ102</f>
        <v>0</v>
      </c>
      <c r="NML105" s="1051"/>
      <c r="NMM105" s="1051"/>
      <c r="NMN105" s="1056"/>
      <c r="NMO105" s="1157">
        <f t="shared" ref="NMO105" si="2456">NMN102</f>
        <v>0</v>
      </c>
      <c r="NMP105" s="1051"/>
      <c r="NMQ105" s="1051"/>
      <c r="NMR105" s="1056"/>
      <c r="NMS105" s="1157">
        <f t="shared" ref="NMS105" si="2457">NMR102</f>
        <v>0</v>
      </c>
      <c r="NMT105" s="1051"/>
      <c r="NMU105" s="1051"/>
      <c r="NMV105" s="1056"/>
      <c r="NMW105" s="1157">
        <f t="shared" ref="NMW105" si="2458">NMV102</f>
        <v>0</v>
      </c>
      <c r="NMX105" s="1051"/>
      <c r="NMY105" s="1051"/>
      <c r="NMZ105" s="1056"/>
      <c r="NNA105" s="1157">
        <f t="shared" ref="NNA105" si="2459">NMZ102</f>
        <v>0</v>
      </c>
      <c r="NNB105" s="1051"/>
      <c r="NNC105" s="1051"/>
      <c r="NND105" s="1056"/>
      <c r="NNE105" s="1157">
        <f t="shared" ref="NNE105" si="2460">NND102</f>
        <v>0</v>
      </c>
      <c r="NNF105" s="1051"/>
      <c r="NNG105" s="1051"/>
      <c r="NNH105" s="1056"/>
      <c r="NNI105" s="1157">
        <f t="shared" ref="NNI105" si="2461">NNH102</f>
        <v>0</v>
      </c>
      <c r="NNJ105" s="1051"/>
      <c r="NNK105" s="1051"/>
      <c r="NNL105" s="1056"/>
      <c r="NNM105" s="1157">
        <f t="shared" ref="NNM105" si="2462">NNL102</f>
        <v>0</v>
      </c>
      <c r="NNN105" s="1051"/>
      <c r="NNO105" s="1051"/>
      <c r="NNP105" s="1056"/>
      <c r="NNQ105" s="1157">
        <f t="shared" ref="NNQ105" si="2463">NNP102</f>
        <v>0</v>
      </c>
      <c r="NNR105" s="1051"/>
      <c r="NNS105" s="1051"/>
      <c r="NNT105" s="1056"/>
      <c r="NNU105" s="1157">
        <f t="shared" ref="NNU105" si="2464">NNT102</f>
        <v>0</v>
      </c>
      <c r="NNV105" s="1051"/>
      <c r="NNW105" s="1051"/>
      <c r="NNX105" s="1056"/>
      <c r="NNY105" s="1157">
        <f t="shared" ref="NNY105" si="2465">NNX102</f>
        <v>0</v>
      </c>
      <c r="NNZ105" s="1051"/>
      <c r="NOA105" s="1051"/>
      <c r="NOB105" s="1056"/>
      <c r="NOC105" s="1157">
        <f t="shared" ref="NOC105" si="2466">NOB102</f>
        <v>0</v>
      </c>
      <c r="NOD105" s="1051"/>
      <c r="NOE105" s="1051"/>
      <c r="NOF105" s="1056"/>
      <c r="NOG105" s="1157">
        <f t="shared" ref="NOG105" si="2467">NOF102</f>
        <v>0</v>
      </c>
      <c r="NOH105" s="1051"/>
      <c r="NOI105" s="1051"/>
      <c r="NOJ105" s="1056"/>
      <c r="NOK105" s="1157">
        <f t="shared" ref="NOK105" si="2468">NOJ102</f>
        <v>0</v>
      </c>
      <c r="NOL105" s="1051"/>
      <c r="NOM105" s="1051"/>
      <c r="NON105" s="1056"/>
      <c r="NOO105" s="1157">
        <f t="shared" ref="NOO105" si="2469">NON102</f>
        <v>0</v>
      </c>
      <c r="NOP105" s="1051"/>
      <c r="NOQ105" s="1051"/>
      <c r="NOR105" s="1056"/>
      <c r="NOS105" s="1157">
        <f t="shared" ref="NOS105" si="2470">NOR102</f>
        <v>0</v>
      </c>
      <c r="NOT105" s="1051"/>
      <c r="NOU105" s="1051"/>
      <c r="NOV105" s="1056"/>
      <c r="NOW105" s="1157">
        <f t="shared" ref="NOW105" si="2471">NOV102</f>
        <v>0</v>
      </c>
      <c r="NOX105" s="1051"/>
      <c r="NOY105" s="1051"/>
      <c r="NOZ105" s="1056"/>
      <c r="NPA105" s="1157">
        <f t="shared" ref="NPA105" si="2472">NOZ102</f>
        <v>0</v>
      </c>
      <c r="NPB105" s="1051"/>
      <c r="NPC105" s="1051"/>
      <c r="NPD105" s="1056"/>
      <c r="NPE105" s="1157">
        <f t="shared" ref="NPE105" si="2473">NPD102</f>
        <v>0</v>
      </c>
      <c r="NPF105" s="1051"/>
      <c r="NPG105" s="1051"/>
      <c r="NPH105" s="1056"/>
      <c r="NPI105" s="1157">
        <f t="shared" ref="NPI105" si="2474">NPH102</f>
        <v>0</v>
      </c>
      <c r="NPJ105" s="1051"/>
      <c r="NPK105" s="1051"/>
      <c r="NPL105" s="1056"/>
      <c r="NPM105" s="1157">
        <f t="shared" ref="NPM105" si="2475">NPL102</f>
        <v>0</v>
      </c>
      <c r="NPN105" s="1051"/>
      <c r="NPO105" s="1051"/>
      <c r="NPP105" s="1056"/>
      <c r="NPQ105" s="1157">
        <f t="shared" ref="NPQ105" si="2476">NPP102</f>
        <v>0</v>
      </c>
      <c r="NPR105" s="1051"/>
      <c r="NPS105" s="1051"/>
      <c r="NPT105" s="1056"/>
      <c r="NPU105" s="1157">
        <f t="shared" ref="NPU105" si="2477">NPT102</f>
        <v>0</v>
      </c>
      <c r="NPV105" s="1051"/>
      <c r="NPW105" s="1051"/>
      <c r="NPX105" s="1056"/>
      <c r="NPY105" s="1157">
        <f t="shared" ref="NPY105" si="2478">NPX102</f>
        <v>0</v>
      </c>
      <c r="NPZ105" s="1051"/>
      <c r="NQA105" s="1051"/>
      <c r="NQB105" s="1056"/>
      <c r="NQC105" s="1157">
        <f t="shared" ref="NQC105" si="2479">NQB102</f>
        <v>0</v>
      </c>
      <c r="NQD105" s="1051"/>
      <c r="NQE105" s="1051"/>
      <c r="NQF105" s="1056"/>
      <c r="NQG105" s="1157">
        <f t="shared" ref="NQG105" si="2480">NQF102</f>
        <v>0</v>
      </c>
      <c r="NQH105" s="1051"/>
      <c r="NQI105" s="1051"/>
      <c r="NQJ105" s="1056"/>
      <c r="NQK105" s="1157">
        <f t="shared" ref="NQK105" si="2481">NQJ102</f>
        <v>0</v>
      </c>
      <c r="NQL105" s="1051"/>
      <c r="NQM105" s="1051"/>
      <c r="NQN105" s="1056"/>
      <c r="NQO105" s="1157">
        <f t="shared" ref="NQO105" si="2482">NQN102</f>
        <v>0</v>
      </c>
      <c r="NQP105" s="1051"/>
      <c r="NQQ105" s="1051"/>
      <c r="NQR105" s="1056"/>
      <c r="NQS105" s="1157">
        <f t="shared" ref="NQS105" si="2483">NQR102</f>
        <v>0</v>
      </c>
      <c r="NQT105" s="1051"/>
      <c r="NQU105" s="1051"/>
      <c r="NQV105" s="1056"/>
      <c r="NQW105" s="1157">
        <f t="shared" ref="NQW105" si="2484">NQV102</f>
        <v>0</v>
      </c>
      <c r="NQX105" s="1051"/>
      <c r="NQY105" s="1051"/>
      <c r="NQZ105" s="1056"/>
      <c r="NRA105" s="1157">
        <f t="shared" ref="NRA105" si="2485">NQZ102</f>
        <v>0</v>
      </c>
      <c r="NRB105" s="1051"/>
      <c r="NRC105" s="1051"/>
      <c r="NRD105" s="1056"/>
      <c r="NRE105" s="1157">
        <f t="shared" ref="NRE105" si="2486">NRD102</f>
        <v>0</v>
      </c>
      <c r="NRF105" s="1051"/>
      <c r="NRG105" s="1051"/>
      <c r="NRH105" s="1056"/>
      <c r="NRI105" s="1157">
        <f t="shared" ref="NRI105" si="2487">NRH102</f>
        <v>0</v>
      </c>
      <c r="NRJ105" s="1051"/>
      <c r="NRK105" s="1051"/>
      <c r="NRL105" s="1056"/>
      <c r="NRM105" s="1157">
        <f t="shared" ref="NRM105" si="2488">NRL102</f>
        <v>0</v>
      </c>
      <c r="NRN105" s="1051"/>
      <c r="NRO105" s="1051"/>
      <c r="NRP105" s="1056"/>
      <c r="NRQ105" s="1157">
        <f t="shared" ref="NRQ105" si="2489">NRP102</f>
        <v>0</v>
      </c>
      <c r="NRR105" s="1051"/>
      <c r="NRS105" s="1051"/>
      <c r="NRT105" s="1056"/>
      <c r="NRU105" s="1157">
        <f t="shared" ref="NRU105" si="2490">NRT102</f>
        <v>0</v>
      </c>
      <c r="NRV105" s="1051"/>
      <c r="NRW105" s="1051"/>
      <c r="NRX105" s="1056"/>
      <c r="NRY105" s="1157">
        <f t="shared" ref="NRY105" si="2491">NRX102</f>
        <v>0</v>
      </c>
      <c r="NRZ105" s="1051"/>
      <c r="NSA105" s="1051"/>
      <c r="NSB105" s="1056"/>
      <c r="NSC105" s="1157">
        <f t="shared" ref="NSC105" si="2492">NSB102</f>
        <v>0</v>
      </c>
      <c r="NSD105" s="1051"/>
      <c r="NSE105" s="1051"/>
      <c r="NSF105" s="1056"/>
      <c r="NSG105" s="1157">
        <f t="shared" ref="NSG105" si="2493">NSF102</f>
        <v>0</v>
      </c>
      <c r="NSH105" s="1051"/>
      <c r="NSI105" s="1051"/>
      <c r="NSJ105" s="1056"/>
      <c r="NSK105" s="1157">
        <f t="shared" ref="NSK105" si="2494">NSJ102</f>
        <v>0</v>
      </c>
      <c r="NSL105" s="1051"/>
      <c r="NSM105" s="1051"/>
      <c r="NSN105" s="1056"/>
      <c r="NSO105" s="1157">
        <f t="shared" ref="NSO105" si="2495">NSN102</f>
        <v>0</v>
      </c>
      <c r="NSP105" s="1051"/>
      <c r="NSQ105" s="1051"/>
      <c r="NSR105" s="1056"/>
      <c r="NSS105" s="1157">
        <f t="shared" ref="NSS105" si="2496">NSR102</f>
        <v>0</v>
      </c>
      <c r="NST105" s="1051"/>
      <c r="NSU105" s="1051"/>
      <c r="NSV105" s="1056"/>
      <c r="NSW105" s="1157">
        <f t="shared" ref="NSW105" si="2497">NSV102</f>
        <v>0</v>
      </c>
      <c r="NSX105" s="1051"/>
      <c r="NSY105" s="1051"/>
      <c r="NSZ105" s="1056"/>
      <c r="NTA105" s="1157">
        <f t="shared" ref="NTA105" si="2498">NSZ102</f>
        <v>0</v>
      </c>
      <c r="NTB105" s="1051"/>
      <c r="NTC105" s="1051"/>
      <c r="NTD105" s="1056"/>
      <c r="NTE105" s="1157">
        <f t="shared" ref="NTE105" si="2499">NTD102</f>
        <v>0</v>
      </c>
      <c r="NTF105" s="1051"/>
      <c r="NTG105" s="1051"/>
      <c r="NTH105" s="1056"/>
      <c r="NTI105" s="1157">
        <f t="shared" ref="NTI105" si="2500">NTH102</f>
        <v>0</v>
      </c>
      <c r="NTJ105" s="1051"/>
      <c r="NTK105" s="1051"/>
      <c r="NTL105" s="1056"/>
      <c r="NTM105" s="1157">
        <f t="shared" ref="NTM105" si="2501">NTL102</f>
        <v>0</v>
      </c>
      <c r="NTN105" s="1051"/>
      <c r="NTO105" s="1051"/>
      <c r="NTP105" s="1056"/>
      <c r="NTQ105" s="1157">
        <f t="shared" ref="NTQ105" si="2502">NTP102</f>
        <v>0</v>
      </c>
      <c r="NTR105" s="1051"/>
      <c r="NTS105" s="1051"/>
      <c r="NTT105" s="1056"/>
      <c r="NTU105" s="1157">
        <f t="shared" ref="NTU105" si="2503">NTT102</f>
        <v>0</v>
      </c>
      <c r="NTV105" s="1051"/>
      <c r="NTW105" s="1051"/>
      <c r="NTX105" s="1056"/>
      <c r="NTY105" s="1157">
        <f t="shared" ref="NTY105" si="2504">NTX102</f>
        <v>0</v>
      </c>
      <c r="NTZ105" s="1051"/>
      <c r="NUA105" s="1051"/>
      <c r="NUB105" s="1056"/>
      <c r="NUC105" s="1157">
        <f t="shared" ref="NUC105" si="2505">NUB102</f>
        <v>0</v>
      </c>
      <c r="NUD105" s="1051"/>
      <c r="NUE105" s="1051"/>
      <c r="NUF105" s="1056"/>
      <c r="NUG105" s="1157">
        <f t="shared" ref="NUG105" si="2506">NUF102</f>
        <v>0</v>
      </c>
      <c r="NUH105" s="1051"/>
      <c r="NUI105" s="1051"/>
      <c r="NUJ105" s="1056"/>
      <c r="NUK105" s="1157">
        <f t="shared" ref="NUK105" si="2507">NUJ102</f>
        <v>0</v>
      </c>
      <c r="NUL105" s="1051"/>
      <c r="NUM105" s="1051"/>
      <c r="NUN105" s="1056"/>
      <c r="NUO105" s="1157">
        <f t="shared" ref="NUO105" si="2508">NUN102</f>
        <v>0</v>
      </c>
      <c r="NUP105" s="1051"/>
      <c r="NUQ105" s="1051"/>
      <c r="NUR105" s="1056"/>
      <c r="NUS105" s="1157">
        <f t="shared" ref="NUS105" si="2509">NUR102</f>
        <v>0</v>
      </c>
      <c r="NUT105" s="1051"/>
      <c r="NUU105" s="1051"/>
      <c r="NUV105" s="1056"/>
      <c r="NUW105" s="1157">
        <f t="shared" ref="NUW105" si="2510">NUV102</f>
        <v>0</v>
      </c>
      <c r="NUX105" s="1051"/>
      <c r="NUY105" s="1051"/>
      <c r="NUZ105" s="1056"/>
      <c r="NVA105" s="1157">
        <f t="shared" ref="NVA105" si="2511">NUZ102</f>
        <v>0</v>
      </c>
      <c r="NVB105" s="1051"/>
      <c r="NVC105" s="1051"/>
      <c r="NVD105" s="1056"/>
      <c r="NVE105" s="1157">
        <f t="shared" ref="NVE105" si="2512">NVD102</f>
        <v>0</v>
      </c>
      <c r="NVF105" s="1051"/>
      <c r="NVG105" s="1051"/>
      <c r="NVH105" s="1056"/>
      <c r="NVI105" s="1157">
        <f t="shared" ref="NVI105" si="2513">NVH102</f>
        <v>0</v>
      </c>
      <c r="NVJ105" s="1051"/>
      <c r="NVK105" s="1051"/>
      <c r="NVL105" s="1056"/>
      <c r="NVM105" s="1157">
        <f t="shared" ref="NVM105" si="2514">NVL102</f>
        <v>0</v>
      </c>
      <c r="NVN105" s="1051"/>
      <c r="NVO105" s="1051"/>
      <c r="NVP105" s="1056"/>
      <c r="NVQ105" s="1157">
        <f t="shared" ref="NVQ105" si="2515">NVP102</f>
        <v>0</v>
      </c>
      <c r="NVR105" s="1051"/>
      <c r="NVS105" s="1051"/>
      <c r="NVT105" s="1056"/>
      <c r="NVU105" s="1157">
        <f t="shared" ref="NVU105" si="2516">NVT102</f>
        <v>0</v>
      </c>
      <c r="NVV105" s="1051"/>
      <c r="NVW105" s="1051"/>
      <c r="NVX105" s="1056"/>
      <c r="NVY105" s="1157">
        <f t="shared" ref="NVY105" si="2517">NVX102</f>
        <v>0</v>
      </c>
      <c r="NVZ105" s="1051"/>
      <c r="NWA105" s="1051"/>
      <c r="NWB105" s="1056"/>
      <c r="NWC105" s="1157">
        <f t="shared" ref="NWC105" si="2518">NWB102</f>
        <v>0</v>
      </c>
      <c r="NWD105" s="1051"/>
      <c r="NWE105" s="1051"/>
      <c r="NWF105" s="1056"/>
      <c r="NWG105" s="1157">
        <f t="shared" ref="NWG105" si="2519">NWF102</f>
        <v>0</v>
      </c>
      <c r="NWH105" s="1051"/>
      <c r="NWI105" s="1051"/>
      <c r="NWJ105" s="1056"/>
      <c r="NWK105" s="1157">
        <f t="shared" ref="NWK105" si="2520">NWJ102</f>
        <v>0</v>
      </c>
      <c r="NWL105" s="1051"/>
      <c r="NWM105" s="1051"/>
      <c r="NWN105" s="1056"/>
      <c r="NWO105" s="1157">
        <f t="shared" ref="NWO105" si="2521">NWN102</f>
        <v>0</v>
      </c>
      <c r="NWP105" s="1051"/>
      <c r="NWQ105" s="1051"/>
      <c r="NWR105" s="1056"/>
      <c r="NWS105" s="1157">
        <f t="shared" ref="NWS105" si="2522">NWR102</f>
        <v>0</v>
      </c>
      <c r="NWT105" s="1051"/>
      <c r="NWU105" s="1051"/>
      <c r="NWV105" s="1056"/>
      <c r="NWW105" s="1157">
        <f t="shared" ref="NWW105" si="2523">NWV102</f>
        <v>0</v>
      </c>
      <c r="NWX105" s="1051"/>
      <c r="NWY105" s="1051"/>
      <c r="NWZ105" s="1056"/>
      <c r="NXA105" s="1157">
        <f t="shared" ref="NXA105" si="2524">NWZ102</f>
        <v>0</v>
      </c>
      <c r="NXB105" s="1051"/>
      <c r="NXC105" s="1051"/>
      <c r="NXD105" s="1056"/>
      <c r="NXE105" s="1157">
        <f t="shared" ref="NXE105" si="2525">NXD102</f>
        <v>0</v>
      </c>
      <c r="NXF105" s="1051"/>
      <c r="NXG105" s="1051"/>
      <c r="NXH105" s="1056"/>
      <c r="NXI105" s="1157">
        <f t="shared" ref="NXI105" si="2526">NXH102</f>
        <v>0</v>
      </c>
      <c r="NXJ105" s="1051"/>
      <c r="NXK105" s="1051"/>
      <c r="NXL105" s="1056"/>
      <c r="NXM105" s="1157">
        <f t="shared" ref="NXM105" si="2527">NXL102</f>
        <v>0</v>
      </c>
      <c r="NXN105" s="1051"/>
      <c r="NXO105" s="1051"/>
      <c r="NXP105" s="1056"/>
      <c r="NXQ105" s="1157">
        <f t="shared" ref="NXQ105" si="2528">NXP102</f>
        <v>0</v>
      </c>
      <c r="NXR105" s="1051"/>
      <c r="NXS105" s="1051"/>
      <c r="NXT105" s="1056"/>
      <c r="NXU105" s="1157">
        <f t="shared" ref="NXU105" si="2529">NXT102</f>
        <v>0</v>
      </c>
      <c r="NXV105" s="1051"/>
      <c r="NXW105" s="1051"/>
      <c r="NXX105" s="1056"/>
      <c r="NXY105" s="1157">
        <f t="shared" ref="NXY105" si="2530">NXX102</f>
        <v>0</v>
      </c>
      <c r="NXZ105" s="1051"/>
      <c r="NYA105" s="1051"/>
      <c r="NYB105" s="1056"/>
      <c r="NYC105" s="1157">
        <f t="shared" ref="NYC105" si="2531">NYB102</f>
        <v>0</v>
      </c>
      <c r="NYD105" s="1051"/>
      <c r="NYE105" s="1051"/>
      <c r="NYF105" s="1056"/>
      <c r="NYG105" s="1157">
        <f t="shared" ref="NYG105" si="2532">NYF102</f>
        <v>0</v>
      </c>
      <c r="NYH105" s="1051"/>
      <c r="NYI105" s="1051"/>
      <c r="NYJ105" s="1056"/>
      <c r="NYK105" s="1157">
        <f t="shared" ref="NYK105" si="2533">NYJ102</f>
        <v>0</v>
      </c>
      <c r="NYL105" s="1051"/>
      <c r="NYM105" s="1051"/>
      <c r="NYN105" s="1056"/>
      <c r="NYO105" s="1157">
        <f t="shared" ref="NYO105" si="2534">NYN102</f>
        <v>0</v>
      </c>
      <c r="NYP105" s="1051"/>
      <c r="NYQ105" s="1051"/>
      <c r="NYR105" s="1056"/>
      <c r="NYS105" s="1157">
        <f t="shared" ref="NYS105" si="2535">NYR102</f>
        <v>0</v>
      </c>
      <c r="NYT105" s="1051"/>
      <c r="NYU105" s="1051"/>
      <c r="NYV105" s="1056"/>
      <c r="NYW105" s="1157">
        <f t="shared" ref="NYW105" si="2536">NYV102</f>
        <v>0</v>
      </c>
      <c r="NYX105" s="1051"/>
      <c r="NYY105" s="1051"/>
      <c r="NYZ105" s="1056"/>
      <c r="NZA105" s="1157">
        <f t="shared" ref="NZA105" si="2537">NYZ102</f>
        <v>0</v>
      </c>
      <c r="NZB105" s="1051"/>
      <c r="NZC105" s="1051"/>
      <c r="NZD105" s="1056"/>
      <c r="NZE105" s="1157">
        <f t="shared" ref="NZE105" si="2538">NZD102</f>
        <v>0</v>
      </c>
      <c r="NZF105" s="1051"/>
      <c r="NZG105" s="1051"/>
      <c r="NZH105" s="1056"/>
      <c r="NZI105" s="1157">
        <f t="shared" ref="NZI105" si="2539">NZH102</f>
        <v>0</v>
      </c>
      <c r="NZJ105" s="1051"/>
      <c r="NZK105" s="1051"/>
      <c r="NZL105" s="1056"/>
      <c r="NZM105" s="1157">
        <f t="shared" ref="NZM105" si="2540">NZL102</f>
        <v>0</v>
      </c>
      <c r="NZN105" s="1051"/>
      <c r="NZO105" s="1051"/>
      <c r="NZP105" s="1056"/>
      <c r="NZQ105" s="1157">
        <f t="shared" ref="NZQ105" si="2541">NZP102</f>
        <v>0</v>
      </c>
      <c r="NZR105" s="1051"/>
      <c r="NZS105" s="1051"/>
      <c r="NZT105" s="1056"/>
      <c r="NZU105" s="1157">
        <f t="shared" ref="NZU105" si="2542">NZT102</f>
        <v>0</v>
      </c>
      <c r="NZV105" s="1051"/>
      <c r="NZW105" s="1051"/>
      <c r="NZX105" s="1056"/>
      <c r="NZY105" s="1157">
        <f t="shared" ref="NZY105" si="2543">NZX102</f>
        <v>0</v>
      </c>
      <c r="NZZ105" s="1051"/>
      <c r="OAA105" s="1051"/>
      <c r="OAB105" s="1056"/>
      <c r="OAC105" s="1157">
        <f t="shared" ref="OAC105" si="2544">OAB102</f>
        <v>0</v>
      </c>
      <c r="OAD105" s="1051"/>
      <c r="OAE105" s="1051"/>
      <c r="OAF105" s="1056"/>
      <c r="OAG105" s="1157">
        <f t="shared" ref="OAG105" si="2545">OAF102</f>
        <v>0</v>
      </c>
      <c r="OAH105" s="1051"/>
      <c r="OAI105" s="1051"/>
      <c r="OAJ105" s="1056"/>
      <c r="OAK105" s="1157">
        <f t="shared" ref="OAK105" si="2546">OAJ102</f>
        <v>0</v>
      </c>
      <c r="OAL105" s="1051"/>
      <c r="OAM105" s="1051"/>
      <c r="OAN105" s="1056"/>
      <c r="OAO105" s="1157">
        <f t="shared" ref="OAO105" si="2547">OAN102</f>
        <v>0</v>
      </c>
      <c r="OAP105" s="1051"/>
      <c r="OAQ105" s="1051"/>
      <c r="OAR105" s="1056"/>
      <c r="OAS105" s="1157">
        <f t="shared" ref="OAS105" si="2548">OAR102</f>
        <v>0</v>
      </c>
      <c r="OAT105" s="1051"/>
      <c r="OAU105" s="1051"/>
      <c r="OAV105" s="1056"/>
      <c r="OAW105" s="1157">
        <f t="shared" ref="OAW105" si="2549">OAV102</f>
        <v>0</v>
      </c>
      <c r="OAX105" s="1051"/>
      <c r="OAY105" s="1051"/>
      <c r="OAZ105" s="1056"/>
      <c r="OBA105" s="1157">
        <f t="shared" ref="OBA105" si="2550">OAZ102</f>
        <v>0</v>
      </c>
      <c r="OBB105" s="1051"/>
      <c r="OBC105" s="1051"/>
      <c r="OBD105" s="1056"/>
      <c r="OBE105" s="1157">
        <f t="shared" ref="OBE105" si="2551">OBD102</f>
        <v>0</v>
      </c>
      <c r="OBF105" s="1051"/>
      <c r="OBG105" s="1051"/>
      <c r="OBH105" s="1056"/>
      <c r="OBI105" s="1157">
        <f t="shared" ref="OBI105" si="2552">OBH102</f>
        <v>0</v>
      </c>
      <c r="OBJ105" s="1051"/>
      <c r="OBK105" s="1051"/>
      <c r="OBL105" s="1056"/>
      <c r="OBM105" s="1157">
        <f t="shared" ref="OBM105" si="2553">OBL102</f>
        <v>0</v>
      </c>
      <c r="OBN105" s="1051"/>
      <c r="OBO105" s="1051"/>
      <c r="OBP105" s="1056"/>
      <c r="OBQ105" s="1157">
        <f t="shared" ref="OBQ105" si="2554">OBP102</f>
        <v>0</v>
      </c>
      <c r="OBR105" s="1051"/>
      <c r="OBS105" s="1051"/>
      <c r="OBT105" s="1056"/>
      <c r="OBU105" s="1157">
        <f t="shared" ref="OBU105" si="2555">OBT102</f>
        <v>0</v>
      </c>
      <c r="OBV105" s="1051"/>
      <c r="OBW105" s="1051"/>
      <c r="OBX105" s="1056"/>
      <c r="OBY105" s="1157">
        <f t="shared" ref="OBY105" si="2556">OBX102</f>
        <v>0</v>
      </c>
      <c r="OBZ105" s="1051"/>
      <c r="OCA105" s="1051"/>
      <c r="OCB105" s="1056"/>
      <c r="OCC105" s="1157">
        <f t="shared" ref="OCC105" si="2557">OCB102</f>
        <v>0</v>
      </c>
      <c r="OCD105" s="1051"/>
      <c r="OCE105" s="1051"/>
      <c r="OCF105" s="1056"/>
      <c r="OCG105" s="1157">
        <f t="shared" ref="OCG105" si="2558">OCF102</f>
        <v>0</v>
      </c>
      <c r="OCH105" s="1051"/>
      <c r="OCI105" s="1051"/>
      <c r="OCJ105" s="1056"/>
      <c r="OCK105" s="1157">
        <f t="shared" ref="OCK105" si="2559">OCJ102</f>
        <v>0</v>
      </c>
      <c r="OCL105" s="1051"/>
      <c r="OCM105" s="1051"/>
      <c r="OCN105" s="1056"/>
      <c r="OCO105" s="1157">
        <f t="shared" ref="OCO105" si="2560">OCN102</f>
        <v>0</v>
      </c>
      <c r="OCP105" s="1051"/>
      <c r="OCQ105" s="1051"/>
      <c r="OCR105" s="1056"/>
      <c r="OCS105" s="1157">
        <f t="shared" ref="OCS105" si="2561">OCR102</f>
        <v>0</v>
      </c>
      <c r="OCT105" s="1051"/>
      <c r="OCU105" s="1051"/>
      <c r="OCV105" s="1056"/>
      <c r="OCW105" s="1157">
        <f t="shared" ref="OCW105" si="2562">OCV102</f>
        <v>0</v>
      </c>
      <c r="OCX105" s="1051"/>
      <c r="OCY105" s="1051"/>
      <c r="OCZ105" s="1056"/>
      <c r="ODA105" s="1157">
        <f t="shared" ref="ODA105" si="2563">OCZ102</f>
        <v>0</v>
      </c>
      <c r="ODB105" s="1051"/>
      <c r="ODC105" s="1051"/>
      <c r="ODD105" s="1056"/>
      <c r="ODE105" s="1157">
        <f t="shared" ref="ODE105" si="2564">ODD102</f>
        <v>0</v>
      </c>
      <c r="ODF105" s="1051"/>
      <c r="ODG105" s="1051"/>
      <c r="ODH105" s="1056"/>
      <c r="ODI105" s="1157">
        <f t="shared" ref="ODI105" si="2565">ODH102</f>
        <v>0</v>
      </c>
      <c r="ODJ105" s="1051"/>
      <c r="ODK105" s="1051"/>
      <c r="ODL105" s="1056"/>
      <c r="ODM105" s="1157">
        <f t="shared" ref="ODM105" si="2566">ODL102</f>
        <v>0</v>
      </c>
      <c r="ODN105" s="1051"/>
      <c r="ODO105" s="1051"/>
      <c r="ODP105" s="1056"/>
      <c r="ODQ105" s="1157">
        <f t="shared" ref="ODQ105" si="2567">ODP102</f>
        <v>0</v>
      </c>
      <c r="ODR105" s="1051"/>
      <c r="ODS105" s="1051"/>
      <c r="ODT105" s="1056"/>
      <c r="ODU105" s="1157">
        <f t="shared" ref="ODU105" si="2568">ODT102</f>
        <v>0</v>
      </c>
      <c r="ODV105" s="1051"/>
      <c r="ODW105" s="1051"/>
      <c r="ODX105" s="1056"/>
      <c r="ODY105" s="1157">
        <f t="shared" ref="ODY105" si="2569">ODX102</f>
        <v>0</v>
      </c>
      <c r="ODZ105" s="1051"/>
      <c r="OEA105" s="1051"/>
      <c r="OEB105" s="1056"/>
      <c r="OEC105" s="1157">
        <f t="shared" ref="OEC105" si="2570">OEB102</f>
        <v>0</v>
      </c>
      <c r="OED105" s="1051"/>
      <c r="OEE105" s="1051"/>
      <c r="OEF105" s="1056"/>
      <c r="OEG105" s="1157">
        <f t="shared" ref="OEG105" si="2571">OEF102</f>
        <v>0</v>
      </c>
      <c r="OEH105" s="1051"/>
      <c r="OEI105" s="1051"/>
      <c r="OEJ105" s="1056"/>
      <c r="OEK105" s="1157">
        <f t="shared" ref="OEK105" si="2572">OEJ102</f>
        <v>0</v>
      </c>
      <c r="OEL105" s="1051"/>
      <c r="OEM105" s="1051"/>
      <c r="OEN105" s="1056"/>
      <c r="OEO105" s="1157">
        <f t="shared" ref="OEO105" si="2573">OEN102</f>
        <v>0</v>
      </c>
      <c r="OEP105" s="1051"/>
      <c r="OEQ105" s="1051"/>
      <c r="OER105" s="1056"/>
      <c r="OES105" s="1157">
        <f t="shared" ref="OES105" si="2574">OER102</f>
        <v>0</v>
      </c>
      <c r="OET105" s="1051"/>
      <c r="OEU105" s="1051"/>
      <c r="OEV105" s="1056"/>
      <c r="OEW105" s="1157">
        <f t="shared" ref="OEW105" si="2575">OEV102</f>
        <v>0</v>
      </c>
      <c r="OEX105" s="1051"/>
      <c r="OEY105" s="1051"/>
      <c r="OEZ105" s="1056"/>
      <c r="OFA105" s="1157">
        <f t="shared" ref="OFA105" si="2576">OEZ102</f>
        <v>0</v>
      </c>
      <c r="OFB105" s="1051"/>
      <c r="OFC105" s="1051"/>
      <c r="OFD105" s="1056"/>
      <c r="OFE105" s="1157">
        <f t="shared" ref="OFE105" si="2577">OFD102</f>
        <v>0</v>
      </c>
      <c r="OFF105" s="1051"/>
      <c r="OFG105" s="1051"/>
      <c r="OFH105" s="1056"/>
      <c r="OFI105" s="1157">
        <f t="shared" ref="OFI105" si="2578">OFH102</f>
        <v>0</v>
      </c>
      <c r="OFJ105" s="1051"/>
      <c r="OFK105" s="1051"/>
      <c r="OFL105" s="1056"/>
      <c r="OFM105" s="1157">
        <f t="shared" ref="OFM105" si="2579">OFL102</f>
        <v>0</v>
      </c>
      <c r="OFN105" s="1051"/>
      <c r="OFO105" s="1051"/>
      <c r="OFP105" s="1056"/>
      <c r="OFQ105" s="1157">
        <f t="shared" ref="OFQ105" si="2580">OFP102</f>
        <v>0</v>
      </c>
      <c r="OFR105" s="1051"/>
      <c r="OFS105" s="1051"/>
      <c r="OFT105" s="1056"/>
      <c r="OFU105" s="1157">
        <f t="shared" ref="OFU105" si="2581">OFT102</f>
        <v>0</v>
      </c>
      <c r="OFV105" s="1051"/>
      <c r="OFW105" s="1051"/>
      <c r="OFX105" s="1056"/>
      <c r="OFY105" s="1157">
        <f t="shared" ref="OFY105" si="2582">OFX102</f>
        <v>0</v>
      </c>
      <c r="OFZ105" s="1051"/>
      <c r="OGA105" s="1051"/>
      <c r="OGB105" s="1056"/>
      <c r="OGC105" s="1157">
        <f t="shared" ref="OGC105" si="2583">OGB102</f>
        <v>0</v>
      </c>
      <c r="OGD105" s="1051"/>
      <c r="OGE105" s="1051"/>
      <c r="OGF105" s="1056"/>
      <c r="OGG105" s="1157">
        <f t="shared" ref="OGG105" si="2584">OGF102</f>
        <v>0</v>
      </c>
      <c r="OGH105" s="1051"/>
      <c r="OGI105" s="1051"/>
      <c r="OGJ105" s="1056"/>
      <c r="OGK105" s="1157">
        <f t="shared" ref="OGK105" si="2585">OGJ102</f>
        <v>0</v>
      </c>
      <c r="OGL105" s="1051"/>
      <c r="OGM105" s="1051"/>
      <c r="OGN105" s="1056"/>
      <c r="OGO105" s="1157">
        <f t="shared" ref="OGO105" si="2586">OGN102</f>
        <v>0</v>
      </c>
      <c r="OGP105" s="1051"/>
      <c r="OGQ105" s="1051"/>
      <c r="OGR105" s="1056"/>
      <c r="OGS105" s="1157">
        <f t="shared" ref="OGS105" si="2587">OGR102</f>
        <v>0</v>
      </c>
      <c r="OGT105" s="1051"/>
      <c r="OGU105" s="1051"/>
      <c r="OGV105" s="1056"/>
      <c r="OGW105" s="1157">
        <f t="shared" ref="OGW105" si="2588">OGV102</f>
        <v>0</v>
      </c>
      <c r="OGX105" s="1051"/>
      <c r="OGY105" s="1051"/>
      <c r="OGZ105" s="1056"/>
      <c r="OHA105" s="1157">
        <f t="shared" ref="OHA105" si="2589">OGZ102</f>
        <v>0</v>
      </c>
      <c r="OHB105" s="1051"/>
      <c r="OHC105" s="1051"/>
      <c r="OHD105" s="1056"/>
      <c r="OHE105" s="1157">
        <f t="shared" ref="OHE105" si="2590">OHD102</f>
        <v>0</v>
      </c>
      <c r="OHF105" s="1051"/>
      <c r="OHG105" s="1051"/>
      <c r="OHH105" s="1056"/>
      <c r="OHI105" s="1157">
        <f t="shared" ref="OHI105" si="2591">OHH102</f>
        <v>0</v>
      </c>
      <c r="OHJ105" s="1051"/>
      <c r="OHK105" s="1051"/>
      <c r="OHL105" s="1056"/>
      <c r="OHM105" s="1157">
        <f t="shared" ref="OHM105" si="2592">OHL102</f>
        <v>0</v>
      </c>
      <c r="OHN105" s="1051"/>
      <c r="OHO105" s="1051"/>
      <c r="OHP105" s="1056"/>
      <c r="OHQ105" s="1157">
        <f t="shared" ref="OHQ105" si="2593">OHP102</f>
        <v>0</v>
      </c>
      <c r="OHR105" s="1051"/>
      <c r="OHS105" s="1051"/>
      <c r="OHT105" s="1056"/>
      <c r="OHU105" s="1157">
        <f t="shared" ref="OHU105" si="2594">OHT102</f>
        <v>0</v>
      </c>
      <c r="OHV105" s="1051"/>
      <c r="OHW105" s="1051"/>
      <c r="OHX105" s="1056"/>
      <c r="OHY105" s="1157">
        <f t="shared" ref="OHY105" si="2595">OHX102</f>
        <v>0</v>
      </c>
      <c r="OHZ105" s="1051"/>
      <c r="OIA105" s="1051"/>
      <c r="OIB105" s="1056"/>
      <c r="OIC105" s="1157">
        <f t="shared" ref="OIC105" si="2596">OIB102</f>
        <v>0</v>
      </c>
      <c r="OID105" s="1051"/>
      <c r="OIE105" s="1051"/>
      <c r="OIF105" s="1056"/>
      <c r="OIG105" s="1157">
        <f t="shared" ref="OIG105" si="2597">OIF102</f>
        <v>0</v>
      </c>
      <c r="OIH105" s="1051"/>
      <c r="OII105" s="1051"/>
      <c r="OIJ105" s="1056"/>
      <c r="OIK105" s="1157">
        <f t="shared" ref="OIK105" si="2598">OIJ102</f>
        <v>0</v>
      </c>
      <c r="OIL105" s="1051"/>
      <c r="OIM105" s="1051"/>
      <c r="OIN105" s="1056"/>
      <c r="OIO105" s="1157">
        <f t="shared" ref="OIO105" si="2599">OIN102</f>
        <v>0</v>
      </c>
      <c r="OIP105" s="1051"/>
      <c r="OIQ105" s="1051"/>
      <c r="OIR105" s="1056"/>
      <c r="OIS105" s="1157">
        <f t="shared" ref="OIS105" si="2600">OIR102</f>
        <v>0</v>
      </c>
      <c r="OIT105" s="1051"/>
      <c r="OIU105" s="1051"/>
      <c r="OIV105" s="1056"/>
      <c r="OIW105" s="1157">
        <f t="shared" ref="OIW105" si="2601">OIV102</f>
        <v>0</v>
      </c>
      <c r="OIX105" s="1051"/>
      <c r="OIY105" s="1051"/>
      <c r="OIZ105" s="1056"/>
      <c r="OJA105" s="1157">
        <f t="shared" ref="OJA105" si="2602">OIZ102</f>
        <v>0</v>
      </c>
      <c r="OJB105" s="1051"/>
      <c r="OJC105" s="1051"/>
      <c r="OJD105" s="1056"/>
      <c r="OJE105" s="1157">
        <f t="shared" ref="OJE105" si="2603">OJD102</f>
        <v>0</v>
      </c>
      <c r="OJF105" s="1051"/>
      <c r="OJG105" s="1051"/>
      <c r="OJH105" s="1056"/>
      <c r="OJI105" s="1157">
        <f t="shared" ref="OJI105" si="2604">OJH102</f>
        <v>0</v>
      </c>
      <c r="OJJ105" s="1051"/>
      <c r="OJK105" s="1051"/>
      <c r="OJL105" s="1056"/>
      <c r="OJM105" s="1157">
        <f t="shared" ref="OJM105" si="2605">OJL102</f>
        <v>0</v>
      </c>
      <c r="OJN105" s="1051"/>
      <c r="OJO105" s="1051"/>
      <c r="OJP105" s="1056"/>
      <c r="OJQ105" s="1157">
        <f t="shared" ref="OJQ105" si="2606">OJP102</f>
        <v>0</v>
      </c>
      <c r="OJR105" s="1051"/>
      <c r="OJS105" s="1051"/>
      <c r="OJT105" s="1056"/>
      <c r="OJU105" s="1157">
        <f t="shared" ref="OJU105" si="2607">OJT102</f>
        <v>0</v>
      </c>
      <c r="OJV105" s="1051"/>
      <c r="OJW105" s="1051"/>
      <c r="OJX105" s="1056"/>
      <c r="OJY105" s="1157">
        <f t="shared" ref="OJY105" si="2608">OJX102</f>
        <v>0</v>
      </c>
      <c r="OJZ105" s="1051"/>
      <c r="OKA105" s="1051"/>
      <c r="OKB105" s="1056"/>
      <c r="OKC105" s="1157">
        <f t="shared" ref="OKC105" si="2609">OKB102</f>
        <v>0</v>
      </c>
      <c r="OKD105" s="1051"/>
      <c r="OKE105" s="1051"/>
      <c r="OKF105" s="1056"/>
      <c r="OKG105" s="1157">
        <f t="shared" ref="OKG105" si="2610">OKF102</f>
        <v>0</v>
      </c>
      <c r="OKH105" s="1051"/>
      <c r="OKI105" s="1051"/>
      <c r="OKJ105" s="1056"/>
      <c r="OKK105" s="1157">
        <f t="shared" ref="OKK105" si="2611">OKJ102</f>
        <v>0</v>
      </c>
      <c r="OKL105" s="1051"/>
      <c r="OKM105" s="1051"/>
      <c r="OKN105" s="1056"/>
      <c r="OKO105" s="1157">
        <f t="shared" ref="OKO105" si="2612">OKN102</f>
        <v>0</v>
      </c>
      <c r="OKP105" s="1051"/>
      <c r="OKQ105" s="1051"/>
      <c r="OKR105" s="1056"/>
      <c r="OKS105" s="1157">
        <f t="shared" ref="OKS105" si="2613">OKR102</f>
        <v>0</v>
      </c>
      <c r="OKT105" s="1051"/>
      <c r="OKU105" s="1051"/>
      <c r="OKV105" s="1056"/>
      <c r="OKW105" s="1157">
        <f t="shared" ref="OKW105" si="2614">OKV102</f>
        <v>0</v>
      </c>
      <c r="OKX105" s="1051"/>
      <c r="OKY105" s="1051"/>
      <c r="OKZ105" s="1056"/>
      <c r="OLA105" s="1157">
        <f t="shared" ref="OLA105" si="2615">OKZ102</f>
        <v>0</v>
      </c>
      <c r="OLB105" s="1051"/>
      <c r="OLC105" s="1051"/>
      <c r="OLD105" s="1056"/>
      <c r="OLE105" s="1157">
        <f t="shared" ref="OLE105" si="2616">OLD102</f>
        <v>0</v>
      </c>
      <c r="OLF105" s="1051"/>
      <c r="OLG105" s="1051"/>
      <c r="OLH105" s="1056"/>
      <c r="OLI105" s="1157">
        <f t="shared" ref="OLI105" si="2617">OLH102</f>
        <v>0</v>
      </c>
      <c r="OLJ105" s="1051"/>
      <c r="OLK105" s="1051"/>
      <c r="OLL105" s="1056"/>
      <c r="OLM105" s="1157">
        <f t="shared" ref="OLM105" si="2618">OLL102</f>
        <v>0</v>
      </c>
      <c r="OLN105" s="1051"/>
      <c r="OLO105" s="1051"/>
      <c r="OLP105" s="1056"/>
      <c r="OLQ105" s="1157">
        <f t="shared" ref="OLQ105" si="2619">OLP102</f>
        <v>0</v>
      </c>
      <c r="OLR105" s="1051"/>
      <c r="OLS105" s="1051"/>
      <c r="OLT105" s="1056"/>
      <c r="OLU105" s="1157">
        <f t="shared" ref="OLU105" si="2620">OLT102</f>
        <v>0</v>
      </c>
      <c r="OLV105" s="1051"/>
      <c r="OLW105" s="1051"/>
      <c r="OLX105" s="1056"/>
      <c r="OLY105" s="1157">
        <f t="shared" ref="OLY105" si="2621">OLX102</f>
        <v>0</v>
      </c>
      <c r="OLZ105" s="1051"/>
      <c r="OMA105" s="1051"/>
      <c r="OMB105" s="1056"/>
      <c r="OMC105" s="1157">
        <f t="shared" ref="OMC105" si="2622">OMB102</f>
        <v>0</v>
      </c>
      <c r="OMD105" s="1051"/>
      <c r="OME105" s="1051"/>
      <c r="OMF105" s="1056"/>
      <c r="OMG105" s="1157">
        <f t="shared" ref="OMG105" si="2623">OMF102</f>
        <v>0</v>
      </c>
      <c r="OMH105" s="1051"/>
      <c r="OMI105" s="1051"/>
      <c r="OMJ105" s="1056"/>
      <c r="OMK105" s="1157">
        <f t="shared" ref="OMK105" si="2624">OMJ102</f>
        <v>0</v>
      </c>
      <c r="OML105" s="1051"/>
      <c r="OMM105" s="1051"/>
      <c r="OMN105" s="1056"/>
      <c r="OMO105" s="1157">
        <f t="shared" ref="OMO105" si="2625">OMN102</f>
        <v>0</v>
      </c>
      <c r="OMP105" s="1051"/>
      <c r="OMQ105" s="1051"/>
      <c r="OMR105" s="1056"/>
      <c r="OMS105" s="1157">
        <f t="shared" ref="OMS105" si="2626">OMR102</f>
        <v>0</v>
      </c>
      <c r="OMT105" s="1051"/>
      <c r="OMU105" s="1051"/>
      <c r="OMV105" s="1056"/>
      <c r="OMW105" s="1157">
        <f t="shared" ref="OMW105" si="2627">OMV102</f>
        <v>0</v>
      </c>
      <c r="OMX105" s="1051"/>
      <c r="OMY105" s="1051"/>
      <c r="OMZ105" s="1056"/>
      <c r="ONA105" s="1157">
        <f t="shared" ref="ONA105" si="2628">OMZ102</f>
        <v>0</v>
      </c>
      <c r="ONB105" s="1051"/>
      <c r="ONC105" s="1051"/>
      <c r="OND105" s="1056"/>
      <c r="ONE105" s="1157">
        <f t="shared" ref="ONE105" si="2629">OND102</f>
        <v>0</v>
      </c>
      <c r="ONF105" s="1051"/>
      <c r="ONG105" s="1051"/>
      <c r="ONH105" s="1056"/>
      <c r="ONI105" s="1157">
        <f t="shared" ref="ONI105" si="2630">ONH102</f>
        <v>0</v>
      </c>
      <c r="ONJ105" s="1051"/>
      <c r="ONK105" s="1051"/>
      <c r="ONL105" s="1056"/>
      <c r="ONM105" s="1157">
        <f t="shared" ref="ONM105" si="2631">ONL102</f>
        <v>0</v>
      </c>
      <c r="ONN105" s="1051"/>
      <c r="ONO105" s="1051"/>
      <c r="ONP105" s="1056"/>
      <c r="ONQ105" s="1157">
        <f t="shared" ref="ONQ105" si="2632">ONP102</f>
        <v>0</v>
      </c>
      <c r="ONR105" s="1051"/>
      <c r="ONS105" s="1051"/>
      <c r="ONT105" s="1056"/>
      <c r="ONU105" s="1157">
        <f t="shared" ref="ONU105" si="2633">ONT102</f>
        <v>0</v>
      </c>
      <c r="ONV105" s="1051"/>
      <c r="ONW105" s="1051"/>
      <c r="ONX105" s="1056"/>
      <c r="ONY105" s="1157">
        <f t="shared" ref="ONY105" si="2634">ONX102</f>
        <v>0</v>
      </c>
      <c r="ONZ105" s="1051"/>
      <c r="OOA105" s="1051"/>
      <c r="OOB105" s="1056"/>
      <c r="OOC105" s="1157">
        <f t="shared" ref="OOC105" si="2635">OOB102</f>
        <v>0</v>
      </c>
      <c r="OOD105" s="1051"/>
      <c r="OOE105" s="1051"/>
      <c r="OOF105" s="1056"/>
      <c r="OOG105" s="1157">
        <f t="shared" ref="OOG105" si="2636">OOF102</f>
        <v>0</v>
      </c>
      <c r="OOH105" s="1051"/>
      <c r="OOI105" s="1051"/>
      <c r="OOJ105" s="1056"/>
      <c r="OOK105" s="1157">
        <f t="shared" ref="OOK105" si="2637">OOJ102</f>
        <v>0</v>
      </c>
      <c r="OOL105" s="1051"/>
      <c r="OOM105" s="1051"/>
      <c r="OON105" s="1056"/>
      <c r="OOO105" s="1157">
        <f t="shared" ref="OOO105" si="2638">OON102</f>
        <v>0</v>
      </c>
      <c r="OOP105" s="1051"/>
      <c r="OOQ105" s="1051"/>
      <c r="OOR105" s="1056"/>
      <c r="OOS105" s="1157">
        <f t="shared" ref="OOS105" si="2639">OOR102</f>
        <v>0</v>
      </c>
      <c r="OOT105" s="1051"/>
      <c r="OOU105" s="1051"/>
      <c r="OOV105" s="1056"/>
      <c r="OOW105" s="1157">
        <f t="shared" ref="OOW105" si="2640">OOV102</f>
        <v>0</v>
      </c>
      <c r="OOX105" s="1051"/>
      <c r="OOY105" s="1051"/>
      <c r="OOZ105" s="1056"/>
      <c r="OPA105" s="1157">
        <f t="shared" ref="OPA105" si="2641">OOZ102</f>
        <v>0</v>
      </c>
      <c r="OPB105" s="1051"/>
      <c r="OPC105" s="1051"/>
      <c r="OPD105" s="1056"/>
      <c r="OPE105" s="1157">
        <f t="shared" ref="OPE105" si="2642">OPD102</f>
        <v>0</v>
      </c>
      <c r="OPF105" s="1051"/>
      <c r="OPG105" s="1051"/>
      <c r="OPH105" s="1056"/>
      <c r="OPI105" s="1157">
        <f t="shared" ref="OPI105" si="2643">OPH102</f>
        <v>0</v>
      </c>
      <c r="OPJ105" s="1051"/>
      <c r="OPK105" s="1051"/>
      <c r="OPL105" s="1056"/>
      <c r="OPM105" s="1157">
        <f t="shared" ref="OPM105" si="2644">OPL102</f>
        <v>0</v>
      </c>
      <c r="OPN105" s="1051"/>
      <c r="OPO105" s="1051"/>
      <c r="OPP105" s="1056"/>
      <c r="OPQ105" s="1157">
        <f t="shared" ref="OPQ105" si="2645">OPP102</f>
        <v>0</v>
      </c>
      <c r="OPR105" s="1051"/>
      <c r="OPS105" s="1051"/>
      <c r="OPT105" s="1056"/>
      <c r="OPU105" s="1157">
        <f t="shared" ref="OPU105" si="2646">OPT102</f>
        <v>0</v>
      </c>
      <c r="OPV105" s="1051"/>
      <c r="OPW105" s="1051"/>
      <c r="OPX105" s="1056"/>
      <c r="OPY105" s="1157">
        <f t="shared" ref="OPY105" si="2647">OPX102</f>
        <v>0</v>
      </c>
      <c r="OPZ105" s="1051"/>
      <c r="OQA105" s="1051"/>
      <c r="OQB105" s="1056"/>
      <c r="OQC105" s="1157">
        <f t="shared" ref="OQC105" si="2648">OQB102</f>
        <v>0</v>
      </c>
      <c r="OQD105" s="1051"/>
      <c r="OQE105" s="1051"/>
      <c r="OQF105" s="1056"/>
      <c r="OQG105" s="1157">
        <f t="shared" ref="OQG105" si="2649">OQF102</f>
        <v>0</v>
      </c>
      <c r="OQH105" s="1051"/>
      <c r="OQI105" s="1051"/>
      <c r="OQJ105" s="1056"/>
      <c r="OQK105" s="1157">
        <f t="shared" ref="OQK105" si="2650">OQJ102</f>
        <v>0</v>
      </c>
      <c r="OQL105" s="1051"/>
      <c r="OQM105" s="1051"/>
      <c r="OQN105" s="1056"/>
      <c r="OQO105" s="1157">
        <f t="shared" ref="OQO105" si="2651">OQN102</f>
        <v>0</v>
      </c>
      <c r="OQP105" s="1051"/>
      <c r="OQQ105" s="1051"/>
      <c r="OQR105" s="1056"/>
      <c r="OQS105" s="1157">
        <f t="shared" ref="OQS105" si="2652">OQR102</f>
        <v>0</v>
      </c>
      <c r="OQT105" s="1051"/>
      <c r="OQU105" s="1051"/>
      <c r="OQV105" s="1056"/>
      <c r="OQW105" s="1157">
        <f t="shared" ref="OQW105" si="2653">OQV102</f>
        <v>0</v>
      </c>
      <c r="OQX105" s="1051"/>
      <c r="OQY105" s="1051"/>
      <c r="OQZ105" s="1056"/>
      <c r="ORA105" s="1157">
        <f t="shared" ref="ORA105" si="2654">OQZ102</f>
        <v>0</v>
      </c>
      <c r="ORB105" s="1051"/>
      <c r="ORC105" s="1051"/>
      <c r="ORD105" s="1056"/>
      <c r="ORE105" s="1157">
        <f t="shared" ref="ORE105" si="2655">ORD102</f>
        <v>0</v>
      </c>
      <c r="ORF105" s="1051"/>
      <c r="ORG105" s="1051"/>
      <c r="ORH105" s="1056"/>
      <c r="ORI105" s="1157">
        <f t="shared" ref="ORI105" si="2656">ORH102</f>
        <v>0</v>
      </c>
      <c r="ORJ105" s="1051"/>
      <c r="ORK105" s="1051"/>
      <c r="ORL105" s="1056"/>
      <c r="ORM105" s="1157">
        <f t="shared" ref="ORM105" si="2657">ORL102</f>
        <v>0</v>
      </c>
      <c r="ORN105" s="1051"/>
      <c r="ORO105" s="1051"/>
      <c r="ORP105" s="1056"/>
      <c r="ORQ105" s="1157">
        <f t="shared" ref="ORQ105" si="2658">ORP102</f>
        <v>0</v>
      </c>
      <c r="ORR105" s="1051"/>
      <c r="ORS105" s="1051"/>
      <c r="ORT105" s="1056"/>
      <c r="ORU105" s="1157">
        <f t="shared" ref="ORU105" si="2659">ORT102</f>
        <v>0</v>
      </c>
      <c r="ORV105" s="1051"/>
      <c r="ORW105" s="1051"/>
      <c r="ORX105" s="1056"/>
      <c r="ORY105" s="1157">
        <f t="shared" ref="ORY105" si="2660">ORX102</f>
        <v>0</v>
      </c>
      <c r="ORZ105" s="1051"/>
      <c r="OSA105" s="1051"/>
      <c r="OSB105" s="1056"/>
      <c r="OSC105" s="1157">
        <f t="shared" ref="OSC105" si="2661">OSB102</f>
        <v>0</v>
      </c>
      <c r="OSD105" s="1051"/>
      <c r="OSE105" s="1051"/>
      <c r="OSF105" s="1056"/>
      <c r="OSG105" s="1157">
        <f t="shared" ref="OSG105" si="2662">OSF102</f>
        <v>0</v>
      </c>
      <c r="OSH105" s="1051"/>
      <c r="OSI105" s="1051"/>
      <c r="OSJ105" s="1056"/>
      <c r="OSK105" s="1157">
        <f t="shared" ref="OSK105" si="2663">OSJ102</f>
        <v>0</v>
      </c>
      <c r="OSL105" s="1051"/>
      <c r="OSM105" s="1051"/>
      <c r="OSN105" s="1056"/>
      <c r="OSO105" s="1157">
        <f t="shared" ref="OSO105" si="2664">OSN102</f>
        <v>0</v>
      </c>
      <c r="OSP105" s="1051"/>
      <c r="OSQ105" s="1051"/>
      <c r="OSR105" s="1056"/>
      <c r="OSS105" s="1157">
        <f t="shared" ref="OSS105" si="2665">OSR102</f>
        <v>0</v>
      </c>
      <c r="OST105" s="1051"/>
      <c r="OSU105" s="1051"/>
      <c r="OSV105" s="1056"/>
      <c r="OSW105" s="1157">
        <f t="shared" ref="OSW105" si="2666">OSV102</f>
        <v>0</v>
      </c>
      <c r="OSX105" s="1051"/>
      <c r="OSY105" s="1051"/>
      <c r="OSZ105" s="1056"/>
      <c r="OTA105" s="1157">
        <f t="shared" ref="OTA105" si="2667">OSZ102</f>
        <v>0</v>
      </c>
      <c r="OTB105" s="1051"/>
      <c r="OTC105" s="1051"/>
      <c r="OTD105" s="1056"/>
      <c r="OTE105" s="1157">
        <f t="shared" ref="OTE105" si="2668">OTD102</f>
        <v>0</v>
      </c>
      <c r="OTF105" s="1051"/>
      <c r="OTG105" s="1051"/>
      <c r="OTH105" s="1056"/>
      <c r="OTI105" s="1157">
        <f t="shared" ref="OTI105" si="2669">OTH102</f>
        <v>0</v>
      </c>
      <c r="OTJ105" s="1051"/>
      <c r="OTK105" s="1051"/>
      <c r="OTL105" s="1056"/>
      <c r="OTM105" s="1157">
        <f t="shared" ref="OTM105" si="2670">OTL102</f>
        <v>0</v>
      </c>
      <c r="OTN105" s="1051"/>
      <c r="OTO105" s="1051"/>
      <c r="OTP105" s="1056"/>
      <c r="OTQ105" s="1157">
        <f t="shared" ref="OTQ105" si="2671">OTP102</f>
        <v>0</v>
      </c>
      <c r="OTR105" s="1051"/>
      <c r="OTS105" s="1051"/>
      <c r="OTT105" s="1056"/>
      <c r="OTU105" s="1157">
        <f t="shared" ref="OTU105" si="2672">OTT102</f>
        <v>0</v>
      </c>
      <c r="OTV105" s="1051"/>
      <c r="OTW105" s="1051"/>
      <c r="OTX105" s="1056"/>
      <c r="OTY105" s="1157">
        <f t="shared" ref="OTY105" si="2673">OTX102</f>
        <v>0</v>
      </c>
      <c r="OTZ105" s="1051"/>
      <c r="OUA105" s="1051"/>
      <c r="OUB105" s="1056"/>
      <c r="OUC105" s="1157">
        <f t="shared" ref="OUC105" si="2674">OUB102</f>
        <v>0</v>
      </c>
      <c r="OUD105" s="1051"/>
      <c r="OUE105" s="1051"/>
      <c r="OUF105" s="1056"/>
      <c r="OUG105" s="1157">
        <f t="shared" ref="OUG105" si="2675">OUF102</f>
        <v>0</v>
      </c>
      <c r="OUH105" s="1051"/>
      <c r="OUI105" s="1051"/>
      <c r="OUJ105" s="1056"/>
      <c r="OUK105" s="1157">
        <f t="shared" ref="OUK105" si="2676">OUJ102</f>
        <v>0</v>
      </c>
      <c r="OUL105" s="1051"/>
      <c r="OUM105" s="1051"/>
      <c r="OUN105" s="1056"/>
      <c r="OUO105" s="1157">
        <f t="shared" ref="OUO105" si="2677">OUN102</f>
        <v>0</v>
      </c>
      <c r="OUP105" s="1051"/>
      <c r="OUQ105" s="1051"/>
      <c r="OUR105" s="1056"/>
      <c r="OUS105" s="1157">
        <f t="shared" ref="OUS105" si="2678">OUR102</f>
        <v>0</v>
      </c>
      <c r="OUT105" s="1051"/>
      <c r="OUU105" s="1051"/>
      <c r="OUV105" s="1056"/>
      <c r="OUW105" s="1157">
        <f t="shared" ref="OUW105" si="2679">OUV102</f>
        <v>0</v>
      </c>
      <c r="OUX105" s="1051"/>
      <c r="OUY105" s="1051"/>
      <c r="OUZ105" s="1056"/>
      <c r="OVA105" s="1157">
        <f t="shared" ref="OVA105" si="2680">OUZ102</f>
        <v>0</v>
      </c>
      <c r="OVB105" s="1051"/>
      <c r="OVC105" s="1051"/>
      <c r="OVD105" s="1056"/>
      <c r="OVE105" s="1157">
        <f t="shared" ref="OVE105" si="2681">OVD102</f>
        <v>0</v>
      </c>
      <c r="OVF105" s="1051"/>
      <c r="OVG105" s="1051"/>
      <c r="OVH105" s="1056"/>
      <c r="OVI105" s="1157">
        <f t="shared" ref="OVI105" si="2682">OVH102</f>
        <v>0</v>
      </c>
      <c r="OVJ105" s="1051"/>
      <c r="OVK105" s="1051"/>
      <c r="OVL105" s="1056"/>
      <c r="OVM105" s="1157">
        <f t="shared" ref="OVM105" si="2683">OVL102</f>
        <v>0</v>
      </c>
      <c r="OVN105" s="1051"/>
      <c r="OVO105" s="1051"/>
      <c r="OVP105" s="1056"/>
      <c r="OVQ105" s="1157">
        <f t="shared" ref="OVQ105" si="2684">OVP102</f>
        <v>0</v>
      </c>
      <c r="OVR105" s="1051"/>
      <c r="OVS105" s="1051"/>
      <c r="OVT105" s="1056"/>
      <c r="OVU105" s="1157">
        <f t="shared" ref="OVU105" si="2685">OVT102</f>
        <v>0</v>
      </c>
      <c r="OVV105" s="1051"/>
      <c r="OVW105" s="1051"/>
      <c r="OVX105" s="1056"/>
      <c r="OVY105" s="1157">
        <f t="shared" ref="OVY105" si="2686">OVX102</f>
        <v>0</v>
      </c>
      <c r="OVZ105" s="1051"/>
      <c r="OWA105" s="1051"/>
      <c r="OWB105" s="1056"/>
      <c r="OWC105" s="1157">
        <f t="shared" ref="OWC105" si="2687">OWB102</f>
        <v>0</v>
      </c>
      <c r="OWD105" s="1051"/>
      <c r="OWE105" s="1051"/>
      <c r="OWF105" s="1056"/>
      <c r="OWG105" s="1157">
        <f t="shared" ref="OWG105" si="2688">OWF102</f>
        <v>0</v>
      </c>
      <c r="OWH105" s="1051"/>
      <c r="OWI105" s="1051"/>
      <c r="OWJ105" s="1056"/>
      <c r="OWK105" s="1157">
        <f t="shared" ref="OWK105" si="2689">OWJ102</f>
        <v>0</v>
      </c>
      <c r="OWL105" s="1051"/>
      <c r="OWM105" s="1051"/>
      <c r="OWN105" s="1056"/>
      <c r="OWO105" s="1157">
        <f t="shared" ref="OWO105" si="2690">OWN102</f>
        <v>0</v>
      </c>
      <c r="OWP105" s="1051"/>
      <c r="OWQ105" s="1051"/>
      <c r="OWR105" s="1056"/>
      <c r="OWS105" s="1157">
        <f t="shared" ref="OWS105" si="2691">OWR102</f>
        <v>0</v>
      </c>
      <c r="OWT105" s="1051"/>
      <c r="OWU105" s="1051"/>
      <c r="OWV105" s="1056"/>
      <c r="OWW105" s="1157">
        <f t="shared" ref="OWW105" si="2692">OWV102</f>
        <v>0</v>
      </c>
      <c r="OWX105" s="1051"/>
      <c r="OWY105" s="1051"/>
      <c r="OWZ105" s="1056"/>
      <c r="OXA105" s="1157">
        <f t="shared" ref="OXA105" si="2693">OWZ102</f>
        <v>0</v>
      </c>
      <c r="OXB105" s="1051"/>
      <c r="OXC105" s="1051"/>
      <c r="OXD105" s="1056"/>
      <c r="OXE105" s="1157">
        <f t="shared" ref="OXE105" si="2694">OXD102</f>
        <v>0</v>
      </c>
      <c r="OXF105" s="1051"/>
      <c r="OXG105" s="1051"/>
      <c r="OXH105" s="1056"/>
      <c r="OXI105" s="1157">
        <f t="shared" ref="OXI105" si="2695">OXH102</f>
        <v>0</v>
      </c>
      <c r="OXJ105" s="1051"/>
      <c r="OXK105" s="1051"/>
      <c r="OXL105" s="1056"/>
      <c r="OXM105" s="1157">
        <f t="shared" ref="OXM105" si="2696">OXL102</f>
        <v>0</v>
      </c>
      <c r="OXN105" s="1051"/>
      <c r="OXO105" s="1051"/>
      <c r="OXP105" s="1056"/>
      <c r="OXQ105" s="1157">
        <f t="shared" ref="OXQ105" si="2697">OXP102</f>
        <v>0</v>
      </c>
      <c r="OXR105" s="1051"/>
      <c r="OXS105" s="1051"/>
      <c r="OXT105" s="1056"/>
      <c r="OXU105" s="1157">
        <f t="shared" ref="OXU105" si="2698">OXT102</f>
        <v>0</v>
      </c>
      <c r="OXV105" s="1051"/>
      <c r="OXW105" s="1051"/>
      <c r="OXX105" s="1056"/>
      <c r="OXY105" s="1157">
        <f t="shared" ref="OXY105" si="2699">OXX102</f>
        <v>0</v>
      </c>
      <c r="OXZ105" s="1051"/>
      <c r="OYA105" s="1051"/>
      <c r="OYB105" s="1056"/>
      <c r="OYC105" s="1157">
        <f t="shared" ref="OYC105" si="2700">OYB102</f>
        <v>0</v>
      </c>
      <c r="OYD105" s="1051"/>
      <c r="OYE105" s="1051"/>
      <c r="OYF105" s="1056"/>
      <c r="OYG105" s="1157">
        <f t="shared" ref="OYG105" si="2701">OYF102</f>
        <v>0</v>
      </c>
      <c r="OYH105" s="1051"/>
      <c r="OYI105" s="1051"/>
      <c r="OYJ105" s="1056"/>
      <c r="OYK105" s="1157">
        <f t="shared" ref="OYK105" si="2702">OYJ102</f>
        <v>0</v>
      </c>
      <c r="OYL105" s="1051"/>
      <c r="OYM105" s="1051"/>
      <c r="OYN105" s="1056"/>
      <c r="OYO105" s="1157">
        <f t="shared" ref="OYO105" si="2703">OYN102</f>
        <v>0</v>
      </c>
      <c r="OYP105" s="1051"/>
      <c r="OYQ105" s="1051"/>
      <c r="OYR105" s="1056"/>
      <c r="OYS105" s="1157">
        <f t="shared" ref="OYS105" si="2704">OYR102</f>
        <v>0</v>
      </c>
      <c r="OYT105" s="1051"/>
      <c r="OYU105" s="1051"/>
      <c r="OYV105" s="1056"/>
      <c r="OYW105" s="1157">
        <f t="shared" ref="OYW105" si="2705">OYV102</f>
        <v>0</v>
      </c>
      <c r="OYX105" s="1051"/>
      <c r="OYY105" s="1051"/>
      <c r="OYZ105" s="1056"/>
      <c r="OZA105" s="1157">
        <f t="shared" ref="OZA105" si="2706">OYZ102</f>
        <v>0</v>
      </c>
      <c r="OZB105" s="1051"/>
      <c r="OZC105" s="1051"/>
      <c r="OZD105" s="1056"/>
      <c r="OZE105" s="1157">
        <f t="shared" ref="OZE105" si="2707">OZD102</f>
        <v>0</v>
      </c>
      <c r="OZF105" s="1051"/>
      <c r="OZG105" s="1051"/>
      <c r="OZH105" s="1056"/>
      <c r="OZI105" s="1157">
        <f t="shared" ref="OZI105" si="2708">OZH102</f>
        <v>0</v>
      </c>
      <c r="OZJ105" s="1051"/>
      <c r="OZK105" s="1051"/>
      <c r="OZL105" s="1056"/>
      <c r="OZM105" s="1157">
        <f t="shared" ref="OZM105" si="2709">OZL102</f>
        <v>0</v>
      </c>
      <c r="OZN105" s="1051"/>
      <c r="OZO105" s="1051"/>
      <c r="OZP105" s="1056"/>
      <c r="OZQ105" s="1157">
        <f t="shared" ref="OZQ105" si="2710">OZP102</f>
        <v>0</v>
      </c>
      <c r="OZR105" s="1051"/>
      <c r="OZS105" s="1051"/>
      <c r="OZT105" s="1056"/>
      <c r="OZU105" s="1157">
        <f t="shared" ref="OZU105" si="2711">OZT102</f>
        <v>0</v>
      </c>
      <c r="OZV105" s="1051"/>
      <c r="OZW105" s="1051"/>
      <c r="OZX105" s="1056"/>
      <c r="OZY105" s="1157">
        <f t="shared" ref="OZY105" si="2712">OZX102</f>
        <v>0</v>
      </c>
      <c r="OZZ105" s="1051"/>
      <c r="PAA105" s="1051"/>
      <c r="PAB105" s="1056"/>
      <c r="PAC105" s="1157">
        <f t="shared" ref="PAC105" si="2713">PAB102</f>
        <v>0</v>
      </c>
      <c r="PAD105" s="1051"/>
      <c r="PAE105" s="1051"/>
      <c r="PAF105" s="1056"/>
      <c r="PAG105" s="1157">
        <f t="shared" ref="PAG105" si="2714">PAF102</f>
        <v>0</v>
      </c>
      <c r="PAH105" s="1051"/>
      <c r="PAI105" s="1051"/>
      <c r="PAJ105" s="1056"/>
      <c r="PAK105" s="1157">
        <f t="shared" ref="PAK105" si="2715">PAJ102</f>
        <v>0</v>
      </c>
      <c r="PAL105" s="1051"/>
      <c r="PAM105" s="1051"/>
      <c r="PAN105" s="1056"/>
      <c r="PAO105" s="1157">
        <f t="shared" ref="PAO105" si="2716">PAN102</f>
        <v>0</v>
      </c>
      <c r="PAP105" s="1051"/>
      <c r="PAQ105" s="1051"/>
      <c r="PAR105" s="1056"/>
      <c r="PAS105" s="1157">
        <f t="shared" ref="PAS105" si="2717">PAR102</f>
        <v>0</v>
      </c>
      <c r="PAT105" s="1051"/>
      <c r="PAU105" s="1051"/>
      <c r="PAV105" s="1056"/>
      <c r="PAW105" s="1157">
        <f t="shared" ref="PAW105" si="2718">PAV102</f>
        <v>0</v>
      </c>
      <c r="PAX105" s="1051"/>
      <c r="PAY105" s="1051"/>
      <c r="PAZ105" s="1056"/>
      <c r="PBA105" s="1157">
        <f t="shared" ref="PBA105" si="2719">PAZ102</f>
        <v>0</v>
      </c>
      <c r="PBB105" s="1051"/>
      <c r="PBC105" s="1051"/>
      <c r="PBD105" s="1056"/>
      <c r="PBE105" s="1157">
        <f t="shared" ref="PBE105" si="2720">PBD102</f>
        <v>0</v>
      </c>
      <c r="PBF105" s="1051"/>
      <c r="PBG105" s="1051"/>
      <c r="PBH105" s="1056"/>
      <c r="PBI105" s="1157">
        <f t="shared" ref="PBI105" si="2721">PBH102</f>
        <v>0</v>
      </c>
      <c r="PBJ105" s="1051"/>
      <c r="PBK105" s="1051"/>
      <c r="PBL105" s="1056"/>
      <c r="PBM105" s="1157">
        <f t="shared" ref="PBM105" si="2722">PBL102</f>
        <v>0</v>
      </c>
      <c r="PBN105" s="1051"/>
      <c r="PBO105" s="1051"/>
      <c r="PBP105" s="1056"/>
      <c r="PBQ105" s="1157">
        <f t="shared" ref="PBQ105" si="2723">PBP102</f>
        <v>0</v>
      </c>
      <c r="PBR105" s="1051"/>
      <c r="PBS105" s="1051"/>
      <c r="PBT105" s="1056"/>
      <c r="PBU105" s="1157">
        <f t="shared" ref="PBU105" si="2724">PBT102</f>
        <v>0</v>
      </c>
      <c r="PBV105" s="1051"/>
      <c r="PBW105" s="1051"/>
      <c r="PBX105" s="1056"/>
      <c r="PBY105" s="1157">
        <f t="shared" ref="PBY105" si="2725">PBX102</f>
        <v>0</v>
      </c>
      <c r="PBZ105" s="1051"/>
      <c r="PCA105" s="1051"/>
      <c r="PCB105" s="1056"/>
      <c r="PCC105" s="1157">
        <f t="shared" ref="PCC105" si="2726">PCB102</f>
        <v>0</v>
      </c>
      <c r="PCD105" s="1051"/>
      <c r="PCE105" s="1051"/>
      <c r="PCF105" s="1056"/>
      <c r="PCG105" s="1157">
        <f t="shared" ref="PCG105" si="2727">PCF102</f>
        <v>0</v>
      </c>
      <c r="PCH105" s="1051"/>
      <c r="PCI105" s="1051"/>
      <c r="PCJ105" s="1056"/>
      <c r="PCK105" s="1157">
        <f t="shared" ref="PCK105" si="2728">PCJ102</f>
        <v>0</v>
      </c>
      <c r="PCL105" s="1051"/>
      <c r="PCM105" s="1051"/>
      <c r="PCN105" s="1056"/>
      <c r="PCO105" s="1157">
        <f t="shared" ref="PCO105" si="2729">PCN102</f>
        <v>0</v>
      </c>
      <c r="PCP105" s="1051"/>
      <c r="PCQ105" s="1051"/>
      <c r="PCR105" s="1056"/>
      <c r="PCS105" s="1157">
        <f t="shared" ref="PCS105" si="2730">PCR102</f>
        <v>0</v>
      </c>
      <c r="PCT105" s="1051"/>
      <c r="PCU105" s="1051"/>
      <c r="PCV105" s="1056"/>
      <c r="PCW105" s="1157">
        <f t="shared" ref="PCW105" si="2731">PCV102</f>
        <v>0</v>
      </c>
      <c r="PCX105" s="1051"/>
      <c r="PCY105" s="1051"/>
      <c r="PCZ105" s="1056"/>
      <c r="PDA105" s="1157">
        <f t="shared" ref="PDA105" si="2732">PCZ102</f>
        <v>0</v>
      </c>
      <c r="PDB105" s="1051"/>
      <c r="PDC105" s="1051"/>
      <c r="PDD105" s="1056"/>
      <c r="PDE105" s="1157">
        <f t="shared" ref="PDE105" si="2733">PDD102</f>
        <v>0</v>
      </c>
      <c r="PDF105" s="1051"/>
      <c r="PDG105" s="1051"/>
      <c r="PDH105" s="1056"/>
      <c r="PDI105" s="1157">
        <f t="shared" ref="PDI105" si="2734">PDH102</f>
        <v>0</v>
      </c>
      <c r="PDJ105" s="1051"/>
      <c r="PDK105" s="1051"/>
      <c r="PDL105" s="1056"/>
      <c r="PDM105" s="1157">
        <f t="shared" ref="PDM105" si="2735">PDL102</f>
        <v>0</v>
      </c>
      <c r="PDN105" s="1051"/>
      <c r="PDO105" s="1051"/>
      <c r="PDP105" s="1056"/>
      <c r="PDQ105" s="1157">
        <f t="shared" ref="PDQ105" si="2736">PDP102</f>
        <v>0</v>
      </c>
      <c r="PDR105" s="1051"/>
      <c r="PDS105" s="1051"/>
      <c r="PDT105" s="1056"/>
      <c r="PDU105" s="1157">
        <f t="shared" ref="PDU105" si="2737">PDT102</f>
        <v>0</v>
      </c>
      <c r="PDV105" s="1051"/>
      <c r="PDW105" s="1051"/>
      <c r="PDX105" s="1056"/>
      <c r="PDY105" s="1157">
        <f t="shared" ref="PDY105" si="2738">PDX102</f>
        <v>0</v>
      </c>
      <c r="PDZ105" s="1051"/>
      <c r="PEA105" s="1051"/>
      <c r="PEB105" s="1056"/>
      <c r="PEC105" s="1157">
        <f t="shared" ref="PEC105" si="2739">PEB102</f>
        <v>0</v>
      </c>
      <c r="PED105" s="1051"/>
      <c r="PEE105" s="1051"/>
      <c r="PEF105" s="1056"/>
      <c r="PEG105" s="1157">
        <f t="shared" ref="PEG105" si="2740">PEF102</f>
        <v>0</v>
      </c>
      <c r="PEH105" s="1051"/>
      <c r="PEI105" s="1051"/>
      <c r="PEJ105" s="1056"/>
      <c r="PEK105" s="1157">
        <f t="shared" ref="PEK105" si="2741">PEJ102</f>
        <v>0</v>
      </c>
      <c r="PEL105" s="1051"/>
      <c r="PEM105" s="1051"/>
      <c r="PEN105" s="1056"/>
      <c r="PEO105" s="1157">
        <f t="shared" ref="PEO105" si="2742">PEN102</f>
        <v>0</v>
      </c>
      <c r="PEP105" s="1051"/>
      <c r="PEQ105" s="1051"/>
      <c r="PER105" s="1056"/>
      <c r="PES105" s="1157">
        <f t="shared" ref="PES105" si="2743">PER102</f>
        <v>0</v>
      </c>
      <c r="PET105" s="1051"/>
      <c r="PEU105" s="1051"/>
      <c r="PEV105" s="1056"/>
      <c r="PEW105" s="1157">
        <f t="shared" ref="PEW105" si="2744">PEV102</f>
        <v>0</v>
      </c>
      <c r="PEX105" s="1051"/>
      <c r="PEY105" s="1051"/>
      <c r="PEZ105" s="1056"/>
      <c r="PFA105" s="1157">
        <f t="shared" ref="PFA105" si="2745">PEZ102</f>
        <v>0</v>
      </c>
      <c r="PFB105" s="1051"/>
      <c r="PFC105" s="1051"/>
      <c r="PFD105" s="1056"/>
      <c r="PFE105" s="1157">
        <f t="shared" ref="PFE105" si="2746">PFD102</f>
        <v>0</v>
      </c>
      <c r="PFF105" s="1051"/>
      <c r="PFG105" s="1051"/>
      <c r="PFH105" s="1056"/>
      <c r="PFI105" s="1157">
        <f t="shared" ref="PFI105" si="2747">PFH102</f>
        <v>0</v>
      </c>
      <c r="PFJ105" s="1051"/>
      <c r="PFK105" s="1051"/>
      <c r="PFL105" s="1056"/>
      <c r="PFM105" s="1157">
        <f t="shared" ref="PFM105" si="2748">PFL102</f>
        <v>0</v>
      </c>
      <c r="PFN105" s="1051"/>
      <c r="PFO105" s="1051"/>
      <c r="PFP105" s="1056"/>
      <c r="PFQ105" s="1157">
        <f t="shared" ref="PFQ105" si="2749">PFP102</f>
        <v>0</v>
      </c>
      <c r="PFR105" s="1051"/>
      <c r="PFS105" s="1051"/>
      <c r="PFT105" s="1056"/>
      <c r="PFU105" s="1157">
        <f t="shared" ref="PFU105" si="2750">PFT102</f>
        <v>0</v>
      </c>
      <c r="PFV105" s="1051"/>
      <c r="PFW105" s="1051"/>
      <c r="PFX105" s="1056"/>
      <c r="PFY105" s="1157">
        <f t="shared" ref="PFY105" si="2751">PFX102</f>
        <v>0</v>
      </c>
      <c r="PFZ105" s="1051"/>
      <c r="PGA105" s="1051"/>
      <c r="PGB105" s="1056"/>
      <c r="PGC105" s="1157">
        <f t="shared" ref="PGC105" si="2752">PGB102</f>
        <v>0</v>
      </c>
      <c r="PGD105" s="1051"/>
      <c r="PGE105" s="1051"/>
      <c r="PGF105" s="1056"/>
      <c r="PGG105" s="1157">
        <f t="shared" ref="PGG105" si="2753">PGF102</f>
        <v>0</v>
      </c>
      <c r="PGH105" s="1051"/>
      <c r="PGI105" s="1051"/>
      <c r="PGJ105" s="1056"/>
      <c r="PGK105" s="1157">
        <f t="shared" ref="PGK105" si="2754">PGJ102</f>
        <v>0</v>
      </c>
      <c r="PGL105" s="1051"/>
      <c r="PGM105" s="1051"/>
      <c r="PGN105" s="1056"/>
      <c r="PGO105" s="1157">
        <f t="shared" ref="PGO105" si="2755">PGN102</f>
        <v>0</v>
      </c>
      <c r="PGP105" s="1051"/>
      <c r="PGQ105" s="1051"/>
      <c r="PGR105" s="1056"/>
      <c r="PGS105" s="1157">
        <f t="shared" ref="PGS105" si="2756">PGR102</f>
        <v>0</v>
      </c>
      <c r="PGT105" s="1051"/>
      <c r="PGU105" s="1051"/>
      <c r="PGV105" s="1056"/>
      <c r="PGW105" s="1157">
        <f t="shared" ref="PGW105" si="2757">PGV102</f>
        <v>0</v>
      </c>
      <c r="PGX105" s="1051"/>
      <c r="PGY105" s="1051"/>
      <c r="PGZ105" s="1056"/>
      <c r="PHA105" s="1157">
        <f t="shared" ref="PHA105" si="2758">PGZ102</f>
        <v>0</v>
      </c>
      <c r="PHB105" s="1051"/>
      <c r="PHC105" s="1051"/>
      <c r="PHD105" s="1056"/>
      <c r="PHE105" s="1157">
        <f t="shared" ref="PHE105" si="2759">PHD102</f>
        <v>0</v>
      </c>
      <c r="PHF105" s="1051"/>
      <c r="PHG105" s="1051"/>
      <c r="PHH105" s="1056"/>
      <c r="PHI105" s="1157">
        <f t="shared" ref="PHI105" si="2760">PHH102</f>
        <v>0</v>
      </c>
      <c r="PHJ105" s="1051"/>
      <c r="PHK105" s="1051"/>
      <c r="PHL105" s="1056"/>
      <c r="PHM105" s="1157">
        <f t="shared" ref="PHM105" si="2761">PHL102</f>
        <v>0</v>
      </c>
      <c r="PHN105" s="1051"/>
      <c r="PHO105" s="1051"/>
      <c r="PHP105" s="1056"/>
      <c r="PHQ105" s="1157">
        <f t="shared" ref="PHQ105" si="2762">PHP102</f>
        <v>0</v>
      </c>
      <c r="PHR105" s="1051"/>
      <c r="PHS105" s="1051"/>
      <c r="PHT105" s="1056"/>
      <c r="PHU105" s="1157">
        <f t="shared" ref="PHU105" si="2763">PHT102</f>
        <v>0</v>
      </c>
      <c r="PHV105" s="1051"/>
      <c r="PHW105" s="1051"/>
      <c r="PHX105" s="1056"/>
      <c r="PHY105" s="1157">
        <f t="shared" ref="PHY105" si="2764">PHX102</f>
        <v>0</v>
      </c>
      <c r="PHZ105" s="1051"/>
      <c r="PIA105" s="1051"/>
      <c r="PIB105" s="1056"/>
      <c r="PIC105" s="1157">
        <f t="shared" ref="PIC105" si="2765">PIB102</f>
        <v>0</v>
      </c>
      <c r="PID105" s="1051"/>
      <c r="PIE105" s="1051"/>
      <c r="PIF105" s="1056"/>
      <c r="PIG105" s="1157">
        <f t="shared" ref="PIG105" si="2766">PIF102</f>
        <v>0</v>
      </c>
      <c r="PIH105" s="1051"/>
      <c r="PII105" s="1051"/>
      <c r="PIJ105" s="1056"/>
      <c r="PIK105" s="1157">
        <f t="shared" ref="PIK105" si="2767">PIJ102</f>
        <v>0</v>
      </c>
      <c r="PIL105" s="1051"/>
      <c r="PIM105" s="1051"/>
      <c r="PIN105" s="1056"/>
      <c r="PIO105" s="1157">
        <f t="shared" ref="PIO105" si="2768">PIN102</f>
        <v>0</v>
      </c>
      <c r="PIP105" s="1051"/>
      <c r="PIQ105" s="1051"/>
      <c r="PIR105" s="1056"/>
      <c r="PIS105" s="1157">
        <f t="shared" ref="PIS105" si="2769">PIR102</f>
        <v>0</v>
      </c>
      <c r="PIT105" s="1051"/>
      <c r="PIU105" s="1051"/>
      <c r="PIV105" s="1056"/>
      <c r="PIW105" s="1157">
        <f t="shared" ref="PIW105" si="2770">PIV102</f>
        <v>0</v>
      </c>
      <c r="PIX105" s="1051"/>
      <c r="PIY105" s="1051"/>
      <c r="PIZ105" s="1056"/>
      <c r="PJA105" s="1157">
        <f t="shared" ref="PJA105" si="2771">PIZ102</f>
        <v>0</v>
      </c>
      <c r="PJB105" s="1051"/>
      <c r="PJC105" s="1051"/>
      <c r="PJD105" s="1056"/>
      <c r="PJE105" s="1157">
        <f t="shared" ref="PJE105" si="2772">PJD102</f>
        <v>0</v>
      </c>
      <c r="PJF105" s="1051"/>
      <c r="PJG105" s="1051"/>
      <c r="PJH105" s="1056"/>
      <c r="PJI105" s="1157">
        <f t="shared" ref="PJI105" si="2773">PJH102</f>
        <v>0</v>
      </c>
      <c r="PJJ105" s="1051"/>
      <c r="PJK105" s="1051"/>
      <c r="PJL105" s="1056"/>
      <c r="PJM105" s="1157">
        <f t="shared" ref="PJM105" si="2774">PJL102</f>
        <v>0</v>
      </c>
      <c r="PJN105" s="1051"/>
      <c r="PJO105" s="1051"/>
      <c r="PJP105" s="1056"/>
      <c r="PJQ105" s="1157">
        <f t="shared" ref="PJQ105" si="2775">PJP102</f>
        <v>0</v>
      </c>
      <c r="PJR105" s="1051"/>
      <c r="PJS105" s="1051"/>
      <c r="PJT105" s="1056"/>
      <c r="PJU105" s="1157">
        <f t="shared" ref="PJU105" si="2776">PJT102</f>
        <v>0</v>
      </c>
      <c r="PJV105" s="1051"/>
      <c r="PJW105" s="1051"/>
      <c r="PJX105" s="1056"/>
      <c r="PJY105" s="1157">
        <f t="shared" ref="PJY105" si="2777">PJX102</f>
        <v>0</v>
      </c>
      <c r="PJZ105" s="1051"/>
      <c r="PKA105" s="1051"/>
      <c r="PKB105" s="1056"/>
      <c r="PKC105" s="1157">
        <f t="shared" ref="PKC105" si="2778">PKB102</f>
        <v>0</v>
      </c>
      <c r="PKD105" s="1051"/>
      <c r="PKE105" s="1051"/>
      <c r="PKF105" s="1056"/>
      <c r="PKG105" s="1157">
        <f t="shared" ref="PKG105" si="2779">PKF102</f>
        <v>0</v>
      </c>
      <c r="PKH105" s="1051"/>
      <c r="PKI105" s="1051"/>
      <c r="PKJ105" s="1056"/>
      <c r="PKK105" s="1157">
        <f t="shared" ref="PKK105" si="2780">PKJ102</f>
        <v>0</v>
      </c>
      <c r="PKL105" s="1051"/>
      <c r="PKM105" s="1051"/>
      <c r="PKN105" s="1056"/>
      <c r="PKO105" s="1157">
        <f t="shared" ref="PKO105" si="2781">PKN102</f>
        <v>0</v>
      </c>
      <c r="PKP105" s="1051"/>
      <c r="PKQ105" s="1051"/>
      <c r="PKR105" s="1056"/>
      <c r="PKS105" s="1157">
        <f t="shared" ref="PKS105" si="2782">PKR102</f>
        <v>0</v>
      </c>
      <c r="PKT105" s="1051"/>
      <c r="PKU105" s="1051"/>
      <c r="PKV105" s="1056"/>
      <c r="PKW105" s="1157">
        <f t="shared" ref="PKW105" si="2783">PKV102</f>
        <v>0</v>
      </c>
      <c r="PKX105" s="1051"/>
      <c r="PKY105" s="1051"/>
      <c r="PKZ105" s="1056"/>
      <c r="PLA105" s="1157">
        <f t="shared" ref="PLA105" si="2784">PKZ102</f>
        <v>0</v>
      </c>
      <c r="PLB105" s="1051"/>
      <c r="PLC105" s="1051"/>
      <c r="PLD105" s="1056"/>
      <c r="PLE105" s="1157">
        <f t="shared" ref="PLE105" si="2785">PLD102</f>
        <v>0</v>
      </c>
      <c r="PLF105" s="1051"/>
      <c r="PLG105" s="1051"/>
      <c r="PLH105" s="1056"/>
      <c r="PLI105" s="1157">
        <f t="shared" ref="PLI105" si="2786">PLH102</f>
        <v>0</v>
      </c>
      <c r="PLJ105" s="1051"/>
      <c r="PLK105" s="1051"/>
      <c r="PLL105" s="1056"/>
      <c r="PLM105" s="1157">
        <f t="shared" ref="PLM105" si="2787">PLL102</f>
        <v>0</v>
      </c>
      <c r="PLN105" s="1051"/>
      <c r="PLO105" s="1051"/>
      <c r="PLP105" s="1056"/>
      <c r="PLQ105" s="1157">
        <f t="shared" ref="PLQ105" si="2788">PLP102</f>
        <v>0</v>
      </c>
      <c r="PLR105" s="1051"/>
      <c r="PLS105" s="1051"/>
      <c r="PLT105" s="1056"/>
      <c r="PLU105" s="1157">
        <f t="shared" ref="PLU105" si="2789">PLT102</f>
        <v>0</v>
      </c>
      <c r="PLV105" s="1051"/>
      <c r="PLW105" s="1051"/>
      <c r="PLX105" s="1056"/>
      <c r="PLY105" s="1157">
        <f t="shared" ref="PLY105" si="2790">PLX102</f>
        <v>0</v>
      </c>
      <c r="PLZ105" s="1051"/>
      <c r="PMA105" s="1051"/>
      <c r="PMB105" s="1056"/>
      <c r="PMC105" s="1157">
        <f t="shared" ref="PMC105" si="2791">PMB102</f>
        <v>0</v>
      </c>
      <c r="PMD105" s="1051"/>
      <c r="PME105" s="1051"/>
      <c r="PMF105" s="1056"/>
      <c r="PMG105" s="1157">
        <f t="shared" ref="PMG105" si="2792">PMF102</f>
        <v>0</v>
      </c>
      <c r="PMH105" s="1051"/>
      <c r="PMI105" s="1051"/>
      <c r="PMJ105" s="1056"/>
      <c r="PMK105" s="1157">
        <f t="shared" ref="PMK105" si="2793">PMJ102</f>
        <v>0</v>
      </c>
      <c r="PML105" s="1051"/>
      <c r="PMM105" s="1051"/>
      <c r="PMN105" s="1056"/>
      <c r="PMO105" s="1157">
        <f t="shared" ref="PMO105" si="2794">PMN102</f>
        <v>0</v>
      </c>
      <c r="PMP105" s="1051"/>
      <c r="PMQ105" s="1051"/>
      <c r="PMR105" s="1056"/>
      <c r="PMS105" s="1157">
        <f t="shared" ref="PMS105" si="2795">PMR102</f>
        <v>0</v>
      </c>
      <c r="PMT105" s="1051"/>
      <c r="PMU105" s="1051"/>
      <c r="PMV105" s="1056"/>
      <c r="PMW105" s="1157">
        <f t="shared" ref="PMW105" si="2796">PMV102</f>
        <v>0</v>
      </c>
      <c r="PMX105" s="1051"/>
      <c r="PMY105" s="1051"/>
      <c r="PMZ105" s="1056"/>
      <c r="PNA105" s="1157">
        <f t="shared" ref="PNA105" si="2797">PMZ102</f>
        <v>0</v>
      </c>
      <c r="PNB105" s="1051"/>
      <c r="PNC105" s="1051"/>
      <c r="PND105" s="1056"/>
      <c r="PNE105" s="1157">
        <f t="shared" ref="PNE105" si="2798">PND102</f>
        <v>0</v>
      </c>
      <c r="PNF105" s="1051"/>
      <c r="PNG105" s="1051"/>
      <c r="PNH105" s="1056"/>
      <c r="PNI105" s="1157">
        <f t="shared" ref="PNI105" si="2799">PNH102</f>
        <v>0</v>
      </c>
      <c r="PNJ105" s="1051"/>
      <c r="PNK105" s="1051"/>
      <c r="PNL105" s="1056"/>
      <c r="PNM105" s="1157">
        <f t="shared" ref="PNM105" si="2800">PNL102</f>
        <v>0</v>
      </c>
      <c r="PNN105" s="1051"/>
      <c r="PNO105" s="1051"/>
      <c r="PNP105" s="1056"/>
      <c r="PNQ105" s="1157">
        <f t="shared" ref="PNQ105" si="2801">PNP102</f>
        <v>0</v>
      </c>
      <c r="PNR105" s="1051"/>
      <c r="PNS105" s="1051"/>
      <c r="PNT105" s="1056"/>
      <c r="PNU105" s="1157">
        <f t="shared" ref="PNU105" si="2802">PNT102</f>
        <v>0</v>
      </c>
      <c r="PNV105" s="1051"/>
      <c r="PNW105" s="1051"/>
      <c r="PNX105" s="1056"/>
      <c r="PNY105" s="1157">
        <f t="shared" ref="PNY105" si="2803">PNX102</f>
        <v>0</v>
      </c>
      <c r="PNZ105" s="1051"/>
      <c r="POA105" s="1051"/>
      <c r="POB105" s="1056"/>
      <c r="POC105" s="1157">
        <f t="shared" ref="POC105" si="2804">POB102</f>
        <v>0</v>
      </c>
      <c r="POD105" s="1051"/>
      <c r="POE105" s="1051"/>
      <c r="POF105" s="1056"/>
      <c r="POG105" s="1157">
        <f t="shared" ref="POG105" si="2805">POF102</f>
        <v>0</v>
      </c>
      <c r="POH105" s="1051"/>
      <c r="POI105" s="1051"/>
      <c r="POJ105" s="1056"/>
      <c r="POK105" s="1157">
        <f t="shared" ref="POK105" si="2806">POJ102</f>
        <v>0</v>
      </c>
      <c r="POL105" s="1051"/>
      <c r="POM105" s="1051"/>
      <c r="PON105" s="1056"/>
      <c r="POO105" s="1157">
        <f t="shared" ref="POO105" si="2807">PON102</f>
        <v>0</v>
      </c>
      <c r="POP105" s="1051"/>
      <c r="POQ105" s="1051"/>
      <c r="POR105" s="1056"/>
      <c r="POS105" s="1157">
        <f t="shared" ref="POS105" si="2808">POR102</f>
        <v>0</v>
      </c>
      <c r="POT105" s="1051"/>
      <c r="POU105" s="1051"/>
      <c r="POV105" s="1056"/>
      <c r="POW105" s="1157">
        <f t="shared" ref="POW105" si="2809">POV102</f>
        <v>0</v>
      </c>
      <c r="POX105" s="1051"/>
      <c r="POY105" s="1051"/>
      <c r="POZ105" s="1056"/>
      <c r="PPA105" s="1157">
        <f t="shared" ref="PPA105" si="2810">POZ102</f>
        <v>0</v>
      </c>
      <c r="PPB105" s="1051"/>
      <c r="PPC105" s="1051"/>
      <c r="PPD105" s="1056"/>
      <c r="PPE105" s="1157">
        <f t="shared" ref="PPE105" si="2811">PPD102</f>
        <v>0</v>
      </c>
      <c r="PPF105" s="1051"/>
      <c r="PPG105" s="1051"/>
      <c r="PPH105" s="1056"/>
      <c r="PPI105" s="1157">
        <f t="shared" ref="PPI105" si="2812">PPH102</f>
        <v>0</v>
      </c>
      <c r="PPJ105" s="1051"/>
      <c r="PPK105" s="1051"/>
      <c r="PPL105" s="1056"/>
      <c r="PPM105" s="1157">
        <f t="shared" ref="PPM105" si="2813">PPL102</f>
        <v>0</v>
      </c>
      <c r="PPN105" s="1051"/>
      <c r="PPO105" s="1051"/>
      <c r="PPP105" s="1056"/>
      <c r="PPQ105" s="1157">
        <f t="shared" ref="PPQ105" si="2814">PPP102</f>
        <v>0</v>
      </c>
      <c r="PPR105" s="1051"/>
      <c r="PPS105" s="1051"/>
      <c r="PPT105" s="1056"/>
      <c r="PPU105" s="1157">
        <f t="shared" ref="PPU105" si="2815">PPT102</f>
        <v>0</v>
      </c>
      <c r="PPV105" s="1051"/>
      <c r="PPW105" s="1051"/>
      <c r="PPX105" s="1056"/>
      <c r="PPY105" s="1157">
        <f t="shared" ref="PPY105" si="2816">PPX102</f>
        <v>0</v>
      </c>
      <c r="PPZ105" s="1051"/>
      <c r="PQA105" s="1051"/>
      <c r="PQB105" s="1056"/>
      <c r="PQC105" s="1157">
        <f t="shared" ref="PQC105" si="2817">PQB102</f>
        <v>0</v>
      </c>
      <c r="PQD105" s="1051"/>
      <c r="PQE105" s="1051"/>
      <c r="PQF105" s="1056"/>
      <c r="PQG105" s="1157">
        <f t="shared" ref="PQG105" si="2818">PQF102</f>
        <v>0</v>
      </c>
      <c r="PQH105" s="1051"/>
      <c r="PQI105" s="1051"/>
      <c r="PQJ105" s="1056"/>
      <c r="PQK105" s="1157">
        <f t="shared" ref="PQK105" si="2819">PQJ102</f>
        <v>0</v>
      </c>
      <c r="PQL105" s="1051"/>
      <c r="PQM105" s="1051"/>
      <c r="PQN105" s="1056"/>
      <c r="PQO105" s="1157">
        <f t="shared" ref="PQO105" si="2820">PQN102</f>
        <v>0</v>
      </c>
      <c r="PQP105" s="1051"/>
      <c r="PQQ105" s="1051"/>
      <c r="PQR105" s="1056"/>
      <c r="PQS105" s="1157">
        <f t="shared" ref="PQS105" si="2821">PQR102</f>
        <v>0</v>
      </c>
      <c r="PQT105" s="1051"/>
      <c r="PQU105" s="1051"/>
      <c r="PQV105" s="1056"/>
      <c r="PQW105" s="1157">
        <f t="shared" ref="PQW105" si="2822">PQV102</f>
        <v>0</v>
      </c>
      <c r="PQX105" s="1051"/>
      <c r="PQY105" s="1051"/>
      <c r="PQZ105" s="1056"/>
      <c r="PRA105" s="1157">
        <f t="shared" ref="PRA105" si="2823">PQZ102</f>
        <v>0</v>
      </c>
      <c r="PRB105" s="1051"/>
      <c r="PRC105" s="1051"/>
      <c r="PRD105" s="1056"/>
      <c r="PRE105" s="1157">
        <f t="shared" ref="PRE105" si="2824">PRD102</f>
        <v>0</v>
      </c>
      <c r="PRF105" s="1051"/>
      <c r="PRG105" s="1051"/>
      <c r="PRH105" s="1056"/>
      <c r="PRI105" s="1157">
        <f t="shared" ref="PRI105" si="2825">PRH102</f>
        <v>0</v>
      </c>
      <c r="PRJ105" s="1051"/>
      <c r="PRK105" s="1051"/>
      <c r="PRL105" s="1056"/>
      <c r="PRM105" s="1157">
        <f t="shared" ref="PRM105" si="2826">PRL102</f>
        <v>0</v>
      </c>
      <c r="PRN105" s="1051"/>
      <c r="PRO105" s="1051"/>
      <c r="PRP105" s="1056"/>
      <c r="PRQ105" s="1157">
        <f t="shared" ref="PRQ105" si="2827">PRP102</f>
        <v>0</v>
      </c>
      <c r="PRR105" s="1051"/>
      <c r="PRS105" s="1051"/>
      <c r="PRT105" s="1056"/>
      <c r="PRU105" s="1157">
        <f t="shared" ref="PRU105" si="2828">PRT102</f>
        <v>0</v>
      </c>
      <c r="PRV105" s="1051"/>
      <c r="PRW105" s="1051"/>
      <c r="PRX105" s="1056"/>
      <c r="PRY105" s="1157">
        <f t="shared" ref="PRY105" si="2829">PRX102</f>
        <v>0</v>
      </c>
      <c r="PRZ105" s="1051"/>
      <c r="PSA105" s="1051"/>
      <c r="PSB105" s="1056"/>
      <c r="PSC105" s="1157">
        <f t="shared" ref="PSC105" si="2830">PSB102</f>
        <v>0</v>
      </c>
      <c r="PSD105" s="1051"/>
      <c r="PSE105" s="1051"/>
      <c r="PSF105" s="1056"/>
      <c r="PSG105" s="1157">
        <f t="shared" ref="PSG105" si="2831">PSF102</f>
        <v>0</v>
      </c>
      <c r="PSH105" s="1051"/>
      <c r="PSI105" s="1051"/>
      <c r="PSJ105" s="1056"/>
      <c r="PSK105" s="1157">
        <f t="shared" ref="PSK105" si="2832">PSJ102</f>
        <v>0</v>
      </c>
      <c r="PSL105" s="1051"/>
      <c r="PSM105" s="1051"/>
      <c r="PSN105" s="1056"/>
      <c r="PSO105" s="1157">
        <f t="shared" ref="PSO105" si="2833">PSN102</f>
        <v>0</v>
      </c>
      <c r="PSP105" s="1051"/>
      <c r="PSQ105" s="1051"/>
      <c r="PSR105" s="1056"/>
      <c r="PSS105" s="1157">
        <f t="shared" ref="PSS105" si="2834">PSR102</f>
        <v>0</v>
      </c>
      <c r="PST105" s="1051"/>
      <c r="PSU105" s="1051"/>
      <c r="PSV105" s="1056"/>
      <c r="PSW105" s="1157">
        <f t="shared" ref="PSW105" si="2835">PSV102</f>
        <v>0</v>
      </c>
      <c r="PSX105" s="1051"/>
      <c r="PSY105" s="1051"/>
      <c r="PSZ105" s="1056"/>
      <c r="PTA105" s="1157">
        <f t="shared" ref="PTA105" si="2836">PSZ102</f>
        <v>0</v>
      </c>
      <c r="PTB105" s="1051"/>
      <c r="PTC105" s="1051"/>
      <c r="PTD105" s="1056"/>
      <c r="PTE105" s="1157">
        <f t="shared" ref="PTE105" si="2837">PTD102</f>
        <v>0</v>
      </c>
      <c r="PTF105" s="1051"/>
      <c r="PTG105" s="1051"/>
      <c r="PTH105" s="1056"/>
      <c r="PTI105" s="1157">
        <f t="shared" ref="PTI105" si="2838">PTH102</f>
        <v>0</v>
      </c>
      <c r="PTJ105" s="1051"/>
      <c r="PTK105" s="1051"/>
      <c r="PTL105" s="1056"/>
      <c r="PTM105" s="1157">
        <f t="shared" ref="PTM105" si="2839">PTL102</f>
        <v>0</v>
      </c>
      <c r="PTN105" s="1051"/>
      <c r="PTO105" s="1051"/>
      <c r="PTP105" s="1056"/>
      <c r="PTQ105" s="1157">
        <f t="shared" ref="PTQ105" si="2840">PTP102</f>
        <v>0</v>
      </c>
      <c r="PTR105" s="1051"/>
      <c r="PTS105" s="1051"/>
      <c r="PTT105" s="1056"/>
      <c r="PTU105" s="1157">
        <f t="shared" ref="PTU105" si="2841">PTT102</f>
        <v>0</v>
      </c>
      <c r="PTV105" s="1051"/>
      <c r="PTW105" s="1051"/>
      <c r="PTX105" s="1056"/>
      <c r="PTY105" s="1157">
        <f t="shared" ref="PTY105" si="2842">PTX102</f>
        <v>0</v>
      </c>
      <c r="PTZ105" s="1051"/>
      <c r="PUA105" s="1051"/>
      <c r="PUB105" s="1056"/>
      <c r="PUC105" s="1157">
        <f t="shared" ref="PUC105" si="2843">PUB102</f>
        <v>0</v>
      </c>
      <c r="PUD105" s="1051"/>
      <c r="PUE105" s="1051"/>
      <c r="PUF105" s="1056"/>
      <c r="PUG105" s="1157">
        <f t="shared" ref="PUG105" si="2844">PUF102</f>
        <v>0</v>
      </c>
      <c r="PUH105" s="1051"/>
      <c r="PUI105" s="1051"/>
      <c r="PUJ105" s="1056"/>
      <c r="PUK105" s="1157">
        <f t="shared" ref="PUK105" si="2845">PUJ102</f>
        <v>0</v>
      </c>
      <c r="PUL105" s="1051"/>
      <c r="PUM105" s="1051"/>
      <c r="PUN105" s="1056"/>
      <c r="PUO105" s="1157">
        <f t="shared" ref="PUO105" si="2846">PUN102</f>
        <v>0</v>
      </c>
      <c r="PUP105" s="1051"/>
      <c r="PUQ105" s="1051"/>
      <c r="PUR105" s="1056"/>
      <c r="PUS105" s="1157">
        <f t="shared" ref="PUS105" si="2847">PUR102</f>
        <v>0</v>
      </c>
      <c r="PUT105" s="1051"/>
      <c r="PUU105" s="1051"/>
      <c r="PUV105" s="1056"/>
      <c r="PUW105" s="1157">
        <f t="shared" ref="PUW105" si="2848">PUV102</f>
        <v>0</v>
      </c>
      <c r="PUX105" s="1051"/>
      <c r="PUY105" s="1051"/>
      <c r="PUZ105" s="1056"/>
      <c r="PVA105" s="1157">
        <f t="shared" ref="PVA105" si="2849">PUZ102</f>
        <v>0</v>
      </c>
      <c r="PVB105" s="1051"/>
      <c r="PVC105" s="1051"/>
      <c r="PVD105" s="1056"/>
      <c r="PVE105" s="1157">
        <f t="shared" ref="PVE105" si="2850">PVD102</f>
        <v>0</v>
      </c>
      <c r="PVF105" s="1051"/>
      <c r="PVG105" s="1051"/>
      <c r="PVH105" s="1056"/>
      <c r="PVI105" s="1157">
        <f t="shared" ref="PVI105" si="2851">PVH102</f>
        <v>0</v>
      </c>
      <c r="PVJ105" s="1051"/>
      <c r="PVK105" s="1051"/>
      <c r="PVL105" s="1056"/>
      <c r="PVM105" s="1157">
        <f t="shared" ref="PVM105" si="2852">PVL102</f>
        <v>0</v>
      </c>
      <c r="PVN105" s="1051"/>
      <c r="PVO105" s="1051"/>
      <c r="PVP105" s="1056"/>
      <c r="PVQ105" s="1157">
        <f t="shared" ref="PVQ105" si="2853">PVP102</f>
        <v>0</v>
      </c>
      <c r="PVR105" s="1051"/>
      <c r="PVS105" s="1051"/>
      <c r="PVT105" s="1056"/>
      <c r="PVU105" s="1157">
        <f t="shared" ref="PVU105" si="2854">PVT102</f>
        <v>0</v>
      </c>
      <c r="PVV105" s="1051"/>
      <c r="PVW105" s="1051"/>
      <c r="PVX105" s="1056"/>
      <c r="PVY105" s="1157">
        <f t="shared" ref="PVY105" si="2855">PVX102</f>
        <v>0</v>
      </c>
      <c r="PVZ105" s="1051"/>
      <c r="PWA105" s="1051"/>
      <c r="PWB105" s="1056"/>
      <c r="PWC105" s="1157">
        <f t="shared" ref="PWC105" si="2856">PWB102</f>
        <v>0</v>
      </c>
      <c r="PWD105" s="1051"/>
      <c r="PWE105" s="1051"/>
      <c r="PWF105" s="1056"/>
      <c r="PWG105" s="1157">
        <f t="shared" ref="PWG105" si="2857">PWF102</f>
        <v>0</v>
      </c>
      <c r="PWH105" s="1051"/>
      <c r="PWI105" s="1051"/>
      <c r="PWJ105" s="1056"/>
      <c r="PWK105" s="1157">
        <f t="shared" ref="PWK105" si="2858">PWJ102</f>
        <v>0</v>
      </c>
      <c r="PWL105" s="1051"/>
      <c r="PWM105" s="1051"/>
      <c r="PWN105" s="1056"/>
      <c r="PWO105" s="1157">
        <f t="shared" ref="PWO105" si="2859">PWN102</f>
        <v>0</v>
      </c>
      <c r="PWP105" s="1051"/>
      <c r="PWQ105" s="1051"/>
      <c r="PWR105" s="1056"/>
      <c r="PWS105" s="1157">
        <f t="shared" ref="PWS105" si="2860">PWR102</f>
        <v>0</v>
      </c>
      <c r="PWT105" s="1051"/>
      <c r="PWU105" s="1051"/>
      <c r="PWV105" s="1056"/>
      <c r="PWW105" s="1157">
        <f t="shared" ref="PWW105" si="2861">PWV102</f>
        <v>0</v>
      </c>
      <c r="PWX105" s="1051"/>
      <c r="PWY105" s="1051"/>
      <c r="PWZ105" s="1056"/>
      <c r="PXA105" s="1157">
        <f t="shared" ref="PXA105" si="2862">PWZ102</f>
        <v>0</v>
      </c>
      <c r="PXB105" s="1051"/>
      <c r="PXC105" s="1051"/>
      <c r="PXD105" s="1056"/>
      <c r="PXE105" s="1157">
        <f t="shared" ref="PXE105" si="2863">PXD102</f>
        <v>0</v>
      </c>
      <c r="PXF105" s="1051"/>
      <c r="PXG105" s="1051"/>
      <c r="PXH105" s="1056"/>
      <c r="PXI105" s="1157">
        <f t="shared" ref="PXI105" si="2864">PXH102</f>
        <v>0</v>
      </c>
      <c r="PXJ105" s="1051"/>
      <c r="PXK105" s="1051"/>
      <c r="PXL105" s="1056"/>
      <c r="PXM105" s="1157">
        <f t="shared" ref="PXM105" si="2865">PXL102</f>
        <v>0</v>
      </c>
      <c r="PXN105" s="1051"/>
      <c r="PXO105" s="1051"/>
      <c r="PXP105" s="1056"/>
      <c r="PXQ105" s="1157">
        <f t="shared" ref="PXQ105" si="2866">PXP102</f>
        <v>0</v>
      </c>
      <c r="PXR105" s="1051"/>
      <c r="PXS105" s="1051"/>
      <c r="PXT105" s="1056"/>
      <c r="PXU105" s="1157">
        <f t="shared" ref="PXU105" si="2867">PXT102</f>
        <v>0</v>
      </c>
      <c r="PXV105" s="1051"/>
      <c r="PXW105" s="1051"/>
      <c r="PXX105" s="1056"/>
      <c r="PXY105" s="1157">
        <f t="shared" ref="PXY105" si="2868">PXX102</f>
        <v>0</v>
      </c>
      <c r="PXZ105" s="1051"/>
      <c r="PYA105" s="1051"/>
      <c r="PYB105" s="1056"/>
      <c r="PYC105" s="1157">
        <f t="shared" ref="PYC105" si="2869">PYB102</f>
        <v>0</v>
      </c>
      <c r="PYD105" s="1051"/>
      <c r="PYE105" s="1051"/>
      <c r="PYF105" s="1056"/>
      <c r="PYG105" s="1157">
        <f t="shared" ref="PYG105" si="2870">PYF102</f>
        <v>0</v>
      </c>
      <c r="PYH105" s="1051"/>
      <c r="PYI105" s="1051"/>
      <c r="PYJ105" s="1056"/>
      <c r="PYK105" s="1157">
        <f t="shared" ref="PYK105" si="2871">PYJ102</f>
        <v>0</v>
      </c>
      <c r="PYL105" s="1051"/>
      <c r="PYM105" s="1051"/>
      <c r="PYN105" s="1056"/>
      <c r="PYO105" s="1157">
        <f t="shared" ref="PYO105" si="2872">PYN102</f>
        <v>0</v>
      </c>
      <c r="PYP105" s="1051"/>
      <c r="PYQ105" s="1051"/>
      <c r="PYR105" s="1056"/>
      <c r="PYS105" s="1157">
        <f t="shared" ref="PYS105" si="2873">PYR102</f>
        <v>0</v>
      </c>
      <c r="PYT105" s="1051"/>
      <c r="PYU105" s="1051"/>
      <c r="PYV105" s="1056"/>
      <c r="PYW105" s="1157">
        <f t="shared" ref="PYW105" si="2874">PYV102</f>
        <v>0</v>
      </c>
      <c r="PYX105" s="1051"/>
      <c r="PYY105" s="1051"/>
      <c r="PYZ105" s="1056"/>
      <c r="PZA105" s="1157">
        <f t="shared" ref="PZA105" si="2875">PYZ102</f>
        <v>0</v>
      </c>
      <c r="PZB105" s="1051"/>
      <c r="PZC105" s="1051"/>
      <c r="PZD105" s="1056"/>
      <c r="PZE105" s="1157">
        <f t="shared" ref="PZE105" si="2876">PZD102</f>
        <v>0</v>
      </c>
      <c r="PZF105" s="1051"/>
      <c r="PZG105" s="1051"/>
      <c r="PZH105" s="1056"/>
      <c r="PZI105" s="1157">
        <f t="shared" ref="PZI105" si="2877">PZH102</f>
        <v>0</v>
      </c>
      <c r="PZJ105" s="1051"/>
      <c r="PZK105" s="1051"/>
      <c r="PZL105" s="1056"/>
      <c r="PZM105" s="1157">
        <f t="shared" ref="PZM105" si="2878">PZL102</f>
        <v>0</v>
      </c>
      <c r="PZN105" s="1051"/>
      <c r="PZO105" s="1051"/>
      <c r="PZP105" s="1056"/>
      <c r="PZQ105" s="1157">
        <f t="shared" ref="PZQ105" si="2879">PZP102</f>
        <v>0</v>
      </c>
      <c r="PZR105" s="1051"/>
      <c r="PZS105" s="1051"/>
      <c r="PZT105" s="1056"/>
      <c r="PZU105" s="1157">
        <f t="shared" ref="PZU105" si="2880">PZT102</f>
        <v>0</v>
      </c>
      <c r="PZV105" s="1051"/>
      <c r="PZW105" s="1051"/>
      <c r="PZX105" s="1056"/>
      <c r="PZY105" s="1157">
        <f t="shared" ref="PZY105" si="2881">PZX102</f>
        <v>0</v>
      </c>
      <c r="PZZ105" s="1051"/>
      <c r="QAA105" s="1051"/>
      <c r="QAB105" s="1056"/>
      <c r="QAC105" s="1157">
        <f t="shared" ref="QAC105" si="2882">QAB102</f>
        <v>0</v>
      </c>
      <c r="QAD105" s="1051"/>
      <c r="QAE105" s="1051"/>
      <c r="QAF105" s="1056"/>
      <c r="QAG105" s="1157">
        <f t="shared" ref="QAG105" si="2883">QAF102</f>
        <v>0</v>
      </c>
      <c r="QAH105" s="1051"/>
      <c r="QAI105" s="1051"/>
      <c r="QAJ105" s="1056"/>
      <c r="QAK105" s="1157">
        <f t="shared" ref="QAK105" si="2884">QAJ102</f>
        <v>0</v>
      </c>
      <c r="QAL105" s="1051"/>
      <c r="QAM105" s="1051"/>
      <c r="QAN105" s="1056"/>
      <c r="QAO105" s="1157">
        <f t="shared" ref="QAO105" si="2885">QAN102</f>
        <v>0</v>
      </c>
      <c r="QAP105" s="1051"/>
      <c r="QAQ105" s="1051"/>
      <c r="QAR105" s="1056"/>
      <c r="QAS105" s="1157">
        <f t="shared" ref="QAS105" si="2886">QAR102</f>
        <v>0</v>
      </c>
      <c r="QAT105" s="1051"/>
      <c r="QAU105" s="1051"/>
      <c r="QAV105" s="1056"/>
      <c r="QAW105" s="1157">
        <f t="shared" ref="QAW105" si="2887">QAV102</f>
        <v>0</v>
      </c>
      <c r="QAX105" s="1051"/>
      <c r="QAY105" s="1051"/>
      <c r="QAZ105" s="1056"/>
      <c r="QBA105" s="1157">
        <f t="shared" ref="QBA105" si="2888">QAZ102</f>
        <v>0</v>
      </c>
      <c r="QBB105" s="1051"/>
      <c r="QBC105" s="1051"/>
      <c r="QBD105" s="1056"/>
      <c r="QBE105" s="1157">
        <f t="shared" ref="QBE105" si="2889">QBD102</f>
        <v>0</v>
      </c>
      <c r="QBF105" s="1051"/>
      <c r="QBG105" s="1051"/>
      <c r="QBH105" s="1056"/>
      <c r="QBI105" s="1157">
        <f t="shared" ref="QBI105" si="2890">QBH102</f>
        <v>0</v>
      </c>
      <c r="QBJ105" s="1051"/>
      <c r="QBK105" s="1051"/>
      <c r="QBL105" s="1056"/>
      <c r="QBM105" s="1157">
        <f t="shared" ref="QBM105" si="2891">QBL102</f>
        <v>0</v>
      </c>
      <c r="QBN105" s="1051"/>
      <c r="QBO105" s="1051"/>
      <c r="QBP105" s="1056"/>
      <c r="QBQ105" s="1157">
        <f t="shared" ref="QBQ105" si="2892">QBP102</f>
        <v>0</v>
      </c>
      <c r="QBR105" s="1051"/>
      <c r="QBS105" s="1051"/>
      <c r="QBT105" s="1056"/>
      <c r="QBU105" s="1157">
        <f t="shared" ref="QBU105" si="2893">QBT102</f>
        <v>0</v>
      </c>
      <c r="QBV105" s="1051"/>
      <c r="QBW105" s="1051"/>
      <c r="QBX105" s="1056"/>
      <c r="QBY105" s="1157">
        <f t="shared" ref="QBY105" si="2894">QBX102</f>
        <v>0</v>
      </c>
      <c r="QBZ105" s="1051"/>
      <c r="QCA105" s="1051"/>
      <c r="QCB105" s="1056"/>
      <c r="QCC105" s="1157">
        <f t="shared" ref="QCC105" si="2895">QCB102</f>
        <v>0</v>
      </c>
      <c r="QCD105" s="1051"/>
      <c r="QCE105" s="1051"/>
      <c r="QCF105" s="1056"/>
      <c r="QCG105" s="1157">
        <f t="shared" ref="QCG105" si="2896">QCF102</f>
        <v>0</v>
      </c>
      <c r="QCH105" s="1051"/>
      <c r="QCI105" s="1051"/>
      <c r="QCJ105" s="1056"/>
      <c r="QCK105" s="1157">
        <f t="shared" ref="QCK105" si="2897">QCJ102</f>
        <v>0</v>
      </c>
      <c r="QCL105" s="1051"/>
      <c r="QCM105" s="1051"/>
      <c r="QCN105" s="1056"/>
      <c r="QCO105" s="1157">
        <f t="shared" ref="QCO105" si="2898">QCN102</f>
        <v>0</v>
      </c>
      <c r="QCP105" s="1051"/>
      <c r="QCQ105" s="1051"/>
      <c r="QCR105" s="1056"/>
      <c r="QCS105" s="1157">
        <f t="shared" ref="QCS105" si="2899">QCR102</f>
        <v>0</v>
      </c>
      <c r="QCT105" s="1051"/>
      <c r="QCU105" s="1051"/>
      <c r="QCV105" s="1056"/>
      <c r="QCW105" s="1157">
        <f t="shared" ref="QCW105" si="2900">QCV102</f>
        <v>0</v>
      </c>
      <c r="QCX105" s="1051"/>
      <c r="QCY105" s="1051"/>
      <c r="QCZ105" s="1056"/>
      <c r="QDA105" s="1157">
        <f t="shared" ref="QDA105" si="2901">QCZ102</f>
        <v>0</v>
      </c>
      <c r="QDB105" s="1051"/>
      <c r="QDC105" s="1051"/>
      <c r="QDD105" s="1056"/>
      <c r="QDE105" s="1157">
        <f t="shared" ref="QDE105" si="2902">QDD102</f>
        <v>0</v>
      </c>
      <c r="QDF105" s="1051"/>
      <c r="QDG105" s="1051"/>
      <c r="QDH105" s="1056"/>
      <c r="QDI105" s="1157">
        <f t="shared" ref="QDI105" si="2903">QDH102</f>
        <v>0</v>
      </c>
      <c r="QDJ105" s="1051"/>
      <c r="QDK105" s="1051"/>
      <c r="QDL105" s="1056"/>
      <c r="QDM105" s="1157">
        <f t="shared" ref="QDM105" si="2904">QDL102</f>
        <v>0</v>
      </c>
      <c r="QDN105" s="1051"/>
      <c r="QDO105" s="1051"/>
      <c r="QDP105" s="1056"/>
      <c r="QDQ105" s="1157">
        <f t="shared" ref="QDQ105" si="2905">QDP102</f>
        <v>0</v>
      </c>
      <c r="QDR105" s="1051"/>
      <c r="QDS105" s="1051"/>
      <c r="QDT105" s="1056"/>
      <c r="QDU105" s="1157">
        <f t="shared" ref="QDU105" si="2906">QDT102</f>
        <v>0</v>
      </c>
      <c r="QDV105" s="1051"/>
      <c r="QDW105" s="1051"/>
      <c r="QDX105" s="1056"/>
      <c r="QDY105" s="1157">
        <f t="shared" ref="QDY105" si="2907">QDX102</f>
        <v>0</v>
      </c>
      <c r="QDZ105" s="1051"/>
      <c r="QEA105" s="1051"/>
      <c r="QEB105" s="1056"/>
      <c r="QEC105" s="1157">
        <f t="shared" ref="QEC105" si="2908">QEB102</f>
        <v>0</v>
      </c>
      <c r="QED105" s="1051"/>
      <c r="QEE105" s="1051"/>
      <c r="QEF105" s="1056"/>
      <c r="QEG105" s="1157">
        <f t="shared" ref="QEG105" si="2909">QEF102</f>
        <v>0</v>
      </c>
      <c r="QEH105" s="1051"/>
      <c r="QEI105" s="1051"/>
      <c r="QEJ105" s="1056"/>
      <c r="QEK105" s="1157">
        <f t="shared" ref="QEK105" si="2910">QEJ102</f>
        <v>0</v>
      </c>
      <c r="QEL105" s="1051"/>
      <c r="QEM105" s="1051"/>
      <c r="QEN105" s="1056"/>
      <c r="QEO105" s="1157">
        <f t="shared" ref="QEO105" si="2911">QEN102</f>
        <v>0</v>
      </c>
      <c r="QEP105" s="1051"/>
      <c r="QEQ105" s="1051"/>
      <c r="QER105" s="1056"/>
      <c r="QES105" s="1157">
        <f t="shared" ref="QES105" si="2912">QER102</f>
        <v>0</v>
      </c>
      <c r="QET105" s="1051"/>
      <c r="QEU105" s="1051"/>
      <c r="QEV105" s="1056"/>
      <c r="QEW105" s="1157">
        <f t="shared" ref="QEW105" si="2913">QEV102</f>
        <v>0</v>
      </c>
      <c r="QEX105" s="1051"/>
      <c r="QEY105" s="1051"/>
      <c r="QEZ105" s="1056"/>
      <c r="QFA105" s="1157">
        <f t="shared" ref="QFA105" si="2914">QEZ102</f>
        <v>0</v>
      </c>
      <c r="QFB105" s="1051"/>
      <c r="QFC105" s="1051"/>
      <c r="QFD105" s="1056"/>
      <c r="QFE105" s="1157">
        <f t="shared" ref="QFE105" si="2915">QFD102</f>
        <v>0</v>
      </c>
      <c r="QFF105" s="1051"/>
      <c r="QFG105" s="1051"/>
      <c r="QFH105" s="1056"/>
      <c r="QFI105" s="1157">
        <f t="shared" ref="QFI105" si="2916">QFH102</f>
        <v>0</v>
      </c>
      <c r="QFJ105" s="1051"/>
      <c r="QFK105" s="1051"/>
      <c r="QFL105" s="1056"/>
      <c r="QFM105" s="1157">
        <f t="shared" ref="QFM105" si="2917">QFL102</f>
        <v>0</v>
      </c>
      <c r="QFN105" s="1051"/>
      <c r="QFO105" s="1051"/>
      <c r="QFP105" s="1056"/>
      <c r="QFQ105" s="1157">
        <f t="shared" ref="QFQ105" si="2918">QFP102</f>
        <v>0</v>
      </c>
      <c r="QFR105" s="1051"/>
      <c r="QFS105" s="1051"/>
      <c r="QFT105" s="1056"/>
      <c r="QFU105" s="1157">
        <f t="shared" ref="QFU105" si="2919">QFT102</f>
        <v>0</v>
      </c>
      <c r="QFV105" s="1051"/>
      <c r="QFW105" s="1051"/>
      <c r="QFX105" s="1056"/>
      <c r="QFY105" s="1157">
        <f t="shared" ref="QFY105" si="2920">QFX102</f>
        <v>0</v>
      </c>
      <c r="QFZ105" s="1051"/>
      <c r="QGA105" s="1051"/>
      <c r="QGB105" s="1056"/>
      <c r="QGC105" s="1157">
        <f t="shared" ref="QGC105" si="2921">QGB102</f>
        <v>0</v>
      </c>
      <c r="QGD105" s="1051"/>
      <c r="QGE105" s="1051"/>
      <c r="QGF105" s="1056"/>
      <c r="QGG105" s="1157">
        <f t="shared" ref="QGG105" si="2922">QGF102</f>
        <v>0</v>
      </c>
      <c r="QGH105" s="1051"/>
      <c r="QGI105" s="1051"/>
      <c r="QGJ105" s="1056"/>
      <c r="QGK105" s="1157">
        <f t="shared" ref="QGK105" si="2923">QGJ102</f>
        <v>0</v>
      </c>
      <c r="QGL105" s="1051"/>
      <c r="QGM105" s="1051"/>
      <c r="QGN105" s="1056"/>
      <c r="QGO105" s="1157">
        <f t="shared" ref="QGO105" si="2924">QGN102</f>
        <v>0</v>
      </c>
      <c r="QGP105" s="1051"/>
      <c r="QGQ105" s="1051"/>
      <c r="QGR105" s="1056"/>
      <c r="QGS105" s="1157">
        <f t="shared" ref="QGS105" si="2925">QGR102</f>
        <v>0</v>
      </c>
      <c r="QGT105" s="1051"/>
      <c r="QGU105" s="1051"/>
      <c r="QGV105" s="1056"/>
      <c r="QGW105" s="1157">
        <f t="shared" ref="QGW105" si="2926">QGV102</f>
        <v>0</v>
      </c>
      <c r="QGX105" s="1051"/>
      <c r="QGY105" s="1051"/>
      <c r="QGZ105" s="1056"/>
      <c r="QHA105" s="1157">
        <f t="shared" ref="QHA105" si="2927">QGZ102</f>
        <v>0</v>
      </c>
      <c r="QHB105" s="1051"/>
      <c r="QHC105" s="1051"/>
      <c r="QHD105" s="1056"/>
      <c r="QHE105" s="1157">
        <f t="shared" ref="QHE105" si="2928">QHD102</f>
        <v>0</v>
      </c>
      <c r="QHF105" s="1051"/>
      <c r="QHG105" s="1051"/>
      <c r="QHH105" s="1056"/>
      <c r="QHI105" s="1157">
        <f t="shared" ref="QHI105" si="2929">QHH102</f>
        <v>0</v>
      </c>
      <c r="QHJ105" s="1051"/>
      <c r="QHK105" s="1051"/>
      <c r="QHL105" s="1056"/>
      <c r="QHM105" s="1157">
        <f t="shared" ref="QHM105" si="2930">QHL102</f>
        <v>0</v>
      </c>
      <c r="QHN105" s="1051"/>
      <c r="QHO105" s="1051"/>
      <c r="QHP105" s="1056"/>
      <c r="QHQ105" s="1157">
        <f t="shared" ref="QHQ105" si="2931">QHP102</f>
        <v>0</v>
      </c>
      <c r="QHR105" s="1051"/>
      <c r="QHS105" s="1051"/>
      <c r="QHT105" s="1056"/>
      <c r="QHU105" s="1157">
        <f t="shared" ref="QHU105" si="2932">QHT102</f>
        <v>0</v>
      </c>
      <c r="QHV105" s="1051"/>
      <c r="QHW105" s="1051"/>
      <c r="QHX105" s="1056"/>
      <c r="QHY105" s="1157">
        <f t="shared" ref="QHY105" si="2933">QHX102</f>
        <v>0</v>
      </c>
      <c r="QHZ105" s="1051"/>
      <c r="QIA105" s="1051"/>
      <c r="QIB105" s="1056"/>
      <c r="QIC105" s="1157">
        <f t="shared" ref="QIC105" si="2934">QIB102</f>
        <v>0</v>
      </c>
      <c r="QID105" s="1051"/>
      <c r="QIE105" s="1051"/>
      <c r="QIF105" s="1056"/>
      <c r="QIG105" s="1157">
        <f t="shared" ref="QIG105" si="2935">QIF102</f>
        <v>0</v>
      </c>
      <c r="QIH105" s="1051"/>
      <c r="QII105" s="1051"/>
      <c r="QIJ105" s="1056"/>
      <c r="QIK105" s="1157">
        <f t="shared" ref="QIK105" si="2936">QIJ102</f>
        <v>0</v>
      </c>
      <c r="QIL105" s="1051"/>
      <c r="QIM105" s="1051"/>
      <c r="QIN105" s="1056"/>
      <c r="QIO105" s="1157">
        <f t="shared" ref="QIO105" si="2937">QIN102</f>
        <v>0</v>
      </c>
      <c r="QIP105" s="1051"/>
      <c r="QIQ105" s="1051"/>
      <c r="QIR105" s="1056"/>
      <c r="QIS105" s="1157">
        <f t="shared" ref="QIS105" si="2938">QIR102</f>
        <v>0</v>
      </c>
      <c r="QIT105" s="1051"/>
      <c r="QIU105" s="1051"/>
      <c r="QIV105" s="1056"/>
      <c r="QIW105" s="1157">
        <f t="shared" ref="QIW105" si="2939">QIV102</f>
        <v>0</v>
      </c>
      <c r="QIX105" s="1051"/>
      <c r="QIY105" s="1051"/>
      <c r="QIZ105" s="1056"/>
      <c r="QJA105" s="1157">
        <f t="shared" ref="QJA105" si="2940">QIZ102</f>
        <v>0</v>
      </c>
      <c r="QJB105" s="1051"/>
      <c r="QJC105" s="1051"/>
      <c r="QJD105" s="1056"/>
      <c r="QJE105" s="1157">
        <f t="shared" ref="QJE105" si="2941">QJD102</f>
        <v>0</v>
      </c>
      <c r="QJF105" s="1051"/>
      <c r="QJG105" s="1051"/>
      <c r="QJH105" s="1056"/>
      <c r="QJI105" s="1157">
        <f t="shared" ref="QJI105" si="2942">QJH102</f>
        <v>0</v>
      </c>
      <c r="QJJ105" s="1051"/>
      <c r="QJK105" s="1051"/>
      <c r="QJL105" s="1056"/>
      <c r="QJM105" s="1157">
        <f t="shared" ref="QJM105" si="2943">QJL102</f>
        <v>0</v>
      </c>
      <c r="QJN105" s="1051"/>
      <c r="QJO105" s="1051"/>
      <c r="QJP105" s="1056"/>
      <c r="QJQ105" s="1157">
        <f t="shared" ref="QJQ105" si="2944">QJP102</f>
        <v>0</v>
      </c>
      <c r="QJR105" s="1051"/>
      <c r="QJS105" s="1051"/>
      <c r="QJT105" s="1056"/>
      <c r="QJU105" s="1157">
        <f t="shared" ref="QJU105" si="2945">QJT102</f>
        <v>0</v>
      </c>
      <c r="QJV105" s="1051"/>
      <c r="QJW105" s="1051"/>
      <c r="QJX105" s="1056"/>
      <c r="QJY105" s="1157">
        <f t="shared" ref="QJY105" si="2946">QJX102</f>
        <v>0</v>
      </c>
      <c r="QJZ105" s="1051"/>
      <c r="QKA105" s="1051"/>
      <c r="QKB105" s="1056"/>
      <c r="QKC105" s="1157">
        <f t="shared" ref="QKC105" si="2947">QKB102</f>
        <v>0</v>
      </c>
      <c r="QKD105" s="1051"/>
      <c r="QKE105" s="1051"/>
      <c r="QKF105" s="1056"/>
      <c r="QKG105" s="1157">
        <f t="shared" ref="QKG105" si="2948">QKF102</f>
        <v>0</v>
      </c>
      <c r="QKH105" s="1051"/>
      <c r="QKI105" s="1051"/>
      <c r="QKJ105" s="1056"/>
      <c r="QKK105" s="1157">
        <f t="shared" ref="QKK105" si="2949">QKJ102</f>
        <v>0</v>
      </c>
      <c r="QKL105" s="1051"/>
      <c r="QKM105" s="1051"/>
      <c r="QKN105" s="1056"/>
      <c r="QKO105" s="1157">
        <f t="shared" ref="QKO105" si="2950">QKN102</f>
        <v>0</v>
      </c>
      <c r="QKP105" s="1051"/>
      <c r="QKQ105" s="1051"/>
      <c r="QKR105" s="1056"/>
      <c r="QKS105" s="1157">
        <f t="shared" ref="QKS105" si="2951">QKR102</f>
        <v>0</v>
      </c>
      <c r="QKT105" s="1051"/>
      <c r="QKU105" s="1051"/>
      <c r="QKV105" s="1056"/>
      <c r="QKW105" s="1157">
        <f t="shared" ref="QKW105" si="2952">QKV102</f>
        <v>0</v>
      </c>
      <c r="QKX105" s="1051"/>
      <c r="QKY105" s="1051"/>
      <c r="QKZ105" s="1056"/>
      <c r="QLA105" s="1157">
        <f t="shared" ref="QLA105" si="2953">QKZ102</f>
        <v>0</v>
      </c>
      <c r="QLB105" s="1051"/>
      <c r="QLC105" s="1051"/>
      <c r="QLD105" s="1056"/>
      <c r="QLE105" s="1157">
        <f t="shared" ref="QLE105" si="2954">QLD102</f>
        <v>0</v>
      </c>
      <c r="QLF105" s="1051"/>
      <c r="QLG105" s="1051"/>
      <c r="QLH105" s="1056"/>
      <c r="QLI105" s="1157">
        <f t="shared" ref="QLI105" si="2955">QLH102</f>
        <v>0</v>
      </c>
      <c r="QLJ105" s="1051"/>
      <c r="QLK105" s="1051"/>
      <c r="QLL105" s="1056"/>
      <c r="QLM105" s="1157">
        <f t="shared" ref="QLM105" si="2956">QLL102</f>
        <v>0</v>
      </c>
      <c r="QLN105" s="1051"/>
      <c r="QLO105" s="1051"/>
      <c r="QLP105" s="1056"/>
      <c r="QLQ105" s="1157">
        <f t="shared" ref="QLQ105" si="2957">QLP102</f>
        <v>0</v>
      </c>
      <c r="QLR105" s="1051"/>
      <c r="QLS105" s="1051"/>
      <c r="QLT105" s="1056"/>
      <c r="QLU105" s="1157">
        <f t="shared" ref="QLU105" si="2958">QLT102</f>
        <v>0</v>
      </c>
      <c r="QLV105" s="1051"/>
      <c r="QLW105" s="1051"/>
      <c r="QLX105" s="1056"/>
      <c r="QLY105" s="1157">
        <f t="shared" ref="QLY105" si="2959">QLX102</f>
        <v>0</v>
      </c>
      <c r="QLZ105" s="1051"/>
      <c r="QMA105" s="1051"/>
      <c r="QMB105" s="1056"/>
      <c r="QMC105" s="1157">
        <f t="shared" ref="QMC105" si="2960">QMB102</f>
        <v>0</v>
      </c>
      <c r="QMD105" s="1051"/>
      <c r="QME105" s="1051"/>
      <c r="QMF105" s="1056"/>
      <c r="QMG105" s="1157">
        <f t="shared" ref="QMG105" si="2961">QMF102</f>
        <v>0</v>
      </c>
      <c r="QMH105" s="1051"/>
      <c r="QMI105" s="1051"/>
      <c r="QMJ105" s="1056"/>
      <c r="QMK105" s="1157">
        <f t="shared" ref="QMK105" si="2962">QMJ102</f>
        <v>0</v>
      </c>
      <c r="QML105" s="1051"/>
      <c r="QMM105" s="1051"/>
      <c r="QMN105" s="1056"/>
      <c r="QMO105" s="1157">
        <f t="shared" ref="QMO105" si="2963">QMN102</f>
        <v>0</v>
      </c>
      <c r="QMP105" s="1051"/>
      <c r="QMQ105" s="1051"/>
      <c r="QMR105" s="1056"/>
      <c r="QMS105" s="1157">
        <f t="shared" ref="QMS105" si="2964">QMR102</f>
        <v>0</v>
      </c>
      <c r="QMT105" s="1051"/>
      <c r="QMU105" s="1051"/>
      <c r="QMV105" s="1056"/>
      <c r="QMW105" s="1157">
        <f t="shared" ref="QMW105" si="2965">QMV102</f>
        <v>0</v>
      </c>
      <c r="QMX105" s="1051"/>
      <c r="QMY105" s="1051"/>
      <c r="QMZ105" s="1056"/>
      <c r="QNA105" s="1157">
        <f t="shared" ref="QNA105" si="2966">QMZ102</f>
        <v>0</v>
      </c>
      <c r="QNB105" s="1051"/>
      <c r="QNC105" s="1051"/>
      <c r="QND105" s="1056"/>
      <c r="QNE105" s="1157">
        <f t="shared" ref="QNE105" si="2967">QND102</f>
        <v>0</v>
      </c>
      <c r="QNF105" s="1051"/>
      <c r="QNG105" s="1051"/>
      <c r="QNH105" s="1056"/>
      <c r="QNI105" s="1157">
        <f t="shared" ref="QNI105" si="2968">QNH102</f>
        <v>0</v>
      </c>
      <c r="QNJ105" s="1051"/>
      <c r="QNK105" s="1051"/>
      <c r="QNL105" s="1056"/>
      <c r="QNM105" s="1157">
        <f t="shared" ref="QNM105" si="2969">QNL102</f>
        <v>0</v>
      </c>
      <c r="QNN105" s="1051"/>
      <c r="QNO105" s="1051"/>
      <c r="QNP105" s="1056"/>
      <c r="QNQ105" s="1157">
        <f t="shared" ref="QNQ105" si="2970">QNP102</f>
        <v>0</v>
      </c>
      <c r="QNR105" s="1051"/>
      <c r="QNS105" s="1051"/>
      <c r="QNT105" s="1056"/>
      <c r="QNU105" s="1157">
        <f t="shared" ref="QNU105" si="2971">QNT102</f>
        <v>0</v>
      </c>
      <c r="QNV105" s="1051"/>
      <c r="QNW105" s="1051"/>
      <c r="QNX105" s="1056"/>
      <c r="QNY105" s="1157">
        <f t="shared" ref="QNY105" si="2972">QNX102</f>
        <v>0</v>
      </c>
      <c r="QNZ105" s="1051"/>
      <c r="QOA105" s="1051"/>
      <c r="QOB105" s="1056"/>
      <c r="QOC105" s="1157">
        <f t="shared" ref="QOC105" si="2973">QOB102</f>
        <v>0</v>
      </c>
      <c r="QOD105" s="1051"/>
      <c r="QOE105" s="1051"/>
      <c r="QOF105" s="1056"/>
      <c r="QOG105" s="1157">
        <f t="shared" ref="QOG105" si="2974">QOF102</f>
        <v>0</v>
      </c>
      <c r="QOH105" s="1051"/>
      <c r="QOI105" s="1051"/>
      <c r="QOJ105" s="1056"/>
      <c r="QOK105" s="1157">
        <f t="shared" ref="QOK105" si="2975">QOJ102</f>
        <v>0</v>
      </c>
      <c r="QOL105" s="1051"/>
      <c r="QOM105" s="1051"/>
      <c r="QON105" s="1056"/>
      <c r="QOO105" s="1157">
        <f t="shared" ref="QOO105" si="2976">QON102</f>
        <v>0</v>
      </c>
      <c r="QOP105" s="1051"/>
      <c r="QOQ105" s="1051"/>
      <c r="QOR105" s="1056"/>
      <c r="QOS105" s="1157">
        <f t="shared" ref="QOS105" si="2977">QOR102</f>
        <v>0</v>
      </c>
      <c r="QOT105" s="1051"/>
      <c r="QOU105" s="1051"/>
      <c r="QOV105" s="1056"/>
      <c r="QOW105" s="1157">
        <f t="shared" ref="QOW105" si="2978">QOV102</f>
        <v>0</v>
      </c>
      <c r="QOX105" s="1051"/>
      <c r="QOY105" s="1051"/>
      <c r="QOZ105" s="1056"/>
      <c r="QPA105" s="1157">
        <f t="shared" ref="QPA105" si="2979">QOZ102</f>
        <v>0</v>
      </c>
      <c r="QPB105" s="1051"/>
      <c r="QPC105" s="1051"/>
      <c r="QPD105" s="1056"/>
      <c r="QPE105" s="1157">
        <f t="shared" ref="QPE105" si="2980">QPD102</f>
        <v>0</v>
      </c>
      <c r="QPF105" s="1051"/>
      <c r="QPG105" s="1051"/>
      <c r="QPH105" s="1056"/>
      <c r="QPI105" s="1157">
        <f t="shared" ref="QPI105" si="2981">QPH102</f>
        <v>0</v>
      </c>
      <c r="QPJ105" s="1051"/>
      <c r="QPK105" s="1051"/>
      <c r="QPL105" s="1056"/>
      <c r="QPM105" s="1157">
        <f t="shared" ref="QPM105" si="2982">QPL102</f>
        <v>0</v>
      </c>
      <c r="QPN105" s="1051"/>
      <c r="QPO105" s="1051"/>
      <c r="QPP105" s="1056"/>
      <c r="QPQ105" s="1157">
        <f t="shared" ref="QPQ105" si="2983">QPP102</f>
        <v>0</v>
      </c>
      <c r="QPR105" s="1051"/>
      <c r="QPS105" s="1051"/>
      <c r="QPT105" s="1056"/>
      <c r="QPU105" s="1157">
        <f t="shared" ref="QPU105" si="2984">QPT102</f>
        <v>0</v>
      </c>
      <c r="QPV105" s="1051"/>
      <c r="QPW105" s="1051"/>
      <c r="QPX105" s="1056"/>
      <c r="QPY105" s="1157">
        <f t="shared" ref="QPY105" si="2985">QPX102</f>
        <v>0</v>
      </c>
      <c r="QPZ105" s="1051"/>
      <c r="QQA105" s="1051"/>
      <c r="QQB105" s="1056"/>
      <c r="QQC105" s="1157">
        <f t="shared" ref="QQC105" si="2986">QQB102</f>
        <v>0</v>
      </c>
      <c r="QQD105" s="1051"/>
      <c r="QQE105" s="1051"/>
      <c r="QQF105" s="1056"/>
      <c r="QQG105" s="1157">
        <f t="shared" ref="QQG105" si="2987">QQF102</f>
        <v>0</v>
      </c>
      <c r="QQH105" s="1051"/>
      <c r="QQI105" s="1051"/>
      <c r="QQJ105" s="1056"/>
      <c r="QQK105" s="1157">
        <f t="shared" ref="QQK105" si="2988">QQJ102</f>
        <v>0</v>
      </c>
      <c r="QQL105" s="1051"/>
      <c r="QQM105" s="1051"/>
      <c r="QQN105" s="1056"/>
      <c r="QQO105" s="1157">
        <f t="shared" ref="QQO105" si="2989">QQN102</f>
        <v>0</v>
      </c>
      <c r="QQP105" s="1051"/>
      <c r="QQQ105" s="1051"/>
      <c r="QQR105" s="1056"/>
      <c r="QQS105" s="1157">
        <f t="shared" ref="QQS105" si="2990">QQR102</f>
        <v>0</v>
      </c>
      <c r="QQT105" s="1051"/>
      <c r="QQU105" s="1051"/>
      <c r="QQV105" s="1056"/>
      <c r="QQW105" s="1157">
        <f t="shared" ref="QQW105" si="2991">QQV102</f>
        <v>0</v>
      </c>
      <c r="QQX105" s="1051"/>
      <c r="QQY105" s="1051"/>
      <c r="QQZ105" s="1056"/>
      <c r="QRA105" s="1157">
        <f t="shared" ref="QRA105" si="2992">QQZ102</f>
        <v>0</v>
      </c>
      <c r="QRB105" s="1051"/>
      <c r="QRC105" s="1051"/>
      <c r="QRD105" s="1056"/>
      <c r="QRE105" s="1157">
        <f t="shared" ref="QRE105" si="2993">QRD102</f>
        <v>0</v>
      </c>
      <c r="QRF105" s="1051"/>
      <c r="QRG105" s="1051"/>
      <c r="QRH105" s="1056"/>
      <c r="QRI105" s="1157">
        <f t="shared" ref="QRI105" si="2994">QRH102</f>
        <v>0</v>
      </c>
      <c r="QRJ105" s="1051"/>
      <c r="QRK105" s="1051"/>
      <c r="QRL105" s="1056"/>
      <c r="QRM105" s="1157">
        <f t="shared" ref="QRM105" si="2995">QRL102</f>
        <v>0</v>
      </c>
      <c r="QRN105" s="1051"/>
      <c r="QRO105" s="1051"/>
      <c r="QRP105" s="1056"/>
      <c r="QRQ105" s="1157">
        <f t="shared" ref="QRQ105" si="2996">QRP102</f>
        <v>0</v>
      </c>
      <c r="QRR105" s="1051"/>
      <c r="QRS105" s="1051"/>
      <c r="QRT105" s="1056"/>
      <c r="QRU105" s="1157">
        <f t="shared" ref="QRU105" si="2997">QRT102</f>
        <v>0</v>
      </c>
      <c r="QRV105" s="1051"/>
      <c r="QRW105" s="1051"/>
      <c r="QRX105" s="1056"/>
      <c r="QRY105" s="1157">
        <f t="shared" ref="QRY105" si="2998">QRX102</f>
        <v>0</v>
      </c>
      <c r="QRZ105" s="1051"/>
      <c r="QSA105" s="1051"/>
      <c r="QSB105" s="1056"/>
      <c r="QSC105" s="1157">
        <f t="shared" ref="QSC105" si="2999">QSB102</f>
        <v>0</v>
      </c>
      <c r="QSD105" s="1051"/>
      <c r="QSE105" s="1051"/>
      <c r="QSF105" s="1056"/>
      <c r="QSG105" s="1157">
        <f t="shared" ref="QSG105" si="3000">QSF102</f>
        <v>0</v>
      </c>
      <c r="QSH105" s="1051"/>
      <c r="QSI105" s="1051"/>
      <c r="QSJ105" s="1056"/>
      <c r="QSK105" s="1157">
        <f t="shared" ref="QSK105" si="3001">QSJ102</f>
        <v>0</v>
      </c>
      <c r="QSL105" s="1051"/>
      <c r="QSM105" s="1051"/>
      <c r="QSN105" s="1056"/>
      <c r="QSO105" s="1157">
        <f t="shared" ref="QSO105" si="3002">QSN102</f>
        <v>0</v>
      </c>
      <c r="QSP105" s="1051"/>
      <c r="QSQ105" s="1051"/>
      <c r="QSR105" s="1056"/>
      <c r="QSS105" s="1157">
        <f t="shared" ref="QSS105" si="3003">QSR102</f>
        <v>0</v>
      </c>
      <c r="QST105" s="1051"/>
      <c r="QSU105" s="1051"/>
      <c r="QSV105" s="1056"/>
      <c r="QSW105" s="1157">
        <f t="shared" ref="QSW105" si="3004">QSV102</f>
        <v>0</v>
      </c>
      <c r="QSX105" s="1051"/>
      <c r="QSY105" s="1051"/>
      <c r="QSZ105" s="1056"/>
      <c r="QTA105" s="1157">
        <f t="shared" ref="QTA105" si="3005">QSZ102</f>
        <v>0</v>
      </c>
      <c r="QTB105" s="1051"/>
      <c r="QTC105" s="1051"/>
      <c r="QTD105" s="1056"/>
      <c r="QTE105" s="1157">
        <f t="shared" ref="QTE105" si="3006">QTD102</f>
        <v>0</v>
      </c>
      <c r="QTF105" s="1051"/>
      <c r="QTG105" s="1051"/>
      <c r="QTH105" s="1056"/>
      <c r="QTI105" s="1157">
        <f t="shared" ref="QTI105" si="3007">QTH102</f>
        <v>0</v>
      </c>
      <c r="QTJ105" s="1051"/>
      <c r="QTK105" s="1051"/>
      <c r="QTL105" s="1056"/>
      <c r="QTM105" s="1157">
        <f t="shared" ref="QTM105" si="3008">QTL102</f>
        <v>0</v>
      </c>
      <c r="QTN105" s="1051"/>
      <c r="QTO105" s="1051"/>
      <c r="QTP105" s="1056"/>
      <c r="QTQ105" s="1157">
        <f t="shared" ref="QTQ105" si="3009">QTP102</f>
        <v>0</v>
      </c>
      <c r="QTR105" s="1051"/>
      <c r="QTS105" s="1051"/>
      <c r="QTT105" s="1056"/>
      <c r="QTU105" s="1157">
        <f t="shared" ref="QTU105" si="3010">QTT102</f>
        <v>0</v>
      </c>
      <c r="QTV105" s="1051"/>
      <c r="QTW105" s="1051"/>
      <c r="QTX105" s="1056"/>
      <c r="QTY105" s="1157">
        <f t="shared" ref="QTY105" si="3011">QTX102</f>
        <v>0</v>
      </c>
      <c r="QTZ105" s="1051"/>
      <c r="QUA105" s="1051"/>
      <c r="QUB105" s="1056"/>
      <c r="QUC105" s="1157">
        <f t="shared" ref="QUC105" si="3012">QUB102</f>
        <v>0</v>
      </c>
      <c r="QUD105" s="1051"/>
      <c r="QUE105" s="1051"/>
      <c r="QUF105" s="1056"/>
      <c r="QUG105" s="1157">
        <f t="shared" ref="QUG105" si="3013">QUF102</f>
        <v>0</v>
      </c>
      <c r="QUH105" s="1051"/>
      <c r="QUI105" s="1051"/>
      <c r="QUJ105" s="1056"/>
      <c r="QUK105" s="1157">
        <f t="shared" ref="QUK105" si="3014">QUJ102</f>
        <v>0</v>
      </c>
      <c r="QUL105" s="1051"/>
      <c r="QUM105" s="1051"/>
      <c r="QUN105" s="1056"/>
      <c r="QUO105" s="1157">
        <f t="shared" ref="QUO105" si="3015">QUN102</f>
        <v>0</v>
      </c>
      <c r="QUP105" s="1051"/>
      <c r="QUQ105" s="1051"/>
      <c r="QUR105" s="1056"/>
      <c r="QUS105" s="1157">
        <f t="shared" ref="QUS105" si="3016">QUR102</f>
        <v>0</v>
      </c>
      <c r="QUT105" s="1051"/>
      <c r="QUU105" s="1051"/>
      <c r="QUV105" s="1056"/>
      <c r="QUW105" s="1157">
        <f t="shared" ref="QUW105" si="3017">QUV102</f>
        <v>0</v>
      </c>
      <c r="QUX105" s="1051"/>
      <c r="QUY105" s="1051"/>
      <c r="QUZ105" s="1056"/>
      <c r="QVA105" s="1157">
        <f t="shared" ref="QVA105" si="3018">QUZ102</f>
        <v>0</v>
      </c>
      <c r="QVB105" s="1051"/>
      <c r="QVC105" s="1051"/>
      <c r="QVD105" s="1056"/>
      <c r="QVE105" s="1157">
        <f t="shared" ref="QVE105" si="3019">QVD102</f>
        <v>0</v>
      </c>
      <c r="QVF105" s="1051"/>
      <c r="QVG105" s="1051"/>
      <c r="QVH105" s="1056"/>
      <c r="QVI105" s="1157">
        <f t="shared" ref="QVI105" si="3020">QVH102</f>
        <v>0</v>
      </c>
      <c r="QVJ105" s="1051"/>
      <c r="QVK105" s="1051"/>
      <c r="QVL105" s="1056"/>
      <c r="QVM105" s="1157">
        <f t="shared" ref="QVM105" si="3021">QVL102</f>
        <v>0</v>
      </c>
      <c r="QVN105" s="1051"/>
      <c r="QVO105" s="1051"/>
      <c r="QVP105" s="1056"/>
      <c r="QVQ105" s="1157">
        <f t="shared" ref="QVQ105" si="3022">QVP102</f>
        <v>0</v>
      </c>
      <c r="QVR105" s="1051"/>
      <c r="QVS105" s="1051"/>
      <c r="QVT105" s="1056"/>
      <c r="QVU105" s="1157">
        <f t="shared" ref="QVU105" si="3023">QVT102</f>
        <v>0</v>
      </c>
      <c r="QVV105" s="1051"/>
      <c r="QVW105" s="1051"/>
      <c r="QVX105" s="1056"/>
      <c r="QVY105" s="1157">
        <f t="shared" ref="QVY105" si="3024">QVX102</f>
        <v>0</v>
      </c>
      <c r="QVZ105" s="1051"/>
      <c r="QWA105" s="1051"/>
      <c r="QWB105" s="1056"/>
      <c r="QWC105" s="1157">
        <f t="shared" ref="QWC105" si="3025">QWB102</f>
        <v>0</v>
      </c>
      <c r="QWD105" s="1051"/>
      <c r="QWE105" s="1051"/>
      <c r="QWF105" s="1056"/>
      <c r="QWG105" s="1157">
        <f t="shared" ref="QWG105" si="3026">QWF102</f>
        <v>0</v>
      </c>
      <c r="QWH105" s="1051"/>
      <c r="QWI105" s="1051"/>
      <c r="QWJ105" s="1056"/>
      <c r="QWK105" s="1157">
        <f t="shared" ref="QWK105" si="3027">QWJ102</f>
        <v>0</v>
      </c>
      <c r="QWL105" s="1051"/>
      <c r="QWM105" s="1051"/>
      <c r="QWN105" s="1056"/>
      <c r="QWO105" s="1157">
        <f t="shared" ref="QWO105" si="3028">QWN102</f>
        <v>0</v>
      </c>
      <c r="QWP105" s="1051"/>
      <c r="QWQ105" s="1051"/>
      <c r="QWR105" s="1056"/>
      <c r="QWS105" s="1157">
        <f t="shared" ref="QWS105" si="3029">QWR102</f>
        <v>0</v>
      </c>
      <c r="QWT105" s="1051"/>
      <c r="QWU105" s="1051"/>
      <c r="QWV105" s="1056"/>
      <c r="QWW105" s="1157">
        <f t="shared" ref="QWW105" si="3030">QWV102</f>
        <v>0</v>
      </c>
      <c r="QWX105" s="1051"/>
      <c r="QWY105" s="1051"/>
      <c r="QWZ105" s="1056"/>
      <c r="QXA105" s="1157">
        <f t="shared" ref="QXA105" si="3031">QWZ102</f>
        <v>0</v>
      </c>
      <c r="QXB105" s="1051"/>
      <c r="QXC105" s="1051"/>
      <c r="QXD105" s="1056"/>
      <c r="QXE105" s="1157">
        <f t="shared" ref="QXE105" si="3032">QXD102</f>
        <v>0</v>
      </c>
      <c r="QXF105" s="1051"/>
      <c r="QXG105" s="1051"/>
      <c r="QXH105" s="1056"/>
      <c r="QXI105" s="1157">
        <f t="shared" ref="QXI105" si="3033">QXH102</f>
        <v>0</v>
      </c>
      <c r="QXJ105" s="1051"/>
      <c r="QXK105" s="1051"/>
      <c r="QXL105" s="1056"/>
      <c r="QXM105" s="1157">
        <f t="shared" ref="QXM105" si="3034">QXL102</f>
        <v>0</v>
      </c>
      <c r="QXN105" s="1051"/>
      <c r="QXO105" s="1051"/>
      <c r="QXP105" s="1056"/>
      <c r="QXQ105" s="1157">
        <f t="shared" ref="QXQ105" si="3035">QXP102</f>
        <v>0</v>
      </c>
      <c r="QXR105" s="1051"/>
      <c r="QXS105" s="1051"/>
      <c r="QXT105" s="1056"/>
      <c r="QXU105" s="1157">
        <f t="shared" ref="QXU105" si="3036">QXT102</f>
        <v>0</v>
      </c>
      <c r="QXV105" s="1051"/>
      <c r="QXW105" s="1051"/>
      <c r="QXX105" s="1056"/>
      <c r="QXY105" s="1157">
        <f t="shared" ref="QXY105" si="3037">QXX102</f>
        <v>0</v>
      </c>
      <c r="QXZ105" s="1051"/>
      <c r="QYA105" s="1051"/>
      <c r="QYB105" s="1056"/>
      <c r="QYC105" s="1157">
        <f t="shared" ref="QYC105" si="3038">QYB102</f>
        <v>0</v>
      </c>
      <c r="QYD105" s="1051"/>
      <c r="QYE105" s="1051"/>
      <c r="QYF105" s="1056"/>
      <c r="QYG105" s="1157">
        <f t="shared" ref="QYG105" si="3039">QYF102</f>
        <v>0</v>
      </c>
      <c r="QYH105" s="1051"/>
      <c r="QYI105" s="1051"/>
      <c r="QYJ105" s="1056"/>
      <c r="QYK105" s="1157">
        <f t="shared" ref="QYK105" si="3040">QYJ102</f>
        <v>0</v>
      </c>
      <c r="QYL105" s="1051"/>
      <c r="QYM105" s="1051"/>
      <c r="QYN105" s="1056"/>
      <c r="QYO105" s="1157">
        <f t="shared" ref="QYO105" si="3041">QYN102</f>
        <v>0</v>
      </c>
      <c r="QYP105" s="1051"/>
      <c r="QYQ105" s="1051"/>
      <c r="QYR105" s="1056"/>
      <c r="QYS105" s="1157">
        <f t="shared" ref="QYS105" si="3042">QYR102</f>
        <v>0</v>
      </c>
      <c r="QYT105" s="1051"/>
      <c r="QYU105" s="1051"/>
      <c r="QYV105" s="1056"/>
      <c r="QYW105" s="1157">
        <f t="shared" ref="QYW105" si="3043">QYV102</f>
        <v>0</v>
      </c>
      <c r="QYX105" s="1051"/>
      <c r="QYY105" s="1051"/>
      <c r="QYZ105" s="1056"/>
      <c r="QZA105" s="1157">
        <f t="shared" ref="QZA105" si="3044">QYZ102</f>
        <v>0</v>
      </c>
      <c r="QZB105" s="1051"/>
      <c r="QZC105" s="1051"/>
      <c r="QZD105" s="1056"/>
      <c r="QZE105" s="1157">
        <f t="shared" ref="QZE105" si="3045">QZD102</f>
        <v>0</v>
      </c>
      <c r="QZF105" s="1051"/>
      <c r="QZG105" s="1051"/>
      <c r="QZH105" s="1056"/>
      <c r="QZI105" s="1157">
        <f t="shared" ref="QZI105" si="3046">QZH102</f>
        <v>0</v>
      </c>
      <c r="QZJ105" s="1051"/>
      <c r="QZK105" s="1051"/>
      <c r="QZL105" s="1056"/>
      <c r="QZM105" s="1157">
        <f t="shared" ref="QZM105" si="3047">QZL102</f>
        <v>0</v>
      </c>
      <c r="QZN105" s="1051"/>
      <c r="QZO105" s="1051"/>
      <c r="QZP105" s="1056"/>
      <c r="QZQ105" s="1157">
        <f t="shared" ref="QZQ105" si="3048">QZP102</f>
        <v>0</v>
      </c>
      <c r="QZR105" s="1051"/>
      <c r="QZS105" s="1051"/>
      <c r="QZT105" s="1056"/>
      <c r="QZU105" s="1157">
        <f t="shared" ref="QZU105" si="3049">QZT102</f>
        <v>0</v>
      </c>
      <c r="QZV105" s="1051"/>
      <c r="QZW105" s="1051"/>
      <c r="QZX105" s="1056"/>
      <c r="QZY105" s="1157">
        <f t="shared" ref="QZY105" si="3050">QZX102</f>
        <v>0</v>
      </c>
      <c r="QZZ105" s="1051"/>
      <c r="RAA105" s="1051"/>
      <c r="RAB105" s="1056"/>
      <c r="RAC105" s="1157">
        <f t="shared" ref="RAC105" si="3051">RAB102</f>
        <v>0</v>
      </c>
      <c r="RAD105" s="1051"/>
      <c r="RAE105" s="1051"/>
      <c r="RAF105" s="1056"/>
      <c r="RAG105" s="1157">
        <f t="shared" ref="RAG105" si="3052">RAF102</f>
        <v>0</v>
      </c>
      <c r="RAH105" s="1051"/>
      <c r="RAI105" s="1051"/>
      <c r="RAJ105" s="1056"/>
      <c r="RAK105" s="1157">
        <f t="shared" ref="RAK105" si="3053">RAJ102</f>
        <v>0</v>
      </c>
      <c r="RAL105" s="1051"/>
      <c r="RAM105" s="1051"/>
      <c r="RAN105" s="1056"/>
      <c r="RAO105" s="1157">
        <f t="shared" ref="RAO105" si="3054">RAN102</f>
        <v>0</v>
      </c>
      <c r="RAP105" s="1051"/>
      <c r="RAQ105" s="1051"/>
      <c r="RAR105" s="1056"/>
      <c r="RAS105" s="1157">
        <f t="shared" ref="RAS105" si="3055">RAR102</f>
        <v>0</v>
      </c>
      <c r="RAT105" s="1051"/>
      <c r="RAU105" s="1051"/>
      <c r="RAV105" s="1056"/>
      <c r="RAW105" s="1157">
        <f t="shared" ref="RAW105" si="3056">RAV102</f>
        <v>0</v>
      </c>
      <c r="RAX105" s="1051"/>
      <c r="RAY105" s="1051"/>
      <c r="RAZ105" s="1056"/>
      <c r="RBA105" s="1157">
        <f t="shared" ref="RBA105" si="3057">RAZ102</f>
        <v>0</v>
      </c>
      <c r="RBB105" s="1051"/>
      <c r="RBC105" s="1051"/>
      <c r="RBD105" s="1056"/>
      <c r="RBE105" s="1157">
        <f t="shared" ref="RBE105" si="3058">RBD102</f>
        <v>0</v>
      </c>
      <c r="RBF105" s="1051"/>
      <c r="RBG105" s="1051"/>
      <c r="RBH105" s="1056"/>
      <c r="RBI105" s="1157">
        <f t="shared" ref="RBI105" si="3059">RBH102</f>
        <v>0</v>
      </c>
      <c r="RBJ105" s="1051"/>
      <c r="RBK105" s="1051"/>
      <c r="RBL105" s="1056"/>
      <c r="RBM105" s="1157">
        <f t="shared" ref="RBM105" si="3060">RBL102</f>
        <v>0</v>
      </c>
      <c r="RBN105" s="1051"/>
      <c r="RBO105" s="1051"/>
      <c r="RBP105" s="1056"/>
      <c r="RBQ105" s="1157">
        <f t="shared" ref="RBQ105" si="3061">RBP102</f>
        <v>0</v>
      </c>
      <c r="RBR105" s="1051"/>
      <c r="RBS105" s="1051"/>
      <c r="RBT105" s="1056"/>
      <c r="RBU105" s="1157">
        <f t="shared" ref="RBU105" si="3062">RBT102</f>
        <v>0</v>
      </c>
      <c r="RBV105" s="1051"/>
      <c r="RBW105" s="1051"/>
      <c r="RBX105" s="1056"/>
      <c r="RBY105" s="1157">
        <f t="shared" ref="RBY105" si="3063">RBX102</f>
        <v>0</v>
      </c>
      <c r="RBZ105" s="1051"/>
      <c r="RCA105" s="1051"/>
      <c r="RCB105" s="1056"/>
      <c r="RCC105" s="1157">
        <f t="shared" ref="RCC105" si="3064">RCB102</f>
        <v>0</v>
      </c>
      <c r="RCD105" s="1051"/>
      <c r="RCE105" s="1051"/>
      <c r="RCF105" s="1056"/>
      <c r="RCG105" s="1157">
        <f t="shared" ref="RCG105" si="3065">RCF102</f>
        <v>0</v>
      </c>
      <c r="RCH105" s="1051"/>
      <c r="RCI105" s="1051"/>
      <c r="RCJ105" s="1056"/>
      <c r="RCK105" s="1157">
        <f t="shared" ref="RCK105" si="3066">RCJ102</f>
        <v>0</v>
      </c>
      <c r="RCL105" s="1051"/>
      <c r="RCM105" s="1051"/>
      <c r="RCN105" s="1056"/>
      <c r="RCO105" s="1157">
        <f t="shared" ref="RCO105" si="3067">RCN102</f>
        <v>0</v>
      </c>
      <c r="RCP105" s="1051"/>
      <c r="RCQ105" s="1051"/>
      <c r="RCR105" s="1056"/>
      <c r="RCS105" s="1157">
        <f t="shared" ref="RCS105" si="3068">RCR102</f>
        <v>0</v>
      </c>
      <c r="RCT105" s="1051"/>
      <c r="RCU105" s="1051"/>
      <c r="RCV105" s="1056"/>
      <c r="RCW105" s="1157">
        <f t="shared" ref="RCW105" si="3069">RCV102</f>
        <v>0</v>
      </c>
      <c r="RCX105" s="1051"/>
      <c r="RCY105" s="1051"/>
      <c r="RCZ105" s="1056"/>
      <c r="RDA105" s="1157">
        <f t="shared" ref="RDA105" si="3070">RCZ102</f>
        <v>0</v>
      </c>
      <c r="RDB105" s="1051"/>
      <c r="RDC105" s="1051"/>
      <c r="RDD105" s="1056"/>
      <c r="RDE105" s="1157">
        <f t="shared" ref="RDE105" si="3071">RDD102</f>
        <v>0</v>
      </c>
      <c r="RDF105" s="1051"/>
      <c r="RDG105" s="1051"/>
      <c r="RDH105" s="1056"/>
      <c r="RDI105" s="1157">
        <f t="shared" ref="RDI105" si="3072">RDH102</f>
        <v>0</v>
      </c>
      <c r="RDJ105" s="1051"/>
      <c r="RDK105" s="1051"/>
      <c r="RDL105" s="1056"/>
      <c r="RDM105" s="1157">
        <f t="shared" ref="RDM105" si="3073">RDL102</f>
        <v>0</v>
      </c>
      <c r="RDN105" s="1051"/>
      <c r="RDO105" s="1051"/>
      <c r="RDP105" s="1056"/>
      <c r="RDQ105" s="1157">
        <f t="shared" ref="RDQ105" si="3074">RDP102</f>
        <v>0</v>
      </c>
      <c r="RDR105" s="1051"/>
      <c r="RDS105" s="1051"/>
      <c r="RDT105" s="1056"/>
      <c r="RDU105" s="1157">
        <f t="shared" ref="RDU105" si="3075">RDT102</f>
        <v>0</v>
      </c>
      <c r="RDV105" s="1051"/>
      <c r="RDW105" s="1051"/>
      <c r="RDX105" s="1056"/>
      <c r="RDY105" s="1157">
        <f t="shared" ref="RDY105" si="3076">RDX102</f>
        <v>0</v>
      </c>
      <c r="RDZ105" s="1051"/>
      <c r="REA105" s="1051"/>
      <c r="REB105" s="1056"/>
      <c r="REC105" s="1157">
        <f t="shared" ref="REC105" si="3077">REB102</f>
        <v>0</v>
      </c>
      <c r="RED105" s="1051"/>
      <c r="REE105" s="1051"/>
      <c r="REF105" s="1056"/>
      <c r="REG105" s="1157">
        <f t="shared" ref="REG105" si="3078">REF102</f>
        <v>0</v>
      </c>
      <c r="REH105" s="1051"/>
      <c r="REI105" s="1051"/>
      <c r="REJ105" s="1056"/>
      <c r="REK105" s="1157">
        <f t="shared" ref="REK105" si="3079">REJ102</f>
        <v>0</v>
      </c>
      <c r="REL105" s="1051"/>
      <c r="REM105" s="1051"/>
      <c r="REN105" s="1056"/>
      <c r="REO105" s="1157">
        <f t="shared" ref="REO105" si="3080">REN102</f>
        <v>0</v>
      </c>
      <c r="REP105" s="1051"/>
      <c r="REQ105" s="1051"/>
      <c r="RER105" s="1056"/>
      <c r="RES105" s="1157">
        <f t="shared" ref="RES105" si="3081">RER102</f>
        <v>0</v>
      </c>
      <c r="RET105" s="1051"/>
      <c r="REU105" s="1051"/>
      <c r="REV105" s="1056"/>
      <c r="REW105" s="1157">
        <f t="shared" ref="REW105" si="3082">REV102</f>
        <v>0</v>
      </c>
      <c r="REX105" s="1051"/>
      <c r="REY105" s="1051"/>
      <c r="REZ105" s="1056"/>
      <c r="RFA105" s="1157">
        <f t="shared" ref="RFA105" si="3083">REZ102</f>
        <v>0</v>
      </c>
      <c r="RFB105" s="1051"/>
      <c r="RFC105" s="1051"/>
      <c r="RFD105" s="1056"/>
      <c r="RFE105" s="1157">
        <f t="shared" ref="RFE105" si="3084">RFD102</f>
        <v>0</v>
      </c>
      <c r="RFF105" s="1051"/>
      <c r="RFG105" s="1051"/>
      <c r="RFH105" s="1056"/>
      <c r="RFI105" s="1157">
        <f t="shared" ref="RFI105" si="3085">RFH102</f>
        <v>0</v>
      </c>
      <c r="RFJ105" s="1051"/>
      <c r="RFK105" s="1051"/>
      <c r="RFL105" s="1056"/>
      <c r="RFM105" s="1157">
        <f t="shared" ref="RFM105" si="3086">RFL102</f>
        <v>0</v>
      </c>
      <c r="RFN105" s="1051"/>
      <c r="RFO105" s="1051"/>
      <c r="RFP105" s="1056"/>
      <c r="RFQ105" s="1157">
        <f t="shared" ref="RFQ105" si="3087">RFP102</f>
        <v>0</v>
      </c>
      <c r="RFR105" s="1051"/>
      <c r="RFS105" s="1051"/>
      <c r="RFT105" s="1056"/>
      <c r="RFU105" s="1157">
        <f t="shared" ref="RFU105" si="3088">RFT102</f>
        <v>0</v>
      </c>
      <c r="RFV105" s="1051"/>
      <c r="RFW105" s="1051"/>
      <c r="RFX105" s="1056"/>
      <c r="RFY105" s="1157">
        <f t="shared" ref="RFY105" si="3089">RFX102</f>
        <v>0</v>
      </c>
      <c r="RFZ105" s="1051"/>
      <c r="RGA105" s="1051"/>
      <c r="RGB105" s="1056"/>
      <c r="RGC105" s="1157">
        <f t="shared" ref="RGC105" si="3090">RGB102</f>
        <v>0</v>
      </c>
      <c r="RGD105" s="1051"/>
      <c r="RGE105" s="1051"/>
      <c r="RGF105" s="1056"/>
      <c r="RGG105" s="1157">
        <f t="shared" ref="RGG105" si="3091">RGF102</f>
        <v>0</v>
      </c>
      <c r="RGH105" s="1051"/>
      <c r="RGI105" s="1051"/>
      <c r="RGJ105" s="1056"/>
      <c r="RGK105" s="1157">
        <f t="shared" ref="RGK105" si="3092">RGJ102</f>
        <v>0</v>
      </c>
      <c r="RGL105" s="1051"/>
      <c r="RGM105" s="1051"/>
      <c r="RGN105" s="1056"/>
      <c r="RGO105" s="1157">
        <f t="shared" ref="RGO105" si="3093">RGN102</f>
        <v>0</v>
      </c>
      <c r="RGP105" s="1051"/>
      <c r="RGQ105" s="1051"/>
      <c r="RGR105" s="1056"/>
      <c r="RGS105" s="1157">
        <f t="shared" ref="RGS105" si="3094">RGR102</f>
        <v>0</v>
      </c>
      <c r="RGT105" s="1051"/>
      <c r="RGU105" s="1051"/>
      <c r="RGV105" s="1056"/>
      <c r="RGW105" s="1157">
        <f t="shared" ref="RGW105" si="3095">RGV102</f>
        <v>0</v>
      </c>
      <c r="RGX105" s="1051"/>
      <c r="RGY105" s="1051"/>
      <c r="RGZ105" s="1056"/>
      <c r="RHA105" s="1157">
        <f t="shared" ref="RHA105" si="3096">RGZ102</f>
        <v>0</v>
      </c>
      <c r="RHB105" s="1051"/>
      <c r="RHC105" s="1051"/>
      <c r="RHD105" s="1056"/>
      <c r="RHE105" s="1157">
        <f t="shared" ref="RHE105" si="3097">RHD102</f>
        <v>0</v>
      </c>
      <c r="RHF105" s="1051"/>
      <c r="RHG105" s="1051"/>
      <c r="RHH105" s="1056"/>
      <c r="RHI105" s="1157">
        <f t="shared" ref="RHI105" si="3098">RHH102</f>
        <v>0</v>
      </c>
      <c r="RHJ105" s="1051"/>
      <c r="RHK105" s="1051"/>
      <c r="RHL105" s="1056"/>
      <c r="RHM105" s="1157">
        <f t="shared" ref="RHM105" si="3099">RHL102</f>
        <v>0</v>
      </c>
      <c r="RHN105" s="1051"/>
      <c r="RHO105" s="1051"/>
      <c r="RHP105" s="1056"/>
      <c r="RHQ105" s="1157">
        <f t="shared" ref="RHQ105" si="3100">RHP102</f>
        <v>0</v>
      </c>
      <c r="RHR105" s="1051"/>
      <c r="RHS105" s="1051"/>
      <c r="RHT105" s="1056"/>
      <c r="RHU105" s="1157">
        <f t="shared" ref="RHU105" si="3101">RHT102</f>
        <v>0</v>
      </c>
      <c r="RHV105" s="1051"/>
      <c r="RHW105" s="1051"/>
      <c r="RHX105" s="1056"/>
      <c r="RHY105" s="1157">
        <f t="shared" ref="RHY105" si="3102">RHX102</f>
        <v>0</v>
      </c>
      <c r="RHZ105" s="1051"/>
      <c r="RIA105" s="1051"/>
      <c r="RIB105" s="1056"/>
      <c r="RIC105" s="1157">
        <f t="shared" ref="RIC105" si="3103">RIB102</f>
        <v>0</v>
      </c>
      <c r="RID105" s="1051"/>
      <c r="RIE105" s="1051"/>
      <c r="RIF105" s="1056"/>
      <c r="RIG105" s="1157">
        <f t="shared" ref="RIG105" si="3104">RIF102</f>
        <v>0</v>
      </c>
      <c r="RIH105" s="1051"/>
      <c r="RII105" s="1051"/>
      <c r="RIJ105" s="1056"/>
      <c r="RIK105" s="1157">
        <f t="shared" ref="RIK105" si="3105">RIJ102</f>
        <v>0</v>
      </c>
      <c r="RIL105" s="1051"/>
      <c r="RIM105" s="1051"/>
      <c r="RIN105" s="1056"/>
      <c r="RIO105" s="1157">
        <f t="shared" ref="RIO105" si="3106">RIN102</f>
        <v>0</v>
      </c>
      <c r="RIP105" s="1051"/>
      <c r="RIQ105" s="1051"/>
      <c r="RIR105" s="1056"/>
      <c r="RIS105" s="1157">
        <f t="shared" ref="RIS105" si="3107">RIR102</f>
        <v>0</v>
      </c>
      <c r="RIT105" s="1051"/>
      <c r="RIU105" s="1051"/>
      <c r="RIV105" s="1056"/>
      <c r="RIW105" s="1157">
        <f t="shared" ref="RIW105" si="3108">RIV102</f>
        <v>0</v>
      </c>
      <c r="RIX105" s="1051"/>
      <c r="RIY105" s="1051"/>
      <c r="RIZ105" s="1056"/>
      <c r="RJA105" s="1157">
        <f t="shared" ref="RJA105" si="3109">RIZ102</f>
        <v>0</v>
      </c>
      <c r="RJB105" s="1051"/>
      <c r="RJC105" s="1051"/>
      <c r="RJD105" s="1056"/>
      <c r="RJE105" s="1157">
        <f t="shared" ref="RJE105" si="3110">RJD102</f>
        <v>0</v>
      </c>
      <c r="RJF105" s="1051"/>
      <c r="RJG105" s="1051"/>
      <c r="RJH105" s="1056"/>
      <c r="RJI105" s="1157">
        <f t="shared" ref="RJI105" si="3111">RJH102</f>
        <v>0</v>
      </c>
      <c r="RJJ105" s="1051"/>
      <c r="RJK105" s="1051"/>
      <c r="RJL105" s="1056"/>
      <c r="RJM105" s="1157">
        <f t="shared" ref="RJM105" si="3112">RJL102</f>
        <v>0</v>
      </c>
      <c r="RJN105" s="1051"/>
      <c r="RJO105" s="1051"/>
      <c r="RJP105" s="1056"/>
      <c r="RJQ105" s="1157">
        <f t="shared" ref="RJQ105" si="3113">RJP102</f>
        <v>0</v>
      </c>
      <c r="RJR105" s="1051"/>
      <c r="RJS105" s="1051"/>
      <c r="RJT105" s="1056"/>
      <c r="RJU105" s="1157">
        <f t="shared" ref="RJU105" si="3114">RJT102</f>
        <v>0</v>
      </c>
      <c r="RJV105" s="1051"/>
      <c r="RJW105" s="1051"/>
      <c r="RJX105" s="1056"/>
      <c r="RJY105" s="1157">
        <f t="shared" ref="RJY105" si="3115">RJX102</f>
        <v>0</v>
      </c>
      <c r="RJZ105" s="1051"/>
      <c r="RKA105" s="1051"/>
      <c r="RKB105" s="1056"/>
      <c r="RKC105" s="1157">
        <f t="shared" ref="RKC105" si="3116">RKB102</f>
        <v>0</v>
      </c>
      <c r="RKD105" s="1051"/>
      <c r="RKE105" s="1051"/>
      <c r="RKF105" s="1056"/>
      <c r="RKG105" s="1157">
        <f t="shared" ref="RKG105" si="3117">RKF102</f>
        <v>0</v>
      </c>
      <c r="RKH105" s="1051"/>
      <c r="RKI105" s="1051"/>
      <c r="RKJ105" s="1056"/>
      <c r="RKK105" s="1157">
        <f t="shared" ref="RKK105" si="3118">RKJ102</f>
        <v>0</v>
      </c>
      <c r="RKL105" s="1051"/>
      <c r="RKM105" s="1051"/>
      <c r="RKN105" s="1056"/>
      <c r="RKO105" s="1157">
        <f t="shared" ref="RKO105" si="3119">RKN102</f>
        <v>0</v>
      </c>
      <c r="RKP105" s="1051"/>
      <c r="RKQ105" s="1051"/>
      <c r="RKR105" s="1056"/>
      <c r="RKS105" s="1157">
        <f t="shared" ref="RKS105" si="3120">RKR102</f>
        <v>0</v>
      </c>
      <c r="RKT105" s="1051"/>
      <c r="RKU105" s="1051"/>
      <c r="RKV105" s="1056"/>
      <c r="RKW105" s="1157">
        <f t="shared" ref="RKW105" si="3121">RKV102</f>
        <v>0</v>
      </c>
      <c r="RKX105" s="1051"/>
      <c r="RKY105" s="1051"/>
      <c r="RKZ105" s="1056"/>
      <c r="RLA105" s="1157">
        <f t="shared" ref="RLA105" si="3122">RKZ102</f>
        <v>0</v>
      </c>
      <c r="RLB105" s="1051"/>
      <c r="RLC105" s="1051"/>
      <c r="RLD105" s="1056"/>
      <c r="RLE105" s="1157">
        <f t="shared" ref="RLE105" si="3123">RLD102</f>
        <v>0</v>
      </c>
      <c r="RLF105" s="1051"/>
      <c r="RLG105" s="1051"/>
      <c r="RLH105" s="1056"/>
      <c r="RLI105" s="1157">
        <f t="shared" ref="RLI105" si="3124">RLH102</f>
        <v>0</v>
      </c>
      <c r="RLJ105" s="1051"/>
      <c r="RLK105" s="1051"/>
      <c r="RLL105" s="1056"/>
      <c r="RLM105" s="1157">
        <f t="shared" ref="RLM105" si="3125">RLL102</f>
        <v>0</v>
      </c>
      <c r="RLN105" s="1051"/>
      <c r="RLO105" s="1051"/>
      <c r="RLP105" s="1056"/>
      <c r="RLQ105" s="1157">
        <f t="shared" ref="RLQ105" si="3126">RLP102</f>
        <v>0</v>
      </c>
      <c r="RLR105" s="1051"/>
      <c r="RLS105" s="1051"/>
      <c r="RLT105" s="1056"/>
      <c r="RLU105" s="1157">
        <f t="shared" ref="RLU105" si="3127">RLT102</f>
        <v>0</v>
      </c>
      <c r="RLV105" s="1051"/>
      <c r="RLW105" s="1051"/>
      <c r="RLX105" s="1056"/>
      <c r="RLY105" s="1157">
        <f t="shared" ref="RLY105" si="3128">RLX102</f>
        <v>0</v>
      </c>
      <c r="RLZ105" s="1051"/>
      <c r="RMA105" s="1051"/>
      <c r="RMB105" s="1056"/>
      <c r="RMC105" s="1157">
        <f t="shared" ref="RMC105" si="3129">RMB102</f>
        <v>0</v>
      </c>
      <c r="RMD105" s="1051"/>
      <c r="RME105" s="1051"/>
      <c r="RMF105" s="1056"/>
      <c r="RMG105" s="1157">
        <f t="shared" ref="RMG105" si="3130">RMF102</f>
        <v>0</v>
      </c>
      <c r="RMH105" s="1051"/>
      <c r="RMI105" s="1051"/>
      <c r="RMJ105" s="1056"/>
      <c r="RMK105" s="1157">
        <f t="shared" ref="RMK105" si="3131">RMJ102</f>
        <v>0</v>
      </c>
      <c r="RML105" s="1051"/>
      <c r="RMM105" s="1051"/>
      <c r="RMN105" s="1056"/>
      <c r="RMO105" s="1157">
        <f t="shared" ref="RMO105" si="3132">RMN102</f>
        <v>0</v>
      </c>
      <c r="RMP105" s="1051"/>
      <c r="RMQ105" s="1051"/>
      <c r="RMR105" s="1056"/>
      <c r="RMS105" s="1157">
        <f t="shared" ref="RMS105" si="3133">RMR102</f>
        <v>0</v>
      </c>
      <c r="RMT105" s="1051"/>
      <c r="RMU105" s="1051"/>
      <c r="RMV105" s="1056"/>
      <c r="RMW105" s="1157">
        <f t="shared" ref="RMW105" si="3134">RMV102</f>
        <v>0</v>
      </c>
      <c r="RMX105" s="1051"/>
      <c r="RMY105" s="1051"/>
      <c r="RMZ105" s="1056"/>
      <c r="RNA105" s="1157">
        <f t="shared" ref="RNA105" si="3135">RMZ102</f>
        <v>0</v>
      </c>
      <c r="RNB105" s="1051"/>
      <c r="RNC105" s="1051"/>
      <c r="RND105" s="1056"/>
      <c r="RNE105" s="1157">
        <f t="shared" ref="RNE105" si="3136">RND102</f>
        <v>0</v>
      </c>
      <c r="RNF105" s="1051"/>
      <c r="RNG105" s="1051"/>
      <c r="RNH105" s="1056"/>
      <c r="RNI105" s="1157">
        <f t="shared" ref="RNI105" si="3137">RNH102</f>
        <v>0</v>
      </c>
      <c r="RNJ105" s="1051"/>
      <c r="RNK105" s="1051"/>
      <c r="RNL105" s="1056"/>
      <c r="RNM105" s="1157">
        <f t="shared" ref="RNM105" si="3138">RNL102</f>
        <v>0</v>
      </c>
      <c r="RNN105" s="1051"/>
      <c r="RNO105" s="1051"/>
      <c r="RNP105" s="1056"/>
      <c r="RNQ105" s="1157">
        <f t="shared" ref="RNQ105" si="3139">RNP102</f>
        <v>0</v>
      </c>
      <c r="RNR105" s="1051"/>
      <c r="RNS105" s="1051"/>
      <c r="RNT105" s="1056"/>
      <c r="RNU105" s="1157">
        <f t="shared" ref="RNU105" si="3140">RNT102</f>
        <v>0</v>
      </c>
      <c r="RNV105" s="1051"/>
      <c r="RNW105" s="1051"/>
      <c r="RNX105" s="1056"/>
      <c r="RNY105" s="1157">
        <f t="shared" ref="RNY105" si="3141">RNX102</f>
        <v>0</v>
      </c>
      <c r="RNZ105" s="1051"/>
      <c r="ROA105" s="1051"/>
      <c r="ROB105" s="1056"/>
      <c r="ROC105" s="1157">
        <f t="shared" ref="ROC105" si="3142">ROB102</f>
        <v>0</v>
      </c>
      <c r="ROD105" s="1051"/>
      <c r="ROE105" s="1051"/>
      <c r="ROF105" s="1056"/>
      <c r="ROG105" s="1157">
        <f t="shared" ref="ROG105" si="3143">ROF102</f>
        <v>0</v>
      </c>
      <c r="ROH105" s="1051"/>
      <c r="ROI105" s="1051"/>
      <c r="ROJ105" s="1056"/>
      <c r="ROK105" s="1157">
        <f t="shared" ref="ROK105" si="3144">ROJ102</f>
        <v>0</v>
      </c>
      <c r="ROL105" s="1051"/>
      <c r="ROM105" s="1051"/>
      <c r="RON105" s="1056"/>
      <c r="ROO105" s="1157">
        <f t="shared" ref="ROO105" si="3145">RON102</f>
        <v>0</v>
      </c>
      <c r="ROP105" s="1051"/>
      <c r="ROQ105" s="1051"/>
      <c r="ROR105" s="1056"/>
      <c r="ROS105" s="1157">
        <f t="shared" ref="ROS105" si="3146">ROR102</f>
        <v>0</v>
      </c>
      <c r="ROT105" s="1051"/>
      <c r="ROU105" s="1051"/>
      <c r="ROV105" s="1056"/>
      <c r="ROW105" s="1157">
        <f t="shared" ref="ROW105" si="3147">ROV102</f>
        <v>0</v>
      </c>
      <c r="ROX105" s="1051"/>
      <c r="ROY105" s="1051"/>
      <c r="ROZ105" s="1056"/>
      <c r="RPA105" s="1157">
        <f t="shared" ref="RPA105" si="3148">ROZ102</f>
        <v>0</v>
      </c>
      <c r="RPB105" s="1051"/>
      <c r="RPC105" s="1051"/>
      <c r="RPD105" s="1056"/>
      <c r="RPE105" s="1157">
        <f t="shared" ref="RPE105" si="3149">RPD102</f>
        <v>0</v>
      </c>
      <c r="RPF105" s="1051"/>
      <c r="RPG105" s="1051"/>
      <c r="RPH105" s="1056"/>
      <c r="RPI105" s="1157">
        <f t="shared" ref="RPI105" si="3150">RPH102</f>
        <v>0</v>
      </c>
      <c r="RPJ105" s="1051"/>
      <c r="RPK105" s="1051"/>
      <c r="RPL105" s="1056"/>
      <c r="RPM105" s="1157">
        <f t="shared" ref="RPM105" si="3151">RPL102</f>
        <v>0</v>
      </c>
      <c r="RPN105" s="1051"/>
      <c r="RPO105" s="1051"/>
      <c r="RPP105" s="1056"/>
      <c r="RPQ105" s="1157">
        <f t="shared" ref="RPQ105" si="3152">RPP102</f>
        <v>0</v>
      </c>
      <c r="RPR105" s="1051"/>
      <c r="RPS105" s="1051"/>
      <c r="RPT105" s="1056"/>
      <c r="RPU105" s="1157">
        <f t="shared" ref="RPU105" si="3153">RPT102</f>
        <v>0</v>
      </c>
      <c r="RPV105" s="1051"/>
      <c r="RPW105" s="1051"/>
      <c r="RPX105" s="1056"/>
      <c r="RPY105" s="1157">
        <f t="shared" ref="RPY105" si="3154">RPX102</f>
        <v>0</v>
      </c>
      <c r="RPZ105" s="1051"/>
      <c r="RQA105" s="1051"/>
      <c r="RQB105" s="1056"/>
      <c r="RQC105" s="1157">
        <f t="shared" ref="RQC105" si="3155">RQB102</f>
        <v>0</v>
      </c>
      <c r="RQD105" s="1051"/>
      <c r="RQE105" s="1051"/>
      <c r="RQF105" s="1056"/>
      <c r="RQG105" s="1157">
        <f t="shared" ref="RQG105" si="3156">RQF102</f>
        <v>0</v>
      </c>
      <c r="RQH105" s="1051"/>
      <c r="RQI105" s="1051"/>
      <c r="RQJ105" s="1056"/>
      <c r="RQK105" s="1157">
        <f t="shared" ref="RQK105" si="3157">RQJ102</f>
        <v>0</v>
      </c>
      <c r="RQL105" s="1051"/>
      <c r="RQM105" s="1051"/>
      <c r="RQN105" s="1056"/>
      <c r="RQO105" s="1157">
        <f t="shared" ref="RQO105" si="3158">RQN102</f>
        <v>0</v>
      </c>
      <c r="RQP105" s="1051"/>
      <c r="RQQ105" s="1051"/>
      <c r="RQR105" s="1056"/>
      <c r="RQS105" s="1157">
        <f t="shared" ref="RQS105" si="3159">RQR102</f>
        <v>0</v>
      </c>
      <c r="RQT105" s="1051"/>
      <c r="RQU105" s="1051"/>
      <c r="RQV105" s="1056"/>
      <c r="RQW105" s="1157">
        <f t="shared" ref="RQW105" si="3160">RQV102</f>
        <v>0</v>
      </c>
      <c r="RQX105" s="1051"/>
      <c r="RQY105" s="1051"/>
      <c r="RQZ105" s="1056"/>
      <c r="RRA105" s="1157">
        <f t="shared" ref="RRA105" si="3161">RQZ102</f>
        <v>0</v>
      </c>
      <c r="RRB105" s="1051"/>
      <c r="RRC105" s="1051"/>
      <c r="RRD105" s="1056"/>
      <c r="RRE105" s="1157">
        <f t="shared" ref="RRE105" si="3162">RRD102</f>
        <v>0</v>
      </c>
      <c r="RRF105" s="1051"/>
      <c r="RRG105" s="1051"/>
      <c r="RRH105" s="1056"/>
      <c r="RRI105" s="1157">
        <f t="shared" ref="RRI105" si="3163">RRH102</f>
        <v>0</v>
      </c>
      <c r="RRJ105" s="1051"/>
      <c r="RRK105" s="1051"/>
      <c r="RRL105" s="1056"/>
      <c r="RRM105" s="1157">
        <f t="shared" ref="RRM105" si="3164">RRL102</f>
        <v>0</v>
      </c>
      <c r="RRN105" s="1051"/>
      <c r="RRO105" s="1051"/>
      <c r="RRP105" s="1056"/>
      <c r="RRQ105" s="1157">
        <f t="shared" ref="RRQ105" si="3165">RRP102</f>
        <v>0</v>
      </c>
      <c r="RRR105" s="1051"/>
      <c r="RRS105" s="1051"/>
      <c r="RRT105" s="1056"/>
      <c r="RRU105" s="1157">
        <f t="shared" ref="RRU105" si="3166">RRT102</f>
        <v>0</v>
      </c>
      <c r="RRV105" s="1051"/>
      <c r="RRW105" s="1051"/>
      <c r="RRX105" s="1056"/>
      <c r="RRY105" s="1157">
        <f t="shared" ref="RRY105" si="3167">RRX102</f>
        <v>0</v>
      </c>
      <c r="RRZ105" s="1051"/>
      <c r="RSA105" s="1051"/>
      <c r="RSB105" s="1056"/>
      <c r="RSC105" s="1157">
        <f t="shared" ref="RSC105" si="3168">RSB102</f>
        <v>0</v>
      </c>
      <c r="RSD105" s="1051"/>
      <c r="RSE105" s="1051"/>
      <c r="RSF105" s="1056"/>
      <c r="RSG105" s="1157">
        <f t="shared" ref="RSG105" si="3169">RSF102</f>
        <v>0</v>
      </c>
      <c r="RSH105" s="1051"/>
      <c r="RSI105" s="1051"/>
      <c r="RSJ105" s="1056"/>
      <c r="RSK105" s="1157">
        <f t="shared" ref="RSK105" si="3170">RSJ102</f>
        <v>0</v>
      </c>
      <c r="RSL105" s="1051"/>
      <c r="RSM105" s="1051"/>
      <c r="RSN105" s="1056"/>
      <c r="RSO105" s="1157">
        <f t="shared" ref="RSO105" si="3171">RSN102</f>
        <v>0</v>
      </c>
      <c r="RSP105" s="1051"/>
      <c r="RSQ105" s="1051"/>
      <c r="RSR105" s="1056"/>
      <c r="RSS105" s="1157">
        <f t="shared" ref="RSS105" si="3172">RSR102</f>
        <v>0</v>
      </c>
      <c r="RST105" s="1051"/>
      <c r="RSU105" s="1051"/>
      <c r="RSV105" s="1056"/>
      <c r="RSW105" s="1157">
        <f t="shared" ref="RSW105" si="3173">RSV102</f>
        <v>0</v>
      </c>
      <c r="RSX105" s="1051"/>
      <c r="RSY105" s="1051"/>
      <c r="RSZ105" s="1056"/>
      <c r="RTA105" s="1157">
        <f t="shared" ref="RTA105" si="3174">RSZ102</f>
        <v>0</v>
      </c>
      <c r="RTB105" s="1051"/>
      <c r="RTC105" s="1051"/>
      <c r="RTD105" s="1056"/>
      <c r="RTE105" s="1157">
        <f t="shared" ref="RTE105" si="3175">RTD102</f>
        <v>0</v>
      </c>
      <c r="RTF105" s="1051"/>
      <c r="RTG105" s="1051"/>
      <c r="RTH105" s="1056"/>
      <c r="RTI105" s="1157">
        <f t="shared" ref="RTI105" si="3176">RTH102</f>
        <v>0</v>
      </c>
      <c r="RTJ105" s="1051"/>
      <c r="RTK105" s="1051"/>
      <c r="RTL105" s="1056"/>
      <c r="RTM105" s="1157">
        <f t="shared" ref="RTM105" si="3177">RTL102</f>
        <v>0</v>
      </c>
      <c r="RTN105" s="1051"/>
      <c r="RTO105" s="1051"/>
      <c r="RTP105" s="1056"/>
      <c r="RTQ105" s="1157">
        <f t="shared" ref="RTQ105" si="3178">RTP102</f>
        <v>0</v>
      </c>
      <c r="RTR105" s="1051"/>
      <c r="RTS105" s="1051"/>
      <c r="RTT105" s="1056"/>
      <c r="RTU105" s="1157">
        <f t="shared" ref="RTU105" si="3179">RTT102</f>
        <v>0</v>
      </c>
      <c r="RTV105" s="1051"/>
      <c r="RTW105" s="1051"/>
      <c r="RTX105" s="1056"/>
      <c r="RTY105" s="1157">
        <f t="shared" ref="RTY105" si="3180">RTX102</f>
        <v>0</v>
      </c>
      <c r="RTZ105" s="1051"/>
      <c r="RUA105" s="1051"/>
      <c r="RUB105" s="1056"/>
      <c r="RUC105" s="1157">
        <f t="shared" ref="RUC105" si="3181">RUB102</f>
        <v>0</v>
      </c>
      <c r="RUD105" s="1051"/>
      <c r="RUE105" s="1051"/>
      <c r="RUF105" s="1056"/>
      <c r="RUG105" s="1157">
        <f t="shared" ref="RUG105" si="3182">RUF102</f>
        <v>0</v>
      </c>
      <c r="RUH105" s="1051"/>
      <c r="RUI105" s="1051"/>
      <c r="RUJ105" s="1056"/>
      <c r="RUK105" s="1157">
        <f t="shared" ref="RUK105" si="3183">RUJ102</f>
        <v>0</v>
      </c>
      <c r="RUL105" s="1051"/>
      <c r="RUM105" s="1051"/>
      <c r="RUN105" s="1056"/>
      <c r="RUO105" s="1157">
        <f t="shared" ref="RUO105" si="3184">RUN102</f>
        <v>0</v>
      </c>
      <c r="RUP105" s="1051"/>
      <c r="RUQ105" s="1051"/>
      <c r="RUR105" s="1056"/>
      <c r="RUS105" s="1157">
        <f t="shared" ref="RUS105" si="3185">RUR102</f>
        <v>0</v>
      </c>
      <c r="RUT105" s="1051"/>
      <c r="RUU105" s="1051"/>
      <c r="RUV105" s="1056"/>
      <c r="RUW105" s="1157">
        <f t="shared" ref="RUW105" si="3186">RUV102</f>
        <v>0</v>
      </c>
      <c r="RUX105" s="1051"/>
      <c r="RUY105" s="1051"/>
      <c r="RUZ105" s="1056"/>
      <c r="RVA105" s="1157">
        <f t="shared" ref="RVA105" si="3187">RUZ102</f>
        <v>0</v>
      </c>
      <c r="RVB105" s="1051"/>
      <c r="RVC105" s="1051"/>
      <c r="RVD105" s="1056"/>
      <c r="RVE105" s="1157">
        <f t="shared" ref="RVE105" si="3188">RVD102</f>
        <v>0</v>
      </c>
      <c r="RVF105" s="1051"/>
      <c r="RVG105" s="1051"/>
      <c r="RVH105" s="1056"/>
      <c r="RVI105" s="1157">
        <f t="shared" ref="RVI105" si="3189">RVH102</f>
        <v>0</v>
      </c>
      <c r="RVJ105" s="1051"/>
      <c r="RVK105" s="1051"/>
      <c r="RVL105" s="1056"/>
      <c r="RVM105" s="1157">
        <f t="shared" ref="RVM105" si="3190">RVL102</f>
        <v>0</v>
      </c>
      <c r="RVN105" s="1051"/>
      <c r="RVO105" s="1051"/>
      <c r="RVP105" s="1056"/>
      <c r="RVQ105" s="1157">
        <f t="shared" ref="RVQ105" si="3191">RVP102</f>
        <v>0</v>
      </c>
      <c r="RVR105" s="1051"/>
      <c r="RVS105" s="1051"/>
      <c r="RVT105" s="1056"/>
      <c r="RVU105" s="1157">
        <f t="shared" ref="RVU105" si="3192">RVT102</f>
        <v>0</v>
      </c>
      <c r="RVV105" s="1051"/>
      <c r="RVW105" s="1051"/>
      <c r="RVX105" s="1056"/>
      <c r="RVY105" s="1157">
        <f t="shared" ref="RVY105" si="3193">RVX102</f>
        <v>0</v>
      </c>
      <c r="RVZ105" s="1051"/>
      <c r="RWA105" s="1051"/>
      <c r="RWB105" s="1056"/>
      <c r="RWC105" s="1157">
        <f t="shared" ref="RWC105" si="3194">RWB102</f>
        <v>0</v>
      </c>
      <c r="RWD105" s="1051"/>
      <c r="RWE105" s="1051"/>
      <c r="RWF105" s="1056"/>
      <c r="RWG105" s="1157">
        <f t="shared" ref="RWG105" si="3195">RWF102</f>
        <v>0</v>
      </c>
      <c r="RWH105" s="1051"/>
      <c r="RWI105" s="1051"/>
      <c r="RWJ105" s="1056"/>
      <c r="RWK105" s="1157">
        <f t="shared" ref="RWK105" si="3196">RWJ102</f>
        <v>0</v>
      </c>
      <c r="RWL105" s="1051"/>
      <c r="RWM105" s="1051"/>
      <c r="RWN105" s="1056"/>
      <c r="RWO105" s="1157">
        <f t="shared" ref="RWO105" si="3197">RWN102</f>
        <v>0</v>
      </c>
      <c r="RWP105" s="1051"/>
      <c r="RWQ105" s="1051"/>
      <c r="RWR105" s="1056"/>
      <c r="RWS105" s="1157">
        <f t="shared" ref="RWS105" si="3198">RWR102</f>
        <v>0</v>
      </c>
      <c r="RWT105" s="1051"/>
      <c r="RWU105" s="1051"/>
      <c r="RWV105" s="1056"/>
      <c r="RWW105" s="1157">
        <f t="shared" ref="RWW105" si="3199">RWV102</f>
        <v>0</v>
      </c>
      <c r="RWX105" s="1051"/>
      <c r="RWY105" s="1051"/>
      <c r="RWZ105" s="1056"/>
      <c r="RXA105" s="1157">
        <f t="shared" ref="RXA105" si="3200">RWZ102</f>
        <v>0</v>
      </c>
      <c r="RXB105" s="1051"/>
      <c r="RXC105" s="1051"/>
      <c r="RXD105" s="1056"/>
      <c r="RXE105" s="1157">
        <f t="shared" ref="RXE105" si="3201">RXD102</f>
        <v>0</v>
      </c>
      <c r="RXF105" s="1051"/>
      <c r="RXG105" s="1051"/>
      <c r="RXH105" s="1056"/>
      <c r="RXI105" s="1157">
        <f t="shared" ref="RXI105" si="3202">RXH102</f>
        <v>0</v>
      </c>
      <c r="RXJ105" s="1051"/>
      <c r="RXK105" s="1051"/>
      <c r="RXL105" s="1056"/>
      <c r="RXM105" s="1157">
        <f t="shared" ref="RXM105" si="3203">RXL102</f>
        <v>0</v>
      </c>
      <c r="RXN105" s="1051"/>
      <c r="RXO105" s="1051"/>
      <c r="RXP105" s="1056"/>
      <c r="RXQ105" s="1157">
        <f t="shared" ref="RXQ105" si="3204">RXP102</f>
        <v>0</v>
      </c>
      <c r="RXR105" s="1051"/>
      <c r="RXS105" s="1051"/>
      <c r="RXT105" s="1056"/>
      <c r="RXU105" s="1157">
        <f t="shared" ref="RXU105" si="3205">RXT102</f>
        <v>0</v>
      </c>
      <c r="RXV105" s="1051"/>
      <c r="RXW105" s="1051"/>
      <c r="RXX105" s="1056"/>
      <c r="RXY105" s="1157">
        <f t="shared" ref="RXY105" si="3206">RXX102</f>
        <v>0</v>
      </c>
      <c r="RXZ105" s="1051"/>
      <c r="RYA105" s="1051"/>
      <c r="RYB105" s="1056"/>
      <c r="RYC105" s="1157">
        <f t="shared" ref="RYC105" si="3207">RYB102</f>
        <v>0</v>
      </c>
      <c r="RYD105" s="1051"/>
      <c r="RYE105" s="1051"/>
      <c r="RYF105" s="1056"/>
      <c r="RYG105" s="1157">
        <f t="shared" ref="RYG105" si="3208">RYF102</f>
        <v>0</v>
      </c>
      <c r="RYH105" s="1051"/>
      <c r="RYI105" s="1051"/>
      <c r="RYJ105" s="1056"/>
      <c r="RYK105" s="1157">
        <f t="shared" ref="RYK105" si="3209">RYJ102</f>
        <v>0</v>
      </c>
      <c r="RYL105" s="1051"/>
      <c r="RYM105" s="1051"/>
      <c r="RYN105" s="1056"/>
      <c r="RYO105" s="1157">
        <f t="shared" ref="RYO105" si="3210">RYN102</f>
        <v>0</v>
      </c>
      <c r="RYP105" s="1051"/>
      <c r="RYQ105" s="1051"/>
      <c r="RYR105" s="1056"/>
      <c r="RYS105" s="1157">
        <f t="shared" ref="RYS105" si="3211">RYR102</f>
        <v>0</v>
      </c>
      <c r="RYT105" s="1051"/>
      <c r="RYU105" s="1051"/>
      <c r="RYV105" s="1056"/>
      <c r="RYW105" s="1157">
        <f t="shared" ref="RYW105" si="3212">RYV102</f>
        <v>0</v>
      </c>
      <c r="RYX105" s="1051"/>
      <c r="RYY105" s="1051"/>
      <c r="RYZ105" s="1056"/>
      <c r="RZA105" s="1157">
        <f t="shared" ref="RZA105" si="3213">RYZ102</f>
        <v>0</v>
      </c>
      <c r="RZB105" s="1051"/>
      <c r="RZC105" s="1051"/>
      <c r="RZD105" s="1056"/>
      <c r="RZE105" s="1157">
        <f t="shared" ref="RZE105" si="3214">RZD102</f>
        <v>0</v>
      </c>
      <c r="RZF105" s="1051"/>
      <c r="RZG105" s="1051"/>
      <c r="RZH105" s="1056"/>
      <c r="RZI105" s="1157">
        <f t="shared" ref="RZI105" si="3215">RZH102</f>
        <v>0</v>
      </c>
      <c r="RZJ105" s="1051"/>
      <c r="RZK105" s="1051"/>
      <c r="RZL105" s="1056"/>
      <c r="RZM105" s="1157">
        <f t="shared" ref="RZM105" si="3216">RZL102</f>
        <v>0</v>
      </c>
      <c r="RZN105" s="1051"/>
      <c r="RZO105" s="1051"/>
      <c r="RZP105" s="1056"/>
      <c r="RZQ105" s="1157">
        <f t="shared" ref="RZQ105" si="3217">RZP102</f>
        <v>0</v>
      </c>
      <c r="RZR105" s="1051"/>
      <c r="RZS105" s="1051"/>
      <c r="RZT105" s="1056"/>
      <c r="RZU105" s="1157">
        <f t="shared" ref="RZU105" si="3218">RZT102</f>
        <v>0</v>
      </c>
      <c r="RZV105" s="1051"/>
      <c r="RZW105" s="1051"/>
      <c r="RZX105" s="1056"/>
      <c r="RZY105" s="1157">
        <f t="shared" ref="RZY105" si="3219">RZX102</f>
        <v>0</v>
      </c>
      <c r="RZZ105" s="1051"/>
      <c r="SAA105" s="1051"/>
      <c r="SAB105" s="1056"/>
      <c r="SAC105" s="1157">
        <f t="shared" ref="SAC105" si="3220">SAB102</f>
        <v>0</v>
      </c>
      <c r="SAD105" s="1051"/>
      <c r="SAE105" s="1051"/>
      <c r="SAF105" s="1056"/>
      <c r="SAG105" s="1157">
        <f t="shared" ref="SAG105" si="3221">SAF102</f>
        <v>0</v>
      </c>
      <c r="SAH105" s="1051"/>
      <c r="SAI105" s="1051"/>
      <c r="SAJ105" s="1056"/>
      <c r="SAK105" s="1157">
        <f t="shared" ref="SAK105" si="3222">SAJ102</f>
        <v>0</v>
      </c>
      <c r="SAL105" s="1051"/>
      <c r="SAM105" s="1051"/>
      <c r="SAN105" s="1056"/>
      <c r="SAO105" s="1157">
        <f t="shared" ref="SAO105" si="3223">SAN102</f>
        <v>0</v>
      </c>
      <c r="SAP105" s="1051"/>
      <c r="SAQ105" s="1051"/>
      <c r="SAR105" s="1056"/>
      <c r="SAS105" s="1157">
        <f t="shared" ref="SAS105" si="3224">SAR102</f>
        <v>0</v>
      </c>
      <c r="SAT105" s="1051"/>
      <c r="SAU105" s="1051"/>
      <c r="SAV105" s="1056"/>
      <c r="SAW105" s="1157">
        <f t="shared" ref="SAW105" si="3225">SAV102</f>
        <v>0</v>
      </c>
      <c r="SAX105" s="1051"/>
      <c r="SAY105" s="1051"/>
      <c r="SAZ105" s="1056"/>
      <c r="SBA105" s="1157">
        <f t="shared" ref="SBA105" si="3226">SAZ102</f>
        <v>0</v>
      </c>
      <c r="SBB105" s="1051"/>
      <c r="SBC105" s="1051"/>
      <c r="SBD105" s="1056"/>
      <c r="SBE105" s="1157">
        <f t="shared" ref="SBE105" si="3227">SBD102</f>
        <v>0</v>
      </c>
      <c r="SBF105" s="1051"/>
      <c r="SBG105" s="1051"/>
      <c r="SBH105" s="1056"/>
      <c r="SBI105" s="1157">
        <f t="shared" ref="SBI105" si="3228">SBH102</f>
        <v>0</v>
      </c>
      <c r="SBJ105" s="1051"/>
      <c r="SBK105" s="1051"/>
      <c r="SBL105" s="1056"/>
      <c r="SBM105" s="1157">
        <f t="shared" ref="SBM105" si="3229">SBL102</f>
        <v>0</v>
      </c>
      <c r="SBN105" s="1051"/>
      <c r="SBO105" s="1051"/>
      <c r="SBP105" s="1056"/>
      <c r="SBQ105" s="1157">
        <f t="shared" ref="SBQ105" si="3230">SBP102</f>
        <v>0</v>
      </c>
      <c r="SBR105" s="1051"/>
      <c r="SBS105" s="1051"/>
      <c r="SBT105" s="1056"/>
      <c r="SBU105" s="1157">
        <f t="shared" ref="SBU105" si="3231">SBT102</f>
        <v>0</v>
      </c>
      <c r="SBV105" s="1051"/>
      <c r="SBW105" s="1051"/>
      <c r="SBX105" s="1056"/>
      <c r="SBY105" s="1157">
        <f t="shared" ref="SBY105" si="3232">SBX102</f>
        <v>0</v>
      </c>
      <c r="SBZ105" s="1051"/>
      <c r="SCA105" s="1051"/>
      <c r="SCB105" s="1056"/>
      <c r="SCC105" s="1157">
        <f t="shared" ref="SCC105" si="3233">SCB102</f>
        <v>0</v>
      </c>
      <c r="SCD105" s="1051"/>
      <c r="SCE105" s="1051"/>
      <c r="SCF105" s="1056"/>
      <c r="SCG105" s="1157">
        <f t="shared" ref="SCG105" si="3234">SCF102</f>
        <v>0</v>
      </c>
      <c r="SCH105" s="1051"/>
      <c r="SCI105" s="1051"/>
      <c r="SCJ105" s="1056"/>
      <c r="SCK105" s="1157">
        <f t="shared" ref="SCK105" si="3235">SCJ102</f>
        <v>0</v>
      </c>
      <c r="SCL105" s="1051"/>
      <c r="SCM105" s="1051"/>
      <c r="SCN105" s="1056"/>
      <c r="SCO105" s="1157">
        <f t="shared" ref="SCO105" si="3236">SCN102</f>
        <v>0</v>
      </c>
      <c r="SCP105" s="1051"/>
      <c r="SCQ105" s="1051"/>
      <c r="SCR105" s="1056"/>
      <c r="SCS105" s="1157">
        <f t="shared" ref="SCS105" si="3237">SCR102</f>
        <v>0</v>
      </c>
      <c r="SCT105" s="1051"/>
      <c r="SCU105" s="1051"/>
      <c r="SCV105" s="1056"/>
      <c r="SCW105" s="1157">
        <f t="shared" ref="SCW105" si="3238">SCV102</f>
        <v>0</v>
      </c>
      <c r="SCX105" s="1051"/>
      <c r="SCY105" s="1051"/>
      <c r="SCZ105" s="1056"/>
      <c r="SDA105" s="1157">
        <f t="shared" ref="SDA105" si="3239">SCZ102</f>
        <v>0</v>
      </c>
      <c r="SDB105" s="1051"/>
      <c r="SDC105" s="1051"/>
      <c r="SDD105" s="1056"/>
      <c r="SDE105" s="1157">
        <f t="shared" ref="SDE105" si="3240">SDD102</f>
        <v>0</v>
      </c>
      <c r="SDF105" s="1051"/>
      <c r="SDG105" s="1051"/>
      <c r="SDH105" s="1056"/>
      <c r="SDI105" s="1157">
        <f t="shared" ref="SDI105" si="3241">SDH102</f>
        <v>0</v>
      </c>
      <c r="SDJ105" s="1051"/>
      <c r="SDK105" s="1051"/>
      <c r="SDL105" s="1056"/>
      <c r="SDM105" s="1157">
        <f t="shared" ref="SDM105" si="3242">SDL102</f>
        <v>0</v>
      </c>
      <c r="SDN105" s="1051"/>
      <c r="SDO105" s="1051"/>
      <c r="SDP105" s="1056"/>
      <c r="SDQ105" s="1157">
        <f t="shared" ref="SDQ105" si="3243">SDP102</f>
        <v>0</v>
      </c>
      <c r="SDR105" s="1051"/>
      <c r="SDS105" s="1051"/>
      <c r="SDT105" s="1056"/>
      <c r="SDU105" s="1157">
        <f t="shared" ref="SDU105" si="3244">SDT102</f>
        <v>0</v>
      </c>
      <c r="SDV105" s="1051"/>
      <c r="SDW105" s="1051"/>
      <c r="SDX105" s="1056"/>
      <c r="SDY105" s="1157">
        <f t="shared" ref="SDY105" si="3245">SDX102</f>
        <v>0</v>
      </c>
      <c r="SDZ105" s="1051"/>
      <c r="SEA105" s="1051"/>
      <c r="SEB105" s="1056"/>
      <c r="SEC105" s="1157">
        <f t="shared" ref="SEC105" si="3246">SEB102</f>
        <v>0</v>
      </c>
      <c r="SED105" s="1051"/>
      <c r="SEE105" s="1051"/>
      <c r="SEF105" s="1056"/>
      <c r="SEG105" s="1157">
        <f t="shared" ref="SEG105" si="3247">SEF102</f>
        <v>0</v>
      </c>
      <c r="SEH105" s="1051"/>
      <c r="SEI105" s="1051"/>
      <c r="SEJ105" s="1056"/>
      <c r="SEK105" s="1157">
        <f t="shared" ref="SEK105" si="3248">SEJ102</f>
        <v>0</v>
      </c>
      <c r="SEL105" s="1051"/>
      <c r="SEM105" s="1051"/>
      <c r="SEN105" s="1056"/>
      <c r="SEO105" s="1157">
        <f t="shared" ref="SEO105" si="3249">SEN102</f>
        <v>0</v>
      </c>
      <c r="SEP105" s="1051"/>
      <c r="SEQ105" s="1051"/>
      <c r="SER105" s="1056"/>
      <c r="SES105" s="1157">
        <f t="shared" ref="SES105" si="3250">SER102</f>
        <v>0</v>
      </c>
      <c r="SET105" s="1051"/>
      <c r="SEU105" s="1051"/>
      <c r="SEV105" s="1056"/>
      <c r="SEW105" s="1157">
        <f t="shared" ref="SEW105" si="3251">SEV102</f>
        <v>0</v>
      </c>
      <c r="SEX105" s="1051"/>
      <c r="SEY105" s="1051"/>
      <c r="SEZ105" s="1056"/>
      <c r="SFA105" s="1157">
        <f t="shared" ref="SFA105" si="3252">SEZ102</f>
        <v>0</v>
      </c>
      <c r="SFB105" s="1051"/>
      <c r="SFC105" s="1051"/>
      <c r="SFD105" s="1056"/>
      <c r="SFE105" s="1157">
        <f t="shared" ref="SFE105" si="3253">SFD102</f>
        <v>0</v>
      </c>
      <c r="SFF105" s="1051"/>
      <c r="SFG105" s="1051"/>
      <c r="SFH105" s="1056"/>
      <c r="SFI105" s="1157">
        <f t="shared" ref="SFI105" si="3254">SFH102</f>
        <v>0</v>
      </c>
      <c r="SFJ105" s="1051"/>
      <c r="SFK105" s="1051"/>
      <c r="SFL105" s="1056"/>
      <c r="SFM105" s="1157">
        <f t="shared" ref="SFM105" si="3255">SFL102</f>
        <v>0</v>
      </c>
      <c r="SFN105" s="1051"/>
      <c r="SFO105" s="1051"/>
      <c r="SFP105" s="1056"/>
      <c r="SFQ105" s="1157">
        <f t="shared" ref="SFQ105" si="3256">SFP102</f>
        <v>0</v>
      </c>
      <c r="SFR105" s="1051"/>
      <c r="SFS105" s="1051"/>
      <c r="SFT105" s="1056"/>
      <c r="SFU105" s="1157">
        <f t="shared" ref="SFU105" si="3257">SFT102</f>
        <v>0</v>
      </c>
      <c r="SFV105" s="1051"/>
      <c r="SFW105" s="1051"/>
      <c r="SFX105" s="1056"/>
      <c r="SFY105" s="1157">
        <f t="shared" ref="SFY105" si="3258">SFX102</f>
        <v>0</v>
      </c>
      <c r="SFZ105" s="1051"/>
      <c r="SGA105" s="1051"/>
      <c r="SGB105" s="1056"/>
      <c r="SGC105" s="1157">
        <f t="shared" ref="SGC105" si="3259">SGB102</f>
        <v>0</v>
      </c>
      <c r="SGD105" s="1051"/>
      <c r="SGE105" s="1051"/>
      <c r="SGF105" s="1056"/>
      <c r="SGG105" s="1157">
        <f t="shared" ref="SGG105" si="3260">SGF102</f>
        <v>0</v>
      </c>
      <c r="SGH105" s="1051"/>
      <c r="SGI105" s="1051"/>
      <c r="SGJ105" s="1056"/>
      <c r="SGK105" s="1157">
        <f t="shared" ref="SGK105" si="3261">SGJ102</f>
        <v>0</v>
      </c>
      <c r="SGL105" s="1051"/>
      <c r="SGM105" s="1051"/>
      <c r="SGN105" s="1056"/>
      <c r="SGO105" s="1157">
        <f t="shared" ref="SGO105" si="3262">SGN102</f>
        <v>0</v>
      </c>
      <c r="SGP105" s="1051"/>
      <c r="SGQ105" s="1051"/>
      <c r="SGR105" s="1056"/>
      <c r="SGS105" s="1157">
        <f t="shared" ref="SGS105" si="3263">SGR102</f>
        <v>0</v>
      </c>
      <c r="SGT105" s="1051"/>
      <c r="SGU105" s="1051"/>
      <c r="SGV105" s="1056"/>
      <c r="SGW105" s="1157">
        <f t="shared" ref="SGW105" si="3264">SGV102</f>
        <v>0</v>
      </c>
      <c r="SGX105" s="1051"/>
      <c r="SGY105" s="1051"/>
      <c r="SGZ105" s="1056"/>
      <c r="SHA105" s="1157">
        <f t="shared" ref="SHA105" si="3265">SGZ102</f>
        <v>0</v>
      </c>
      <c r="SHB105" s="1051"/>
      <c r="SHC105" s="1051"/>
      <c r="SHD105" s="1056"/>
      <c r="SHE105" s="1157">
        <f t="shared" ref="SHE105" si="3266">SHD102</f>
        <v>0</v>
      </c>
      <c r="SHF105" s="1051"/>
      <c r="SHG105" s="1051"/>
      <c r="SHH105" s="1056"/>
      <c r="SHI105" s="1157">
        <f t="shared" ref="SHI105" si="3267">SHH102</f>
        <v>0</v>
      </c>
      <c r="SHJ105" s="1051"/>
      <c r="SHK105" s="1051"/>
      <c r="SHL105" s="1056"/>
      <c r="SHM105" s="1157">
        <f t="shared" ref="SHM105" si="3268">SHL102</f>
        <v>0</v>
      </c>
      <c r="SHN105" s="1051"/>
      <c r="SHO105" s="1051"/>
      <c r="SHP105" s="1056"/>
      <c r="SHQ105" s="1157">
        <f t="shared" ref="SHQ105" si="3269">SHP102</f>
        <v>0</v>
      </c>
      <c r="SHR105" s="1051"/>
      <c r="SHS105" s="1051"/>
      <c r="SHT105" s="1056"/>
      <c r="SHU105" s="1157">
        <f t="shared" ref="SHU105" si="3270">SHT102</f>
        <v>0</v>
      </c>
      <c r="SHV105" s="1051"/>
      <c r="SHW105" s="1051"/>
      <c r="SHX105" s="1056"/>
      <c r="SHY105" s="1157">
        <f t="shared" ref="SHY105" si="3271">SHX102</f>
        <v>0</v>
      </c>
      <c r="SHZ105" s="1051"/>
      <c r="SIA105" s="1051"/>
      <c r="SIB105" s="1056"/>
      <c r="SIC105" s="1157">
        <f t="shared" ref="SIC105" si="3272">SIB102</f>
        <v>0</v>
      </c>
      <c r="SID105" s="1051"/>
      <c r="SIE105" s="1051"/>
      <c r="SIF105" s="1056"/>
      <c r="SIG105" s="1157">
        <f t="shared" ref="SIG105" si="3273">SIF102</f>
        <v>0</v>
      </c>
      <c r="SIH105" s="1051"/>
      <c r="SII105" s="1051"/>
      <c r="SIJ105" s="1056"/>
      <c r="SIK105" s="1157">
        <f t="shared" ref="SIK105" si="3274">SIJ102</f>
        <v>0</v>
      </c>
      <c r="SIL105" s="1051"/>
      <c r="SIM105" s="1051"/>
      <c r="SIN105" s="1056"/>
      <c r="SIO105" s="1157">
        <f t="shared" ref="SIO105" si="3275">SIN102</f>
        <v>0</v>
      </c>
      <c r="SIP105" s="1051"/>
      <c r="SIQ105" s="1051"/>
      <c r="SIR105" s="1056"/>
      <c r="SIS105" s="1157">
        <f t="shared" ref="SIS105" si="3276">SIR102</f>
        <v>0</v>
      </c>
      <c r="SIT105" s="1051"/>
      <c r="SIU105" s="1051"/>
      <c r="SIV105" s="1056"/>
      <c r="SIW105" s="1157">
        <f t="shared" ref="SIW105" si="3277">SIV102</f>
        <v>0</v>
      </c>
      <c r="SIX105" s="1051"/>
      <c r="SIY105" s="1051"/>
      <c r="SIZ105" s="1056"/>
      <c r="SJA105" s="1157">
        <f t="shared" ref="SJA105" si="3278">SIZ102</f>
        <v>0</v>
      </c>
      <c r="SJB105" s="1051"/>
      <c r="SJC105" s="1051"/>
      <c r="SJD105" s="1056"/>
      <c r="SJE105" s="1157">
        <f t="shared" ref="SJE105" si="3279">SJD102</f>
        <v>0</v>
      </c>
      <c r="SJF105" s="1051"/>
      <c r="SJG105" s="1051"/>
      <c r="SJH105" s="1056"/>
      <c r="SJI105" s="1157">
        <f t="shared" ref="SJI105" si="3280">SJH102</f>
        <v>0</v>
      </c>
      <c r="SJJ105" s="1051"/>
      <c r="SJK105" s="1051"/>
      <c r="SJL105" s="1056"/>
      <c r="SJM105" s="1157">
        <f t="shared" ref="SJM105" si="3281">SJL102</f>
        <v>0</v>
      </c>
      <c r="SJN105" s="1051"/>
      <c r="SJO105" s="1051"/>
      <c r="SJP105" s="1056"/>
      <c r="SJQ105" s="1157">
        <f t="shared" ref="SJQ105" si="3282">SJP102</f>
        <v>0</v>
      </c>
      <c r="SJR105" s="1051"/>
      <c r="SJS105" s="1051"/>
      <c r="SJT105" s="1056"/>
      <c r="SJU105" s="1157">
        <f t="shared" ref="SJU105" si="3283">SJT102</f>
        <v>0</v>
      </c>
      <c r="SJV105" s="1051"/>
      <c r="SJW105" s="1051"/>
      <c r="SJX105" s="1056"/>
      <c r="SJY105" s="1157">
        <f t="shared" ref="SJY105" si="3284">SJX102</f>
        <v>0</v>
      </c>
      <c r="SJZ105" s="1051"/>
      <c r="SKA105" s="1051"/>
      <c r="SKB105" s="1056"/>
      <c r="SKC105" s="1157">
        <f t="shared" ref="SKC105" si="3285">SKB102</f>
        <v>0</v>
      </c>
      <c r="SKD105" s="1051"/>
      <c r="SKE105" s="1051"/>
      <c r="SKF105" s="1056"/>
      <c r="SKG105" s="1157">
        <f t="shared" ref="SKG105" si="3286">SKF102</f>
        <v>0</v>
      </c>
      <c r="SKH105" s="1051"/>
      <c r="SKI105" s="1051"/>
      <c r="SKJ105" s="1056"/>
      <c r="SKK105" s="1157">
        <f t="shared" ref="SKK105" si="3287">SKJ102</f>
        <v>0</v>
      </c>
      <c r="SKL105" s="1051"/>
      <c r="SKM105" s="1051"/>
      <c r="SKN105" s="1056"/>
      <c r="SKO105" s="1157">
        <f t="shared" ref="SKO105" si="3288">SKN102</f>
        <v>0</v>
      </c>
      <c r="SKP105" s="1051"/>
      <c r="SKQ105" s="1051"/>
      <c r="SKR105" s="1056"/>
      <c r="SKS105" s="1157">
        <f t="shared" ref="SKS105" si="3289">SKR102</f>
        <v>0</v>
      </c>
      <c r="SKT105" s="1051"/>
      <c r="SKU105" s="1051"/>
      <c r="SKV105" s="1056"/>
      <c r="SKW105" s="1157">
        <f t="shared" ref="SKW105" si="3290">SKV102</f>
        <v>0</v>
      </c>
      <c r="SKX105" s="1051"/>
      <c r="SKY105" s="1051"/>
      <c r="SKZ105" s="1056"/>
      <c r="SLA105" s="1157">
        <f t="shared" ref="SLA105" si="3291">SKZ102</f>
        <v>0</v>
      </c>
      <c r="SLB105" s="1051"/>
      <c r="SLC105" s="1051"/>
      <c r="SLD105" s="1056"/>
      <c r="SLE105" s="1157">
        <f t="shared" ref="SLE105" si="3292">SLD102</f>
        <v>0</v>
      </c>
      <c r="SLF105" s="1051"/>
      <c r="SLG105" s="1051"/>
      <c r="SLH105" s="1056"/>
      <c r="SLI105" s="1157">
        <f t="shared" ref="SLI105" si="3293">SLH102</f>
        <v>0</v>
      </c>
      <c r="SLJ105" s="1051"/>
      <c r="SLK105" s="1051"/>
      <c r="SLL105" s="1056"/>
      <c r="SLM105" s="1157">
        <f t="shared" ref="SLM105" si="3294">SLL102</f>
        <v>0</v>
      </c>
      <c r="SLN105" s="1051"/>
      <c r="SLO105" s="1051"/>
      <c r="SLP105" s="1056"/>
      <c r="SLQ105" s="1157">
        <f t="shared" ref="SLQ105" si="3295">SLP102</f>
        <v>0</v>
      </c>
      <c r="SLR105" s="1051"/>
      <c r="SLS105" s="1051"/>
      <c r="SLT105" s="1056"/>
      <c r="SLU105" s="1157">
        <f t="shared" ref="SLU105" si="3296">SLT102</f>
        <v>0</v>
      </c>
      <c r="SLV105" s="1051"/>
      <c r="SLW105" s="1051"/>
      <c r="SLX105" s="1056"/>
      <c r="SLY105" s="1157">
        <f t="shared" ref="SLY105" si="3297">SLX102</f>
        <v>0</v>
      </c>
      <c r="SLZ105" s="1051"/>
      <c r="SMA105" s="1051"/>
      <c r="SMB105" s="1056"/>
      <c r="SMC105" s="1157">
        <f t="shared" ref="SMC105" si="3298">SMB102</f>
        <v>0</v>
      </c>
      <c r="SMD105" s="1051"/>
      <c r="SME105" s="1051"/>
      <c r="SMF105" s="1056"/>
      <c r="SMG105" s="1157">
        <f t="shared" ref="SMG105" si="3299">SMF102</f>
        <v>0</v>
      </c>
      <c r="SMH105" s="1051"/>
      <c r="SMI105" s="1051"/>
      <c r="SMJ105" s="1056"/>
      <c r="SMK105" s="1157">
        <f t="shared" ref="SMK105" si="3300">SMJ102</f>
        <v>0</v>
      </c>
      <c r="SML105" s="1051"/>
      <c r="SMM105" s="1051"/>
      <c r="SMN105" s="1056"/>
      <c r="SMO105" s="1157">
        <f t="shared" ref="SMO105" si="3301">SMN102</f>
        <v>0</v>
      </c>
      <c r="SMP105" s="1051"/>
      <c r="SMQ105" s="1051"/>
      <c r="SMR105" s="1056"/>
      <c r="SMS105" s="1157">
        <f t="shared" ref="SMS105" si="3302">SMR102</f>
        <v>0</v>
      </c>
      <c r="SMT105" s="1051"/>
      <c r="SMU105" s="1051"/>
      <c r="SMV105" s="1056"/>
      <c r="SMW105" s="1157">
        <f t="shared" ref="SMW105" si="3303">SMV102</f>
        <v>0</v>
      </c>
      <c r="SMX105" s="1051"/>
      <c r="SMY105" s="1051"/>
      <c r="SMZ105" s="1056"/>
      <c r="SNA105" s="1157">
        <f t="shared" ref="SNA105" si="3304">SMZ102</f>
        <v>0</v>
      </c>
      <c r="SNB105" s="1051"/>
      <c r="SNC105" s="1051"/>
      <c r="SND105" s="1056"/>
      <c r="SNE105" s="1157">
        <f t="shared" ref="SNE105" si="3305">SND102</f>
        <v>0</v>
      </c>
      <c r="SNF105" s="1051"/>
      <c r="SNG105" s="1051"/>
      <c r="SNH105" s="1056"/>
      <c r="SNI105" s="1157">
        <f t="shared" ref="SNI105" si="3306">SNH102</f>
        <v>0</v>
      </c>
      <c r="SNJ105" s="1051"/>
      <c r="SNK105" s="1051"/>
      <c r="SNL105" s="1056"/>
      <c r="SNM105" s="1157">
        <f t="shared" ref="SNM105" si="3307">SNL102</f>
        <v>0</v>
      </c>
      <c r="SNN105" s="1051"/>
      <c r="SNO105" s="1051"/>
      <c r="SNP105" s="1056"/>
      <c r="SNQ105" s="1157">
        <f t="shared" ref="SNQ105" si="3308">SNP102</f>
        <v>0</v>
      </c>
      <c r="SNR105" s="1051"/>
      <c r="SNS105" s="1051"/>
      <c r="SNT105" s="1056"/>
      <c r="SNU105" s="1157">
        <f t="shared" ref="SNU105" si="3309">SNT102</f>
        <v>0</v>
      </c>
      <c r="SNV105" s="1051"/>
      <c r="SNW105" s="1051"/>
      <c r="SNX105" s="1056"/>
      <c r="SNY105" s="1157">
        <f t="shared" ref="SNY105" si="3310">SNX102</f>
        <v>0</v>
      </c>
      <c r="SNZ105" s="1051"/>
      <c r="SOA105" s="1051"/>
      <c r="SOB105" s="1056"/>
      <c r="SOC105" s="1157">
        <f t="shared" ref="SOC105" si="3311">SOB102</f>
        <v>0</v>
      </c>
      <c r="SOD105" s="1051"/>
      <c r="SOE105" s="1051"/>
      <c r="SOF105" s="1056"/>
      <c r="SOG105" s="1157">
        <f t="shared" ref="SOG105" si="3312">SOF102</f>
        <v>0</v>
      </c>
      <c r="SOH105" s="1051"/>
      <c r="SOI105" s="1051"/>
      <c r="SOJ105" s="1056"/>
      <c r="SOK105" s="1157">
        <f t="shared" ref="SOK105" si="3313">SOJ102</f>
        <v>0</v>
      </c>
      <c r="SOL105" s="1051"/>
      <c r="SOM105" s="1051"/>
      <c r="SON105" s="1056"/>
      <c r="SOO105" s="1157">
        <f t="shared" ref="SOO105" si="3314">SON102</f>
        <v>0</v>
      </c>
      <c r="SOP105" s="1051"/>
      <c r="SOQ105" s="1051"/>
      <c r="SOR105" s="1056"/>
      <c r="SOS105" s="1157">
        <f t="shared" ref="SOS105" si="3315">SOR102</f>
        <v>0</v>
      </c>
      <c r="SOT105" s="1051"/>
      <c r="SOU105" s="1051"/>
      <c r="SOV105" s="1056"/>
      <c r="SOW105" s="1157">
        <f t="shared" ref="SOW105" si="3316">SOV102</f>
        <v>0</v>
      </c>
      <c r="SOX105" s="1051"/>
      <c r="SOY105" s="1051"/>
      <c r="SOZ105" s="1056"/>
      <c r="SPA105" s="1157">
        <f t="shared" ref="SPA105" si="3317">SOZ102</f>
        <v>0</v>
      </c>
      <c r="SPB105" s="1051"/>
      <c r="SPC105" s="1051"/>
      <c r="SPD105" s="1056"/>
      <c r="SPE105" s="1157">
        <f t="shared" ref="SPE105" si="3318">SPD102</f>
        <v>0</v>
      </c>
      <c r="SPF105" s="1051"/>
      <c r="SPG105" s="1051"/>
      <c r="SPH105" s="1056"/>
      <c r="SPI105" s="1157">
        <f t="shared" ref="SPI105" si="3319">SPH102</f>
        <v>0</v>
      </c>
      <c r="SPJ105" s="1051"/>
      <c r="SPK105" s="1051"/>
      <c r="SPL105" s="1056"/>
      <c r="SPM105" s="1157">
        <f t="shared" ref="SPM105" si="3320">SPL102</f>
        <v>0</v>
      </c>
      <c r="SPN105" s="1051"/>
      <c r="SPO105" s="1051"/>
      <c r="SPP105" s="1056"/>
      <c r="SPQ105" s="1157">
        <f t="shared" ref="SPQ105" si="3321">SPP102</f>
        <v>0</v>
      </c>
      <c r="SPR105" s="1051"/>
      <c r="SPS105" s="1051"/>
      <c r="SPT105" s="1056"/>
      <c r="SPU105" s="1157">
        <f t="shared" ref="SPU105" si="3322">SPT102</f>
        <v>0</v>
      </c>
      <c r="SPV105" s="1051"/>
      <c r="SPW105" s="1051"/>
      <c r="SPX105" s="1056"/>
      <c r="SPY105" s="1157">
        <f t="shared" ref="SPY105" si="3323">SPX102</f>
        <v>0</v>
      </c>
      <c r="SPZ105" s="1051"/>
      <c r="SQA105" s="1051"/>
      <c r="SQB105" s="1056"/>
      <c r="SQC105" s="1157">
        <f t="shared" ref="SQC105" si="3324">SQB102</f>
        <v>0</v>
      </c>
      <c r="SQD105" s="1051"/>
      <c r="SQE105" s="1051"/>
      <c r="SQF105" s="1056"/>
      <c r="SQG105" s="1157">
        <f t="shared" ref="SQG105" si="3325">SQF102</f>
        <v>0</v>
      </c>
      <c r="SQH105" s="1051"/>
      <c r="SQI105" s="1051"/>
      <c r="SQJ105" s="1056"/>
      <c r="SQK105" s="1157">
        <f t="shared" ref="SQK105" si="3326">SQJ102</f>
        <v>0</v>
      </c>
      <c r="SQL105" s="1051"/>
      <c r="SQM105" s="1051"/>
      <c r="SQN105" s="1056"/>
      <c r="SQO105" s="1157">
        <f t="shared" ref="SQO105" si="3327">SQN102</f>
        <v>0</v>
      </c>
      <c r="SQP105" s="1051"/>
      <c r="SQQ105" s="1051"/>
      <c r="SQR105" s="1056"/>
      <c r="SQS105" s="1157">
        <f t="shared" ref="SQS105" si="3328">SQR102</f>
        <v>0</v>
      </c>
      <c r="SQT105" s="1051"/>
      <c r="SQU105" s="1051"/>
      <c r="SQV105" s="1056"/>
      <c r="SQW105" s="1157">
        <f t="shared" ref="SQW105" si="3329">SQV102</f>
        <v>0</v>
      </c>
      <c r="SQX105" s="1051"/>
      <c r="SQY105" s="1051"/>
      <c r="SQZ105" s="1056"/>
      <c r="SRA105" s="1157">
        <f t="shared" ref="SRA105" si="3330">SQZ102</f>
        <v>0</v>
      </c>
      <c r="SRB105" s="1051"/>
      <c r="SRC105" s="1051"/>
      <c r="SRD105" s="1056"/>
      <c r="SRE105" s="1157">
        <f t="shared" ref="SRE105" si="3331">SRD102</f>
        <v>0</v>
      </c>
      <c r="SRF105" s="1051"/>
      <c r="SRG105" s="1051"/>
      <c r="SRH105" s="1056"/>
      <c r="SRI105" s="1157">
        <f t="shared" ref="SRI105" si="3332">SRH102</f>
        <v>0</v>
      </c>
      <c r="SRJ105" s="1051"/>
      <c r="SRK105" s="1051"/>
      <c r="SRL105" s="1056"/>
      <c r="SRM105" s="1157">
        <f t="shared" ref="SRM105" si="3333">SRL102</f>
        <v>0</v>
      </c>
      <c r="SRN105" s="1051"/>
      <c r="SRO105" s="1051"/>
      <c r="SRP105" s="1056"/>
      <c r="SRQ105" s="1157">
        <f t="shared" ref="SRQ105" si="3334">SRP102</f>
        <v>0</v>
      </c>
      <c r="SRR105" s="1051"/>
      <c r="SRS105" s="1051"/>
      <c r="SRT105" s="1056"/>
      <c r="SRU105" s="1157">
        <f t="shared" ref="SRU105" si="3335">SRT102</f>
        <v>0</v>
      </c>
      <c r="SRV105" s="1051"/>
      <c r="SRW105" s="1051"/>
      <c r="SRX105" s="1056"/>
      <c r="SRY105" s="1157">
        <f t="shared" ref="SRY105" si="3336">SRX102</f>
        <v>0</v>
      </c>
      <c r="SRZ105" s="1051"/>
      <c r="SSA105" s="1051"/>
      <c r="SSB105" s="1056"/>
      <c r="SSC105" s="1157">
        <f t="shared" ref="SSC105" si="3337">SSB102</f>
        <v>0</v>
      </c>
      <c r="SSD105" s="1051"/>
      <c r="SSE105" s="1051"/>
      <c r="SSF105" s="1056"/>
      <c r="SSG105" s="1157">
        <f t="shared" ref="SSG105" si="3338">SSF102</f>
        <v>0</v>
      </c>
      <c r="SSH105" s="1051"/>
      <c r="SSI105" s="1051"/>
      <c r="SSJ105" s="1056"/>
      <c r="SSK105" s="1157">
        <f t="shared" ref="SSK105" si="3339">SSJ102</f>
        <v>0</v>
      </c>
      <c r="SSL105" s="1051"/>
      <c r="SSM105" s="1051"/>
      <c r="SSN105" s="1056"/>
      <c r="SSO105" s="1157">
        <f t="shared" ref="SSO105" si="3340">SSN102</f>
        <v>0</v>
      </c>
      <c r="SSP105" s="1051"/>
      <c r="SSQ105" s="1051"/>
      <c r="SSR105" s="1056"/>
      <c r="SSS105" s="1157">
        <f t="shared" ref="SSS105" si="3341">SSR102</f>
        <v>0</v>
      </c>
      <c r="SST105" s="1051"/>
      <c r="SSU105" s="1051"/>
      <c r="SSV105" s="1056"/>
      <c r="SSW105" s="1157">
        <f t="shared" ref="SSW105" si="3342">SSV102</f>
        <v>0</v>
      </c>
      <c r="SSX105" s="1051"/>
      <c r="SSY105" s="1051"/>
      <c r="SSZ105" s="1056"/>
      <c r="STA105" s="1157">
        <f t="shared" ref="STA105" si="3343">SSZ102</f>
        <v>0</v>
      </c>
      <c r="STB105" s="1051"/>
      <c r="STC105" s="1051"/>
      <c r="STD105" s="1056"/>
      <c r="STE105" s="1157">
        <f t="shared" ref="STE105" si="3344">STD102</f>
        <v>0</v>
      </c>
      <c r="STF105" s="1051"/>
      <c r="STG105" s="1051"/>
      <c r="STH105" s="1056"/>
      <c r="STI105" s="1157">
        <f t="shared" ref="STI105" si="3345">STH102</f>
        <v>0</v>
      </c>
      <c r="STJ105" s="1051"/>
      <c r="STK105" s="1051"/>
      <c r="STL105" s="1056"/>
      <c r="STM105" s="1157">
        <f t="shared" ref="STM105" si="3346">STL102</f>
        <v>0</v>
      </c>
      <c r="STN105" s="1051"/>
      <c r="STO105" s="1051"/>
      <c r="STP105" s="1056"/>
      <c r="STQ105" s="1157">
        <f t="shared" ref="STQ105" si="3347">STP102</f>
        <v>0</v>
      </c>
      <c r="STR105" s="1051"/>
      <c r="STS105" s="1051"/>
      <c r="STT105" s="1056"/>
      <c r="STU105" s="1157">
        <f t="shared" ref="STU105" si="3348">STT102</f>
        <v>0</v>
      </c>
      <c r="STV105" s="1051"/>
      <c r="STW105" s="1051"/>
      <c r="STX105" s="1056"/>
      <c r="STY105" s="1157">
        <f t="shared" ref="STY105" si="3349">STX102</f>
        <v>0</v>
      </c>
      <c r="STZ105" s="1051"/>
      <c r="SUA105" s="1051"/>
      <c r="SUB105" s="1056"/>
      <c r="SUC105" s="1157">
        <f t="shared" ref="SUC105" si="3350">SUB102</f>
        <v>0</v>
      </c>
      <c r="SUD105" s="1051"/>
      <c r="SUE105" s="1051"/>
      <c r="SUF105" s="1056"/>
      <c r="SUG105" s="1157">
        <f t="shared" ref="SUG105" si="3351">SUF102</f>
        <v>0</v>
      </c>
      <c r="SUH105" s="1051"/>
      <c r="SUI105" s="1051"/>
      <c r="SUJ105" s="1056"/>
      <c r="SUK105" s="1157">
        <f t="shared" ref="SUK105" si="3352">SUJ102</f>
        <v>0</v>
      </c>
      <c r="SUL105" s="1051"/>
      <c r="SUM105" s="1051"/>
      <c r="SUN105" s="1056"/>
      <c r="SUO105" s="1157">
        <f t="shared" ref="SUO105" si="3353">SUN102</f>
        <v>0</v>
      </c>
      <c r="SUP105" s="1051"/>
      <c r="SUQ105" s="1051"/>
      <c r="SUR105" s="1056"/>
      <c r="SUS105" s="1157">
        <f t="shared" ref="SUS105" si="3354">SUR102</f>
        <v>0</v>
      </c>
      <c r="SUT105" s="1051"/>
      <c r="SUU105" s="1051"/>
      <c r="SUV105" s="1056"/>
      <c r="SUW105" s="1157">
        <f t="shared" ref="SUW105" si="3355">SUV102</f>
        <v>0</v>
      </c>
      <c r="SUX105" s="1051"/>
      <c r="SUY105" s="1051"/>
      <c r="SUZ105" s="1056"/>
      <c r="SVA105" s="1157">
        <f t="shared" ref="SVA105" si="3356">SUZ102</f>
        <v>0</v>
      </c>
      <c r="SVB105" s="1051"/>
      <c r="SVC105" s="1051"/>
      <c r="SVD105" s="1056"/>
      <c r="SVE105" s="1157">
        <f t="shared" ref="SVE105" si="3357">SVD102</f>
        <v>0</v>
      </c>
      <c r="SVF105" s="1051"/>
      <c r="SVG105" s="1051"/>
      <c r="SVH105" s="1056"/>
      <c r="SVI105" s="1157">
        <f t="shared" ref="SVI105" si="3358">SVH102</f>
        <v>0</v>
      </c>
      <c r="SVJ105" s="1051"/>
      <c r="SVK105" s="1051"/>
      <c r="SVL105" s="1056"/>
      <c r="SVM105" s="1157">
        <f t="shared" ref="SVM105" si="3359">SVL102</f>
        <v>0</v>
      </c>
      <c r="SVN105" s="1051"/>
      <c r="SVO105" s="1051"/>
      <c r="SVP105" s="1056"/>
      <c r="SVQ105" s="1157">
        <f t="shared" ref="SVQ105" si="3360">SVP102</f>
        <v>0</v>
      </c>
      <c r="SVR105" s="1051"/>
      <c r="SVS105" s="1051"/>
      <c r="SVT105" s="1056"/>
      <c r="SVU105" s="1157">
        <f t="shared" ref="SVU105" si="3361">SVT102</f>
        <v>0</v>
      </c>
      <c r="SVV105" s="1051"/>
      <c r="SVW105" s="1051"/>
      <c r="SVX105" s="1056"/>
      <c r="SVY105" s="1157">
        <f t="shared" ref="SVY105" si="3362">SVX102</f>
        <v>0</v>
      </c>
      <c r="SVZ105" s="1051"/>
      <c r="SWA105" s="1051"/>
      <c r="SWB105" s="1056"/>
      <c r="SWC105" s="1157">
        <f t="shared" ref="SWC105" si="3363">SWB102</f>
        <v>0</v>
      </c>
      <c r="SWD105" s="1051"/>
      <c r="SWE105" s="1051"/>
      <c r="SWF105" s="1056"/>
      <c r="SWG105" s="1157">
        <f t="shared" ref="SWG105" si="3364">SWF102</f>
        <v>0</v>
      </c>
      <c r="SWH105" s="1051"/>
      <c r="SWI105" s="1051"/>
      <c r="SWJ105" s="1056"/>
      <c r="SWK105" s="1157">
        <f t="shared" ref="SWK105" si="3365">SWJ102</f>
        <v>0</v>
      </c>
      <c r="SWL105" s="1051"/>
      <c r="SWM105" s="1051"/>
      <c r="SWN105" s="1056"/>
      <c r="SWO105" s="1157">
        <f t="shared" ref="SWO105" si="3366">SWN102</f>
        <v>0</v>
      </c>
      <c r="SWP105" s="1051"/>
      <c r="SWQ105" s="1051"/>
      <c r="SWR105" s="1056"/>
      <c r="SWS105" s="1157">
        <f t="shared" ref="SWS105" si="3367">SWR102</f>
        <v>0</v>
      </c>
      <c r="SWT105" s="1051"/>
      <c r="SWU105" s="1051"/>
      <c r="SWV105" s="1056"/>
      <c r="SWW105" s="1157">
        <f t="shared" ref="SWW105" si="3368">SWV102</f>
        <v>0</v>
      </c>
      <c r="SWX105" s="1051"/>
      <c r="SWY105" s="1051"/>
      <c r="SWZ105" s="1056"/>
      <c r="SXA105" s="1157">
        <f t="shared" ref="SXA105" si="3369">SWZ102</f>
        <v>0</v>
      </c>
      <c r="SXB105" s="1051"/>
      <c r="SXC105" s="1051"/>
      <c r="SXD105" s="1056"/>
      <c r="SXE105" s="1157">
        <f t="shared" ref="SXE105" si="3370">SXD102</f>
        <v>0</v>
      </c>
      <c r="SXF105" s="1051"/>
      <c r="SXG105" s="1051"/>
      <c r="SXH105" s="1056"/>
      <c r="SXI105" s="1157">
        <f t="shared" ref="SXI105" si="3371">SXH102</f>
        <v>0</v>
      </c>
      <c r="SXJ105" s="1051"/>
      <c r="SXK105" s="1051"/>
      <c r="SXL105" s="1056"/>
      <c r="SXM105" s="1157">
        <f t="shared" ref="SXM105" si="3372">SXL102</f>
        <v>0</v>
      </c>
      <c r="SXN105" s="1051"/>
      <c r="SXO105" s="1051"/>
      <c r="SXP105" s="1056"/>
      <c r="SXQ105" s="1157">
        <f t="shared" ref="SXQ105" si="3373">SXP102</f>
        <v>0</v>
      </c>
      <c r="SXR105" s="1051"/>
      <c r="SXS105" s="1051"/>
      <c r="SXT105" s="1056"/>
      <c r="SXU105" s="1157">
        <f t="shared" ref="SXU105" si="3374">SXT102</f>
        <v>0</v>
      </c>
      <c r="SXV105" s="1051"/>
      <c r="SXW105" s="1051"/>
      <c r="SXX105" s="1056"/>
      <c r="SXY105" s="1157">
        <f t="shared" ref="SXY105" si="3375">SXX102</f>
        <v>0</v>
      </c>
      <c r="SXZ105" s="1051"/>
      <c r="SYA105" s="1051"/>
      <c r="SYB105" s="1056"/>
      <c r="SYC105" s="1157">
        <f t="shared" ref="SYC105" si="3376">SYB102</f>
        <v>0</v>
      </c>
      <c r="SYD105" s="1051"/>
      <c r="SYE105" s="1051"/>
      <c r="SYF105" s="1056"/>
      <c r="SYG105" s="1157">
        <f t="shared" ref="SYG105" si="3377">SYF102</f>
        <v>0</v>
      </c>
      <c r="SYH105" s="1051"/>
      <c r="SYI105" s="1051"/>
      <c r="SYJ105" s="1056"/>
      <c r="SYK105" s="1157">
        <f t="shared" ref="SYK105" si="3378">SYJ102</f>
        <v>0</v>
      </c>
      <c r="SYL105" s="1051"/>
      <c r="SYM105" s="1051"/>
      <c r="SYN105" s="1056"/>
      <c r="SYO105" s="1157">
        <f t="shared" ref="SYO105" si="3379">SYN102</f>
        <v>0</v>
      </c>
      <c r="SYP105" s="1051"/>
      <c r="SYQ105" s="1051"/>
      <c r="SYR105" s="1056"/>
      <c r="SYS105" s="1157">
        <f t="shared" ref="SYS105" si="3380">SYR102</f>
        <v>0</v>
      </c>
      <c r="SYT105" s="1051"/>
      <c r="SYU105" s="1051"/>
      <c r="SYV105" s="1056"/>
      <c r="SYW105" s="1157">
        <f t="shared" ref="SYW105" si="3381">SYV102</f>
        <v>0</v>
      </c>
      <c r="SYX105" s="1051"/>
      <c r="SYY105" s="1051"/>
      <c r="SYZ105" s="1056"/>
      <c r="SZA105" s="1157">
        <f t="shared" ref="SZA105" si="3382">SYZ102</f>
        <v>0</v>
      </c>
      <c r="SZB105" s="1051"/>
      <c r="SZC105" s="1051"/>
      <c r="SZD105" s="1056"/>
      <c r="SZE105" s="1157">
        <f t="shared" ref="SZE105" si="3383">SZD102</f>
        <v>0</v>
      </c>
      <c r="SZF105" s="1051"/>
      <c r="SZG105" s="1051"/>
      <c r="SZH105" s="1056"/>
      <c r="SZI105" s="1157">
        <f t="shared" ref="SZI105" si="3384">SZH102</f>
        <v>0</v>
      </c>
      <c r="SZJ105" s="1051"/>
      <c r="SZK105" s="1051"/>
      <c r="SZL105" s="1056"/>
      <c r="SZM105" s="1157">
        <f t="shared" ref="SZM105" si="3385">SZL102</f>
        <v>0</v>
      </c>
      <c r="SZN105" s="1051"/>
      <c r="SZO105" s="1051"/>
      <c r="SZP105" s="1056"/>
      <c r="SZQ105" s="1157">
        <f t="shared" ref="SZQ105" si="3386">SZP102</f>
        <v>0</v>
      </c>
      <c r="SZR105" s="1051"/>
      <c r="SZS105" s="1051"/>
      <c r="SZT105" s="1056"/>
      <c r="SZU105" s="1157">
        <f t="shared" ref="SZU105" si="3387">SZT102</f>
        <v>0</v>
      </c>
      <c r="SZV105" s="1051"/>
      <c r="SZW105" s="1051"/>
      <c r="SZX105" s="1056"/>
      <c r="SZY105" s="1157">
        <f t="shared" ref="SZY105" si="3388">SZX102</f>
        <v>0</v>
      </c>
      <c r="SZZ105" s="1051"/>
      <c r="TAA105" s="1051"/>
      <c r="TAB105" s="1056"/>
      <c r="TAC105" s="1157">
        <f t="shared" ref="TAC105" si="3389">TAB102</f>
        <v>0</v>
      </c>
      <c r="TAD105" s="1051"/>
      <c r="TAE105" s="1051"/>
      <c r="TAF105" s="1056"/>
      <c r="TAG105" s="1157">
        <f t="shared" ref="TAG105" si="3390">TAF102</f>
        <v>0</v>
      </c>
      <c r="TAH105" s="1051"/>
      <c r="TAI105" s="1051"/>
      <c r="TAJ105" s="1056"/>
      <c r="TAK105" s="1157">
        <f t="shared" ref="TAK105" si="3391">TAJ102</f>
        <v>0</v>
      </c>
      <c r="TAL105" s="1051"/>
      <c r="TAM105" s="1051"/>
      <c r="TAN105" s="1056"/>
      <c r="TAO105" s="1157">
        <f t="shared" ref="TAO105" si="3392">TAN102</f>
        <v>0</v>
      </c>
      <c r="TAP105" s="1051"/>
      <c r="TAQ105" s="1051"/>
      <c r="TAR105" s="1056"/>
      <c r="TAS105" s="1157">
        <f t="shared" ref="TAS105" si="3393">TAR102</f>
        <v>0</v>
      </c>
      <c r="TAT105" s="1051"/>
      <c r="TAU105" s="1051"/>
      <c r="TAV105" s="1056"/>
      <c r="TAW105" s="1157">
        <f t="shared" ref="TAW105" si="3394">TAV102</f>
        <v>0</v>
      </c>
      <c r="TAX105" s="1051"/>
      <c r="TAY105" s="1051"/>
      <c r="TAZ105" s="1056"/>
      <c r="TBA105" s="1157">
        <f t="shared" ref="TBA105" si="3395">TAZ102</f>
        <v>0</v>
      </c>
      <c r="TBB105" s="1051"/>
      <c r="TBC105" s="1051"/>
      <c r="TBD105" s="1056"/>
      <c r="TBE105" s="1157">
        <f t="shared" ref="TBE105" si="3396">TBD102</f>
        <v>0</v>
      </c>
      <c r="TBF105" s="1051"/>
      <c r="TBG105" s="1051"/>
      <c r="TBH105" s="1056"/>
      <c r="TBI105" s="1157">
        <f t="shared" ref="TBI105" si="3397">TBH102</f>
        <v>0</v>
      </c>
      <c r="TBJ105" s="1051"/>
      <c r="TBK105" s="1051"/>
      <c r="TBL105" s="1056"/>
      <c r="TBM105" s="1157">
        <f t="shared" ref="TBM105" si="3398">TBL102</f>
        <v>0</v>
      </c>
      <c r="TBN105" s="1051"/>
      <c r="TBO105" s="1051"/>
      <c r="TBP105" s="1056"/>
      <c r="TBQ105" s="1157">
        <f t="shared" ref="TBQ105" si="3399">TBP102</f>
        <v>0</v>
      </c>
      <c r="TBR105" s="1051"/>
      <c r="TBS105" s="1051"/>
      <c r="TBT105" s="1056"/>
      <c r="TBU105" s="1157">
        <f t="shared" ref="TBU105" si="3400">TBT102</f>
        <v>0</v>
      </c>
      <c r="TBV105" s="1051"/>
      <c r="TBW105" s="1051"/>
      <c r="TBX105" s="1056"/>
      <c r="TBY105" s="1157">
        <f t="shared" ref="TBY105" si="3401">TBX102</f>
        <v>0</v>
      </c>
      <c r="TBZ105" s="1051"/>
      <c r="TCA105" s="1051"/>
      <c r="TCB105" s="1056"/>
      <c r="TCC105" s="1157">
        <f t="shared" ref="TCC105" si="3402">TCB102</f>
        <v>0</v>
      </c>
      <c r="TCD105" s="1051"/>
      <c r="TCE105" s="1051"/>
      <c r="TCF105" s="1056"/>
      <c r="TCG105" s="1157">
        <f t="shared" ref="TCG105" si="3403">TCF102</f>
        <v>0</v>
      </c>
      <c r="TCH105" s="1051"/>
      <c r="TCI105" s="1051"/>
      <c r="TCJ105" s="1056"/>
      <c r="TCK105" s="1157">
        <f t="shared" ref="TCK105" si="3404">TCJ102</f>
        <v>0</v>
      </c>
      <c r="TCL105" s="1051"/>
      <c r="TCM105" s="1051"/>
      <c r="TCN105" s="1056"/>
      <c r="TCO105" s="1157">
        <f t="shared" ref="TCO105" si="3405">TCN102</f>
        <v>0</v>
      </c>
      <c r="TCP105" s="1051"/>
      <c r="TCQ105" s="1051"/>
      <c r="TCR105" s="1056"/>
      <c r="TCS105" s="1157">
        <f t="shared" ref="TCS105" si="3406">TCR102</f>
        <v>0</v>
      </c>
      <c r="TCT105" s="1051"/>
      <c r="TCU105" s="1051"/>
      <c r="TCV105" s="1056"/>
      <c r="TCW105" s="1157">
        <f t="shared" ref="TCW105" si="3407">TCV102</f>
        <v>0</v>
      </c>
      <c r="TCX105" s="1051"/>
      <c r="TCY105" s="1051"/>
      <c r="TCZ105" s="1056"/>
      <c r="TDA105" s="1157">
        <f t="shared" ref="TDA105" si="3408">TCZ102</f>
        <v>0</v>
      </c>
      <c r="TDB105" s="1051"/>
      <c r="TDC105" s="1051"/>
      <c r="TDD105" s="1056"/>
      <c r="TDE105" s="1157">
        <f t="shared" ref="TDE105" si="3409">TDD102</f>
        <v>0</v>
      </c>
      <c r="TDF105" s="1051"/>
      <c r="TDG105" s="1051"/>
      <c r="TDH105" s="1056"/>
      <c r="TDI105" s="1157">
        <f t="shared" ref="TDI105" si="3410">TDH102</f>
        <v>0</v>
      </c>
      <c r="TDJ105" s="1051"/>
      <c r="TDK105" s="1051"/>
      <c r="TDL105" s="1056"/>
      <c r="TDM105" s="1157">
        <f t="shared" ref="TDM105" si="3411">TDL102</f>
        <v>0</v>
      </c>
      <c r="TDN105" s="1051"/>
      <c r="TDO105" s="1051"/>
      <c r="TDP105" s="1056"/>
      <c r="TDQ105" s="1157">
        <f t="shared" ref="TDQ105" si="3412">TDP102</f>
        <v>0</v>
      </c>
      <c r="TDR105" s="1051"/>
      <c r="TDS105" s="1051"/>
      <c r="TDT105" s="1056"/>
      <c r="TDU105" s="1157">
        <f t="shared" ref="TDU105" si="3413">TDT102</f>
        <v>0</v>
      </c>
      <c r="TDV105" s="1051"/>
      <c r="TDW105" s="1051"/>
      <c r="TDX105" s="1056"/>
      <c r="TDY105" s="1157">
        <f t="shared" ref="TDY105" si="3414">TDX102</f>
        <v>0</v>
      </c>
      <c r="TDZ105" s="1051"/>
      <c r="TEA105" s="1051"/>
      <c r="TEB105" s="1056"/>
      <c r="TEC105" s="1157">
        <f t="shared" ref="TEC105" si="3415">TEB102</f>
        <v>0</v>
      </c>
      <c r="TED105" s="1051"/>
      <c r="TEE105" s="1051"/>
      <c r="TEF105" s="1056"/>
      <c r="TEG105" s="1157">
        <f t="shared" ref="TEG105" si="3416">TEF102</f>
        <v>0</v>
      </c>
      <c r="TEH105" s="1051"/>
      <c r="TEI105" s="1051"/>
      <c r="TEJ105" s="1056"/>
      <c r="TEK105" s="1157">
        <f t="shared" ref="TEK105" si="3417">TEJ102</f>
        <v>0</v>
      </c>
      <c r="TEL105" s="1051"/>
      <c r="TEM105" s="1051"/>
      <c r="TEN105" s="1056"/>
      <c r="TEO105" s="1157">
        <f t="shared" ref="TEO105" si="3418">TEN102</f>
        <v>0</v>
      </c>
      <c r="TEP105" s="1051"/>
      <c r="TEQ105" s="1051"/>
      <c r="TER105" s="1056"/>
      <c r="TES105" s="1157">
        <f t="shared" ref="TES105" si="3419">TER102</f>
        <v>0</v>
      </c>
      <c r="TET105" s="1051"/>
      <c r="TEU105" s="1051"/>
      <c r="TEV105" s="1056"/>
      <c r="TEW105" s="1157">
        <f t="shared" ref="TEW105" si="3420">TEV102</f>
        <v>0</v>
      </c>
      <c r="TEX105" s="1051"/>
      <c r="TEY105" s="1051"/>
      <c r="TEZ105" s="1056"/>
      <c r="TFA105" s="1157">
        <f t="shared" ref="TFA105" si="3421">TEZ102</f>
        <v>0</v>
      </c>
      <c r="TFB105" s="1051"/>
      <c r="TFC105" s="1051"/>
      <c r="TFD105" s="1056"/>
      <c r="TFE105" s="1157">
        <f t="shared" ref="TFE105" si="3422">TFD102</f>
        <v>0</v>
      </c>
      <c r="TFF105" s="1051"/>
      <c r="TFG105" s="1051"/>
      <c r="TFH105" s="1056"/>
      <c r="TFI105" s="1157">
        <f t="shared" ref="TFI105" si="3423">TFH102</f>
        <v>0</v>
      </c>
      <c r="TFJ105" s="1051"/>
      <c r="TFK105" s="1051"/>
      <c r="TFL105" s="1056"/>
      <c r="TFM105" s="1157">
        <f t="shared" ref="TFM105" si="3424">TFL102</f>
        <v>0</v>
      </c>
      <c r="TFN105" s="1051"/>
      <c r="TFO105" s="1051"/>
      <c r="TFP105" s="1056"/>
      <c r="TFQ105" s="1157">
        <f t="shared" ref="TFQ105" si="3425">TFP102</f>
        <v>0</v>
      </c>
      <c r="TFR105" s="1051"/>
      <c r="TFS105" s="1051"/>
      <c r="TFT105" s="1056"/>
      <c r="TFU105" s="1157">
        <f t="shared" ref="TFU105" si="3426">TFT102</f>
        <v>0</v>
      </c>
      <c r="TFV105" s="1051"/>
      <c r="TFW105" s="1051"/>
      <c r="TFX105" s="1056"/>
      <c r="TFY105" s="1157">
        <f t="shared" ref="TFY105" si="3427">TFX102</f>
        <v>0</v>
      </c>
      <c r="TFZ105" s="1051"/>
      <c r="TGA105" s="1051"/>
      <c r="TGB105" s="1056"/>
      <c r="TGC105" s="1157">
        <f t="shared" ref="TGC105" si="3428">TGB102</f>
        <v>0</v>
      </c>
      <c r="TGD105" s="1051"/>
      <c r="TGE105" s="1051"/>
      <c r="TGF105" s="1056"/>
      <c r="TGG105" s="1157">
        <f t="shared" ref="TGG105" si="3429">TGF102</f>
        <v>0</v>
      </c>
      <c r="TGH105" s="1051"/>
      <c r="TGI105" s="1051"/>
      <c r="TGJ105" s="1056"/>
      <c r="TGK105" s="1157">
        <f t="shared" ref="TGK105" si="3430">TGJ102</f>
        <v>0</v>
      </c>
      <c r="TGL105" s="1051"/>
      <c r="TGM105" s="1051"/>
      <c r="TGN105" s="1056"/>
      <c r="TGO105" s="1157">
        <f t="shared" ref="TGO105" si="3431">TGN102</f>
        <v>0</v>
      </c>
      <c r="TGP105" s="1051"/>
      <c r="TGQ105" s="1051"/>
      <c r="TGR105" s="1056"/>
      <c r="TGS105" s="1157">
        <f t="shared" ref="TGS105" si="3432">TGR102</f>
        <v>0</v>
      </c>
      <c r="TGT105" s="1051"/>
      <c r="TGU105" s="1051"/>
      <c r="TGV105" s="1056"/>
      <c r="TGW105" s="1157">
        <f t="shared" ref="TGW105" si="3433">TGV102</f>
        <v>0</v>
      </c>
      <c r="TGX105" s="1051"/>
      <c r="TGY105" s="1051"/>
      <c r="TGZ105" s="1056"/>
      <c r="THA105" s="1157">
        <f t="shared" ref="THA105" si="3434">TGZ102</f>
        <v>0</v>
      </c>
      <c r="THB105" s="1051"/>
      <c r="THC105" s="1051"/>
      <c r="THD105" s="1056"/>
      <c r="THE105" s="1157">
        <f t="shared" ref="THE105" si="3435">THD102</f>
        <v>0</v>
      </c>
      <c r="THF105" s="1051"/>
      <c r="THG105" s="1051"/>
      <c r="THH105" s="1056"/>
      <c r="THI105" s="1157">
        <f t="shared" ref="THI105" si="3436">THH102</f>
        <v>0</v>
      </c>
      <c r="THJ105" s="1051"/>
      <c r="THK105" s="1051"/>
      <c r="THL105" s="1056"/>
      <c r="THM105" s="1157">
        <f t="shared" ref="THM105" si="3437">THL102</f>
        <v>0</v>
      </c>
      <c r="THN105" s="1051"/>
      <c r="THO105" s="1051"/>
      <c r="THP105" s="1056"/>
      <c r="THQ105" s="1157">
        <f t="shared" ref="THQ105" si="3438">THP102</f>
        <v>0</v>
      </c>
      <c r="THR105" s="1051"/>
      <c r="THS105" s="1051"/>
      <c r="THT105" s="1056"/>
      <c r="THU105" s="1157">
        <f t="shared" ref="THU105" si="3439">THT102</f>
        <v>0</v>
      </c>
      <c r="THV105" s="1051"/>
      <c r="THW105" s="1051"/>
      <c r="THX105" s="1056"/>
      <c r="THY105" s="1157">
        <f t="shared" ref="THY105" si="3440">THX102</f>
        <v>0</v>
      </c>
      <c r="THZ105" s="1051"/>
      <c r="TIA105" s="1051"/>
      <c r="TIB105" s="1056"/>
      <c r="TIC105" s="1157">
        <f t="shared" ref="TIC105" si="3441">TIB102</f>
        <v>0</v>
      </c>
      <c r="TID105" s="1051"/>
      <c r="TIE105" s="1051"/>
      <c r="TIF105" s="1056"/>
      <c r="TIG105" s="1157">
        <f t="shared" ref="TIG105" si="3442">TIF102</f>
        <v>0</v>
      </c>
      <c r="TIH105" s="1051"/>
      <c r="TII105" s="1051"/>
      <c r="TIJ105" s="1056"/>
      <c r="TIK105" s="1157">
        <f t="shared" ref="TIK105" si="3443">TIJ102</f>
        <v>0</v>
      </c>
      <c r="TIL105" s="1051"/>
      <c r="TIM105" s="1051"/>
      <c r="TIN105" s="1056"/>
      <c r="TIO105" s="1157">
        <f t="shared" ref="TIO105" si="3444">TIN102</f>
        <v>0</v>
      </c>
      <c r="TIP105" s="1051"/>
      <c r="TIQ105" s="1051"/>
      <c r="TIR105" s="1056"/>
      <c r="TIS105" s="1157">
        <f t="shared" ref="TIS105" si="3445">TIR102</f>
        <v>0</v>
      </c>
      <c r="TIT105" s="1051"/>
      <c r="TIU105" s="1051"/>
      <c r="TIV105" s="1056"/>
      <c r="TIW105" s="1157">
        <f t="shared" ref="TIW105" si="3446">TIV102</f>
        <v>0</v>
      </c>
      <c r="TIX105" s="1051"/>
      <c r="TIY105" s="1051"/>
      <c r="TIZ105" s="1056"/>
      <c r="TJA105" s="1157">
        <f t="shared" ref="TJA105" si="3447">TIZ102</f>
        <v>0</v>
      </c>
      <c r="TJB105" s="1051"/>
      <c r="TJC105" s="1051"/>
      <c r="TJD105" s="1056"/>
      <c r="TJE105" s="1157">
        <f t="shared" ref="TJE105" si="3448">TJD102</f>
        <v>0</v>
      </c>
      <c r="TJF105" s="1051"/>
      <c r="TJG105" s="1051"/>
      <c r="TJH105" s="1056"/>
      <c r="TJI105" s="1157">
        <f t="shared" ref="TJI105" si="3449">TJH102</f>
        <v>0</v>
      </c>
      <c r="TJJ105" s="1051"/>
      <c r="TJK105" s="1051"/>
      <c r="TJL105" s="1056"/>
      <c r="TJM105" s="1157">
        <f t="shared" ref="TJM105" si="3450">TJL102</f>
        <v>0</v>
      </c>
      <c r="TJN105" s="1051"/>
      <c r="TJO105" s="1051"/>
      <c r="TJP105" s="1056"/>
      <c r="TJQ105" s="1157">
        <f t="shared" ref="TJQ105" si="3451">TJP102</f>
        <v>0</v>
      </c>
      <c r="TJR105" s="1051"/>
      <c r="TJS105" s="1051"/>
      <c r="TJT105" s="1056"/>
      <c r="TJU105" s="1157">
        <f t="shared" ref="TJU105" si="3452">TJT102</f>
        <v>0</v>
      </c>
      <c r="TJV105" s="1051"/>
      <c r="TJW105" s="1051"/>
      <c r="TJX105" s="1056"/>
      <c r="TJY105" s="1157">
        <f t="shared" ref="TJY105" si="3453">TJX102</f>
        <v>0</v>
      </c>
      <c r="TJZ105" s="1051"/>
      <c r="TKA105" s="1051"/>
      <c r="TKB105" s="1056"/>
      <c r="TKC105" s="1157">
        <f t="shared" ref="TKC105" si="3454">TKB102</f>
        <v>0</v>
      </c>
      <c r="TKD105" s="1051"/>
      <c r="TKE105" s="1051"/>
      <c r="TKF105" s="1056"/>
      <c r="TKG105" s="1157">
        <f t="shared" ref="TKG105" si="3455">TKF102</f>
        <v>0</v>
      </c>
      <c r="TKH105" s="1051"/>
      <c r="TKI105" s="1051"/>
      <c r="TKJ105" s="1056"/>
      <c r="TKK105" s="1157">
        <f t="shared" ref="TKK105" si="3456">TKJ102</f>
        <v>0</v>
      </c>
      <c r="TKL105" s="1051"/>
      <c r="TKM105" s="1051"/>
      <c r="TKN105" s="1056"/>
      <c r="TKO105" s="1157">
        <f t="shared" ref="TKO105" si="3457">TKN102</f>
        <v>0</v>
      </c>
      <c r="TKP105" s="1051"/>
      <c r="TKQ105" s="1051"/>
      <c r="TKR105" s="1056"/>
      <c r="TKS105" s="1157">
        <f t="shared" ref="TKS105" si="3458">TKR102</f>
        <v>0</v>
      </c>
      <c r="TKT105" s="1051"/>
      <c r="TKU105" s="1051"/>
      <c r="TKV105" s="1056"/>
      <c r="TKW105" s="1157">
        <f t="shared" ref="TKW105" si="3459">TKV102</f>
        <v>0</v>
      </c>
      <c r="TKX105" s="1051"/>
      <c r="TKY105" s="1051"/>
      <c r="TKZ105" s="1056"/>
      <c r="TLA105" s="1157">
        <f t="shared" ref="TLA105" si="3460">TKZ102</f>
        <v>0</v>
      </c>
      <c r="TLB105" s="1051"/>
      <c r="TLC105" s="1051"/>
      <c r="TLD105" s="1056"/>
      <c r="TLE105" s="1157">
        <f t="shared" ref="TLE105" si="3461">TLD102</f>
        <v>0</v>
      </c>
      <c r="TLF105" s="1051"/>
      <c r="TLG105" s="1051"/>
      <c r="TLH105" s="1056"/>
      <c r="TLI105" s="1157">
        <f t="shared" ref="TLI105" si="3462">TLH102</f>
        <v>0</v>
      </c>
      <c r="TLJ105" s="1051"/>
      <c r="TLK105" s="1051"/>
      <c r="TLL105" s="1056"/>
      <c r="TLM105" s="1157">
        <f t="shared" ref="TLM105" si="3463">TLL102</f>
        <v>0</v>
      </c>
      <c r="TLN105" s="1051"/>
      <c r="TLO105" s="1051"/>
      <c r="TLP105" s="1056"/>
      <c r="TLQ105" s="1157">
        <f t="shared" ref="TLQ105" si="3464">TLP102</f>
        <v>0</v>
      </c>
      <c r="TLR105" s="1051"/>
      <c r="TLS105" s="1051"/>
      <c r="TLT105" s="1056"/>
      <c r="TLU105" s="1157">
        <f t="shared" ref="TLU105" si="3465">TLT102</f>
        <v>0</v>
      </c>
      <c r="TLV105" s="1051"/>
      <c r="TLW105" s="1051"/>
      <c r="TLX105" s="1056"/>
      <c r="TLY105" s="1157">
        <f t="shared" ref="TLY105" si="3466">TLX102</f>
        <v>0</v>
      </c>
      <c r="TLZ105" s="1051"/>
      <c r="TMA105" s="1051"/>
      <c r="TMB105" s="1056"/>
      <c r="TMC105" s="1157">
        <f t="shared" ref="TMC105" si="3467">TMB102</f>
        <v>0</v>
      </c>
      <c r="TMD105" s="1051"/>
      <c r="TME105" s="1051"/>
      <c r="TMF105" s="1056"/>
      <c r="TMG105" s="1157">
        <f t="shared" ref="TMG105" si="3468">TMF102</f>
        <v>0</v>
      </c>
      <c r="TMH105" s="1051"/>
      <c r="TMI105" s="1051"/>
      <c r="TMJ105" s="1056"/>
      <c r="TMK105" s="1157">
        <f t="shared" ref="TMK105" si="3469">TMJ102</f>
        <v>0</v>
      </c>
      <c r="TML105" s="1051"/>
      <c r="TMM105" s="1051"/>
      <c r="TMN105" s="1056"/>
      <c r="TMO105" s="1157">
        <f t="shared" ref="TMO105" si="3470">TMN102</f>
        <v>0</v>
      </c>
      <c r="TMP105" s="1051"/>
      <c r="TMQ105" s="1051"/>
      <c r="TMR105" s="1056"/>
      <c r="TMS105" s="1157">
        <f t="shared" ref="TMS105" si="3471">TMR102</f>
        <v>0</v>
      </c>
      <c r="TMT105" s="1051"/>
      <c r="TMU105" s="1051"/>
      <c r="TMV105" s="1056"/>
      <c r="TMW105" s="1157">
        <f t="shared" ref="TMW105" si="3472">TMV102</f>
        <v>0</v>
      </c>
      <c r="TMX105" s="1051"/>
      <c r="TMY105" s="1051"/>
      <c r="TMZ105" s="1056"/>
      <c r="TNA105" s="1157">
        <f t="shared" ref="TNA105" si="3473">TMZ102</f>
        <v>0</v>
      </c>
      <c r="TNB105" s="1051"/>
      <c r="TNC105" s="1051"/>
      <c r="TND105" s="1056"/>
      <c r="TNE105" s="1157">
        <f t="shared" ref="TNE105" si="3474">TND102</f>
        <v>0</v>
      </c>
      <c r="TNF105" s="1051"/>
      <c r="TNG105" s="1051"/>
      <c r="TNH105" s="1056"/>
      <c r="TNI105" s="1157">
        <f t="shared" ref="TNI105" si="3475">TNH102</f>
        <v>0</v>
      </c>
      <c r="TNJ105" s="1051"/>
      <c r="TNK105" s="1051"/>
      <c r="TNL105" s="1056"/>
      <c r="TNM105" s="1157">
        <f t="shared" ref="TNM105" si="3476">TNL102</f>
        <v>0</v>
      </c>
      <c r="TNN105" s="1051"/>
      <c r="TNO105" s="1051"/>
      <c r="TNP105" s="1056"/>
      <c r="TNQ105" s="1157">
        <f t="shared" ref="TNQ105" si="3477">TNP102</f>
        <v>0</v>
      </c>
      <c r="TNR105" s="1051"/>
      <c r="TNS105" s="1051"/>
      <c r="TNT105" s="1056"/>
      <c r="TNU105" s="1157">
        <f t="shared" ref="TNU105" si="3478">TNT102</f>
        <v>0</v>
      </c>
      <c r="TNV105" s="1051"/>
      <c r="TNW105" s="1051"/>
      <c r="TNX105" s="1056"/>
      <c r="TNY105" s="1157">
        <f t="shared" ref="TNY105" si="3479">TNX102</f>
        <v>0</v>
      </c>
      <c r="TNZ105" s="1051"/>
      <c r="TOA105" s="1051"/>
      <c r="TOB105" s="1056"/>
      <c r="TOC105" s="1157">
        <f t="shared" ref="TOC105" si="3480">TOB102</f>
        <v>0</v>
      </c>
      <c r="TOD105" s="1051"/>
      <c r="TOE105" s="1051"/>
      <c r="TOF105" s="1056"/>
      <c r="TOG105" s="1157">
        <f t="shared" ref="TOG105" si="3481">TOF102</f>
        <v>0</v>
      </c>
      <c r="TOH105" s="1051"/>
      <c r="TOI105" s="1051"/>
      <c r="TOJ105" s="1056"/>
      <c r="TOK105" s="1157">
        <f t="shared" ref="TOK105" si="3482">TOJ102</f>
        <v>0</v>
      </c>
      <c r="TOL105" s="1051"/>
      <c r="TOM105" s="1051"/>
      <c r="TON105" s="1056"/>
      <c r="TOO105" s="1157">
        <f t="shared" ref="TOO105" si="3483">TON102</f>
        <v>0</v>
      </c>
      <c r="TOP105" s="1051"/>
      <c r="TOQ105" s="1051"/>
      <c r="TOR105" s="1056"/>
      <c r="TOS105" s="1157">
        <f t="shared" ref="TOS105" si="3484">TOR102</f>
        <v>0</v>
      </c>
      <c r="TOT105" s="1051"/>
      <c r="TOU105" s="1051"/>
      <c r="TOV105" s="1056"/>
      <c r="TOW105" s="1157">
        <f t="shared" ref="TOW105" si="3485">TOV102</f>
        <v>0</v>
      </c>
      <c r="TOX105" s="1051"/>
      <c r="TOY105" s="1051"/>
      <c r="TOZ105" s="1056"/>
      <c r="TPA105" s="1157">
        <f t="shared" ref="TPA105" si="3486">TOZ102</f>
        <v>0</v>
      </c>
      <c r="TPB105" s="1051"/>
      <c r="TPC105" s="1051"/>
      <c r="TPD105" s="1056"/>
      <c r="TPE105" s="1157">
        <f t="shared" ref="TPE105" si="3487">TPD102</f>
        <v>0</v>
      </c>
      <c r="TPF105" s="1051"/>
      <c r="TPG105" s="1051"/>
      <c r="TPH105" s="1056"/>
      <c r="TPI105" s="1157">
        <f t="shared" ref="TPI105" si="3488">TPH102</f>
        <v>0</v>
      </c>
      <c r="TPJ105" s="1051"/>
      <c r="TPK105" s="1051"/>
      <c r="TPL105" s="1056"/>
      <c r="TPM105" s="1157">
        <f t="shared" ref="TPM105" si="3489">TPL102</f>
        <v>0</v>
      </c>
      <c r="TPN105" s="1051"/>
      <c r="TPO105" s="1051"/>
      <c r="TPP105" s="1056"/>
      <c r="TPQ105" s="1157">
        <f t="shared" ref="TPQ105" si="3490">TPP102</f>
        <v>0</v>
      </c>
      <c r="TPR105" s="1051"/>
      <c r="TPS105" s="1051"/>
      <c r="TPT105" s="1056"/>
      <c r="TPU105" s="1157">
        <f t="shared" ref="TPU105" si="3491">TPT102</f>
        <v>0</v>
      </c>
      <c r="TPV105" s="1051"/>
      <c r="TPW105" s="1051"/>
      <c r="TPX105" s="1056"/>
      <c r="TPY105" s="1157">
        <f t="shared" ref="TPY105" si="3492">TPX102</f>
        <v>0</v>
      </c>
      <c r="TPZ105" s="1051"/>
      <c r="TQA105" s="1051"/>
      <c r="TQB105" s="1056"/>
      <c r="TQC105" s="1157">
        <f t="shared" ref="TQC105" si="3493">TQB102</f>
        <v>0</v>
      </c>
      <c r="TQD105" s="1051"/>
      <c r="TQE105" s="1051"/>
      <c r="TQF105" s="1056"/>
      <c r="TQG105" s="1157">
        <f t="shared" ref="TQG105" si="3494">TQF102</f>
        <v>0</v>
      </c>
      <c r="TQH105" s="1051"/>
      <c r="TQI105" s="1051"/>
      <c r="TQJ105" s="1056"/>
      <c r="TQK105" s="1157">
        <f t="shared" ref="TQK105" si="3495">TQJ102</f>
        <v>0</v>
      </c>
      <c r="TQL105" s="1051"/>
      <c r="TQM105" s="1051"/>
      <c r="TQN105" s="1056"/>
      <c r="TQO105" s="1157">
        <f t="shared" ref="TQO105" si="3496">TQN102</f>
        <v>0</v>
      </c>
      <c r="TQP105" s="1051"/>
      <c r="TQQ105" s="1051"/>
      <c r="TQR105" s="1056"/>
      <c r="TQS105" s="1157">
        <f t="shared" ref="TQS105" si="3497">TQR102</f>
        <v>0</v>
      </c>
      <c r="TQT105" s="1051"/>
      <c r="TQU105" s="1051"/>
      <c r="TQV105" s="1056"/>
      <c r="TQW105" s="1157">
        <f t="shared" ref="TQW105" si="3498">TQV102</f>
        <v>0</v>
      </c>
      <c r="TQX105" s="1051"/>
      <c r="TQY105" s="1051"/>
      <c r="TQZ105" s="1056"/>
      <c r="TRA105" s="1157">
        <f t="shared" ref="TRA105" si="3499">TQZ102</f>
        <v>0</v>
      </c>
      <c r="TRB105" s="1051"/>
      <c r="TRC105" s="1051"/>
      <c r="TRD105" s="1056"/>
      <c r="TRE105" s="1157">
        <f t="shared" ref="TRE105" si="3500">TRD102</f>
        <v>0</v>
      </c>
      <c r="TRF105" s="1051"/>
      <c r="TRG105" s="1051"/>
      <c r="TRH105" s="1056"/>
      <c r="TRI105" s="1157">
        <f t="shared" ref="TRI105" si="3501">TRH102</f>
        <v>0</v>
      </c>
      <c r="TRJ105" s="1051"/>
      <c r="TRK105" s="1051"/>
      <c r="TRL105" s="1056"/>
      <c r="TRM105" s="1157">
        <f t="shared" ref="TRM105" si="3502">TRL102</f>
        <v>0</v>
      </c>
      <c r="TRN105" s="1051"/>
      <c r="TRO105" s="1051"/>
      <c r="TRP105" s="1056"/>
      <c r="TRQ105" s="1157">
        <f t="shared" ref="TRQ105" si="3503">TRP102</f>
        <v>0</v>
      </c>
      <c r="TRR105" s="1051"/>
      <c r="TRS105" s="1051"/>
      <c r="TRT105" s="1056"/>
      <c r="TRU105" s="1157">
        <f t="shared" ref="TRU105" si="3504">TRT102</f>
        <v>0</v>
      </c>
      <c r="TRV105" s="1051"/>
      <c r="TRW105" s="1051"/>
      <c r="TRX105" s="1056"/>
      <c r="TRY105" s="1157">
        <f t="shared" ref="TRY105" si="3505">TRX102</f>
        <v>0</v>
      </c>
      <c r="TRZ105" s="1051"/>
      <c r="TSA105" s="1051"/>
      <c r="TSB105" s="1056"/>
      <c r="TSC105" s="1157">
        <f t="shared" ref="TSC105" si="3506">TSB102</f>
        <v>0</v>
      </c>
      <c r="TSD105" s="1051"/>
      <c r="TSE105" s="1051"/>
      <c r="TSF105" s="1056"/>
      <c r="TSG105" s="1157">
        <f t="shared" ref="TSG105" si="3507">TSF102</f>
        <v>0</v>
      </c>
      <c r="TSH105" s="1051"/>
      <c r="TSI105" s="1051"/>
      <c r="TSJ105" s="1056"/>
      <c r="TSK105" s="1157">
        <f t="shared" ref="TSK105" si="3508">TSJ102</f>
        <v>0</v>
      </c>
      <c r="TSL105" s="1051"/>
      <c r="TSM105" s="1051"/>
      <c r="TSN105" s="1056"/>
      <c r="TSO105" s="1157">
        <f t="shared" ref="TSO105" si="3509">TSN102</f>
        <v>0</v>
      </c>
      <c r="TSP105" s="1051"/>
      <c r="TSQ105" s="1051"/>
      <c r="TSR105" s="1056"/>
      <c r="TSS105" s="1157">
        <f t="shared" ref="TSS105" si="3510">TSR102</f>
        <v>0</v>
      </c>
      <c r="TST105" s="1051"/>
      <c r="TSU105" s="1051"/>
      <c r="TSV105" s="1056"/>
      <c r="TSW105" s="1157">
        <f t="shared" ref="TSW105" si="3511">TSV102</f>
        <v>0</v>
      </c>
      <c r="TSX105" s="1051"/>
      <c r="TSY105" s="1051"/>
      <c r="TSZ105" s="1056"/>
      <c r="TTA105" s="1157">
        <f t="shared" ref="TTA105" si="3512">TSZ102</f>
        <v>0</v>
      </c>
      <c r="TTB105" s="1051"/>
      <c r="TTC105" s="1051"/>
      <c r="TTD105" s="1056"/>
      <c r="TTE105" s="1157">
        <f t="shared" ref="TTE105" si="3513">TTD102</f>
        <v>0</v>
      </c>
      <c r="TTF105" s="1051"/>
      <c r="TTG105" s="1051"/>
      <c r="TTH105" s="1056"/>
      <c r="TTI105" s="1157">
        <f t="shared" ref="TTI105" si="3514">TTH102</f>
        <v>0</v>
      </c>
      <c r="TTJ105" s="1051"/>
      <c r="TTK105" s="1051"/>
      <c r="TTL105" s="1056"/>
      <c r="TTM105" s="1157">
        <f t="shared" ref="TTM105" si="3515">TTL102</f>
        <v>0</v>
      </c>
      <c r="TTN105" s="1051"/>
      <c r="TTO105" s="1051"/>
      <c r="TTP105" s="1056"/>
      <c r="TTQ105" s="1157">
        <f t="shared" ref="TTQ105" si="3516">TTP102</f>
        <v>0</v>
      </c>
      <c r="TTR105" s="1051"/>
      <c r="TTS105" s="1051"/>
      <c r="TTT105" s="1056"/>
      <c r="TTU105" s="1157">
        <f t="shared" ref="TTU105" si="3517">TTT102</f>
        <v>0</v>
      </c>
      <c r="TTV105" s="1051"/>
      <c r="TTW105" s="1051"/>
      <c r="TTX105" s="1056"/>
      <c r="TTY105" s="1157">
        <f t="shared" ref="TTY105" si="3518">TTX102</f>
        <v>0</v>
      </c>
      <c r="TTZ105" s="1051"/>
      <c r="TUA105" s="1051"/>
      <c r="TUB105" s="1056"/>
      <c r="TUC105" s="1157">
        <f t="shared" ref="TUC105" si="3519">TUB102</f>
        <v>0</v>
      </c>
      <c r="TUD105" s="1051"/>
      <c r="TUE105" s="1051"/>
      <c r="TUF105" s="1056"/>
      <c r="TUG105" s="1157">
        <f t="shared" ref="TUG105" si="3520">TUF102</f>
        <v>0</v>
      </c>
      <c r="TUH105" s="1051"/>
      <c r="TUI105" s="1051"/>
      <c r="TUJ105" s="1056"/>
      <c r="TUK105" s="1157">
        <f t="shared" ref="TUK105" si="3521">TUJ102</f>
        <v>0</v>
      </c>
      <c r="TUL105" s="1051"/>
      <c r="TUM105" s="1051"/>
      <c r="TUN105" s="1056"/>
      <c r="TUO105" s="1157">
        <f t="shared" ref="TUO105" si="3522">TUN102</f>
        <v>0</v>
      </c>
      <c r="TUP105" s="1051"/>
      <c r="TUQ105" s="1051"/>
      <c r="TUR105" s="1056"/>
      <c r="TUS105" s="1157">
        <f t="shared" ref="TUS105" si="3523">TUR102</f>
        <v>0</v>
      </c>
      <c r="TUT105" s="1051"/>
      <c r="TUU105" s="1051"/>
      <c r="TUV105" s="1056"/>
      <c r="TUW105" s="1157">
        <f t="shared" ref="TUW105" si="3524">TUV102</f>
        <v>0</v>
      </c>
      <c r="TUX105" s="1051"/>
      <c r="TUY105" s="1051"/>
      <c r="TUZ105" s="1056"/>
      <c r="TVA105" s="1157">
        <f t="shared" ref="TVA105" si="3525">TUZ102</f>
        <v>0</v>
      </c>
      <c r="TVB105" s="1051"/>
      <c r="TVC105" s="1051"/>
      <c r="TVD105" s="1056"/>
      <c r="TVE105" s="1157">
        <f t="shared" ref="TVE105" si="3526">TVD102</f>
        <v>0</v>
      </c>
      <c r="TVF105" s="1051"/>
      <c r="TVG105" s="1051"/>
      <c r="TVH105" s="1056"/>
      <c r="TVI105" s="1157">
        <f t="shared" ref="TVI105" si="3527">TVH102</f>
        <v>0</v>
      </c>
      <c r="TVJ105" s="1051"/>
      <c r="TVK105" s="1051"/>
      <c r="TVL105" s="1056"/>
      <c r="TVM105" s="1157">
        <f t="shared" ref="TVM105" si="3528">TVL102</f>
        <v>0</v>
      </c>
      <c r="TVN105" s="1051"/>
      <c r="TVO105" s="1051"/>
      <c r="TVP105" s="1056"/>
      <c r="TVQ105" s="1157">
        <f t="shared" ref="TVQ105" si="3529">TVP102</f>
        <v>0</v>
      </c>
      <c r="TVR105" s="1051"/>
      <c r="TVS105" s="1051"/>
      <c r="TVT105" s="1056"/>
      <c r="TVU105" s="1157">
        <f t="shared" ref="TVU105" si="3530">TVT102</f>
        <v>0</v>
      </c>
      <c r="TVV105" s="1051"/>
      <c r="TVW105" s="1051"/>
      <c r="TVX105" s="1056"/>
      <c r="TVY105" s="1157">
        <f t="shared" ref="TVY105" si="3531">TVX102</f>
        <v>0</v>
      </c>
      <c r="TVZ105" s="1051"/>
      <c r="TWA105" s="1051"/>
      <c r="TWB105" s="1056"/>
      <c r="TWC105" s="1157">
        <f t="shared" ref="TWC105" si="3532">TWB102</f>
        <v>0</v>
      </c>
      <c r="TWD105" s="1051"/>
      <c r="TWE105" s="1051"/>
      <c r="TWF105" s="1056"/>
      <c r="TWG105" s="1157">
        <f t="shared" ref="TWG105" si="3533">TWF102</f>
        <v>0</v>
      </c>
      <c r="TWH105" s="1051"/>
      <c r="TWI105" s="1051"/>
      <c r="TWJ105" s="1056"/>
      <c r="TWK105" s="1157">
        <f t="shared" ref="TWK105" si="3534">TWJ102</f>
        <v>0</v>
      </c>
      <c r="TWL105" s="1051"/>
      <c r="TWM105" s="1051"/>
      <c r="TWN105" s="1056"/>
      <c r="TWO105" s="1157">
        <f t="shared" ref="TWO105" si="3535">TWN102</f>
        <v>0</v>
      </c>
      <c r="TWP105" s="1051"/>
      <c r="TWQ105" s="1051"/>
      <c r="TWR105" s="1056"/>
      <c r="TWS105" s="1157">
        <f t="shared" ref="TWS105" si="3536">TWR102</f>
        <v>0</v>
      </c>
      <c r="TWT105" s="1051"/>
      <c r="TWU105" s="1051"/>
      <c r="TWV105" s="1056"/>
      <c r="TWW105" s="1157">
        <f t="shared" ref="TWW105" si="3537">TWV102</f>
        <v>0</v>
      </c>
      <c r="TWX105" s="1051"/>
      <c r="TWY105" s="1051"/>
      <c r="TWZ105" s="1056"/>
      <c r="TXA105" s="1157">
        <f t="shared" ref="TXA105" si="3538">TWZ102</f>
        <v>0</v>
      </c>
      <c r="TXB105" s="1051"/>
      <c r="TXC105" s="1051"/>
      <c r="TXD105" s="1056"/>
      <c r="TXE105" s="1157">
        <f t="shared" ref="TXE105" si="3539">TXD102</f>
        <v>0</v>
      </c>
      <c r="TXF105" s="1051"/>
      <c r="TXG105" s="1051"/>
      <c r="TXH105" s="1056"/>
      <c r="TXI105" s="1157">
        <f t="shared" ref="TXI105" si="3540">TXH102</f>
        <v>0</v>
      </c>
      <c r="TXJ105" s="1051"/>
      <c r="TXK105" s="1051"/>
      <c r="TXL105" s="1056"/>
      <c r="TXM105" s="1157">
        <f t="shared" ref="TXM105" si="3541">TXL102</f>
        <v>0</v>
      </c>
      <c r="TXN105" s="1051"/>
      <c r="TXO105" s="1051"/>
      <c r="TXP105" s="1056"/>
      <c r="TXQ105" s="1157">
        <f t="shared" ref="TXQ105" si="3542">TXP102</f>
        <v>0</v>
      </c>
      <c r="TXR105" s="1051"/>
      <c r="TXS105" s="1051"/>
      <c r="TXT105" s="1056"/>
      <c r="TXU105" s="1157">
        <f t="shared" ref="TXU105" si="3543">TXT102</f>
        <v>0</v>
      </c>
      <c r="TXV105" s="1051"/>
      <c r="TXW105" s="1051"/>
      <c r="TXX105" s="1056"/>
      <c r="TXY105" s="1157">
        <f t="shared" ref="TXY105" si="3544">TXX102</f>
        <v>0</v>
      </c>
      <c r="TXZ105" s="1051"/>
      <c r="TYA105" s="1051"/>
      <c r="TYB105" s="1056"/>
      <c r="TYC105" s="1157">
        <f t="shared" ref="TYC105" si="3545">TYB102</f>
        <v>0</v>
      </c>
      <c r="TYD105" s="1051"/>
      <c r="TYE105" s="1051"/>
      <c r="TYF105" s="1056"/>
      <c r="TYG105" s="1157">
        <f t="shared" ref="TYG105" si="3546">TYF102</f>
        <v>0</v>
      </c>
      <c r="TYH105" s="1051"/>
      <c r="TYI105" s="1051"/>
      <c r="TYJ105" s="1056"/>
      <c r="TYK105" s="1157">
        <f t="shared" ref="TYK105" si="3547">TYJ102</f>
        <v>0</v>
      </c>
      <c r="TYL105" s="1051"/>
      <c r="TYM105" s="1051"/>
      <c r="TYN105" s="1056"/>
      <c r="TYO105" s="1157">
        <f t="shared" ref="TYO105" si="3548">TYN102</f>
        <v>0</v>
      </c>
      <c r="TYP105" s="1051"/>
      <c r="TYQ105" s="1051"/>
      <c r="TYR105" s="1056"/>
      <c r="TYS105" s="1157">
        <f t="shared" ref="TYS105" si="3549">TYR102</f>
        <v>0</v>
      </c>
      <c r="TYT105" s="1051"/>
      <c r="TYU105" s="1051"/>
      <c r="TYV105" s="1056"/>
      <c r="TYW105" s="1157">
        <f t="shared" ref="TYW105" si="3550">TYV102</f>
        <v>0</v>
      </c>
      <c r="TYX105" s="1051"/>
      <c r="TYY105" s="1051"/>
      <c r="TYZ105" s="1056"/>
      <c r="TZA105" s="1157">
        <f t="shared" ref="TZA105" si="3551">TYZ102</f>
        <v>0</v>
      </c>
      <c r="TZB105" s="1051"/>
      <c r="TZC105" s="1051"/>
      <c r="TZD105" s="1056"/>
      <c r="TZE105" s="1157">
        <f t="shared" ref="TZE105" si="3552">TZD102</f>
        <v>0</v>
      </c>
      <c r="TZF105" s="1051"/>
      <c r="TZG105" s="1051"/>
      <c r="TZH105" s="1056"/>
      <c r="TZI105" s="1157">
        <f t="shared" ref="TZI105" si="3553">TZH102</f>
        <v>0</v>
      </c>
      <c r="TZJ105" s="1051"/>
      <c r="TZK105" s="1051"/>
      <c r="TZL105" s="1056"/>
      <c r="TZM105" s="1157">
        <f t="shared" ref="TZM105" si="3554">TZL102</f>
        <v>0</v>
      </c>
      <c r="TZN105" s="1051"/>
      <c r="TZO105" s="1051"/>
      <c r="TZP105" s="1056"/>
      <c r="TZQ105" s="1157">
        <f t="shared" ref="TZQ105" si="3555">TZP102</f>
        <v>0</v>
      </c>
      <c r="TZR105" s="1051"/>
      <c r="TZS105" s="1051"/>
      <c r="TZT105" s="1056"/>
      <c r="TZU105" s="1157">
        <f t="shared" ref="TZU105" si="3556">TZT102</f>
        <v>0</v>
      </c>
      <c r="TZV105" s="1051"/>
      <c r="TZW105" s="1051"/>
      <c r="TZX105" s="1056"/>
      <c r="TZY105" s="1157">
        <f t="shared" ref="TZY105" si="3557">TZX102</f>
        <v>0</v>
      </c>
      <c r="TZZ105" s="1051"/>
      <c r="UAA105" s="1051"/>
      <c r="UAB105" s="1056"/>
      <c r="UAC105" s="1157">
        <f t="shared" ref="UAC105" si="3558">UAB102</f>
        <v>0</v>
      </c>
      <c r="UAD105" s="1051"/>
      <c r="UAE105" s="1051"/>
      <c r="UAF105" s="1056"/>
      <c r="UAG105" s="1157">
        <f t="shared" ref="UAG105" si="3559">UAF102</f>
        <v>0</v>
      </c>
      <c r="UAH105" s="1051"/>
      <c r="UAI105" s="1051"/>
      <c r="UAJ105" s="1056"/>
      <c r="UAK105" s="1157">
        <f t="shared" ref="UAK105" si="3560">UAJ102</f>
        <v>0</v>
      </c>
      <c r="UAL105" s="1051"/>
      <c r="UAM105" s="1051"/>
      <c r="UAN105" s="1056"/>
      <c r="UAO105" s="1157">
        <f t="shared" ref="UAO105" si="3561">UAN102</f>
        <v>0</v>
      </c>
      <c r="UAP105" s="1051"/>
      <c r="UAQ105" s="1051"/>
      <c r="UAR105" s="1056"/>
      <c r="UAS105" s="1157">
        <f t="shared" ref="UAS105" si="3562">UAR102</f>
        <v>0</v>
      </c>
      <c r="UAT105" s="1051"/>
      <c r="UAU105" s="1051"/>
      <c r="UAV105" s="1056"/>
      <c r="UAW105" s="1157">
        <f t="shared" ref="UAW105" si="3563">UAV102</f>
        <v>0</v>
      </c>
      <c r="UAX105" s="1051"/>
      <c r="UAY105" s="1051"/>
      <c r="UAZ105" s="1056"/>
      <c r="UBA105" s="1157">
        <f t="shared" ref="UBA105" si="3564">UAZ102</f>
        <v>0</v>
      </c>
      <c r="UBB105" s="1051"/>
      <c r="UBC105" s="1051"/>
      <c r="UBD105" s="1056"/>
      <c r="UBE105" s="1157">
        <f t="shared" ref="UBE105" si="3565">UBD102</f>
        <v>0</v>
      </c>
      <c r="UBF105" s="1051"/>
      <c r="UBG105" s="1051"/>
      <c r="UBH105" s="1056"/>
      <c r="UBI105" s="1157">
        <f t="shared" ref="UBI105" si="3566">UBH102</f>
        <v>0</v>
      </c>
      <c r="UBJ105" s="1051"/>
      <c r="UBK105" s="1051"/>
      <c r="UBL105" s="1056"/>
      <c r="UBM105" s="1157">
        <f t="shared" ref="UBM105" si="3567">UBL102</f>
        <v>0</v>
      </c>
      <c r="UBN105" s="1051"/>
      <c r="UBO105" s="1051"/>
      <c r="UBP105" s="1056"/>
      <c r="UBQ105" s="1157">
        <f t="shared" ref="UBQ105" si="3568">UBP102</f>
        <v>0</v>
      </c>
      <c r="UBR105" s="1051"/>
      <c r="UBS105" s="1051"/>
      <c r="UBT105" s="1056"/>
      <c r="UBU105" s="1157">
        <f t="shared" ref="UBU105" si="3569">UBT102</f>
        <v>0</v>
      </c>
      <c r="UBV105" s="1051"/>
      <c r="UBW105" s="1051"/>
      <c r="UBX105" s="1056"/>
      <c r="UBY105" s="1157">
        <f t="shared" ref="UBY105" si="3570">UBX102</f>
        <v>0</v>
      </c>
      <c r="UBZ105" s="1051"/>
      <c r="UCA105" s="1051"/>
      <c r="UCB105" s="1056"/>
      <c r="UCC105" s="1157">
        <f t="shared" ref="UCC105" si="3571">UCB102</f>
        <v>0</v>
      </c>
      <c r="UCD105" s="1051"/>
      <c r="UCE105" s="1051"/>
      <c r="UCF105" s="1056"/>
      <c r="UCG105" s="1157">
        <f t="shared" ref="UCG105" si="3572">UCF102</f>
        <v>0</v>
      </c>
      <c r="UCH105" s="1051"/>
      <c r="UCI105" s="1051"/>
      <c r="UCJ105" s="1056"/>
      <c r="UCK105" s="1157">
        <f t="shared" ref="UCK105" si="3573">UCJ102</f>
        <v>0</v>
      </c>
      <c r="UCL105" s="1051"/>
      <c r="UCM105" s="1051"/>
      <c r="UCN105" s="1056"/>
      <c r="UCO105" s="1157">
        <f t="shared" ref="UCO105" si="3574">UCN102</f>
        <v>0</v>
      </c>
      <c r="UCP105" s="1051"/>
      <c r="UCQ105" s="1051"/>
      <c r="UCR105" s="1056"/>
      <c r="UCS105" s="1157">
        <f t="shared" ref="UCS105" si="3575">UCR102</f>
        <v>0</v>
      </c>
      <c r="UCT105" s="1051"/>
      <c r="UCU105" s="1051"/>
      <c r="UCV105" s="1056"/>
      <c r="UCW105" s="1157">
        <f t="shared" ref="UCW105" si="3576">UCV102</f>
        <v>0</v>
      </c>
      <c r="UCX105" s="1051"/>
      <c r="UCY105" s="1051"/>
      <c r="UCZ105" s="1056"/>
      <c r="UDA105" s="1157">
        <f t="shared" ref="UDA105" si="3577">UCZ102</f>
        <v>0</v>
      </c>
      <c r="UDB105" s="1051"/>
      <c r="UDC105" s="1051"/>
      <c r="UDD105" s="1056"/>
      <c r="UDE105" s="1157">
        <f t="shared" ref="UDE105" si="3578">UDD102</f>
        <v>0</v>
      </c>
      <c r="UDF105" s="1051"/>
      <c r="UDG105" s="1051"/>
      <c r="UDH105" s="1056"/>
      <c r="UDI105" s="1157">
        <f t="shared" ref="UDI105" si="3579">UDH102</f>
        <v>0</v>
      </c>
      <c r="UDJ105" s="1051"/>
      <c r="UDK105" s="1051"/>
      <c r="UDL105" s="1056"/>
      <c r="UDM105" s="1157">
        <f t="shared" ref="UDM105" si="3580">UDL102</f>
        <v>0</v>
      </c>
      <c r="UDN105" s="1051"/>
      <c r="UDO105" s="1051"/>
      <c r="UDP105" s="1056"/>
      <c r="UDQ105" s="1157">
        <f t="shared" ref="UDQ105" si="3581">UDP102</f>
        <v>0</v>
      </c>
      <c r="UDR105" s="1051"/>
      <c r="UDS105" s="1051"/>
      <c r="UDT105" s="1056"/>
      <c r="UDU105" s="1157">
        <f t="shared" ref="UDU105" si="3582">UDT102</f>
        <v>0</v>
      </c>
      <c r="UDV105" s="1051"/>
      <c r="UDW105" s="1051"/>
      <c r="UDX105" s="1056"/>
      <c r="UDY105" s="1157">
        <f t="shared" ref="UDY105" si="3583">UDX102</f>
        <v>0</v>
      </c>
      <c r="UDZ105" s="1051"/>
      <c r="UEA105" s="1051"/>
      <c r="UEB105" s="1056"/>
      <c r="UEC105" s="1157">
        <f t="shared" ref="UEC105" si="3584">UEB102</f>
        <v>0</v>
      </c>
      <c r="UED105" s="1051"/>
      <c r="UEE105" s="1051"/>
      <c r="UEF105" s="1056"/>
      <c r="UEG105" s="1157">
        <f t="shared" ref="UEG105" si="3585">UEF102</f>
        <v>0</v>
      </c>
      <c r="UEH105" s="1051"/>
      <c r="UEI105" s="1051"/>
      <c r="UEJ105" s="1056"/>
      <c r="UEK105" s="1157">
        <f t="shared" ref="UEK105" si="3586">UEJ102</f>
        <v>0</v>
      </c>
      <c r="UEL105" s="1051"/>
      <c r="UEM105" s="1051"/>
      <c r="UEN105" s="1056"/>
      <c r="UEO105" s="1157">
        <f t="shared" ref="UEO105" si="3587">UEN102</f>
        <v>0</v>
      </c>
      <c r="UEP105" s="1051"/>
      <c r="UEQ105" s="1051"/>
      <c r="UER105" s="1056"/>
      <c r="UES105" s="1157">
        <f t="shared" ref="UES105" si="3588">UER102</f>
        <v>0</v>
      </c>
      <c r="UET105" s="1051"/>
      <c r="UEU105" s="1051"/>
      <c r="UEV105" s="1056"/>
      <c r="UEW105" s="1157">
        <f t="shared" ref="UEW105" si="3589">UEV102</f>
        <v>0</v>
      </c>
      <c r="UEX105" s="1051"/>
      <c r="UEY105" s="1051"/>
      <c r="UEZ105" s="1056"/>
      <c r="UFA105" s="1157">
        <f t="shared" ref="UFA105" si="3590">UEZ102</f>
        <v>0</v>
      </c>
      <c r="UFB105" s="1051"/>
      <c r="UFC105" s="1051"/>
      <c r="UFD105" s="1056"/>
      <c r="UFE105" s="1157">
        <f t="shared" ref="UFE105" si="3591">UFD102</f>
        <v>0</v>
      </c>
      <c r="UFF105" s="1051"/>
      <c r="UFG105" s="1051"/>
      <c r="UFH105" s="1056"/>
      <c r="UFI105" s="1157">
        <f t="shared" ref="UFI105" si="3592">UFH102</f>
        <v>0</v>
      </c>
      <c r="UFJ105" s="1051"/>
      <c r="UFK105" s="1051"/>
      <c r="UFL105" s="1056"/>
      <c r="UFM105" s="1157">
        <f t="shared" ref="UFM105" si="3593">UFL102</f>
        <v>0</v>
      </c>
      <c r="UFN105" s="1051"/>
      <c r="UFO105" s="1051"/>
      <c r="UFP105" s="1056"/>
      <c r="UFQ105" s="1157">
        <f t="shared" ref="UFQ105" si="3594">UFP102</f>
        <v>0</v>
      </c>
      <c r="UFR105" s="1051"/>
      <c r="UFS105" s="1051"/>
      <c r="UFT105" s="1056"/>
      <c r="UFU105" s="1157">
        <f t="shared" ref="UFU105" si="3595">UFT102</f>
        <v>0</v>
      </c>
      <c r="UFV105" s="1051"/>
      <c r="UFW105" s="1051"/>
      <c r="UFX105" s="1056"/>
      <c r="UFY105" s="1157">
        <f t="shared" ref="UFY105" si="3596">UFX102</f>
        <v>0</v>
      </c>
      <c r="UFZ105" s="1051"/>
      <c r="UGA105" s="1051"/>
      <c r="UGB105" s="1056"/>
      <c r="UGC105" s="1157">
        <f t="shared" ref="UGC105" si="3597">UGB102</f>
        <v>0</v>
      </c>
      <c r="UGD105" s="1051"/>
      <c r="UGE105" s="1051"/>
      <c r="UGF105" s="1056"/>
      <c r="UGG105" s="1157">
        <f t="shared" ref="UGG105" si="3598">UGF102</f>
        <v>0</v>
      </c>
      <c r="UGH105" s="1051"/>
      <c r="UGI105" s="1051"/>
      <c r="UGJ105" s="1056"/>
      <c r="UGK105" s="1157">
        <f t="shared" ref="UGK105" si="3599">UGJ102</f>
        <v>0</v>
      </c>
      <c r="UGL105" s="1051"/>
      <c r="UGM105" s="1051"/>
      <c r="UGN105" s="1056"/>
      <c r="UGO105" s="1157">
        <f t="shared" ref="UGO105" si="3600">UGN102</f>
        <v>0</v>
      </c>
      <c r="UGP105" s="1051"/>
      <c r="UGQ105" s="1051"/>
      <c r="UGR105" s="1056"/>
      <c r="UGS105" s="1157">
        <f t="shared" ref="UGS105" si="3601">UGR102</f>
        <v>0</v>
      </c>
      <c r="UGT105" s="1051"/>
      <c r="UGU105" s="1051"/>
      <c r="UGV105" s="1056"/>
      <c r="UGW105" s="1157">
        <f t="shared" ref="UGW105" si="3602">UGV102</f>
        <v>0</v>
      </c>
      <c r="UGX105" s="1051"/>
      <c r="UGY105" s="1051"/>
      <c r="UGZ105" s="1056"/>
      <c r="UHA105" s="1157">
        <f t="shared" ref="UHA105" si="3603">UGZ102</f>
        <v>0</v>
      </c>
      <c r="UHB105" s="1051"/>
      <c r="UHC105" s="1051"/>
      <c r="UHD105" s="1056"/>
      <c r="UHE105" s="1157">
        <f t="shared" ref="UHE105" si="3604">UHD102</f>
        <v>0</v>
      </c>
      <c r="UHF105" s="1051"/>
      <c r="UHG105" s="1051"/>
      <c r="UHH105" s="1056"/>
      <c r="UHI105" s="1157">
        <f t="shared" ref="UHI105" si="3605">UHH102</f>
        <v>0</v>
      </c>
      <c r="UHJ105" s="1051"/>
      <c r="UHK105" s="1051"/>
      <c r="UHL105" s="1056"/>
      <c r="UHM105" s="1157">
        <f t="shared" ref="UHM105" si="3606">UHL102</f>
        <v>0</v>
      </c>
      <c r="UHN105" s="1051"/>
      <c r="UHO105" s="1051"/>
      <c r="UHP105" s="1056"/>
      <c r="UHQ105" s="1157">
        <f t="shared" ref="UHQ105" si="3607">UHP102</f>
        <v>0</v>
      </c>
      <c r="UHR105" s="1051"/>
      <c r="UHS105" s="1051"/>
      <c r="UHT105" s="1056"/>
      <c r="UHU105" s="1157">
        <f t="shared" ref="UHU105" si="3608">UHT102</f>
        <v>0</v>
      </c>
      <c r="UHV105" s="1051"/>
      <c r="UHW105" s="1051"/>
      <c r="UHX105" s="1056"/>
      <c r="UHY105" s="1157">
        <f t="shared" ref="UHY105" si="3609">UHX102</f>
        <v>0</v>
      </c>
      <c r="UHZ105" s="1051"/>
      <c r="UIA105" s="1051"/>
      <c r="UIB105" s="1056"/>
      <c r="UIC105" s="1157">
        <f t="shared" ref="UIC105" si="3610">UIB102</f>
        <v>0</v>
      </c>
      <c r="UID105" s="1051"/>
      <c r="UIE105" s="1051"/>
      <c r="UIF105" s="1056"/>
      <c r="UIG105" s="1157">
        <f t="shared" ref="UIG105" si="3611">UIF102</f>
        <v>0</v>
      </c>
      <c r="UIH105" s="1051"/>
      <c r="UII105" s="1051"/>
      <c r="UIJ105" s="1056"/>
      <c r="UIK105" s="1157">
        <f t="shared" ref="UIK105" si="3612">UIJ102</f>
        <v>0</v>
      </c>
      <c r="UIL105" s="1051"/>
      <c r="UIM105" s="1051"/>
      <c r="UIN105" s="1056"/>
      <c r="UIO105" s="1157">
        <f t="shared" ref="UIO105" si="3613">UIN102</f>
        <v>0</v>
      </c>
      <c r="UIP105" s="1051"/>
      <c r="UIQ105" s="1051"/>
      <c r="UIR105" s="1056"/>
      <c r="UIS105" s="1157">
        <f t="shared" ref="UIS105" si="3614">UIR102</f>
        <v>0</v>
      </c>
      <c r="UIT105" s="1051"/>
      <c r="UIU105" s="1051"/>
      <c r="UIV105" s="1056"/>
      <c r="UIW105" s="1157">
        <f t="shared" ref="UIW105" si="3615">UIV102</f>
        <v>0</v>
      </c>
      <c r="UIX105" s="1051"/>
      <c r="UIY105" s="1051"/>
      <c r="UIZ105" s="1056"/>
      <c r="UJA105" s="1157">
        <f t="shared" ref="UJA105" si="3616">UIZ102</f>
        <v>0</v>
      </c>
      <c r="UJB105" s="1051"/>
      <c r="UJC105" s="1051"/>
      <c r="UJD105" s="1056"/>
      <c r="UJE105" s="1157">
        <f t="shared" ref="UJE105" si="3617">UJD102</f>
        <v>0</v>
      </c>
      <c r="UJF105" s="1051"/>
      <c r="UJG105" s="1051"/>
      <c r="UJH105" s="1056"/>
      <c r="UJI105" s="1157">
        <f t="shared" ref="UJI105" si="3618">UJH102</f>
        <v>0</v>
      </c>
      <c r="UJJ105" s="1051"/>
      <c r="UJK105" s="1051"/>
      <c r="UJL105" s="1056"/>
      <c r="UJM105" s="1157">
        <f t="shared" ref="UJM105" si="3619">UJL102</f>
        <v>0</v>
      </c>
      <c r="UJN105" s="1051"/>
      <c r="UJO105" s="1051"/>
      <c r="UJP105" s="1056"/>
      <c r="UJQ105" s="1157">
        <f t="shared" ref="UJQ105" si="3620">UJP102</f>
        <v>0</v>
      </c>
      <c r="UJR105" s="1051"/>
      <c r="UJS105" s="1051"/>
      <c r="UJT105" s="1056"/>
      <c r="UJU105" s="1157">
        <f t="shared" ref="UJU105" si="3621">UJT102</f>
        <v>0</v>
      </c>
      <c r="UJV105" s="1051"/>
      <c r="UJW105" s="1051"/>
      <c r="UJX105" s="1056"/>
      <c r="UJY105" s="1157">
        <f t="shared" ref="UJY105" si="3622">UJX102</f>
        <v>0</v>
      </c>
      <c r="UJZ105" s="1051"/>
      <c r="UKA105" s="1051"/>
      <c r="UKB105" s="1056"/>
      <c r="UKC105" s="1157">
        <f t="shared" ref="UKC105" si="3623">UKB102</f>
        <v>0</v>
      </c>
      <c r="UKD105" s="1051"/>
      <c r="UKE105" s="1051"/>
      <c r="UKF105" s="1056"/>
      <c r="UKG105" s="1157">
        <f t="shared" ref="UKG105" si="3624">UKF102</f>
        <v>0</v>
      </c>
      <c r="UKH105" s="1051"/>
      <c r="UKI105" s="1051"/>
      <c r="UKJ105" s="1056"/>
      <c r="UKK105" s="1157">
        <f t="shared" ref="UKK105" si="3625">UKJ102</f>
        <v>0</v>
      </c>
      <c r="UKL105" s="1051"/>
      <c r="UKM105" s="1051"/>
      <c r="UKN105" s="1056"/>
      <c r="UKO105" s="1157">
        <f t="shared" ref="UKO105" si="3626">UKN102</f>
        <v>0</v>
      </c>
      <c r="UKP105" s="1051"/>
      <c r="UKQ105" s="1051"/>
      <c r="UKR105" s="1056"/>
      <c r="UKS105" s="1157">
        <f t="shared" ref="UKS105" si="3627">UKR102</f>
        <v>0</v>
      </c>
      <c r="UKT105" s="1051"/>
      <c r="UKU105" s="1051"/>
      <c r="UKV105" s="1056"/>
      <c r="UKW105" s="1157">
        <f t="shared" ref="UKW105" si="3628">UKV102</f>
        <v>0</v>
      </c>
      <c r="UKX105" s="1051"/>
      <c r="UKY105" s="1051"/>
      <c r="UKZ105" s="1056"/>
      <c r="ULA105" s="1157">
        <f t="shared" ref="ULA105" si="3629">UKZ102</f>
        <v>0</v>
      </c>
      <c r="ULB105" s="1051"/>
      <c r="ULC105" s="1051"/>
      <c r="ULD105" s="1056"/>
      <c r="ULE105" s="1157">
        <f t="shared" ref="ULE105" si="3630">ULD102</f>
        <v>0</v>
      </c>
      <c r="ULF105" s="1051"/>
      <c r="ULG105" s="1051"/>
      <c r="ULH105" s="1056"/>
      <c r="ULI105" s="1157">
        <f t="shared" ref="ULI105" si="3631">ULH102</f>
        <v>0</v>
      </c>
      <c r="ULJ105" s="1051"/>
      <c r="ULK105" s="1051"/>
      <c r="ULL105" s="1056"/>
      <c r="ULM105" s="1157">
        <f t="shared" ref="ULM105" si="3632">ULL102</f>
        <v>0</v>
      </c>
      <c r="ULN105" s="1051"/>
      <c r="ULO105" s="1051"/>
      <c r="ULP105" s="1056"/>
      <c r="ULQ105" s="1157">
        <f t="shared" ref="ULQ105" si="3633">ULP102</f>
        <v>0</v>
      </c>
      <c r="ULR105" s="1051"/>
      <c r="ULS105" s="1051"/>
      <c r="ULT105" s="1056"/>
      <c r="ULU105" s="1157">
        <f t="shared" ref="ULU105" si="3634">ULT102</f>
        <v>0</v>
      </c>
      <c r="ULV105" s="1051"/>
      <c r="ULW105" s="1051"/>
      <c r="ULX105" s="1056"/>
      <c r="ULY105" s="1157">
        <f t="shared" ref="ULY105" si="3635">ULX102</f>
        <v>0</v>
      </c>
      <c r="ULZ105" s="1051"/>
      <c r="UMA105" s="1051"/>
      <c r="UMB105" s="1056"/>
      <c r="UMC105" s="1157">
        <f t="shared" ref="UMC105" si="3636">UMB102</f>
        <v>0</v>
      </c>
      <c r="UMD105" s="1051"/>
      <c r="UME105" s="1051"/>
      <c r="UMF105" s="1056"/>
      <c r="UMG105" s="1157">
        <f t="shared" ref="UMG105" si="3637">UMF102</f>
        <v>0</v>
      </c>
      <c r="UMH105" s="1051"/>
      <c r="UMI105" s="1051"/>
      <c r="UMJ105" s="1056"/>
      <c r="UMK105" s="1157">
        <f t="shared" ref="UMK105" si="3638">UMJ102</f>
        <v>0</v>
      </c>
      <c r="UML105" s="1051"/>
      <c r="UMM105" s="1051"/>
      <c r="UMN105" s="1056"/>
      <c r="UMO105" s="1157">
        <f t="shared" ref="UMO105" si="3639">UMN102</f>
        <v>0</v>
      </c>
      <c r="UMP105" s="1051"/>
      <c r="UMQ105" s="1051"/>
      <c r="UMR105" s="1056"/>
      <c r="UMS105" s="1157">
        <f t="shared" ref="UMS105" si="3640">UMR102</f>
        <v>0</v>
      </c>
      <c r="UMT105" s="1051"/>
      <c r="UMU105" s="1051"/>
      <c r="UMV105" s="1056"/>
      <c r="UMW105" s="1157">
        <f t="shared" ref="UMW105" si="3641">UMV102</f>
        <v>0</v>
      </c>
      <c r="UMX105" s="1051"/>
      <c r="UMY105" s="1051"/>
      <c r="UMZ105" s="1056"/>
      <c r="UNA105" s="1157">
        <f t="shared" ref="UNA105" si="3642">UMZ102</f>
        <v>0</v>
      </c>
      <c r="UNB105" s="1051"/>
      <c r="UNC105" s="1051"/>
      <c r="UND105" s="1056"/>
      <c r="UNE105" s="1157">
        <f t="shared" ref="UNE105" si="3643">UND102</f>
        <v>0</v>
      </c>
      <c r="UNF105" s="1051"/>
      <c r="UNG105" s="1051"/>
      <c r="UNH105" s="1056"/>
      <c r="UNI105" s="1157">
        <f t="shared" ref="UNI105" si="3644">UNH102</f>
        <v>0</v>
      </c>
      <c r="UNJ105" s="1051"/>
      <c r="UNK105" s="1051"/>
      <c r="UNL105" s="1056"/>
      <c r="UNM105" s="1157">
        <f t="shared" ref="UNM105" si="3645">UNL102</f>
        <v>0</v>
      </c>
      <c r="UNN105" s="1051"/>
      <c r="UNO105" s="1051"/>
      <c r="UNP105" s="1056"/>
      <c r="UNQ105" s="1157">
        <f t="shared" ref="UNQ105" si="3646">UNP102</f>
        <v>0</v>
      </c>
      <c r="UNR105" s="1051"/>
      <c r="UNS105" s="1051"/>
      <c r="UNT105" s="1056"/>
      <c r="UNU105" s="1157">
        <f t="shared" ref="UNU105" si="3647">UNT102</f>
        <v>0</v>
      </c>
      <c r="UNV105" s="1051"/>
      <c r="UNW105" s="1051"/>
      <c r="UNX105" s="1056"/>
      <c r="UNY105" s="1157">
        <f t="shared" ref="UNY105" si="3648">UNX102</f>
        <v>0</v>
      </c>
      <c r="UNZ105" s="1051"/>
      <c r="UOA105" s="1051"/>
      <c r="UOB105" s="1056"/>
      <c r="UOC105" s="1157">
        <f t="shared" ref="UOC105" si="3649">UOB102</f>
        <v>0</v>
      </c>
      <c r="UOD105" s="1051"/>
      <c r="UOE105" s="1051"/>
      <c r="UOF105" s="1056"/>
      <c r="UOG105" s="1157">
        <f t="shared" ref="UOG105" si="3650">UOF102</f>
        <v>0</v>
      </c>
      <c r="UOH105" s="1051"/>
      <c r="UOI105" s="1051"/>
      <c r="UOJ105" s="1056"/>
      <c r="UOK105" s="1157">
        <f t="shared" ref="UOK105" si="3651">UOJ102</f>
        <v>0</v>
      </c>
      <c r="UOL105" s="1051"/>
      <c r="UOM105" s="1051"/>
      <c r="UON105" s="1056"/>
      <c r="UOO105" s="1157">
        <f t="shared" ref="UOO105" si="3652">UON102</f>
        <v>0</v>
      </c>
      <c r="UOP105" s="1051"/>
      <c r="UOQ105" s="1051"/>
      <c r="UOR105" s="1056"/>
      <c r="UOS105" s="1157">
        <f t="shared" ref="UOS105" si="3653">UOR102</f>
        <v>0</v>
      </c>
      <c r="UOT105" s="1051"/>
      <c r="UOU105" s="1051"/>
      <c r="UOV105" s="1056"/>
      <c r="UOW105" s="1157">
        <f t="shared" ref="UOW105" si="3654">UOV102</f>
        <v>0</v>
      </c>
      <c r="UOX105" s="1051"/>
      <c r="UOY105" s="1051"/>
      <c r="UOZ105" s="1056"/>
      <c r="UPA105" s="1157">
        <f t="shared" ref="UPA105" si="3655">UOZ102</f>
        <v>0</v>
      </c>
      <c r="UPB105" s="1051"/>
      <c r="UPC105" s="1051"/>
      <c r="UPD105" s="1056"/>
      <c r="UPE105" s="1157">
        <f t="shared" ref="UPE105" si="3656">UPD102</f>
        <v>0</v>
      </c>
      <c r="UPF105" s="1051"/>
      <c r="UPG105" s="1051"/>
      <c r="UPH105" s="1056"/>
      <c r="UPI105" s="1157">
        <f t="shared" ref="UPI105" si="3657">UPH102</f>
        <v>0</v>
      </c>
      <c r="UPJ105" s="1051"/>
      <c r="UPK105" s="1051"/>
      <c r="UPL105" s="1056"/>
      <c r="UPM105" s="1157">
        <f t="shared" ref="UPM105" si="3658">UPL102</f>
        <v>0</v>
      </c>
      <c r="UPN105" s="1051"/>
      <c r="UPO105" s="1051"/>
      <c r="UPP105" s="1056"/>
      <c r="UPQ105" s="1157">
        <f t="shared" ref="UPQ105" si="3659">UPP102</f>
        <v>0</v>
      </c>
      <c r="UPR105" s="1051"/>
      <c r="UPS105" s="1051"/>
      <c r="UPT105" s="1056"/>
      <c r="UPU105" s="1157">
        <f t="shared" ref="UPU105" si="3660">UPT102</f>
        <v>0</v>
      </c>
      <c r="UPV105" s="1051"/>
      <c r="UPW105" s="1051"/>
      <c r="UPX105" s="1056"/>
      <c r="UPY105" s="1157">
        <f t="shared" ref="UPY105" si="3661">UPX102</f>
        <v>0</v>
      </c>
      <c r="UPZ105" s="1051"/>
      <c r="UQA105" s="1051"/>
      <c r="UQB105" s="1056"/>
      <c r="UQC105" s="1157">
        <f t="shared" ref="UQC105" si="3662">UQB102</f>
        <v>0</v>
      </c>
      <c r="UQD105" s="1051"/>
      <c r="UQE105" s="1051"/>
      <c r="UQF105" s="1056"/>
      <c r="UQG105" s="1157">
        <f t="shared" ref="UQG105" si="3663">UQF102</f>
        <v>0</v>
      </c>
      <c r="UQH105" s="1051"/>
      <c r="UQI105" s="1051"/>
      <c r="UQJ105" s="1056"/>
      <c r="UQK105" s="1157">
        <f t="shared" ref="UQK105" si="3664">UQJ102</f>
        <v>0</v>
      </c>
      <c r="UQL105" s="1051"/>
      <c r="UQM105" s="1051"/>
      <c r="UQN105" s="1056"/>
      <c r="UQO105" s="1157">
        <f t="shared" ref="UQO105" si="3665">UQN102</f>
        <v>0</v>
      </c>
      <c r="UQP105" s="1051"/>
      <c r="UQQ105" s="1051"/>
      <c r="UQR105" s="1056"/>
      <c r="UQS105" s="1157">
        <f t="shared" ref="UQS105" si="3666">UQR102</f>
        <v>0</v>
      </c>
      <c r="UQT105" s="1051"/>
      <c r="UQU105" s="1051"/>
      <c r="UQV105" s="1056"/>
      <c r="UQW105" s="1157">
        <f t="shared" ref="UQW105" si="3667">UQV102</f>
        <v>0</v>
      </c>
      <c r="UQX105" s="1051"/>
      <c r="UQY105" s="1051"/>
      <c r="UQZ105" s="1056"/>
      <c r="URA105" s="1157">
        <f t="shared" ref="URA105" si="3668">UQZ102</f>
        <v>0</v>
      </c>
      <c r="URB105" s="1051"/>
      <c r="URC105" s="1051"/>
      <c r="URD105" s="1056"/>
      <c r="URE105" s="1157">
        <f t="shared" ref="URE105" si="3669">URD102</f>
        <v>0</v>
      </c>
      <c r="URF105" s="1051"/>
      <c r="URG105" s="1051"/>
      <c r="URH105" s="1056"/>
      <c r="URI105" s="1157">
        <f t="shared" ref="URI105" si="3670">URH102</f>
        <v>0</v>
      </c>
      <c r="URJ105" s="1051"/>
      <c r="URK105" s="1051"/>
      <c r="URL105" s="1056"/>
      <c r="URM105" s="1157">
        <f t="shared" ref="URM105" si="3671">URL102</f>
        <v>0</v>
      </c>
      <c r="URN105" s="1051"/>
      <c r="URO105" s="1051"/>
      <c r="URP105" s="1056"/>
      <c r="URQ105" s="1157">
        <f t="shared" ref="URQ105" si="3672">URP102</f>
        <v>0</v>
      </c>
      <c r="URR105" s="1051"/>
      <c r="URS105" s="1051"/>
      <c r="URT105" s="1056"/>
      <c r="URU105" s="1157">
        <f t="shared" ref="URU105" si="3673">URT102</f>
        <v>0</v>
      </c>
      <c r="URV105" s="1051"/>
      <c r="URW105" s="1051"/>
      <c r="URX105" s="1056"/>
      <c r="URY105" s="1157">
        <f t="shared" ref="URY105" si="3674">URX102</f>
        <v>0</v>
      </c>
      <c r="URZ105" s="1051"/>
      <c r="USA105" s="1051"/>
      <c r="USB105" s="1056"/>
      <c r="USC105" s="1157">
        <f t="shared" ref="USC105" si="3675">USB102</f>
        <v>0</v>
      </c>
      <c r="USD105" s="1051"/>
      <c r="USE105" s="1051"/>
      <c r="USF105" s="1056"/>
      <c r="USG105" s="1157">
        <f t="shared" ref="USG105" si="3676">USF102</f>
        <v>0</v>
      </c>
      <c r="USH105" s="1051"/>
      <c r="USI105" s="1051"/>
      <c r="USJ105" s="1056"/>
      <c r="USK105" s="1157">
        <f t="shared" ref="USK105" si="3677">USJ102</f>
        <v>0</v>
      </c>
      <c r="USL105" s="1051"/>
      <c r="USM105" s="1051"/>
      <c r="USN105" s="1056"/>
      <c r="USO105" s="1157">
        <f t="shared" ref="USO105" si="3678">USN102</f>
        <v>0</v>
      </c>
      <c r="USP105" s="1051"/>
      <c r="USQ105" s="1051"/>
      <c r="USR105" s="1056"/>
      <c r="USS105" s="1157">
        <f t="shared" ref="USS105" si="3679">USR102</f>
        <v>0</v>
      </c>
      <c r="UST105" s="1051"/>
      <c r="USU105" s="1051"/>
      <c r="USV105" s="1056"/>
      <c r="USW105" s="1157">
        <f t="shared" ref="USW105" si="3680">USV102</f>
        <v>0</v>
      </c>
      <c r="USX105" s="1051"/>
      <c r="USY105" s="1051"/>
      <c r="USZ105" s="1056"/>
      <c r="UTA105" s="1157">
        <f t="shared" ref="UTA105" si="3681">USZ102</f>
        <v>0</v>
      </c>
      <c r="UTB105" s="1051"/>
      <c r="UTC105" s="1051"/>
      <c r="UTD105" s="1056"/>
      <c r="UTE105" s="1157">
        <f t="shared" ref="UTE105" si="3682">UTD102</f>
        <v>0</v>
      </c>
      <c r="UTF105" s="1051"/>
      <c r="UTG105" s="1051"/>
      <c r="UTH105" s="1056"/>
      <c r="UTI105" s="1157">
        <f t="shared" ref="UTI105" si="3683">UTH102</f>
        <v>0</v>
      </c>
      <c r="UTJ105" s="1051"/>
      <c r="UTK105" s="1051"/>
      <c r="UTL105" s="1056"/>
      <c r="UTM105" s="1157">
        <f t="shared" ref="UTM105" si="3684">UTL102</f>
        <v>0</v>
      </c>
      <c r="UTN105" s="1051"/>
      <c r="UTO105" s="1051"/>
      <c r="UTP105" s="1056"/>
      <c r="UTQ105" s="1157">
        <f t="shared" ref="UTQ105" si="3685">UTP102</f>
        <v>0</v>
      </c>
      <c r="UTR105" s="1051"/>
      <c r="UTS105" s="1051"/>
      <c r="UTT105" s="1056"/>
      <c r="UTU105" s="1157">
        <f t="shared" ref="UTU105" si="3686">UTT102</f>
        <v>0</v>
      </c>
      <c r="UTV105" s="1051"/>
      <c r="UTW105" s="1051"/>
      <c r="UTX105" s="1056"/>
      <c r="UTY105" s="1157">
        <f t="shared" ref="UTY105" si="3687">UTX102</f>
        <v>0</v>
      </c>
      <c r="UTZ105" s="1051"/>
      <c r="UUA105" s="1051"/>
      <c r="UUB105" s="1056"/>
      <c r="UUC105" s="1157">
        <f t="shared" ref="UUC105" si="3688">UUB102</f>
        <v>0</v>
      </c>
      <c r="UUD105" s="1051"/>
      <c r="UUE105" s="1051"/>
      <c r="UUF105" s="1056"/>
      <c r="UUG105" s="1157">
        <f t="shared" ref="UUG105" si="3689">UUF102</f>
        <v>0</v>
      </c>
      <c r="UUH105" s="1051"/>
      <c r="UUI105" s="1051"/>
      <c r="UUJ105" s="1056"/>
      <c r="UUK105" s="1157">
        <f t="shared" ref="UUK105" si="3690">UUJ102</f>
        <v>0</v>
      </c>
      <c r="UUL105" s="1051"/>
      <c r="UUM105" s="1051"/>
      <c r="UUN105" s="1056"/>
      <c r="UUO105" s="1157">
        <f t="shared" ref="UUO105" si="3691">UUN102</f>
        <v>0</v>
      </c>
      <c r="UUP105" s="1051"/>
      <c r="UUQ105" s="1051"/>
      <c r="UUR105" s="1056"/>
      <c r="UUS105" s="1157">
        <f t="shared" ref="UUS105" si="3692">UUR102</f>
        <v>0</v>
      </c>
      <c r="UUT105" s="1051"/>
      <c r="UUU105" s="1051"/>
      <c r="UUV105" s="1056"/>
      <c r="UUW105" s="1157">
        <f t="shared" ref="UUW105" si="3693">UUV102</f>
        <v>0</v>
      </c>
      <c r="UUX105" s="1051"/>
      <c r="UUY105" s="1051"/>
      <c r="UUZ105" s="1056"/>
      <c r="UVA105" s="1157">
        <f t="shared" ref="UVA105" si="3694">UUZ102</f>
        <v>0</v>
      </c>
      <c r="UVB105" s="1051"/>
      <c r="UVC105" s="1051"/>
      <c r="UVD105" s="1056"/>
      <c r="UVE105" s="1157">
        <f t="shared" ref="UVE105" si="3695">UVD102</f>
        <v>0</v>
      </c>
      <c r="UVF105" s="1051"/>
      <c r="UVG105" s="1051"/>
      <c r="UVH105" s="1056"/>
      <c r="UVI105" s="1157">
        <f t="shared" ref="UVI105" si="3696">UVH102</f>
        <v>0</v>
      </c>
      <c r="UVJ105" s="1051"/>
      <c r="UVK105" s="1051"/>
      <c r="UVL105" s="1056"/>
      <c r="UVM105" s="1157">
        <f t="shared" ref="UVM105" si="3697">UVL102</f>
        <v>0</v>
      </c>
      <c r="UVN105" s="1051"/>
      <c r="UVO105" s="1051"/>
      <c r="UVP105" s="1056"/>
      <c r="UVQ105" s="1157">
        <f t="shared" ref="UVQ105" si="3698">UVP102</f>
        <v>0</v>
      </c>
      <c r="UVR105" s="1051"/>
      <c r="UVS105" s="1051"/>
      <c r="UVT105" s="1056"/>
      <c r="UVU105" s="1157">
        <f t="shared" ref="UVU105" si="3699">UVT102</f>
        <v>0</v>
      </c>
      <c r="UVV105" s="1051"/>
      <c r="UVW105" s="1051"/>
      <c r="UVX105" s="1056"/>
      <c r="UVY105" s="1157">
        <f t="shared" ref="UVY105" si="3700">UVX102</f>
        <v>0</v>
      </c>
      <c r="UVZ105" s="1051"/>
      <c r="UWA105" s="1051"/>
      <c r="UWB105" s="1056"/>
      <c r="UWC105" s="1157">
        <f t="shared" ref="UWC105" si="3701">UWB102</f>
        <v>0</v>
      </c>
      <c r="UWD105" s="1051"/>
      <c r="UWE105" s="1051"/>
      <c r="UWF105" s="1056"/>
      <c r="UWG105" s="1157">
        <f t="shared" ref="UWG105" si="3702">UWF102</f>
        <v>0</v>
      </c>
      <c r="UWH105" s="1051"/>
      <c r="UWI105" s="1051"/>
      <c r="UWJ105" s="1056"/>
      <c r="UWK105" s="1157">
        <f t="shared" ref="UWK105" si="3703">UWJ102</f>
        <v>0</v>
      </c>
      <c r="UWL105" s="1051"/>
      <c r="UWM105" s="1051"/>
      <c r="UWN105" s="1056"/>
      <c r="UWO105" s="1157">
        <f t="shared" ref="UWO105" si="3704">UWN102</f>
        <v>0</v>
      </c>
      <c r="UWP105" s="1051"/>
      <c r="UWQ105" s="1051"/>
      <c r="UWR105" s="1056"/>
      <c r="UWS105" s="1157">
        <f t="shared" ref="UWS105" si="3705">UWR102</f>
        <v>0</v>
      </c>
      <c r="UWT105" s="1051"/>
      <c r="UWU105" s="1051"/>
      <c r="UWV105" s="1056"/>
      <c r="UWW105" s="1157">
        <f t="shared" ref="UWW105" si="3706">UWV102</f>
        <v>0</v>
      </c>
      <c r="UWX105" s="1051"/>
      <c r="UWY105" s="1051"/>
      <c r="UWZ105" s="1056"/>
      <c r="UXA105" s="1157">
        <f t="shared" ref="UXA105" si="3707">UWZ102</f>
        <v>0</v>
      </c>
      <c r="UXB105" s="1051"/>
      <c r="UXC105" s="1051"/>
      <c r="UXD105" s="1056"/>
      <c r="UXE105" s="1157">
        <f t="shared" ref="UXE105" si="3708">UXD102</f>
        <v>0</v>
      </c>
      <c r="UXF105" s="1051"/>
      <c r="UXG105" s="1051"/>
      <c r="UXH105" s="1056"/>
      <c r="UXI105" s="1157">
        <f t="shared" ref="UXI105" si="3709">UXH102</f>
        <v>0</v>
      </c>
      <c r="UXJ105" s="1051"/>
      <c r="UXK105" s="1051"/>
      <c r="UXL105" s="1056"/>
      <c r="UXM105" s="1157">
        <f t="shared" ref="UXM105" si="3710">UXL102</f>
        <v>0</v>
      </c>
      <c r="UXN105" s="1051"/>
      <c r="UXO105" s="1051"/>
      <c r="UXP105" s="1056"/>
      <c r="UXQ105" s="1157">
        <f t="shared" ref="UXQ105" si="3711">UXP102</f>
        <v>0</v>
      </c>
      <c r="UXR105" s="1051"/>
      <c r="UXS105" s="1051"/>
      <c r="UXT105" s="1056"/>
      <c r="UXU105" s="1157">
        <f t="shared" ref="UXU105" si="3712">UXT102</f>
        <v>0</v>
      </c>
      <c r="UXV105" s="1051"/>
      <c r="UXW105" s="1051"/>
      <c r="UXX105" s="1056"/>
      <c r="UXY105" s="1157">
        <f t="shared" ref="UXY105" si="3713">UXX102</f>
        <v>0</v>
      </c>
      <c r="UXZ105" s="1051"/>
      <c r="UYA105" s="1051"/>
      <c r="UYB105" s="1056"/>
      <c r="UYC105" s="1157">
        <f t="shared" ref="UYC105" si="3714">UYB102</f>
        <v>0</v>
      </c>
      <c r="UYD105" s="1051"/>
      <c r="UYE105" s="1051"/>
      <c r="UYF105" s="1056"/>
      <c r="UYG105" s="1157">
        <f t="shared" ref="UYG105" si="3715">UYF102</f>
        <v>0</v>
      </c>
      <c r="UYH105" s="1051"/>
      <c r="UYI105" s="1051"/>
      <c r="UYJ105" s="1056"/>
      <c r="UYK105" s="1157">
        <f t="shared" ref="UYK105" si="3716">UYJ102</f>
        <v>0</v>
      </c>
      <c r="UYL105" s="1051"/>
      <c r="UYM105" s="1051"/>
      <c r="UYN105" s="1056"/>
      <c r="UYO105" s="1157">
        <f t="shared" ref="UYO105" si="3717">UYN102</f>
        <v>0</v>
      </c>
      <c r="UYP105" s="1051"/>
      <c r="UYQ105" s="1051"/>
      <c r="UYR105" s="1056"/>
      <c r="UYS105" s="1157">
        <f t="shared" ref="UYS105" si="3718">UYR102</f>
        <v>0</v>
      </c>
      <c r="UYT105" s="1051"/>
      <c r="UYU105" s="1051"/>
      <c r="UYV105" s="1056"/>
      <c r="UYW105" s="1157">
        <f t="shared" ref="UYW105" si="3719">UYV102</f>
        <v>0</v>
      </c>
      <c r="UYX105" s="1051"/>
      <c r="UYY105" s="1051"/>
      <c r="UYZ105" s="1056"/>
      <c r="UZA105" s="1157">
        <f t="shared" ref="UZA105" si="3720">UYZ102</f>
        <v>0</v>
      </c>
      <c r="UZB105" s="1051"/>
      <c r="UZC105" s="1051"/>
      <c r="UZD105" s="1056"/>
      <c r="UZE105" s="1157">
        <f t="shared" ref="UZE105" si="3721">UZD102</f>
        <v>0</v>
      </c>
      <c r="UZF105" s="1051"/>
      <c r="UZG105" s="1051"/>
      <c r="UZH105" s="1056"/>
      <c r="UZI105" s="1157">
        <f t="shared" ref="UZI105" si="3722">UZH102</f>
        <v>0</v>
      </c>
      <c r="UZJ105" s="1051"/>
      <c r="UZK105" s="1051"/>
      <c r="UZL105" s="1056"/>
      <c r="UZM105" s="1157">
        <f t="shared" ref="UZM105" si="3723">UZL102</f>
        <v>0</v>
      </c>
      <c r="UZN105" s="1051"/>
      <c r="UZO105" s="1051"/>
      <c r="UZP105" s="1056"/>
      <c r="UZQ105" s="1157">
        <f t="shared" ref="UZQ105" si="3724">UZP102</f>
        <v>0</v>
      </c>
      <c r="UZR105" s="1051"/>
      <c r="UZS105" s="1051"/>
      <c r="UZT105" s="1056"/>
      <c r="UZU105" s="1157">
        <f t="shared" ref="UZU105" si="3725">UZT102</f>
        <v>0</v>
      </c>
      <c r="UZV105" s="1051"/>
      <c r="UZW105" s="1051"/>
      <c r="UZX105" s="1056"/>
      <c r="UZY105" s="1157">
        <f t="shared" ref="UZY105" si="3726">UZX102</f>
        <v>0</v>
      </c>
      <c r="UZZ105" s="1051"/>
      <c r="VAA105" s="1051"/>
      <c r="VAB105" s="1056"/>
      <c r="VAC105" s="1157">
        <f t="shared" ref="VAC105" si="3727">VAB102</f>
        <v>0</v>
      </c>
      <c r="VAD105" s="1051"/>
      <c r="VAE105" s="1051"/>
      <c r="VAF105" s="1056"/>
      <c r="VAG105" s="1157">
        <f t="shared" ref="VAG105" si="3728">VAF102</f>
        <v>0</v>
      </c>
      <c r="VAH105" s="1051"/>
      <c r="VAI105" s="1051"/>
      <c r="VAJ105" s="1056"/>
      <c r="VAK105" s="1157">
        <f t="shared" ref="VAK105" si="3729">VAJ102</f>
        <v>0</v>
      </c>
      <c r="VAL105" s="1051"/>
      <c r="VAM105" s="1051"/>
      <c r="VAN105" s="1056"/>
      <c r="VAO105" s="1157">
        <f t="shared" ref="VAO105" si="3730">VAN102</f>
        <v>0</v>
      </c>
      <c r="VAP105" s="1051"/>
      <c r="VAQ105" s="1051"/>
      <c r="VAR105" s="1056"/>
      <c r="VAS105" s="1157">
        <f t="shared" ref="VAS105" si="3731">VAR102</f>
        <v>0</v>
      </c>
      <c r="VAT105" s="1051"/>
      <c r="VAU105" s="1051"/>
      <c r="VAV105" s="1056"/>
      <c r="VAW105" s="1157">
        <f t="shared" ref="VAW105" si="3732">VAV102</f>
        <v>0</v>
      </c>
      <c r="VAX105" s="1051"/>
      <c r="VAY105" s="1051"/>
      <c r="VAZ105" s="1056"/>
      <c r="VBA105" s="1157">
        <f t="shared" ref="VBA105" si="3733">VAZ102</f>
        <v>0</v>
      </c>
      <c r="VBB105" s="1051"/>
      <c r="VBC105" s="1051"/>
      <c r="VBD105" s="1056"/>
      <c r="VBE105" s="1157">
        <f t="shared" ref="VBE105" si="3734">VBD102</f>
        <v>0</v>
      </c>
      <c r="VBF105" s="1051"/>
      <c r="VBG105" s="1051"/>
      <c r="VBH105" s="1056"/>
      <c r="VBI105" s="1157">
        <f t="shared" ref="VBI105" si="3735">VBH102</f>
        <v>0</v>
      </c>
      <c r="VBJ105" s="1051"/>
      <c r="VBK105" s="1051"/>
      <c r="VBL105" s="1056"/>
      <c r="VBM105" s="1157">
        <f t="shared" ref="VBM105" si="3736">VBL102</f>
        <v>0</v>
      </c>
      <c r="VBN105" s="1051"/>
      <c r="VBO105" s="1051"/>
      <c r="VBP105" s="1056"/>
      <c r="VBQ105" s="1157">
        <f t="shared" ref="VBQ105" si="3737">VBP102</f>
        <v>0</v>
      </c>
      <c r="VBR105" s="1051"/>
      <c r="VBS105" s="1051"/>
      <c r="VBT105" s="1056"/>
      <c r="VBU105" s="1157">
        <f t="shared" ref="VBU105" si="3738">VBT102</f>
        <v>0</v>
      </c>
      <c r="VBV105" s="1051"/>
      <c r="VBW105" s="1051"/>
      <c r="VBX105" s="1056"/>
      <c r="VBY105" s="1157">
        <f t="shared" ref="VBY105" si="3739">VBX102</f>
        <v>0</v>
      </c>
      <c r="VBZ105" s="1051"/>
      <c r="VCA105" s="1051"/>
      <c r="VCB105" s="1056"/>
      <c r="VCC105" s="1157">
        <f t="shared" ref="VCC105" si="3740">VCB102</f>
        <v>0</v>
      </c>
      <c r="VCD105" s="1051"/>
      <c r="VCE105" s="1051"/>
      <c r="VCF105" s="1056"/>
      <c r="VCG105" s="1157">
        <f t="shared" ref="VCG105" si="3741">VCF102</f>
        <v>0</v>
      </c>
      <c r="VCH105" s="1051"/>
      <c r="VCI105" s="1051"/>
      <c r="VCJ105" s="1056"/>
      <c r="VCK105" s="1157">
        <f t="shared" ref="VCK105" si="3742">VCJ102</f>
        <v>0</v>
      </c>
      <c r="VCL105" s="1051"/>
      <c r="VCM105" s="1051"/>
      <c r="VCN105" s="1056"/>
      <c r="VCO105" s="1157">
        <f t="shared" ref="VCO105" si="3743">VCN102</f>
        <v>0</v>
      </c>
      <c r="VCP105" s="1051"/>
      <c r="VCQ105" s="1051"/>
      <c r="VCR105" s="1056"/>
      <c r="VCS105" s="1157">
        <f t="shared" ref="VCS105" si="3744">VCR102</f>
        <v>0</v>
      </c>
      <c r="VCT105" s="1051"/>
      <c r="VCU105" s="1051"/>
      <c r="VCV105" s="1056"/>
      <c r="VCW105" s="1157">
        <f t="shared" ref="VCW105" si="3745">VCV102</f>
        <v>0</v>
      </c>
      <c r="VCX105" s="1051"/>
      <c r="VCY105" s="1051"/>
      <c r="VCZ105" s="1056"/>
      <c r="VDA105" s="1157">
        <f t="shared" ref="VDA105" si="3746">VCZ102</f>
        <v>0</v>
      </c>
      <c r="VDB105" s="1051"/>
      <c r="VDC105" s="1051"/>
      <c r="VDD105" s="1056"/>
      <c r="VDE105" s="1157">
        <f t="shared" ref="VDE105" si="3747">VDD102</f>
        <v>0</v>
      </c>
      <c r="VDF105" s="1051"/>
      <c r="VDG105" s="1051"/>
      <c r="VDH105" s="1056"/>
      <c r="VDI105" s="1157">
        <f t="shared" ref="VDI105" si="3748">VDH102</f>
        <v>0</v>
      </c>
      <c r="VDJ105" s="1051"/>
      <c r="VDK105" s="1051"/>
      <c r="VDL105" s="1056"/>
      <c r="VDM105" s="1157">
        <f t="shared" ref="VDM105" si="3749">VDL102</f>
        <v>0</v>
      </c>
      <c r="VDN105" s="1051"/>
      <c r="VDO105" s="1051"/>
      <c r="VDP105" s="1056"/>
      <c r="VDQ105" s="1157">
        <f t="shared" ref="VDQ105" si="3750">VDP102</f>
        <v>0</v>
      </c>
      <c r="VDR105" s="1051"/>
      <c r="VDS105" s="1051"/>
      <c r="VDT105" s="1056"/>
      <c r="VDU105" s="1157">
        <f t="shared" ref="VDU105" si="3751">VDT102</f>
        <v>0</v>
      </c>
      <c r="VDV105" s="1051"/>
      <c r="VDW105" s="1051"/>
      <c r="VDX105" s="1056"/>
      <c r="VDY105" s="1157">
        <f t="shared" ref="VDY105" si="3752">VDX102</f>
        <v>0</v>
      </c>
      <c r="VDZ105" s="1051"/>
      <c r="VEA105" s="1051"/>
      <c r="VEB105" s="1056"/>
      <c r="VEC105" s="1157">
        <f t="shared" ref="VEC105" si="3753">VEB102</f>
        <v>0</v>
      </c>
      <c r="VED105" s="1051"/>
      <c r="VEE105" s="1051"/>
      <c r="VEF105" s="1056"/>
      <c r="VEG105" s="1157">
        <f t="shared" ref="VEG105" si="3754">VEF102</f>
        <v>0</v>
      </c>
      <c r="VEH105" s="1051"/>
      <c r="VEI105" s="1051"/>
      <c r="VEJ105" s="1056"/>
      <c r="VEK105" s="1157">
        <f t="shared" ref="VEK105" si="3755">VEJ102</f>
        <v>0</v>
      </c>
      <c r="VEL105" s="1051"/>
      <c r="VEM105" s="1051"/>
      <c r="VEN105" s="1056"/>
      <c r="VEO105" s="1157">
        <f t="shared" ref="VEO105" si="3756">VEN102</f>
        <v>0</v>
      </c>
      <c r="VEP105" s="1051"/>
      <c r="VEQ105" s="1051"/>
      <c r="VER105" s="1056"/>
      <c r="VES105" s="1157">
        <f t="shared" ref="VES105" si="3757">VER102</f>
        <v>0</v>
      </c>
      <c r="VET105" s="1051"/>
      <c r="VEU105" s="1051"/>
      <c r="VEV105" s="1056"/>
      <c r="VEW105" s="1157">
        <f t="shared" ref="VEW105" si="3758">VEV102</f>
        <v>0</v>
      </c>
      <c r="VEX105" s="1051"/>
      <c r="VEY105" s="1051"/>
      <c r="VEZ105" s="1056"/>
      <c r="VFA105" s="1157">
        <f t="shared" ref="VFA105" si="3759">VEZ102</f>
        <v>0</v>
      </c>
      <c r="VFB105" s="1051"/>
      <c r="VFC105" s="1051"/>
      <c r="VFD105" s="1056"/>
      <c r="VFE105" s="1157">
        <f t="shared" ref="VFE105" si="3760">VFD102</f>
        <v>0</v>
      </c>
      <c r="VFF105" s="1051"/>
      <c r="VFG105" s="1051"/>
      <c r="VFH105" s="1056"/>
      <c r="VFI105" s="1157">
        <f t="shared" ref="VFI105" si="3761">VFH102</f>
        <v>0</v>
      </c>
      <c r="VFJ105" s="1051"/>
      <c r="VFK105" s="1051"/>
      <c r="VFL105" s="1056"/>
      <c r="VFM105" s="1157">
        <f t="shared" ref="VFM105" si="3762">VFL102</f>
        <v>0</v>
      </c>
      <c r="VFN105" s="1051"/>
      <c r="VFO105" s="1051"/>
      <c r="VFP105" s="1056"/>
      <c r="VFQ105" s="1157">
        <f t="shared" ref="VFQ105" si="3763">VFP102</f>
        <v>0</v>
      </c>
      <c r="VFR105" s="1051"/>
      <c r="VFS105" s="1051"/>
      <c r="VFT105" s="1056"/>
      <c r="VFU105" s="1157">
        <f t="shared" ref="VFU105" si="3764">VFT102</f>
        <v>0</v>
      </c>
      <c r="VFV105" s="1051"/>
      <c r="VFW105" s="1051"/>
      <c r="VFX105" s="1056"/>
      <c r="VFY105" s="1157">
        <f t="shared" ref="VFY105" si="3765">VFX102</f>
        <v>0</v>
      </c>
      <c r="VFZ105" s="1051"/>
      <c r="VGA105" s="1051"/>
      <c r="VGB105" s="1056"/>
      <c r="VGC105" s="1157">
        <f t="shared" ref="VGC105" si="3766">VGB102</f>
        <v>0</v>
      </c>
      <c r="VGD105" s="1051"/>
      <c r="VGE105" s="1051"/>
      <c r="VGF105" s="1056"/>
      <c r="VGG105" s="1157">
        <f t="shared" ref="VGG105" si="3767">VGF102</f>
        <v>0</v>
      </c>
      <c r="VGH105" s="1051"/>
      <c r="VGI105" s="1051"/>
      <c r="VGJ105" s="1056"/>
      <c r="VGK105" s="1157">
        <f t="shared" ref="VGK105" si="3768">VGJ102</f>
        <v>0</v>
      </c>
      <c r="VGL105" s="1051"/>
      <c r="VGM105" s="1051"/>
      <c r="VGN105" s="1056"/>
      <c r="VGO105" s="1157">
        <f t="shared" ref="VGO105" si="3769">VGN102</f>
        <v>0</v>
      </c>
      <c r="VGP105" s="1051"/>
      <c r="VGQ105" s="1051"/>
      <c r="VGR105" s="1056"/>
      <c r="VGS105" s="1157">
        <f t="shared" ref="VGS105" si="3770">VGR102</f>
        <v>0</v>
      </c>
      <c r="VGT105" s="1051"/>
      <c r="VGU105" s="1051"/>
      <c r="VGV105" s="1056"/>
      <c r="VGW105" s="1157">
        <f t="shared" ref="VGW105" si="3771">VGV102</f>
        <v>0</v>
      </c>
      <c r="VGX105" s="1051"/>
      <c r="VGY105" s="1051"/>
      <c r="VGZ105" s="1056"/>
      <c r="VHA105" s="1157">
        <f t="shared" ref="VHA105" si="3772">VGZ102</f>
        <v>0</v>
      </c>
      <c r="VHB105" s="1051"/>
      <c r="VHC105" s="1051"/>
      <c r="VHD105" s="1056"/>
      <c r="VHE105" s="1157">
        <f t="shared" ref="VHE105" si="3773">VHD102</f>
        <v>0</v>
      </c>
      <c r="VHF105" s="1051"/>
      <c r="VHG105" s="1051"/>
      <c r="VHH105" s="1056"/>
      <c r="VHI105" s="1157">
        <f t="shared" ref="VHI105" si="3774">VHH102</f>
        <v>0</v>
      </c>
      <c r="VHJ105" s="1051"/>
      <c r="VHK105" s="1051"/>
      <c r="VHL105" s="1056"/>
      <c r="VHM105" s="1157">
        <f t="shared" ref="VHM105" si="3775">VHL102</f>
        <v>0</v>
      </c>
      <c r="VHN105" s="1051"/>
      <c r="VHO105" s="1051"/>
      <c r="VHP105" s="1056"/>
      <c r="VHQ105" s="1157">
        <f t="shared" ref="VHQ105" si="3776">VHP102</f>
        <v>0</v>
      </c>
      <c r="VHR105" s="1051"/>
      <c r="VHS105" s="1051"/>
      <c r="VHT105" s="1056"/>
      <c r="VHU105" s="1157">
        <f t="shared" ref="VHU105" si="3777">VHT102</f>
        <v>0</v>
      </c>
      <c r="VHV105" s="1051"/>
      <c r="VHW105" s="1051"/>
      <c r="VHX105" s="1056"/>
      <c r="VHY105" s="1157">
        <f t="shared" ref="VHY105" si="3778">VHX102</f>
        <v>0</v>
      </c>
      <c r="VHZ105" s="1051"/>
      <c r="VIA105" s="1051"/>
      <c r="VIB105" s="1056"/>
      <c r="VIC105" s="1157">
        <f t="shared" ref="VIC105" si="3779">VIB102</f>
        <v>0</v>
      </c>
      <c r="VID105" s="1051"/>
      <c r="VIE105" s="1051"/>
      <c r="VIF105" s="1056"/>
      <c r="VIG105" s="1157">
        <f t="shared" ref="VIG105" si="3780">VIF102</f>
        <v>0</v>
      </c>
      <c r="VIH105" s="1051"/>
      <c r="VII105" s="1051"/>
      <c r="VIJ105" s="1056"/>
      <c r="VIK105" s="1157">
        <f t="shared" ref="VIK105" si="3781">VIJ102</f>
        <v>0</v>
      </c>
      <c r="VIL105" s="1051"/>
      <c r="VIM105" s="1051"/>
      <c r="VIN105" s="1056"/>
      <c r="VIO105" s="1157">
        <f t="shared" ref="VIO105" si="3782">VIN102</f>
        <v>0</v>
      </c>
      <c r="VIP105" s="1051"/>
      <c r="VIQ105" s="1051"/>
      <c r="VIR105" s="1056"/>
      <c r="VIS105" s="1157">
        <f t="shared" ref="VIS105" si="3783">VIR102</f>
        <v>0</v>
      </c>
      <c r="VIT105" s="1051"/>
      <c r="VIU105" s="1051"/>
      <c r="VIV105" s="1056"/>
      <c r="VIW105" s="1157">
        <f t="shared" ref="VIW105" si="3784">VIV102</f>
        <v>0</v>
      </c>
      <c r="VIX105" s="1051"/>
      <c r="VIY105" s="1051"/>
      <c r="VIZ105" s="1056"/>
      <c r="VJA105" s="1157">
        <f t="shared" ref="VJA105" si="3785">VIZ102</f>
        <v>0</v>
      </c>
      <c r="VJB105" s="1051"/>
      <c r="VJC105" s="1051"/>
      <c r="VJD105" s="1056"/>
      <c r="VJE105" s="1157">
        <f t="shared" ref="VJE105" si="3786">VJD102</f>
        <v>0</v>
      </c>
      <c r="VJF105" s="1051"/>
      <c r="VJG105" s="1051"/>
      <c r="VJH105" s="1056"/>
      <c r="VJI105" s="1157">
        <f t="shared" ref="VJI105" si="3787">VJH102</f>
        <v>0</v>
      </c>
      <c r="VJJ105" s="1051"/>
      <c r="VJK105" s="1051"/>
      <c r="VJL105" s="1056"/>
      <c r="VJM105" s="1157">
        <f t="shared" ref="VJM105" si="3788">VJL102</f>
        <v>0</v>
      </c>
      <c r="VJN105" s="1051"/>
      <c r="VJO105" s="1051"/>
      <c r="VJP105" s="1056"/>
      <c r="VJQ105" s="1157">
        <f t="shared" ref="VJQ105" si="3789">VJP102</f>
        <v>0</v>
      </c>
      <c r="VJR105" s="1051"/>
      <c r="VJS105" s="1051"/>
      <c r="VJT105" s="1056"/>
      <c r="VJU105" s="1157">
        <f t="shared" ref="VJU105" si="3790">VJT102</f>
        <v>0</v>
      </c>
      <c r="VJV105" s="1051"/>
      <c r="VJW105" s="1051"/>
      <c r="VJX105" s="1056"/>
      <c r="VJY105" s="1157">
        <f t="shared" ref="VJY105" si="3791">VJX102</f>
        <v>0</v>
      </c>
      <c r="VJZ105" s="1051"/>
      <c r="VKA105" s="1051"/>
      <c r="VKB105" s="1056"/>
      <c r="VKC105" s="1157">
        <f t="shared" ref="VKC105" si="3792">VKB102</f>
        <v>0</v>
      </c>
      <c r="VKD105" s="1051"/>
      <c r="VKE105" s="1051"/>
      <c r="VKF105" s="1056"/>
      <c r="VKG105" s="1157">
        <f t="shared" ref="VKG105" si="3793">VKF102</f>
        <v>0</v>
      </c>
      <c r="VKH105" s="1051"/>
      <c r="VKI105" s="1051"/>
      <c r="VKJ105" s="1056"/>
      <c r="VKK105" s="1157">
        <f t="shared" ref="VKK105" si="3794">VKJ102</f>
        <v>0</v>
      </c>
      <c r="VKL105" s="1051"/>
      <c r="VKM105" s="1051"/>
      <c r="VKN105" s="1056"/>
      <c r="VKO105" s="1157">
        <f t="shared" ref="VKO105" si="3795">VKN102</f>
        <v>0</v>
      </c>
      <c r="VKP105" s="1051"/>
      <c r="VKQ105" s="1051"/>
      <c r="VKR105" s="1056"/>
      <c r="VKS105" s="1157">
        <f t="shared" ref="VKS105" si="3796">VKR102</f>
        <v>0</v>
      </c>
      <c r="VKT105" s="1051"/>
      <c r="VKU105" s="1051"/>
      <c r="VKV105" s="1056"/>
      <c r="VKW105" s="1157">
        <f t="shared" ref="VKW105" si="3797">VKV102</f>
        <v>0</v>
      </c>
      <c r="VKX105" s="1051"/>
      <c r="VKY105" s="1051"/>
      <c r="VKZ105" s="1056"/>
      <c r="VLA105" s="1157">
        <f t="shared" ref="VLA105" si="3798">VKZ102</f>
        <v>0</v>
      </c>
      <c r="VLB105" s="1051"/>
      <c r="VLC105" s="1051"/>
      <c r="VLD105" s="1056"/>
      <c r="VLE105" s="1157">
        <f t="shared" ref="VLE105" si="3799">VLD102</f>
        <v>0</v>
      </c>
      <c r="VLF105" s="1051"/>
      <c r="VLG105" s="1051"/>
      <c r="VLH105" s="1056"/>
      <c r="VLI105" s="1157">
        <f t="shared" ref="VLI105" si="3800">VLH102</f>
        <v>0</v>
      </c>
      <c r="VLJ105" s="1051"/>
      <c r="VLK105" s="1051"/>
      <c r="VLL105" s="1056"/>
      <c r="VLM105" s="1157">
        <f t="shared" ref="VLM105" si="3801">VLL102</f>
        <v>0</v>
      </c>
      <c r="VLN105" s="1051"/>
      <c r="VLO105" s="1051"/>
      <c r="VLP105" s="1056"/>
      <c r="VLQ105" s="1157">
        <f t="shared" ref="VLQ105" si="3802">VLP102</f>
        <v>0</v>
      </c>
      <c r="VLR105" s="1051"/>
      <c r="VLS105" s="1051"/>
      <c r="VLT105" s="1056"/>
      <c r="VLU105" s="1157">
        <f t="shared" ref="VLU105" si="3803">VLT102</f>
        <v>0</v>
      </c>
      <c r="VLV105" s="1051"/>
      <c r="VLW105" s="1051"/>
      <c r="VLX105" s="1056"/>
      <c r="VLY105" s="1157">
        <f t="shared" ref="VLY105" si="3804">VLX102</f>
        <v>0</v>
      </c>
      <c r="VLZ105" s="1051"/>
      <c r="VMA105" s="1051"/>
      <c r="VMB105" s="1056"/>
      <c r="VMC105" s="1157">
        <f t="shared" ref="VMC105" si="3805">VMB102</f>
        <v>0</v>
      </c>
      <c r="VMD105" s="1051"/>
      <c r="VME105" s="1051"/>
      <c r="VMF105" s="1056"/>
      <c r="VMG105" s="1157">
        <f t="shared" ref="VMG105" si="3806">VMF102</f>
        <v>0</v>
      </c>
      <c r="VMH105" s="1051"/>
      <c r="VMI105" s="1051"/>
      <c r="VMJ105" s="1056"/>
      <c r="VMK105" s="1157">
        <f t="shared" ref="VMK105" si="3807">VMJ102</f>
        <v>0</v>
      </c>
      <c r="VML105" s="1051"/>
      <c r="VMM105" s="1051"/>
      <c r="VMN105" s="1056"/>
      <c r="VMO105" s="1157">
        <f t="shared" ref="VMO105" si="3808">VMN102</f>
        <v>0</v>
      </c>
      <c r="VMP105" s="1051"/>
      <c r="VMQ105" s="1051"/>
      <c r="VMR105" s="1056"/>
      <c r="VMS105" s="1157">
        <f t="shared" ref="VMS105" si="3809">VMR102</f>
        <v>0</v>
      </c>
      <c r="VMT105" s="1051"/>
      <c r="VMU105" s="1051"/>
      <c r="VMV105" s="1056"/>
      <c r="VMW105" s="1157">
        <f t="shared" ref="VMW105" si="3810">VMV102</f>
        <v>0</v>
      </c>
      <c r="VMX105" s="1051"/>
      <c r="VMY105" s="1051"/>
      <c r="VMZ105" s="1056"/>
      <c r="VNA105" s="1157">
        <f t="shared" ref="VNA105" si="3811">VMZ102</f>
        <v>0</v>
      </c>
      <c r="VNB105" s="1051"/>
      <c r="VNC105" s="1051"/>
      <c r="VND105" s="1056"/>
      <c r="VNE105" s="1157">
        <f t="shared" ref="VNE105" si="3812">VND102</f>
        <v>0</v>
      </c>
      <c r="VNF105" s="1051"/>
      <c r="VNG105" s="1051"/>
      <c r="VNH105" s="1056"/>
      <c r="VNI105" s="1157">
        <f t="shared" ref="VNI105" si="3813">VNH102</f>
        <v>0</v>
      </c>
      <c r="VNJ105" s="1051"/>
      <c r="VNK105" s="1051"/>
      <c r="VNL105" s="1056"/>
      <c r="VNM105" s="1157">
        <f t="shared" ref="VNM105" si="3814">VNL102</f>
        <v>0</v>
      </c>
      <c r="VNN105" s="1051"/>
      <c r="VNO105" s="1051"/>
      <c r="VNP105" s="1056"/>
      <c r="VNQ105" s="1157">
        <f t="shared" ref="VNQ105" si="3815">VNP102</f>
        <v>0</v>
      </c>
      <c r="VNR105" s="1051"/>
      <c r="VNS105" s="1051"/>
      <c r="VNT105" s="1056"/>
      <c r="VNU105" s="1157">
        <f t="shared" ref="VNU105" si="3816">VNT102</f>
        <v>0</v>
      </c>
      <c r="VNV105" s="1051"/>
      <c r="VNW105" s="1051"/>
      <c r="VNX105" s="1056"/>
      <c r="VNY105" s="1157">
        <f t="shared" ref="VNY105" si="3817">VNX102</f>
        <v>0</v>
      </c>
      <c r="VNZ105" s="1051"/>
      <c r="VOA105" s="1051"/>
      <c r="VOB105" s="1056"/>
      <c r="VOC105" s="1157">
        <f t="shared" ref="VOC105" si="3818">VOB102</f>
        <v>0</v>
      </c>
      <c r="VOD105" s="1051"/>
      <c r="VOE105" s="1051"/>
      <c r="VOF105" s="1056"/>
      <c r="VOG105" s="1157">
        <f t="shared" ref="VOG105" si="3819">VOF102</f>
        <v>0</v>
      </c>
      <c r="VOH105" s="1051"/>
      <c r="VOI105" s="1051"/>
      <c r="VOJ105" s="1056"/>
      <c r="VOK105" s="1157">
        <f t="shared" ref="VOK105" si="3820">VOJ102</f>
        <v>0</v>
      </c>
      <c r="VOL105" s="1051"/>
      <c r="VOM105" s="1051"/>
      <c r="VON105" s="1056"/>
      <c r="VOO105" s="1157">
        <f t="shared" ref="VOO105" si="3821">VON102</f>
        <v>0</v>
      </c>
      <c r="VOP105" s="1051"/>
      <c r="VOQ105" s="1051"/>
      <c r="VOR105" s="1056"/>
      <c r="VOS105" s="1157">
        <f t="shared" ref="VOS105" si="3822">VOR102</f>
        <v>0</v>
      </c>
      <c r="VOT105" s="1051"/>
      <c r="VOU105" s="1051"/>
      <c r="VOV105" s="1056"/>
      <c r="VOW105" s="1157">
        <f t="shared" ref="VOW105" si="3823">VOV102</f>
        <v>0</v>
      </c>
      <c r="VOX105" s="1051"/>
      <c r="VOY105" s="1051"/>
      <c r="VOZ105" s="1056"/>
      <c r="VPA105" s="1157">
        <f t="shared" ref="VPA105" si="3824">VOZ102</f>
        <v>0</v>
      </c>
      <c r="VPB105" s="1051"/>
      <c r="VPC105" s="1051"/>
      <c r="VPD105" s="1056"/>
      <c r="VPE105" s="1157">
        <f t="shared" ref="VPE105" si="3825">VPD102</f>
        <v>0</v>
      </c>
      <c r="VPF105" s="1051"/>
      <c r="VPG105" s="1051"/>
      <c r="VPH105" s="1056"/>
      <c r="VPI105" s="1157">
        <f t="shared" ref="VPI105" si="3826">VPH102</f>
        <v>0</v>
      </c>
      <c r="VPJ105" s="1051"/>
      <c r="VPK105" s="1051"/>
      <c r="VPL105" s="1056"/>
      <c r="VPM105" s="1157">
        <f t="shared" ref="VPM105" si="3827">VPL102</f>
        <v>0</v>
      </c>
      <c r="VPN105" s="1051"/>
      <c r="VPO105" s="1051"/>
      <c r="VPP105" s="1056"/>
      <c r="VPQ105" s="1157">
        <f t="shared" ref="VPQ105" si="3828">VPP102</f>
        <v>0</v>
      </c>
      <c r="VPR105" s="1051"/>
      <c r="VPS105" s="1051"/>
      <c r="VPT105" s="1056"/>
      <c r="VPU105" s="1157">
        <f t="shared" ref="VPU105" si="3829">VPT102</f>
        <v>0</v>
      </c>
      <c r="VPV105" s="1051"/>
      <c r="VPW105" s="1051"/>
      <c r="VPX105" s="1056"/>
      <c r="VPY105" s="1157">
        <f t="shared" ref="VPY105" si="3830">VPX102</f>
        <v>0</v>
      </c>
      <c r="VPZ105" s="1051"/>
      <c r="VQA105" s="1051"/>
      <c r="VQB105" s="1056"/>
      <c r="VQC105" s="1157">
        <f t="shared" ref="VQC105" si="3831">VQB102</f>
        <v>0</v>
      </c>
      <c r="VQD105" s="1051"/>
      <c r="VQE105" s="1051"/>
      <c r="VQF105" s="1056"/>
      <c r="VQG105" s="1157">
        <f t="shared" ref="VQG105" si="3832">VQF102</f>
        <v>0</v>
      </c>
      <c r="VQH105" s="1051"/>
      <c r="VQI105" s="1051"/>
      <c r="VQJ105" s="1056"/>
      <c r="VQK105" s="1157">
        <f t="shared" ref="VQK105" si="3833">VQJ102</f>
        <v>0</v>
      </c>
      <c r="VQL105" s="1051"/>
      <c r="VQM105" s="1051"/>
      <c r="VQN105" s="1056"/>
      <c r="VQO105" s="1157">
        <f t="shared" ref="VQO105" si="3834">VQN102</f>
        <v>0</v>
      </c>
      <c r="VQP105" s="1051"/>
      <c r="VQQ105" s="1051"/>
      <c r="VQR105" s="1056"/>
      <c r="VQS105" s="1157">
        <f t="shared" ref="VQS105" si="3835">VQR102</f>
        <v>0</v>
      </c>
      <c r="VQT105" s="1051"/>
      <c r="VQU105" s="1051"/>
      <c r="VQV105" s="1056"/>
      <c r="VQW105" s="1157">
        <f t="shared" ref="VQW105" si="3836">VQV102</f>
        <v>0</v>
      </c>
      <c r="VQX105" s="1051"/>
      <c r="VQY105" s="1051"/>
      <c r="VQZ105" s="1056"/>
      <c r="VRA105" s="1157">
        <f t="shared" ref="VRA105" si="3837">VQZ102</f>
        <v>0</v>
      </c>
      <c r="VRB105" s="1051"/>
      <c r="VRC105" s="1051"/>
      <c r="VRD105" s="1056"/>
      <c r="VRE105" s="1157">
        <f t="shared" ref="VRE105" si="3838">VRD102</f>
        <v>0</v>
      </c>
      <c r="VRF105" s="1051"/>
      <c r="VRG105" s="1051"/>
      <c r="VRH105" s="1056"/>
      <c r="VRI105" s="1157">
        <f t="shared" ref="VRI105" si="3839">VRH102</f>
        <v>0</v>
      </c>
      <c r="VRJ105" s="1051"/>
      <c r="VRK105" s="1051"/>
      <c r="VRL105" s="1056"/>
      <c r="VRM105" s="1157">
        <f t="shared" ref="VRM105" si="3840">VRL102</f>
        <v>0</v>
      </c>
      <c r="VRN105" s="1051"/>
      <c r="VRO105" s="1051"/>
      <c r="VRP105" s="1056"/>
      <c r="VRQ105" s="1157">
        <f t="shared" ref="VRQ105" si="3841">VRP102</f>
        <v>0</v>
      </c>
      <c r="VRR105" s="1051"/>
      <c r="VRS105" s="1051"/>
      <c r="VRT105" s="1056"/>
      <c r="VRU105" s="1157">
        <f t="shared" ref="VRU105" si="3842">VRT102</f>
        <v>0</v>
      </c>
      <c r="VRV105" s="1051"/>
      <c r="VRW105" s="1051"/>
      <c r="VRX105" s="1056"/>
      <c r="VRY105" s="1157">
        <f t="shared" ref="VRY105" si="3843">VRX102</f>
        <v>0</v>
      </c>
      <c r="VRZ105" s="1051"/>
      <c r="VSA105" s="1051"/>
      <c r="VSB105" s="1056"/>
      <c r="VSC105" s="1157">
        <f t="shared" ref="VSC105" si="3844">VSB102</f>
        <v>0</v>
      </c>
      <c r="VSD105" s="1051"/>
      <c r="VSE105" s="1051"/>
      <c r="VSF105" s="1056"/>
      <c r="VSG105" s="1157">
        <f t="shared" ref="VSG105" si="3845">VSF102</f>
        <v>0</v>
      </c>
      <c r="VSH105" s="1051"/>
      <c r="VSI105" s="1051"/>
      <c r="VSJ105" s="1056"/>
      <c r="VSK105" s="1157">
        <f t="shared" ref="VSK105" si="3846">VSJ102</f>
        <v>0</v>
      </c>
      <c r="VSL105" s="1051"/>
      <c r="VSM105" s="1051"/>
      <c r="VSN105" s="1056"/>
      <c r="VSO105" s="1157">
        <f t="shared" ref="VSO105" si="3847">VSN102</f>
        <v>0</v>
      </c>
      <c r="VSP105" s="1051"/>
      <c r="VSQ105" s="1051"/>
      <c r="VSR105" s="1056"/>
      <c r="VSS105" s="1157">
        <f t="shared" ref="VSS105" si="3848">VSR102</f>
        <v>0</v>
      </c>
      <c r="VST105" s="1051"/>
      <c r="VSU105" s="1051"/>
      <c r="VSV105" s="1056"/>
      <c r="VSW105" s="1157">
        <f t="shared" ref="VSW105" si="3849">VSV102</f>
        <v>0</v>
      </c>
      <c r="VSX105" s="1051"/>
      <c r="VSY105" s="1051"/>
      <c r="VSZ105" s="1056"/>
      <c r="VTA105" s="1157">
        <f t="shared" ref="VTA105" si="3850">VSZ102</f>
        <v>0</v>
      </c>
      <c r="VTB105" s="1051"/>
      <c r="VTC105" s="1051"/>
      <c r="VTD105" s="1056"/>
      <c r="VTE105" s="1157">
        <f t="shared" ref="VTE105" si="3851">VTD102</f>
        <v>0</v>
      </c>
      <c r="VTF105" s="1051"/>
      <c r="VTG105" s="1051"/>
      <c r="VTH105" s="1056"/>
      <c r="VTI105" s="1157">
        <f t="shared" ref="VTI105" si="3852">VTH102</f>
        <v>0</v>
      </c>
      <c r="VTJ105" s="1051"/>
      <c r="VTK105" s="1051"/>
      <c r="VTL105" s="1056"/>
      <c r="VTM105" s="1157">
        <f t="shared" ref="VTM105" si="3853">VTL102</f>
        <v>0</v>
      </c>
      <c r="VTN105" s="1051"/>
      <c r="VTO105" s="1051"/>
      <c r="VTP105" s="1056"/>
      <c r="VTQ105" s="1157">
        <f t="shared" ref="VTQ105" si="3854">VTP102</f>
        <v>0</v>
      </c>
      <c r="VTR105" s="1051"/>
      <c r="VTS105" s="1051"/>
      <c r="VTT105" s="1056"/>
      <c r="VTU105" s="1157">
        <f t="shared" ref="VTU105" si="3855">VTT102</f>
        <v>0</v>
      </c>
      <c r="VTV105" s="1051"/>
      <c r="VTW105" s="1051"/>
      <c r="VTX105" s="1056"/>
      <c r="VTY105" s="1157">
        <f t="shared" ref="VTY105" si="3856">VTX102</f>
        <v>0</v>
      </c>
      <c r="VTZ105" s="1051"/>
      <c r="VUA105" s="1051"/>
      <c r="VUB105" s="1056"/>
      <c r="VUC105" s="1157">
        <f t="shared" ref="VUC105" si="3857">VUB102</f>
        <v>0</v>
      </c>
      <c r="VUD105" s="1051"/>
      <c r="VUE105" s="1051"/>
      <c r="VUF105" s="1056"/>
      <c r="VUG105" s="1157">
        <f t="shared" ref="VUG105" si="3858">VUF102</f>
        <v>0</v>
      </c>
      <c r="VUH105" s="1051"/>
      <c r="VUI105" s="1051"/>
      <c r="VUJ105" s="1056"/>
      <c r="VUK105" s="1157">
        <f t="shared" ref="VUK105" si="3859">VUJ102</f>
        <v>0</v>
      </c>
      <c r="VUL105" s="1051"/>
      <c r="VUM105" s="1051"/>
      <c r="VUN105" s="1056"/>
      <c r="VUO105" s="1157">
        <f t="shared" ref="VUO105" si="3860">VUN102</f>
        <v>0</v>
      </c>
      <c r="VUP105" s="1051"/>
      <c r="VUQ105" s="1051"/>
      <c r="VUR105" s="1056"/>
      <c r="VUS105" s="1157">
        <f t="shared" ref="VUS105" si="3861">VUR102</f>
        <v>0</v>
      </c>
      <c r="VUT105" s="1051"/>
      <c r="VUU105" s="1051"/>
      <c r="VUV105" s="1056"/>
      <c r="VUW105" s="1157">
        <f t="shared" ref="VUW105" si="3862">VUV102</f>
        <v>0</v>
      </c>
      <c r="VUX105" s="1051"/>
      <c r="VUY105" s="1051"/>
      <c r="VUZ105" s="1056"/>
      <c r="VVA105" s="1157">
        <f t="shared" ref="VVA105" si="3863">VUZ102</f>
        <v>0</v>
      </c>
      <c r="VVB105" s="1051"/>
      <c r="VVC105" s="1051"/>
      <c r="VVD105" s="1056"/>
      <c r="VVE105" s="1157">
        <f t="shared" ref="VVE105" si="3864">VVD102</f>
        <v>0</v>
      </c>
      <c r="VVF105" s="1051"/>
      <c r="VVG105" s="1051"/>
      <c r="VVH105" s="1056"/>
      <c r="VVI105" s="1157">
        <f t="shared" ref="VVI105" si="3865">VVH102</f>
        <v>0</v>
      </c>
      <c r="VVJ105" s="1051"/>
      <c r="VVK105" s="1051"/>
      <c r="VVL105" s="1056"/>
      <c r="VVM105" s="1157">
        <f t="shared" ref="VVM105" si="3866">VVL102</f>
        <v>0</v>
      </c>
      <c r="VVN105" s="1051"/>
      <c r="VVO105" s="1051"/>
      <c r="VVP105" s="1056"/>
      <c r="VVQ105" s="1157">
        <f t="shared" ref="VVQ105" si="3867">VVP102</f>
        <v>0</v>
      </c>
      <c r="VVR105" s="1051"/>
      <c r="VVS105" s="1051"/>
      <c r="VVT105" s="1056"/>
      <c r="VVU105" s="1157">
        <f t="shared" ref="VVU105" si="3868">VVT102</f>
        <v>0</v>
      </c>
      <c r="VVV105" s="1051"/>
      <c r="VVW105" s="1051"/>
      <c r="VVX105" s="1056"/>
      <c r="VVY105" s="1157">
        <f t="shared" ref="VVY105" si="3869">VVX102</f>
        <v>0</v>
      </c>
      <c r="VVZ105" s="1051"/>
      <c r="VWA105" s="1051"/>
      <c r="VWB105" s="1056"/>
      <c r="VWC105" s="1157">
        <f t="shared" ref="VWC105" si="3870">VWB102</f>
        <v>0</v>
      </c>
      <c r="VWD105" s="1051"/>
      <c r="VWE105" s="1051"/>
      <c r="VWF105" s="1056"/>
      <c r="VWG105" s="1157">
        <f t="shared" ref="VWG105" si="3871">VWF102</f>
        <v>0</v>
      </c>
      <c r="VWH105" s="1051"/>
      <c r="VWI105" s="1051"/>
      <c r="VWJ105" s="1056"/>
      <c r="VWK105" s="1157">
        <f t="shared" ref="VWK105" si="3872">VWJ102</f>
        <v>0</v>
      </c>
      <c r="VWL105" s="1051"/>
      <c r="VWM105" s="1051"/>
      <c r="VWN105" s="1056"/>
      <c r="VWO105" s="1157">
        <f t="shared" ref="VWO105" si="3873">VWN102</f>
        <v>0</v>
      </c>
      <c r="VWP105" s="1051"/>
      <c r="VWQ105" s="1051"/>
      <c r="VWR105" s="1056"/>
      <c r="VWS105" s="1157">
        <f t="shared" ref="VWS105" si="3874">VWR102</f>
        <v>0</v>
      </c>
      <c r="VWT105" s="1051"/>
      <c r="VWU105" s="1051"/>
      <c r="VWV105" s="1056"/>
      <c r="VWW105" s="1157">
        <f t="shared" ref="VWW105" si="3875">VWV102</f>
        <v>0</v>
      </c>
      <c r="VWX105" s="1051"/>
      <c r="VWY105" s="1051"/>
      <c r="VWZ105" s="1056"/>
      <c r="VXA105" s="1157">
        <f t="shared" ref="VXA105" si="3876">VWZ102</f>
        <v>0</v>
      </c>
      <c r="VXB105" s="1051"/>
      <c r="VXC105" s="1051"/>
      <c r="VXD105" s="1056"/>
      <c r="VXE105" s="1157">
        <f t="shared" ref="VXE105" si="3877">VXD102</f>
        <v>0</v>
      </c>
      <c r="VXF105" s="1051"/>
      <c r="VXG105" s="1051"/>
      <c r="VXH105" s="1056"/>
      <c r="VXI105" s="1157">
        <f t="shared" ref="VXI105" si="3878">VXH102</f>
        <v>0</v>
      </c>
      <c r="VXJ105" s="1051"/>
      <c r="VXK105" s="1051"/>
      <c r="VXL105" s="1056"/>
      <c r="VXM105" s="1157">
        <f t="shared" ref="VXM105" si="3879">VXL102</f>
        <v>0</v>
      </c>
      <c r="VXN105" s="1051"/>
      <c r="VXO105" s="1051"/>
      <c r="VXP105" s="1056"/>
      <c r="VXQ105" s="1157">
        <f t="shared" ref="VXQ105" si="3880">VXP102</f>
        <v>0</v>
      </c>
      <c r="VXR105" s="1051"/>
      <c r="VXS105" s="1051"/>
      <c r="VXT105" s="1056"/>
      <c r="VXU105" s="1157">
        <f t="shared" ref="VXU105" si="3881">VXT102</f>
        <v>0</v>
      </c>
      <c r="VXV105" s="1051"/>
      <c r="VXW105" s="1051"/>
      <c r="VXX105" s="1056"/>
      <c r="VXY105" s="1157">
        <f t="shared" ref="VXY105" si="3882">VXX102</f>
        <v>0</v>
      </c>
      <c r="VXZ105" s="1051"/>
      <c r="VYA105" s="1051"/>
      <c r="VYB105" s="1056"/>
      <c r="VYC105" s="1157">
        <f t="shared" ref="VYC105" si="3883">VYB102</f>
        <v>0</v>
      </c>
      <c r="VYD105" s="1051"/>
      <c r="VYE105" s="1051"/>
      <c r="VYF105" s="1056"/>
      <c r="VYG105" s="1157">
        <f t="shared" ref="VYG105" si="3884">VYF102</f>
        <v>0</v>
      </c>
      <c r="VYH105" s="1051"/>
      <c r="VYI105" s="1051"/>
      <c r="VYJ105" s="1056"/>
      <c r="VYK105" s="1157">
        <f t="shared" ref="VYK105" si="3885">VYJ102</f>
        <v>0</v>
      </c>
      <c r="VYL105" s="1051"/>
      <c r="VYM105" s="1051"/>
      <c r="VYN105" s="1056"/>
      <c r="VYO105" s="1157">
        <f t="shared" ref="VYO105" si="3886">VYN102</f>
        <v>0</v>
      </c>
      <c r="VYP105" s="1051"/>
      <c r="VYQ105" s="1051"/>
      <c r="VYR105" s="1056"/>
      <c r="VYS105" s="1157">
        <f t="shared" ref="VYS105" si="3887">VYR102</f>
        <v>0</v>
      </c>
      <c r="VYT105" s="1051"/>
      <c r="VYU105" s="1051"/>
      <c r="VYV105" s="1056"/>
      <c r="VYW105" s="1157">
        <f t="shared" ref="VYW105" si="3888">VYV102</f>
        <v>0</v>
      </c>
      <c r="VYX105" s="1051"/>
      <c r="VYY105" s="1051"/>
      <c r="VYZ105" s="1056"/>
      <c r="VZA105" s="1157">
        <f t="shared" ref="VZA105" si="3889">VYZ102</f>
        <v>0</v>
      </c>
      <c r="VZB105" s="1051"/>
      <c r="VZC105" s="1051"/>
      <c r="VZD105" s="1056"/>
      <c r="VZE105" s="1157">
        <f t="shared" ref="VZE105" si="3890">VZD102</f>
        <v>0</v>
      </c>
      <c r="VZF105" s="1051"/>
      <c r="VZG105" s="1051"/>
      <c r="VZH105" s="1056"/>
      <c r="VZI105" s="1157">
        <f t="shared" ref="VZI105" si="3891">VZH102</f>
        <v>0</v>
      </c>
      <c r="VZJ105" s="1051"/>
      <c r="VZK105" s="1051"/>
      <c r="VZL105" s="1056"/>
      <c r="VZM105" s="1157">
        <f t="shared" ref="VZM105" si="3892">VZL102</f>
        <v>0</v>
      </c>
      <c r="VZN105" s="1051"/>
      <c r="VZO105" s="1051"/>
      <c r="VZP105" s="1056"/>
      <c r="VZQ105" s="1157">
        <f t="shared" ref="VZQ105" si="3893">VZP102</f>
        <v>0</v>
      </c>
      <c r="VZR105" s="1051"/>
      <c r="VZS105" s="1051"/>
      <c r="VZT105" s="1056"/>
      <c r="VZU105" s="1157">
        <f t="shared" ref="VZU105" si="3894">VZT102</f>
        <v>0</v>
      </c>
      <c r="VZV105" s="1051"/>
      <c r="VZW105" s="1051"/>
      <c r="VZX105" s="1056"/>
      <c r="VZY105" s="1157">
        <f t="shared" ref="VZY105" si="3895">VZX102</f>
        <v>0</v>
      </c>
      <c r="VZZ105" s="1051"/>
      <c r="WAA105" s="1051"/>
      <c r="WAB105" s="1056"/>
      <c r="WAC105" s="1157">
        <f t="shared" ref="WAC105" si="3896">WAB102</f>
        <v>0</v>
      </c>
      <c r="WAD105" s="1051"/>
      <c r="WAE105" s="1051"/>
      <c r="WAF105" s="1056"/>
      <c r="WAG105" s="1157">
        <f t="shared" ref="WAG105" si="3897">WAF102</f>
        <v>0</v>
      </c>
      <c r="WAH105" s="1051"/>
      <c r="WAI105" s="1051"/>
      <c r="WAJ105" s="1056"/>
      <c r="WAK105" s="1157">
        <f t="shared" ref="WAK105" si="3898">WAJ102</f>
        <v>0</v>
      </c>
      <c r="WAL105" s="1051"/>
      <c r="WAM105" s="1051"/>
      <c r="WAN105" s="1056"/>
      <c r="WAO105" s="1157">
        <f t="shared" ref="WAO105" si="3899">WAN102</f>
        <v>0</v>
      </c>
      <c r="WAP105" s="1051"/>
      <c r="WAQ105" s="1051"/>
      <c r="WAR105" s="1056"/>
      <c r="WAS105" s="1157">
        <f t="shared" ref="WAS105" si="3900">WAR102</f>
        <v>0</v>
      </c>
      <c r="WAT105" s="1051"/>
      <c r="WAU105" s="1051"/>
      <c r="WAV105" s="1056"/>
      <c r="WAW105" s="1157">
        <f t="shared" ref="WAW105" si="3901">WAV102</f>
        <v>0</v>
      </c>
      <c r="WAX105" s="1051"/>
      <c r="WAY105" s="1051"/>
      <c r="WAZ105" s="1056"/>
      <c r="WBA105" s="1157">
        <f t="shared" ref="WBA105" si="3902">WAZ102</f>
        <v>0</v>
      </c>
      <c r="WBB105" s="1051"/>
      <c r="WBC105" s="1051"/>
      <c r="WBD105" s="1056"/>
      <c r="WBE105" s="1157">
        <f t="shared" ref="WBE105" si="3903">WBD102</f>
        <v>0</v>
      </c>
      <c r="WBF105" s="1051"/>
      <c r="WBG105" s="1051"/>
      <c r="WBH105" s="1056"/>
      <c r="WBI105" s="1157">
        <f t="shared" ref="WBI105" si="3904">WBH102</f>
        <v>0</v>
      </c>
      <c r="WBJ105" s="1051"/>
      <c r="WBK105" s="1051"/>
      <c r="WBL105" s="1056"/>
      <c r="WBM105" s="1157">
        <f t="shared" ref="WBM105" si="3905">WBL102</f>
        <v>0</v>
      </c>
      <c r="WBN105" s="1051"/>
      <c r="WBO105" s="1051"/>
      <c r="WBP105" s="1056"/>
      <c r="WBQ105" s="1157">
        <f t="shared" ref="WBQ105" si="3906">WBP102</f>
        <v>0</v>
      </c>
      <c r="WBR105" s="1051"/>
      <c r="WBS105" s="1051"/>
      <c r="WBT105" s="1056"/>
      <c r="WBU105" s="1157">
        <f t="shared" ref="WBU105" si="3907">WBT102</f>
        <v>0</v>
      </c>
      <c r="WBV105" s="1051"/>
      <c r="WBW105" s="1051"/>
      <c r="WBX105" s="1056"/>
      <c r="WBY105" s="1157">
        <f t="shared" ref="WBY105" si="3908">WBX102</f>
        <v>0</v>
      </c>
      <c r="WBZ105" s="1051"/>
      <c r="WCA105" s="1051"/>
      <c r="WCB105" s="1056"/>
      <c r="WCC105" s="1157">
        <f t="shared" ref="WCC105" si="3909">WCB102</f>
        <v>0</v>
      </c>
      <c r="WCD105" s="1051"/>
      <c r="WCE105" s="1051"/>
      <c r="WCF105" s="1056"/>
      <c r="WCG105" s="1157">
        <f t="shared" ref="WCG105" si="3910">WCF102</f>
        <v>0</v>
      </c>
      <c r="WCH105" s="1051"/>
      <c r="WCI105" s="1051"/>
      <c r="WCJ105" s="1056"/>
      <c r="WCK105" s="1157">
        <f t="shared" ref="WCK105" si="3911">WCJ102</f>
        <v>0</v>
      </c>
      <c r="WCL105" s="1051"/>
      <c r="WCM105" s="1051"/>
      <c r="WCN105" s="1056"/>
      <c r="WCO105" s="1157">
        <f t="shared" ref="WCO105" si="3912">WCN102</f>
        <v>0</v>
      </c>
      <c r="WCP105" s="1051"/>
      <c r="WCQ105" s="1051"/>
      <c r="WCR105" s="1056"/>
      <c r="WCS105" s="1157">
        <f t="shared" ref="WCS105" si="3913">WCR102</f>
        <v>0</v>
      </c>
      <c r="WCT105" s="1051"/>
      <c r="WCU105" s="1051"/>
      <c r="WCV105" s="1056"/>
      <c r="WCW105" s="1157">
        <f t="shared" ref="WCW105" si="3914">WCV102</f>
        <v>0</v>
      </c>
      <c r="WCX105" s="1051"/>
      <c r="WCY105" s="1051"/>
      <c r="WCZ105" s="1056"/>
      <c r="WDA105" s="1157">
        <f t="shared" ref="WDA105" si="3915">WCZ102</f>
        <v>0</v>
      </c>
      <c r="WDB105" s="1051"/>
      <c r="WDC105" s="1051"/>
      <c r="WDD105" s="1056"/>
      <c r="WDE105" s="1157">
        <f t="shared" ref="WDE105" si="3916">WDD102</f>
        <v>0</v>
      </c>
      <c r="WDF105" s="1051"/>
      <c r="WDG105" s="1051"/>
      <c r="WDH105" s="1056"/>
      <c r="WDI105" s="1157">
        <f t="shared" ref="WDI105" si="3917">WDH102</f>
        <v>0</v>
      </c>
      <c r="WDJ105" s="1051"/>
      <c r="WDK105" s="1051"/>
      <c r="WDL105" s="1056"/>
      <c r="WDM105" s="1157">
        <f t="shared" ref="WDM105" si="3918">WDL102</f>
        <v>0</v>
      </c>
      <c r="WDN105" s="1051"/>
      <c r="WDO105" s="1051"/>
      <c r="WDP105" s="1056"/>
      <c r="WDQ105" s="1157">
        <f t="shared" ref="WDQ105" si="3919">WDP102</f>
        <v>0</v>
      </c>
      <c r="WDR105" s="1051"/>
      <c r="WDS105" s="1051"/>
      <c r="WDT105" s="1056"/>
      <c r="WDU105" s="1157">
        <f t="shared" ref="WDU105" si="3920">WDT102</f>
        <v>0</v>
      </c>
      <c r="WDV105" s="1051"/>
      <c r="WDW105" s="1051"/>
      <c r="WDX105" s="1056"/>
      <c r="WDY105" s="1157">
        <f t="shared" ref="WDY105" si="3921">WDX102</f>
        <v>0</v>
      </c>
      <c r="WDZ105" s="1051"/>
      <c r="WEA105" s="1051"/>
      <c r="WEB105" s="1056"/>
      <c r="WEC105" s="1157">
        <f t="shared" ref="WEC105" si="3922">WEB102</f>
        <v>0</v>
      </c>
      <c r="WED105" s="1051"/>
      <c r="WEE105" s="1051"/>
      <c r="WEF105" s="1056"/>
      <c r="WEG105" s="1157">
        <f t="shared" ref="WEG105" si="3923">WEF102</f>
        <v>0</v>
      </c>
      <c r="WEH105" s="1051"/>
      <c r="WEI105" s="1051"/>
      <c r="WEJ105" s="1056"/>
      <c r="WEK105" s="1157">
        <f t="shared" ref="WEK105" si="3924">WEJ102</f>
        <v>0</v>
      </c>
      <c r="WEL105" s="1051"/>
      <c r="WEM105" s="1051"/>
      <c r="WEN105" s="1056"/>
      <c r="WEO105" s="1157">
        <f t="shared" ref="WEO105" si="3925">WEN102</f>
        <v>0</v>
      </c>
      <c r="WEP105" s="1051"/>
      <c r="WEQ105" s="1051"/>
      <c r="WER105" s="1056"/>
      <c r="WES105" s="1157">
        <f t="shared" ref="WES105" si="3926">WER102</f>
        <v>0</v>
      </c>
      <c r="WET105" s="1051"/>
      <c r="WEU105" s="1051"/>
      <c r="WEV105" s="1056"/>
      <c r="WEW105" s="1157">
        <f t="shared" ref="WEW105" si="3927">WEV102</f>
        <v>0</v>
      </c>
      <c r="WEX105" s="1051"/>
      <c r="WEY105" s="1051"/>
      <c r="WEZ105" s="1056"/>
      <c r="WFA105" s="1157">
        <f t="shared" ref="WFA105" si="3928">WEZ102</f>
        <v>0</v>
      </c>
      <c r="WFB105" s="1051"/>
      <c r="WFC105" s="1051"/>
      <c r="WFD105" s="1056"/>
      <c r="WFE105" s="1157">
        <f t="shared" ref="WFE105" si="3929">WFD102</f>
        <v>0</v>
      </c>
      <c r="WFF105" s="1051"/>
      <c r="WFG105" s="1051"/>
      <c r="WFH105" s="1056"/>
      <c r="WFI105" s="1157">
        <f t="shared" ref="WFI105" si="3930">WFH102</f>
        <v>0</v>
      </c>
      <c r="WFJ105" s="1051"/>
      <c r="WFK105" s="1051"/>
      <c r="WFL105" s="1056"/>
      <c r="WFM105" s="1157">
        <f t="shared" ref="WFM105" si="3931">WFL102</f>
        <v>0</v>
      </c>
      <c r="WFN105" s="1051"/>
      <c r="WFO105" s="1051"/>
      <c r="WFP105" s="1056"/>
      <c r="WFQ105" s="1157">
        <f t="shared" ref="WFQ105" si="3932">WFP102</f>
        <v>0</v>
      </c>
      <c r="WFR105" s="1051"/>
      <c r="WFS105" s="1051"/>
      <c r="WFT105" s="1056"/>
      <c r="WFU105" s="1157">
        <f t="shared" ref="WFU105" si="3933">WFT102</f>
        <v>0</v>
      </c>
      <c r="WFV105" s="1051"/>
      <c r="WFW105" s="1051"/>
      <c r="WFX105" s="1056"/>
      <c r="WFY105" s="1157">
        <f t="shared" ref="WFY105" si="3934">WFX102</f>
        <v>0</v>
      </c>
      <c r="WFZ105" s="1051"/>
      <c r="WGA105" s="1051"/>
      <c r="WGB105" s="1056"/>
      <c r="WGC105" s="1157">
        <f t="shared" ref="WGC105" si="3935">WGB102</f>
        <v>0</v>
      </c>
      <c r="WGD105" s="1051"/>
      <c r="WGE105" s="1051"/>
      <c r="WGF105" s="1056"/>
      <c r="WGG105" s="1157">
        <f t="shared" ref="WGG105" si="3936">WGF102</f>
        <v>0</v>
      </c>
      <c r="WGH105" s="1051"/>
      <c r="WGI105" s="1051"/>
      <c r="WGJ105" s="1056"/>
      <c r="WGK105" s="1157">
        <f t="shared" ref="WGK105" si="3937">WGJ102</f>
        <v>0</v>
      </c>
      <c r="WGL105" s="1051"/>
      <c r="WGM105" s="1051"/>
      <c r="WGN105" s="1056"/>
      <c r="WGO105" s="1157">
        <f t="shared" ref="WGO105" si="3938">WGN102</f>
        <v>0</v>
      </c>
      <c r="WGP105" s="1051"/>
      <c r="WGQ105" s="1051"/>
      <c r="WGR105" s="1056"/>
      <c r="WGS105" s="1157">
        <f t="shared" ref="WGS105" si="3939">WGR102</f>
        <v>0</v>
      </c>
      <c r="WGT105" s="1051"/>
      <c r="WGU105" s="1051"/>
      <c r="WGV105" s="1056"/>
      <c r="WGW105" s="1157">
        <f t="shared" ref="WGW105" si="3940">WGV102</f>
        <v>0</v>
      </c>
      <c r="WGX105" s="1051"/>
      <c r="WGY105" s="1051"/>
      <c r="WGZ105" s="1056"/>
      <c r="WHA105" s="1157">
        <f t="shared" ref="WHA105" si="3941">WGZ102</f>
        <v>0</v>
      </c>
      <c r="WHB105" s="1051"/>
      <c r="WHC105" s="1051"/>
      <c r="WHD105" s="1056"/>
      <c r="WHE105" s="1157">
        <f t="shared" ref="WHE105" si="3942">WHD102</f>
        <v>0</v>
      </c>
      <c r="WHF105" s="1051"/>
      <c r="WHG105" s="1051"/>
      <c r="WHH105" s="1056"/>
      <c r="WHI105" s="1157">
        <f t="shared" ref="WHI105" si="3943">WHH102</f>
        <v>0</v>
      </c>
      <c r="WHJ105" s="1051"/>
      <c r="WHK105" s="1051"/>
      <c r="WHL105" s="1056"/>
      <c r="WHM105" s="1157">
        <f t="shared" ref="WHM105" si="3944">WHL102</f>
        <v>0</v>
      </c>
      <c r="WHN105" s="1051"/>
      <c r="WHO105" s="1051"/>
      <c r="WHP105" s="1056"/>
      <c r="WHQ105" s="1157">
        <f t="shared" ref="WHQ105" si="3945">WHP102</f>
        <v>0</v>
      </c>
      <c r="WHR105" s="1051"/>
      <c r="WHS105" s="1051"/>
      <c r="WHT105" s="1056"/>
      <c r="WHU105" s="1157">
        <f t="shared" ref="WHU105" si="3946">WHT102</f>
        <v>0</v>
      </c>
      <c r="WHV105" s="1051"/>
      <c r="WHW105" s="1051"/>
      <c r="WHX105" s="1056"/>
      <c r="WHY105" s="1157">
        <f t="shared" ref="WHY105" si="3947">WHX102</f>
        <v>0</v>
      </c>
      <c r="WHZ105" s="1051"/>
      <c r="WIA105" s="1051"/>
      <c r="WIB105" s="1056"/>
      <c r="WIC105" s="1157">
        <f t="shared" ref="WIC105" si="3948">WIB102</f>
        <v>0</v>
      </c>
      <c r="WID105" s="1051"/>
      <c r="WIE105" s="1051"/>
      <c r="WIF105" s="1056"/>
      <c r="WIG105" s="1157">
        <f t="shared" ref="WIG105" si="3949">WIF102</f>
        <v>0</v>
      </c>
      <c r="WIH105" s="1051"/>
      <c r="WII105" s="1051"/>
      <c r="WIJ105" s="1056"/>
      <c r="WIK105" s="1157">
        <f t="shared" ref="WIK105" si="3950">WIJ102</f>
        <v>0</v>
      </c>
      <c r="WIL105" s="1051"/>
      <c r="WIM105" s="1051"/>
      <c r="WIN105" s="1056"/>
      <c r="WIO105" s="1157">
        <f t="shared" ref="WIO105" si="3951">WIN102</f>
        <v>0</v>
      </c>
      <c r="WIP105" s="1051"/>
      <c r="WIQ105" s="1051"/>
      <c r="WIR105" s="1056"/>
      <c r="WIS105" s="1157">
        <f t="shared" ref="WIS105" si="3952">WIR102</f>
        <v>0</v>
      </c>
      <c r="WIT105" s="1051"/>
      <c r="WIU105" s="1051"/>
      <c r="WIV105" s="1056"/>
      <c r="WIW105" s="1157">
        <f t="shared" ref="WIW105" si="3953">WIV102</f>
        <v>0</v>
      </c>
      <c r="WIX105" s="1051"/>
      <c r="WIY105" s="1051"/>
      <c r="WIZ105" s="1056"/>
      <c r="WJA105" s="1157">
        <f t="shared" ref="WJA105" si="3954">WIZ102</f>
        <v>0</v>
      </c>
      <c r="WJB105" s="1051"/>
      <c r="WJC105" s="1051"/>
      <c r="WJD105" s="1056"/>
      <c r="WJE105" s="1157">
        <f t="shared" ref="WJE105" si="3955">WJD102</f>
        <v>0</v>
      </c>
      <c r="WJF105" s="1051"/>
      <c r="WJG105" s="1051"/>
      <c r="WJH105" s="1056"/>
      <c r="WJI105" s="1157">
        <f t="shared" ref="WJI105" si="3956">WJH102</f>
        <v>0</v>
      </c>
      <c r="WJJ105" s="1051"/>
      <c r="WJK105" s="1051"/>
      <c r="WJL105" s="1056"/>
      <c r="WJM105" s="1157">
        <f t="shared" ref="WJM105" si="3957">WJL102</f>
        <v>0</v>
      </c>
      <c r="WJN105" s="1051"/>
      <c r="WJO105" s="1051"/>
      <c r="WJP105" s="1056"/>
      <c r="WJQ105" s="1157">
        <f t="shared" ref="WJQ105" si="3958">WJP102</f>
        <v>0</v>
      </c>
      <c r="WJR105" s="1051"/>
      <c r="WJS105" s="1051"/>
      <c r="WJT105" s="1056"/>
      <c r="WJU105" s="1157">
        <f t="shared" ref="WJU105" si="3959">WJT102</f>
        <v>0</v>
      </c>
      <c r="WJV105" s="1051"/>
      <c r="WJW105" s="1051"/>
      <c r="WJX105" s="1056"/>
      <c r="WJY105" s="1157">
        <f t="shared" ref="WJY105" si="3960">WJX102</f>
        <v>0</v>
      </c>
      <c r="WJZ105" s="1051"/>
      <c r="WKA105" s="1051"/>
      <c r="WKB105" s="1056"/>
      <c r="WKC105" s="1157">
        <f t="shared" ref="WKC105" si="3961">WKB102</f>
        <v>0</v>
      </c>
      <c r="WKD105" s="1051"/>
      <c r="WKE105" s="1051"/>
      <c r="WKF105" s="1056"/>
      <c r="WKG105" s="1157">
        <f t="shared" ref="WKG105" si="3962">WKF102</f>
        <v>0</v>
      </c>
      <c r="WKH105" s="1051"/>
      <c r="WKI105" s="1051"/>
      <c r="WKJ105" s="1056"/>
      <c r="WKK105" s="1157">
        <f t="shared" ref="WKK105" si="3963">WKJ102</f>
        <v>0</v>
      </c>
      <c r="WKL105" s="1051"/>
      <c r="WKM105" s="1051"/>
      <c r="WKN105" s="1056"/>
      <c r="WKO105" s="1157">
        <f t="shared" ref="WKO105" si="3964">WKN102</f>
        <v>0</v>
      </c>
      <c r="WKP105" s="1051"/>
      <c r="WKQ105" s="1051"/>
      <c r="WKR105" s="1056"/>
      <c r="WKS105" s="1157">
        <f t="shared" ref="WKS105" si="3965">WKR102</f>
        <v>0</v>
      </c>
      <c r="WKT105" s="1051"/>
      <c r="WKU105" s="1051"/>
      <c r="WKV105" s="1056"/>
      <c r="WKW105" s="1157">
        <f t="shared" ref="WKW105" si="3966">WKV102</f>
        <v>0</v>
      </c>
      <c r="WKX105" s="1051"/>
      <c r="WKY105" s="1051"/>
      <c r="WKZ105" s="1056"/>
      <c r="WLA105" s="1157">
        <f t="shared" ref="WLA105" si="3967">WKZ102</f>
        <v>0</v>
      </c>
      <c r="WLB105" s="1051"/>
      <c r="WLC105" s="1051"/>
      <c r="WLD105" s="1056"/>
      <c r="WLE105" s="1157">
        <f t="shared" ref="WLE105" si="3968">WLD102</f>
        <v>0</v>
      </c>
      <c r="WLF105" s="1051"/>
      <c r="WLG105" s="1051"/>
      <c r="WLH105" s="1056"/>
      <c r="WLI105" s="1157">
        <f t="shared" ref="WLI105" si="3969">WLH102</f>
        <v>0</v>
      </c>
      <c r="WLJ105" s="1051"/>
      <c r="WLK105" s="1051"/>
      <c r="WLL105" s="1056"/>
      <c r="WLM105" s="1157">
        <f t="shared" ref="WLM105" si="3970">WLL102</f>
        <v>0</v>
      </c>
      <c r="WLN105" s="1051"/>
      <c r="WLO105" s="1051"/>
      <c r="WLP105" s="1056"/>
      <c r="WLQ105" s="1157">
        <f t="shared" ref="WLQ105" si="3971">WLP102</f>
        <v>0</v>
      </c>
      <c r="WLR105" s="1051"/>
      <c r="WLS105" s="1051"/>
      <c r="WLT105" s="1056"/>
      <c r="WLU105" s="1157">
        <f t="shared" ref="WLU105" si="3972">WLT102</f>
        <v>0</v>
      </c>
      <c r="WLV105" s="1051"/>
      <c r="WLW105" s="1051"/>
      <c r="WLX105" s="1056"/>
      <c r="WLY105" s="1157">
        <f t="shared" ref="WLY105" si="3973">WLX102</f>
        <v>0</v>
      </c>
      <c r="WLZ105" s="1051"/>
      <c r="WMA105" s="1051"/>
      <c r="WMB105" s="1056"/>
      <c r="WMC105" s="1157">
        <f t="shared" ref="WMC105" si="3974">WMB102</f>
        <v>0</v>
      </c>
      <c r="WMD105" s="1051"/>
      <c r="WME105" s="1051"/>
      <c r="WMF105" s="1056"/>
      <c r="WMG105" s="1157">
        <f t="shared" ref="WMG105" si="3975">WMF102</f>
        <v>0</v>
      </c>
      <c r="WMH105" s="1051"/>
      <c r="WMI105" s="1051"/>
      <c r="WMJ105" s="1056"/>
      <c r="WMK105" s="1157">
        <f t="shared" ref="WMK105" si="3976">WMJ102</f>
        <v>0</v>
      </c>
      <c r="WML105" s="1051"/>
      <c r="WMM105" s="1051"/>
      <c r="WMN105" s="1056"/>
      <c r="WMO105" s="1157">
        <f t="shared" ref="WMO105" si="3977">WMN102</f>
        <v>0</v>
      </c>
      <c r="WMP105" s="1051"/>
      <c r="WMQ105" s="1051"/>
      <c r="WMR105" s="1056"/>
      <c r="WMS105" s="1157">
        <f t="shared" ref="WMS105" si="3978">WMR102</f>
        <v>0</v>
      </c>
      <c r="WMT105" s="1051"/>
      <c r="WMU105" s="1051"/>
      <c r="WMV105" s="1056"/>
      <c r="WMW105" s="1157">
        <f t="shared" ref="WMW105" si="3979">WMV102</f>
        <v>0</v>
      </c>
      <c r="WMX105" s="1051"/>
      <c r="WMY105" s="1051"/>
      <c r="WMZ105" s="1056"/>
      <c r="WNA105" s="1157">
        <f t="shared" ref="WNA105" si="3980">WMZ102</f>
        <v>0</v>
      </c>
      <c r="WNB105" s="1051"/>
      <c r="WNC105" s="1051"/>
      <c r="WND105" s="1056"/>
      <c r="WNE105" s="1157">
        <f t="shared" ref="WNE105" si="3981">WND102</f>
        <v>0</v>
      </c>
      <c r="WNF105" s="1051"/>
      <c r="WNG105" s="1051"/>
      <c r="WNH105" s="1056"/>
      <c r="WNI105" s="1157">
        <f t="shared" ref="WNI105" si="3982">WNH102</f>
        <v>0</v>
      </c>
      <c r="WNJ105" s="1051"/>
      <c r="WNK105" s="1051"/>
      <c r="WNL105" s="1056"/>
      <c r="WNM105" s="1157">
        <f t="shared" ref="WNM105" si="3983">WNL102</f>
        <v>0</v>
      </c>
      <c r="WNN105" s="1051"/>
      <c r="WNO105" s="1051"/>
      <c r="WNP105" s="1056"/>
      <c r="WNQ105" s="1157">
        <f t="shared" ref="WNQ105" si="3984">WNP102</f>
        <v>0</v>
      </c>
      <c r="WNR105" s="1051"/>
      <c r="WNS105" s="1051"/>
      <c r="WNT105" s="1056"/>
      <c r="WNU105" s="1157">
        <f t="shared" ref="WNU105" si="3985">WNT102</f>
        <v>0</v>
      </c>
      <c r="WNV105" s="1051"/>
      <c r="WNW105" s="1051"/>
      <c r="WNX105" s="1056"/>
      <c r="WNY105" s="1157">
        <f t="shared" ref="WNY105" si="3986">WNX102</f>
        <v>0</v>
      </c>
      <c r="WNZ105" s="1051"/>
      <c r="WOA105" s="1051"/>
      <c r="WOB105" s="1056"/>
      <c r="WOC105" s="1157">
        <f t="shared" ref="WOC105" si="3987">WOB102</f>
        <v>0</v>
      </c>
      <c r="WOD105" s="1051"/>
      <c r="WOE105" s="1051"/>
      <c r="WOF105" s="1056"/>
      <c r="WOG105" s="1157">
        <f t="shared" ref="WOG105" si="3988">WOF102</f>
        <v>0</v>
      </c>
      <c r="WOH105" s="1051"/>
      <c r="WOI105" s="1051"/>
      <c r="WOJ105" s="1056"/>
      <c r="WOK105" s="1157">
        <f t="shared" ref="WOK105" si="3989">WOJ102</f>
        <v>0</v>
      </c>
      <c r="WOL105" s="1051"/>
      <c r="WOM105" s="1051"/>
      <c r="WON105" s="1056"/>
      <c r="WOO105" s="1157">
        <f t="shared" ref="WOO105" si="3990">WON102</f>
        <v>0</v>
      </c>
      <c r="WOP105" s="1051"/>
      <c r="WOQ105" s="1051"/>
      <c r="WOR105" s="1056"/>
      <c r="WOS105" s="1157">
        <f t="shared" ref="WOS105" si="3991">WOR102</f>
        <v>0</v>
      </c>
      <c r="WOT105" s="1051"/>
      <c r="WOU105" s="1051"/>
      <c r="WOV105" s="1056"/>
      <c r="WOW105" s="1157">
        <f t="shared" ref="WOW105" si="3992">WOV102</f>
        <v>0</v>
      </c>
      <c r="WOX105" s="1051"/>
      <c r="WOY105" s="1051"/>
      <c r="WOZ105" s="1056"/>
      <c r="WPA105" s="1157">
        <f t="shared" ref="WPA105" si="3993">WOZ102</f>
        <v>0</v>
      </c>
      <c r="WPB105" s="1051"/>
      <c r="WPC105" s="1051"/>
      <c r="WPD105" s="1056"/>
      <c r="WPE105" s="1157">
        <f t="shared" ref="WPE105" si="3994">WPD102</f>
        <v>0</v>
      </c>
      <c r="WPF105" s="1051"/>
      <c r="WPG105" s="1051"/>
      <c r="WPH105" s="1056"/>
      <c r="WPI105" s="1157">
        <f t="shared" ref="WPI105" si="3995">WPH102</f>
        <v>0</v>
      </c>
      <c r="WPJ105" s="1051"/>
      <c r="WPK105" s="1051"/>
      <c r="WPL105" s="1056"/>
      <c r="WPM105" s="1157">
        <f t="shared" ref="WPM105" si="3996">WPL102</f>
        <v>0</v>
      </c>
      <c r="WPN105" s="1051"/>
      <c r="WPO105" s="1051"/>
      <c r="WPP105" s="1056"/>
      <c r="WPQ105" s="1157">
        <f t="shared" ref="WPQ105" si="3997">WPP102</f>
        <v>0</v>
      </c>
      <c r="WPR105" s="1051"/>
      <c r="WPS105" s="1051"/>
      <c r="WPT105" s="1056"/>
      <c r="WPU105" s="1157">
        <f t="shared" ref="WPU105" si="3998">WPT102</f>
        <v>0</v>
      </c>
      <c r="WPV105" s="1051"/>
      <c r="WPW105" s="1051"/>
      <c r="WPX105" s="1056"/>
      <c r="WPY105" s="1157">
        <f t="shared" ref="WPY105" si="3999">WPX102</f>
        <v>0</v>
      </c>
      <c r="WPZ105" s="1051"/>
      <c r="WQA105" s="1051"/>
      <c r="WQB105" s="1056"/>
      <c r="WQC105" s="1157">
        <f t="shared" ref="WQC105" si="4000">WQB102</f>
        <v>0</v>
      </c>
      <c r="WQD105" s="1051"/>
      <c r="WQE105" s="1051"/>
      <c r="WQF105" s="1056"/>
      <c r="WQG105" s="1157">
        <f t="shared" ref="WQG105" si="4001">WQF102</f>
        <v>0</v>
      </c>
      <c r="WQH105" s="1051"/>
      <c r="WQI105" s="1051"/>
      <c r="WQJ105" s="1056"/>
      <c r="WQK105" s="1157">
        <f t="shared" ref="WQK105" si="4002">WQJ102</f>
        <v>0</v>
      </c>
      <c r="WQL105" s="1051"/>
      <c r="WQM105" s="1051"/>
      <c r="WQN105" s="1056"/>
      <c r="WQO105" s="1157">
        <f t="shared" ref="WQO105" si="4003">WQN102</f>
        <v>0</v>
      </c>
      <c r="WQP105" s="1051"/>
      <c r="WQQ105" s="1051"/>
      <c r="WQR105" s="1056"/>
      <c r="WQS105" s="1157">
        <f t="shared" ref="WQS105" si="4004">WQR102</f>
        <v>0</v>
      </c>
      <c r="WQT105" s="1051"/>
      <c r="WQU105" s="1051"/>
      <c r="WQV105" s="1056"/>
      <c r="WQW105" s="1157">
        <f t="shared" ref="WQW105" si="4005">WQV102</f>
        <v>0</v>
      </c>
      <c r="WQX105" s="1051"/>
      <c r="WQY105" s="1051"/>
      <c r="WQZ105" s="1056"/>
      <c r="WRA105" s="1157">
        <f t="shared" ref="WRA105" si="4006">WQZ102</f>
        <v>0</v>
      </c>
      <c r="WRB105" s="1051"/>
      <c r="WRC105" s="1051"/>
      <c r="WRD105" s="1056"/>
      <c r="WRE105" s="1157">
        <f t="shared" ref="WRE105" si="4007">WRD102</f>
        <v>0</v>
      </c>
      <c r="WRF105" s="1051"/>
      <c r="WRG105" s="1051"/>
      <c r="WRH105" s="1056"/>
      <c r="WRI105" s="1157">
        <f t="shared" ref="WRI105" si="4008">WRH102</f>
        <v>0</v>
      </c>
      <c r="WRJ105" s="1051"/>
      <c r="WRK105" s="1051"/>
      <c r="WRL105" s="1056"/>
      <c r="WRM105" s="1157">
        <f t="shared" ref="WRM105" si="4009">WRL102</f>
        <v>0</v>
      </c>
      <c r="WRN105" s="1051"/>
      <c r="WRO105" s="1051"/>
      <c r="WRP105" s="1056"/>
      <c r="WRQ105" s="1157">
        <f t="shared" ref="WRQ105" si="4010">WRP102</f>
        <v>0</v>
      </c>
      <c r="WRR105" s="1051"/>
      <c r="WRS105" s="1051"/>
      <c r="WRT105" s="1056"/>
      <c r="WRU105" s="1157">
        <f t="shared" ref="WRU105" si="4011">WRT102</f>
        <v>0</v>
      </c>
      <c r="WRV105" s="1051"/>
      <c r="WRW105" s="1051"/>
      <c r="WRX105" s="1056"/>
      <c r="WRY105" s="1157">
        <f t="shared" ref="WRY105" si="4012">WRX102</f>
        <v>0</v>
      </c>
      <c r="WRZ105" s="1051"/>
      <c r="WSA105" s="1051"/>
      <c r="WSB105" s="1056"/>
      <c r="WSC105" s="1157">
        <f t="shared" ref="WSC105" si="4013">WSB102</f>
        <v>0</v>
      </c>
      <c r="WSD105" s="1051"/>
      <c r="WSE105" s="1051"/>
      <c r="WSF105" s="1056"/>
      <c r="WSG105" s="1157">
        <f t="shared" ref="WSG105" si="4014">WSF102</f>
        <v>0</v>
      </c>
      <c r="WSH105" s="1051"/>
      <c r="WSI105" s="1051"/>
      <c r="WSJ105" s="1056"/>
      <c r="WSK105" s="1157">
        <f t="shared" ref="WSK105" si="4015">WSJ102</f>
        <v>0</v>
      </c>
      <c r="WSL105" s="1051"/>
      <c r="WSM105" s="1051"/>
      <c r="WSN105" s="1056"/>
      <c r="WSO105" s="1157">
        <f t="shared" ref="WSO105" si="4016">WSN102</f>
        <v>0</v>
      </c>
      <c r="WSP105" s="1051"/>
      <c r="WSQ105" s="1051"/>
      <c r="WSR105" s="1056"/>
      <c r="WSS105" s="1157">
        <f t="shared" ref="WSS105" si="4017">WSR102</f>
        <v>0</v>
      </c>
      <c r="WST105" s="1051"/>
      <c r="WSU105" s="1051"/>
      <c r="WSV105" s="1056"/>
      <c r="WSW105" s="1157">
        <f t="shared" ref="WSW105" si="4018">WSV102</f>
        <v>0</v>
      </c>
      <c r="WSX105" s="1051"/>
      <c r="WSY105" s="1051"/>
      <c r="WSZ105" s="1056"/>
      <c r="WTA105" s="1157">
        <f t="shared" ref="WTA105" si="4019">WSZ102</f>
        <v>0</v>
      </c>
      <c r="WTB105" s="1051"/>
      <c r="WTC105" s="1051"/>
      <c r="WTD105" s="1056"/>
      <c r="WTE105" s="1157">
        <f t="shared" ref="WTE105" si="4020">WTD102</f>
        <v>0</v>
      </c>
      <c r="WTF105" s="1051"/>
      <c r="WTG105" s="1051"/>
      <c r="WTH105" s="1056"/>
      <c r="WTI105" s="1157">
        <f t="shared" ref="WTI105" si="4021">WTH102</f>
        <v>0</v>
      </c>
      <c r="WTJ105" s="1051"/>
      <c r="WTK105" s="1051"/>
      <c r="WTL105" s="1056"/>
      <c r="WTM105" s="1157">
        <f t="shared" ref="WTM105" si="4022">WTL102</f>
        <v>0</v>
      </c>
      <c r="WTN105" s="1051"/>
      <c r="WTO105" s="1051"/>
      <c r="WTP105" s="1056"/>
      <c r="WTQ105" s="1157">
        <f t="shared" ref="WTQ105" si="4023">WTP102</f>
        <v>0</v>
      </c>
      <c r="WTR105" s="1051"/>
      <c r="WTS105" s="1051"/>
      <c r="WTT105" s="1056"/>
      <c r="WTU105" s="1157">
        <f t="shared" ref="WTU105" si="4024">WTT102</f>
        <v>0</v>
      </c>
      <c r="WTV105" s="1051"/>
      <c r="WTW105" s="1051"/>
      <c r="WTX105" s="1056"/>
      <c r="WTY105" s="1157">
        <f t="shared" ref="WTY105" si="4025">WTX102</f>
        <v>0</v>
      </c>
      <c r="WTZ105" s="1051"/>
      <c r="WUA105" s="1051"/>
      <c r="WUB105" s="1056"/>
      <c r="WUC105" s="1157">
        <f t="shared" ref="WUC105" si="4026">WUB102</f>
        <v>0</v>
      </c>
      <c r="WUD105" s="1051"/>
      <c r="WUE105" s="1051"/>
      <c r="WUF105" s="1056"/>
      <c r="WUG105" s="1157">
        <f t="shared" ref="WUG105" si="4027">WUF102</f>
        <v>0</v>
      </c>
      <c r="WUH105" s="1051"/>
      <c r="WUI105" s="1051"/>
      <c r="WUJ105" s="1056"/>
      <c r="WUK105" s="1157">
        <f t="shared" ref="WUK105" si="4028">WUJ102</f>
        <v>0</v>
      </c>
      <c r="WUL105" s="1051"/>
      <c r="WUM105" s="1051"/>
      <c r="WUN105" s="1056"/>
      <c r="WUO105" s="1157">
        <f t="shared" ref="WUO105" si="4029">WUN102</f>
        <v>0</v>
      </c>
      <c r="WUP105" s="1051"/>
      <c r="WUQ105" s="1051"/>
      <c r="WUR105" s="1056"/>
      <c r="WUS105" s="1157">
        <f t="shared" ref="WUS105" si="4030">WUR102</f>
        <v>0</v>
      </c>
      <c r="WUT105" s="1051"/>
      <c r="WUU105" s="1051"/>
      <c r="WUV105" s="1056"/>
      <c r="WUW105" s="1157">
        <f t="shared" ref="WUW105" si="4031">WUV102</f>
        <v>0</v>
      </c>
      <c r="WUX105" s="1051"/>
      <c r="WUY105" s="1051"/>
      <c r="WUZ105" s="1056"/>
      <c r="WVA105" s="1157">
        <f t="shared" ref="WVA105" si="4032">WUZ102</f>
        <v>0</v>
      </c>
      <c r="WVB105" s="1051"/>
      <c r="WVC105" s="1051"/>
      <c r="WVD105" s="1056"/>
      <c r="WVE105" s="1157">
        <f t="shared" ref="WVE105" si="4033">WVD102</f>
        <v>0</v>
      </c>
      <c r="WVF105" s="1051"/>
      <c r="WVG105" s="1051"/>
      <c r="WVH105" s="1056"/>
      <c r="WVI105" s="1157">
        <f t="shared" ref="WVI105" si="4034">WVH102</f>
        <v>0</v>
      </c>
      <c r="WVJ105" s="1051"/>
      <c r="WVK105" s="1051"/>
      <c r="WVL105" s="1056"/>
      <c r="WVM105" s="1157">
        <f t="shared" ref="WVM105" si="4035">WVL102</f>
        <v>0</v>
      </c>
      <c r="WVN105" s="1051"/>
      <c r="WVO105" s="1051"/>
      <c r="WVP105" s="1056"/>
      <c r="WVQ105" s="1157">
        <f t="shared" ref="WVQ105" si="4036">WVP102</f>
        <v>0</v>
      </c>
      <c r="WVR105" s="1051"/>
      <c r="WVS105" s="1051"/>
      <c r="WVT105" s="1056"/>
      <c r="WVU105" s="1157">
        <f t="shared" ref="WVU105" si="4037">WVT102</f>
        <v>0</v>
      </c>
      <c r="WVV105" s="1051"/>
      <c r="WVW105" s="1051"/>
      <c r="WVX105" s="1056"/>
      <c r="WVY105" s="1157">
        <f t="shared" ref="WVY105" si="4038">WVX102</f>
        <v>0</v>
      </c>
      <c r="WVZ105" s="1051"/>
      <c r="WWA105" s="1051"/>
      <c r="WWB105" s="1056"/>
      <c r="WWC105" s="1157">
        <f t="shared" ref="WWC105" si="4039">WWB102</f>
        <v>0</v>
      </c>
      <c r="WWD105" s="1051"/>
      <c r="WWE105" s="1051"/>
      <c r="WWF105" s="1056"/>
      <c r="WWG105" s="1157">
        <f t="shared" ref="WWG105" si="4040">WWF102</f>
        <v>0</v>
      </c>
      <c r="WWH105" s="1051"/>
      <c r="WWI105" s="1051"/>
      <c r="WWJ105" s="1056"/>
      <c r="WWK105" s="1157">
        <f t="shared" ref="WWK105" si="4041">WWJ102</f>
        <v>0</v>
      </c>
      <c r="WWL105" s="1051"/>
      <c r="WWM105" s="1051"/>
      <c r="WWN105" s="1056"/>
      <c r="WWO105" s="1157">
        <f t="shared" ref="WWO105" si="4042">WWN102</f>
        <v>0</v>
      </c>
      <c r="WWP105" s="1051"/>
      <c r="WWQ105" s="1051"/>
      <c r="WWR105" s="1056"/>
      <c r="WWS105" s="1157">
        <f t="shared" ref="WWS105" si="4043">WWR102</f>
        <v>0</v>
      </c>
      <c r="WWT105" s="1051"/>
      <c r="WWU105" s="1051"/>
      <c r="WWV105" s="1056"/>
      <c r="WWW105" s="1157">
        <f t="shared" ref="WWW105" si="4044">WWV102</f>
        <v>0</v>
      </c>
      <c r="WWX105" s="1051"/>
      <c r="WWY105" s="1051"/>
      <c r="WWZ105" s="1056"/>
      <c r="WXA105" s="1157">
        <f t="shared" ref="WXA105" si="4045">WWZ102</f>
        <v>0</v>
      </c>
      <c r="WXB105" s="1051"/>
      <c r="WXC105" s="1051"/>
      <c r="WXD105" s="1056"/>
      <c r="WXE105" s="1157">
        <f t="shared" ref="WXE105" si="4046">WXD102</f>
        <v>0</v>
      </c>
      <c r="WXF105" s="1051"/>
      <c r="WXG105" s="1051"/>
      <c r="WXH105" s="1056"/>
      <c r="WXI105" s="1157">
        <f t="shared" ref="WXI105" si="4047">WXH102</f>
        <v>0</v>
      </c>
      <c r="WXJ105" s="1051"/>
      <c r="WXK105" s="1051"/>
      <c r="WXL105" s="1056"/>
      <c r="WXM105" s="1157">
        <f t="shared" ref="WXM105" si="4048">WXL102</f>
        <v>0</v>
      </c>
      <c r="WXN105" s="1051"/>
      <c r="WXO105" s="1051"/>
      <c r="WXP105" s="1056"/>
      <c r="WXQ105" s="1157">
        <f t="shared" ref="WXQ105" si="4049">WXP102</f>
        <v>0</v>
      </c>
      <c r="WXR105" s="1051"/>
      <c r="WXS105" s="1051"/>
      <c r="WXT105" s="1056"/>
      <c r="WXU105" s="1157">
        <f t="shared" ref="WXU105" si="4050">WXT102</f>
        <v>0</v>
      </c>
      <c r="WXV105" s="1051"/>
      <c r="WXW105" s="1051"/>
      <c r="WXX105" s="1056"/>
      <c r="WXY105" s="1157">
        <f t="shared" ref="WXY105" si="4051">WXX102</f>
        <v>0</v>
      </c>
      <c r="WXZ105" s="1051"/>
      <c r="WYA105" s="1051"/>
      <c r="WYB105" s="1056"/>
      <c r="WYC105" s="1157">
        <f t="shared" ref="WYC105" si="4052">WYB102</f>
        <v>0</v>
      </c>
      <c r="WYD105" s="1051"/>
      <c r="WYE105" s="1051"/>
      <c r="WYF105" s="1056"/>
      <c r="WYG105" s="1157">
        <f t="shared" ref="WYG105" si="4053">WYF102</f>
        <v>0</v>
      </c>
      <c r="WYH105" s="1051"/>
      <c r="WYI105" s="1051"/>
      <c r="WYJ105" s="1056"/>
      <c r="WYK105" s="1157">
        <f t="shared" ref="WYK105" si="4054">WYJ102</f>
        <v>0</v>
      </c>
      <c r="WYL105" s="1051"/>
      <c r="WYM105" s="1051"/>
      <c r="WYN105" s="1056"/>
      <c r="WYO105" s="1157">
        <f t="shared" ref="WYO105" si="4055">WYN102</f>
        <v>0</v>
      </c>
      <c r="WYP105" s="1051"/>
      <c r="WYQ105" s="1051"/>
      <c r="WYR105" s="1056"/>
      <c r="WYS105" s="1157">
        <f t="shared" ref="WYS105" si="4056">WYR102</f>
        <v>0</v>
      </c>
      <c r="WYT105" s="1051"/>
      <c r="WYU105" s="1051"/>
      <c r="WYV105" s="1056"/>
      <c r="WYW105" s="1157">
        <f t="shared" ref="WYW105" si="4057">WYV102</f>
        <v>0</v>
      </c>
      <c r="WYX105" s="1051"/>
      <c r="WYY105" s="1051"/>
      <c r="WYZ105" s="1056"/>
      <c r="WZA105" s="1157">
        <f t="shared" ref="WZA105" si="4058">WYZ102</f>
        <v>0</v>
      </c>
      <c r="WZB105" s="1051"/>
      <c r="WZC105" s="1051"/>
      <c r="WZD105" s="1056"/>
      <c r="WZE105" s="1157">
        <f t="shared" ref="WZE105" si="4059">WZD102</f>
        <v>0</v>
      </c>
      <c r="WZF105" s="1051"/>
      <c r="WZG105" s="1051"/>
      <c r="WZH105" s="1056"/>
      <c r="WZI105" s="1157">
        <f t="shared" ref="WZI105" si="4060">WZH102</f>
        <v>0</v>
      </c>
      <c r="WZJ105" s="1051"/>
      <c r="WZK105" s="1051"/>
      <c r="WZL105" s="1056"/>
      <c r="WZM105" s="1157">
        <f t="shared" ref="WZM105" si="4061">WZL102</f>
        <v>0</v>
      </c>
      <c r="WZN105" s="1051"/>
      <c r="WZO105" s="1051"/>
      <c r="WZP105" s="1056"/>
      <c r="WZQ105" s="1157">
        <f t="shared" ref="WZQ105" si="4062">WZP102</f>
        <v>0</v>
      </c>
      <c r="WZR105" s="1051"/>
      <c r="WZS105" s="1051"/>
      <c r="WZT105" s="1056"/>
      <c r="WZU105" s="1157">
        <f t="shared" ref="WZU105" si="4063">WZT102</f>
        <v>0</v>
      </c>
      <c r="WZV105" s="1051"/>
      <c r="WZW105" s="1051"/>
      <c r="WZX105" s="1056"/>
      <c r="WZY105" s="1157">
        <f t="shared" ref="WZY105" si="4064">WZX102</f>
        <v>0</v>
      </c>
      <c r="WZZ105" s="1051"/>
      <c r="XAA105" s="1051"/>
      <c r="XAB105" s="1056"/>
      <c r="XAC105" s="1157">
        <f t="shared" ref="XAC105" si="4065">XAB102</f>
        <v>0</v>
      </c>
      <c r="XAD105" s="1051"/>
      <c r="XAE105" s="1051"/>
      <c r="XAF105" s="1056"/>
      <c r="XAG105" s="1157">
        <f t="shared" ref="XAG105" si="4066">XAF102</f>
        <v>0</v>
      </c>
      <c r="XAH105" s="1051"/>
      <c r="XAI105" s="1051"/>
      <c r="XAJ105" s="1056"/>
      <c r="XAK105" s="1157">
        <f t="shared" ref="XAK105" si="4067">XAJ102</f>
        <v>0</v>
      </c>
      <c r="XAL105" s="1051"/>
      <c r="XAM105" s="1051"/>
      <c r="XAN105" s="1056"/>
      <c r="XAO105" s="1157">
        <f t="shared" ref="XAO105" si="4068">XAN102</f>
        <v>0</v>
      </c>
      <c r="XAP105" s="1051"/>
      <c r="XAQ105" s="1051"/>
      <c r="XAR105" s="1056"/>
      <c r="XAS105" s="1157">
        <f t="shared" ref="XAS105" si="4069">XAR102</f>
        <v>0</v>
      </c>
      <c r="XAT105" s="1051"/>
      <c r="XAU105" s="1051"/>
      <c r="XAV105" s="1056"/>
      <c r="XAW105" s="1157">
        <f t="shared" ref="XAW105" si="4070">XAV102</f>
        <v>0</v>
      </c>
      <c r="XAX105" s="1051"/>
      <c r="XAY105" s="1051"/>
      <c r="XAZ105" s="1056"/>
      <c r="XBA105" s="1157">
        <f t="shared" ref="XBA105" si="4071">XAZ102</f>
        <v>0</v>
      </c>
      <c r="XBB105" s="1051"/>
      <c r="XBC105" s="1051"/>
      <c r="XBD105" s="1056"/>
      <c r="XBE105" s="1157">
        <f t="shared" ref="XBE105" si="4072">XBD102</f>
        <v>0</v>
      </c>
      <c r="XBF105" s="1051"/>
      <c r="XBG105" s="1051"/>
      <c r="XBH105" s="1056"/>
      <c r="XBI105" s="1157">
        <f t="shared" ref="XBI105" si="4073">XBH102</f>
        <v>0</v>
      </c>
      <c r="XBJ105" s="1051"/>
      <c r="XBK105" s="1051"/>
      <c r="XBL105" s="1056"/>
      <c r="XBM105" s="1157">
        <f t="shared" ref="XBM105" si="4074">XBL102</f>
        <v>0</v>
      </c>
      <c r="XBN105" s="1051"/>
      <c r="XBO105" s="1051"/>
      <c r="XBP105" s="1056"/>
      <c r="XBQ105" s="1157">
        <f t="shared" ref="XBQ105" si="4075">XBP102</f>
        <v>0</v>
      </c>
      <c r="XBR105" s="1051"/>
      <c r="XBS105" s="1051"/>
      <c r="XBT105" s="1056"/>
      <c r="XBU105" s="1157">
        <f t="shared" ref="XBU105" si="4076">XBT102</f>
        <v>0</v>
      </c>
      <c r="XBV105" s="1051"/>
      <c r="XBW105" s="1051"/>
      <c r="XBX105" s="1056"/>
      <c r="XBY105" s="1157">
        <f t="shared" ref="XBY105" si="4077">XBX102</f>
        <v>0</v>
      </c>
      <c r="XBZ105" s="1051"/>
      <c r="XCA105" s="1051"/>
      <c r="XCB105" s="1056"/>
      <c r="XCC105" s="1157">
        <f t="shared" ref="XCC105" si="4078">XCB102</f>
        <v>0</v>
      </c>
      <c r="XCD105" s="1051"/>
      <c r="XCE105" s="1051"/>
      <c r="XCF105" s="1056"/>
      <c r="XCG105" s="1157">
        <f t="shared" ref="XCG105" si="4079">XCF102</f>
        <v>0</v>
      </c>
      <c r="XCH105" s="1051"/>
      <c r="XCI105" s="1051"/>
      <c r="XCJ105" s="1056"/>
      <c r="XCK105" s="1157">
        <f t="shared" ref="XCK105" si="4080">XCJ102</f>
        <v>0</v>
      </c>
      <c r="XCL105" s="1051"/>
      <c r="XCM105" s="1051"/>
      <c r="XCN105" s="1056"/>
      <c r="XCO105" s="1157">
        <f t="shared" ref="XCO105" si="4081">XCN102</f>
        <v>0</v>
      </c>
      <c r="XCP105" s="1051"/>
      <c r="XCQ105" s="1051"/>
      <c r="XCR105" s="1056"/>
      <c r="XCS105" s="1157">
        <f t="shared" ref="XCS105" si="4082">XCR102</f>
        <v>0</v>
      </c>
      <c r="XCT105" s="1051"/>
      <c r="XCU105" s="1051"/>
      <c r="XCV105" s="1056"/>
      <c r="XCW105" s="1157">
        <f t="shared" ref="XCW105" si="4083">XCV102</f>
        <v>0</v>
      </c>
      <c r="XCX105" s="1051"/>
      <c r="XCY105" s="1051"/>
      <c r="XCZ105" s="1056"/>
      <c r="XDA105" s="1157">
        <f t="shared" ref="XDA105" si="4084">XCZ102</f>
        <v>0</v>
      </c>
      <c r="XDB105" s="1051"/>
      <c r="XDC105" s="1051"/>
      <c r="XDD105" s="1056"/>
      <c r="XDE105" s="1157">
        <f t="shared" ref="XDE105" si="4085">XDD102</f>
        <v>0</v>
      </c>
      <c r="XDF105" s="1051"/>
      <c r="XDG105" s="1051"/>
      <c r="XDH105" s="1056"/>
      <c r="XDI105" s="1157">
        <f t="shared" ref="XDI105" si="4086">XDH102</f>
        <v>0</v>
      </c>
      <c r="XDJ105" s="1051"/>
      <c r="XDK105" s="1051"/>
      <c r="XDL105" s="1056"/>
      <c r="XDM105" s="1157">
        <f t="shared" ref="XDM105" si="4087">XDL102</f>
        <v>0</v>
      </c>
      <c r="XDN105" s="1051"/>
      <c r="XDO105" s="1051"/>
      <c r="XDP105" s="1056"/>
      <c r="XDQ105" s="1157">
        <f t="shared" ref="XDQ105" si="4088">XDP102</f>
        <v>0</v>
      </c>
      <c r="XDR105" s="1051"/>
      <c r="XDS105" s="1051"/>
      <c r="XDT105" s="1056"/>
      <c r="XDU105" s="1157">
        <f t="shared" ref="XDU105" si="4089">XDT102</f>
        <v>0</v>
      </c>
      <c r="XDV105" s="1051"/>
      <c r="XDW105" s="1051"/>
      <c r="XDX105" s="1056"/>
      <c r="XDY105" s="1157">
        <f t="shared" ref="XDY105" si="4090">XDX102</f>
        <v>0</v>
      </c>
      <c r="XDZ105" s="1051"/>
      <c r="XEA105" s="1051"/>
      <c r="XEB105" s="1056"/>
      <c r="XEC105" s="1157">
        <f t="shared" ref="XEC105" si="4091">XEB102</f>
        <v>0</v>
      </c>
      <c r="XED105" s="1051"/>
      <c r="XEE105" s="1051"/>
      <c r="XEF105" s="1056"/>
      <c r="XEG105" s="1157">
        <f t="shared" ref="XEG105" si="4092">XEF102</f>
        <v>0</v>
      </c>
      <c r="XEH105" s="1051"/>
      <c r="XEI105" s="1051"/>
      <c r="XEJ105" s="1056"/>
      <c r="XEK105" s="1157">
        <f t="shared" ref="XEK105" si="4093">XEJ102</f>
        <v>0</v>
      </c>
      <c r="XEL105" s="1051"/>
      <c r="XEM105" s="1051"/>
      <c r="XEN105" s="1056"/>
      <c r="XEO105" s="1157">
        <f t="shared" ref="XEO105" si="4094">XEN102</f>
        <v>0</v>
      </c>
      <c r="XEP105" s="1051"/>
      <c r="XEQ105" s="1051"/>
      <c r="XER105" s="1056"/>
      <c r="XES105" s="1157">
        <f t="shared" ref="XES105" si="4095">XER102</f>
        <v>0</v>
      </c>
      <c r="XET105" s="1051"/>
      <c r="XEU105" s="1051"/>
      <c r="XEV105" s="1056"/>
      <c r="XEW105" s="1157">
        <f t="shared" ref="XEW105" si="4096">XEV102</f>
        <v>0</v>
      </c>
      <c r="XEX105" s="1051"/>
      <c r="XEY105" s="1051"/>
      <c r="XEZ105" s="1056"/>
      <c r="XFA105" s="1157">
        <f t="shared" ref="XFA105" si="4097">XEZ102</f>
        <v>0</v>
      </c>
      <c r="XFB105" s="1157"/>
      <c r="XFC105" s="1157"/>
      <c r="XFD105" s="1157"/>
    </row>
    <row r="106" spans="1:16384" ht="30" customHeight="1">
      <c r="A106" s="390"/>
      <c r="B106" s="441"/>
      <c r="C106" s="435"/>
      <c r="D106" s="435"/>
      <c r="E106" s="435"/>
      <c r="F106" s="435"/>
      <c r="G106" s="1051"/>
      <c r="H106" s="1155" t="str">
        <f>IF(AND($D$102&gt;=8.5,$D$102&lt;9,$F$108="6 Sätze"),"Achtung du wirst womöglich keine "&amp;$F$108&amp;" schaffen!",IF(AND($D$102&gt;=9,$D$102&lt;=10,$F$108="6 Sätze"),"Achtung du wirst sehr wahrscheinlich keine "&amp;$F$108&amp;" schaffen!",IF(AND($D$102&gt;=9,$D$102&lt;9.5,$F$108="5 Sätze"),"Achtung du wirst womöglich keine "&amp;$F$108&amp;" schaffen!",IF(AND($D$102&gt;=9.5,$D$102&lt;=10,$F$108="5 Sätze"),"Achtung du wirst sehr wahrscheinlich keine "&amp;$F$108&amp;" schaffen!",IF(AND($D$102&gt;=9.25,$D$102&lt;=10,$F$108="4 Sätze"),"Achtung du wirst womöglich keine "&amp;$F$108&amp;" schaffen!",IF(AND($D$102&gt;=9.5,$D$102&lt;=10,$F$108="4 Sätze"),"Achtung du wirst sehr wahrscheinlich keine "&amp;$F$108&amp;" schaffen!",IF(AND($D$102&gt;=9.5,$D$102&lt;=10,$F$108="3 Sätze"),"Achtung du wirst womöglich keine "&amp;$F$108&amp;" schaffen!",IF(AND($D$102&gt;=10,$D$102&lt;=10,$F$108="3 Sätze"),"Achtung du wirst sehr wahrscheinlich keine "&amp;$F$108&amp;" schaffen!",IF(AND($D$102&gt;=9.75,$D$102&lt;=10,$F$108="2 Sätze"),"Achtung du wirst womöglich keine "&amp;$F$108&amp;" schaffen!","")))))))))</f>
        <v/>
      </c>
      <c r="I106" s="390"/>
      <c r="J106" s="390"/>
      <c r="K106" s="507"/>
      <c r="L106" s="1059" t="s">
        <v>160</v>
      </c>
      <c r="M106" s="1059"/>
      <c r="N106" s="1059"/>
      <c r="O106" s="509"/>
      <c r="P106" s="525"/>
      <c r="Q106" s="507"/>
      <c r="R106" s="507"/>
      <c r="S106" s="507"/>
      <c r="T106" s="509"/>
      <c r="U106" s="509"/>
      <c r="V106" s="509"/>
      <c r="W106" s="509"/>
      <c r="X106" s="509"/>
      <c r="Y106" s="509"/>
      <c r="Z106" s="290"/>
      <c r="AA106" s="290"/>
      <c r="AB106" s="290"/>
      <c r="AC106" s="290"/>
      <c r="AD106" s="290"/>
      <c r="AE106" s="290"/>
    </row>
    <row r="107" spans="1:16384" ht="8.25" customHeight="1" thickBot="1">
      <c r="A107" s="390"/>
      <c r="B107" s="919"/>
      <c r="C107" s="462"/>
      <c r="D107" s="463"/>
      <c r="E107" s="464"/>
      <c r="F107" s="465"/>
      <c r="G107" s="1051"/>
      <c r="H107" s="1155"/>
      <c r="I107" s="390"/>
      <c r="J107" s="390"/>
      <c r="K107" s="507"/>
      <c r="L107" s="509"/>
      <c r="M107" s="509"/>
      <c r="N107" s="509"/>
      <c r="O107" s="507"/>
      <c r="P107" s="507"/>
      <c r="Q107" s="507"/>
      <c r="R107" s="507"/>
      <c r="S107" s="507"/>
      <c r="T107" s="509"/>
      <c r="U107" s="509"/>
      <c r="V107" s="509"/>
      <c r="W107" s="509"/>
      <c r="X107" s="509"/>
      <c r="Y107" s="509"/>
      <c r="Z107" s="290"/>
      <c r="AA107" s="290"/>
      <c r="AB107" s="290"/>
      <c r="AC107" s="290"/>
      <c r="AD107" s="290"/>
      <c r="AE107" s="290"/>
    </row>
    <row r="108" spans="1:16384" ht="30" customHeight="1" thickTop="1" thickBot="1">
      <c r="A108" s="390"/>
      <c r="B108" s="920"/>
      <c r="C108" s="460"/>
      <c r="D108" s="1092" t="s">
        <v>266</v>
      </c>
      <c r="E108" s="1092"/>
      <c r="F108" s="479" t="s">
        <v>327</v>
      </c>
      <c r="G108" s="1051"/>
      <c r="H108" s="1155"/>
      <c r="I108" s="390"/>
      <c r="J108" s="390"/>
      <c r="K108" s="514"/>
      <c r="L108" s="509"/>
      <c r="M108" s="509"/>
      <c r="N108" s="509"/>
      <c r="O108" s="509"/>
      <c r="P108" s="509"/>
      <c r="Q108" s="507"/>
      <c r="R108" s="507"/>
      <c r="S108" s="507"/>
      <c r="T108" s="509"/>
      <c r="U108" s="509"/>
      <c r="V108" s="509"/>
      <c r="W108" s="509"/>
      <c r="X108" s="509"/>
      <c r="Y108" s="509"/>
      <c r="Z108" s="290"/>
      <c r="AA108" s="290"/>
      <c r="AB108" s="290"/>
      <c r="AC108" s="290"/>
      <c r="AD108" s="290"/>
      <c r="AE108" s="290"/>
    </row>
    <row r="109" spans="1:16384" ht="30" customHeight="1" thickTop="1">
      <c r="A109" s="390"/>
      <c r="B109" s="920"/>
      <c r="C109" s="461"/>
      <c r="D109" s="1092" t="s">
        <v>275</v>
      </c>
      <c r="E109" s="1092"/>
      <c r="F109" s="480">
        <v>5</v>
      </c>
      <c r="G109" s="435"/>
      <c r="H109" s="442"/>
      <c r="I109" s="390"/>
      <c r="J109" s="390"/>
      <c r="K109" s="507"/>
      <c r="L109" s="543" t="s">
        <v>138</v>
      </c>
      <c r="M109" s="543" t="s">
        <v>57</v>
      </c>
      <c r="N109" s="543" t="s">
        <v>56</v>
      </c>
      <c r="O109" s="509"/>
      <c r="P109" s="509"/>
      <c r="Q109" s="507"/>
      <c r="R109" s="507"/>
      <c r="S109" s="507"/>
      <c r="T109" s="509"/>
      <c r="U109" s="509"/>
      <c r="V109" s="509"/>
      <c r="W109" s="509"/>
      <c r="X109" s="509"/>
      <c r="Y109" s="509"/>
      <c r="Z109" s="290"/>
      <c r="AA109" s="290"/>
      <c r="AB109" s="290"/>
      <c r="AC109" s="290"/>
      <c r="AD109" s="290"/>
      <c r="AE109" s="290"/>
    </row>
    <row r="110" spans="1:16384" ht="30" customHeight="1" thickBot="1">
      <c r="A110" s="390"/>
      <c r="B110" s="1136"/>
      <c r="C110" s="1137"/>
      <c r="D110" s="1138"/>
      <c r="E110" s="1138"/>
      <c r="F110" s="451"/>
      <c r="G110" s="451"/>
      <c r="H110" s="452"/>
      <c r="I110" s="390"/>
      <c r="J110" s="390"/>
      <c r="K110" s="507"/>
      <c r="L110" s="553">
        <v>0.95</v>
      </c>
      <c r="M110" s="554">
        <f t="shared" ref="M110:M121" si="4098">IF($D$25="","",PRODUCT($D$25,$L110))</f>
        <v>114</v>
      </c>
      <c r="N110" s="555">
        <f t="shared" ref="N110:N116" si="4099">IFERROR(IF($C$11="Epley",ROUNDDOWN((((30*$D$25)/$M110)-30),0),(ROUNDDOWN(((((($M110*36)/$D$25)-37)*-1)),0))),"")</f>
        <v>1</v>
      </c>
      <c r="O110" s="509"/>
      <c r="P110" s="509"/>
      <c r="Q110" s="507"/>
      <c r="R110" s="507"/>
      <c r="S110" s="507"/>
      <c r="T110" s="509"/>
      <c r="U110" s="509"/>
      <c r="V110" s="509"/>
      <c r="W110" s="509"/>
      <c r="X110" s="509"/>
      <c r="Y110" s="509"/>
      <c r="Z110" s="290"/>
      <c r="AA110" s="290"/>
      <c r="AB110" s="290"/>
      <c r="AC110" s="290"/>
      <c r="AD110" s="290"/>
      <c r="AE110" s="290"/>
    </row>
    <row r="111" spans="1:16384" ht="30" customHeight="1">
      <c r="A111" s="390"/>
      <c r="B111" s="390"/>
      <c r="C111" s="390"/>
      <c r="D111" s="390"/>
      <c r="E111" s="390"/>
      <c r="F111" s="390"/>
      <c r="G111" s="390"/>
      <c r="H111" s="390"/>
      <c r="I111" s="390"/>
      <c r="J111" s="390"/>
      <c r="K111" s="507"/>
      <c r="L111" s="556">
        <v>0.9</v>
      </c>
      <c r="M111" s="557">
        <f t="shared" si="4098"/>
        <v>108</v>
      </c>
      <c r="N111" s="558">
        <f t="shared" si="4099"/>
        <v>3</v>
      </c>
      <c r="O111" s="509"/>
      <c r="P111" s="509"/>
      <c r="Q111" s="507"/>
      <c r="R111" s="509"/>
      <c r="S111" s="509"/>
      <c r="T111" s="509"/>
      <c r="U111" s="509"/>
      <c r="V111" s="509"/>
      <c r="W111" s="509"/>
      <c r="X111" s="509"/>
      <c r="Y111" s="509"/>
      <c r="Z111" s="290"/>
      <c r="AA111" s="290"/>
      <c r="AB111" s="290"/>
      <c r="AC111" s="290"/>
      <c r="AD111" s="290"/>
      <c r="AE111" s="290"/>
    </row>
    <row r="112" spans="1:16384" ht="30" customHeight="1">
      <c r="A112" s="390"/>
      <c r="B112" s="390"/>
      <c r="C112" s="390"/>
      <c r="D112" s="390"/>
      <c r="E112" s="390"/>
      <c r="F112" s="390"/>
      <c r="G112" s="390"/>
      <c r="H112" s="390"/>
      <c r="I112" s="390"/>
      <c r="J112" s="390"/>
      <c r="K112" s="507"/>
      <c r="L112" s="553">
        <v>0.85</v>
      </c>
      <c r="M112" s="554">
        <f t="shared" si="4098"/>
        <v>102</v>
      </c>
      <c r="N112" s="555">
        <f t="shared" si="4099"/>
        <v>5</v>
      </c>
      <c r="O112" s="509"/>
      <c r="P112" s="509"/>
      <c r="Q112" s="509"/>
      <c r="R112" s="509"/>
      <c r="S112" s="509"/>
      <c r="T112" s="509"/>
      <c r="U112" s="509"/>
      <c r="V112" s="509"/>
      <c r="W112" s="509"/>
      <c r="X112" s="509"/>
      <c r="Y112" s="509"/>
      <c r="Z112" s="290"/>
      <c r="AA112" s="290"/>
      <c r="AB112" s="290"/>
      <c r="AC112" s="290"/>
      <c r="AD112" s="290"/>
      <c r="AE112" s="290"/>
    </row>
    <row r="113" spans="1:31" ht="30" customHeight="1">
      <c r="A113" s="390"/>
      <c r="B113" s="390"/>
      <c r="C113" s="390"/>
      <c r="D113" s="390"/>
      <c r="E113" s="390"/>
      <c r="F113" s="390"/>
      <c r="G113" s="390"/>
      <c r="H113" s="390"/>
      <c r="I113" s="390"/>
      <c r="J113" s="390"/>
      <c r="K113" s="507"/>
      <c r="L113" s="556">
        <v>0.8</v>
      </c>
      <c r="M113" s="557">
        <f t="shared" si="4098"/>
        <v>96</v>
      </c>
      <c r="N113" s="558">
        <f t="shared" si="4099"/>
        <v>7</v>
      </c>
      <c r="O113" s="509"/>
      <c r="P113" s="509"/>
      <c r="Q113" s="509"/>
      <c r="R113" s="509"/>
      <c r="S113" s="509"/>
      <c r="T113" s="509"/>
      <c r="U113" s="509"/>
      <c r="V113" s="509"/>
      <c r="W113" s="509"/>
      <c r="X113" s="509"/>
      <c r="Y113" s="509"/>
      <c r="Z113" s="290"/>
      <c r="AA113" s="290"/>
      <c r="AB113" s="290"/>
      <c r="AC113" s="290"/>
      <c r="AD113" s="290"/>
      <c r="AE113" s="290"/>
    </row>
    <row r="114" spans="1:31" ht="30" customHeight="1">
      <c r="A114" s="390"/>
      <c r="B114" s="390"/>
      <c r="C114" s="398"/>
      <c r="D114" s="398"/>
      <c r="E114" s="399"/>
      <c r="F114" s="399"/>
      <c r="G114" s="390"/>
      <c r="H114" s="390"/>
      <c r="I114" s="390"/>
      <c r="J114" s="390"/>
      <c r="K114" s="507"/>
      <c r="L114" s="559">
        <v>0.75</v>
      </c>
      <c r="M114" s="554">
        <f t="shared" si="4098"/>
        <v>90</v>
      </c>
      <c r="N114" s="555">
        <f t="shared" si="4099"/>
        <v>10</v>
      </c>
      <c r="O114" s="509"/>
      <c r="P114" s="509"/>
      <c r="Q114" s="509"/>
      <c r="R114" s="509"/>
      <c r="S114" s="509"/>
      <c r="T114" s="509"/>
      <c r="U114" s="509"/>
      <c r="V114" s="509"/>
      <c r="W114" s="509"/>
      <c r="X114" s="509"/>
      <c r="Y114" s="509"/>
      <c r="Z114" s="290"/>
      <c r="AA114" s="290"/>
      <c r="AB114" s="290"/>
      <c r="AC114" s="290"/>
      <c r="AD114" s="290"/>
      <c r="AE114" s="290"/>
    </row>
    <row r="115" spans="1:31" ht="30" customHeight="1">
      <c r="A115" s="946" t="str">
        <f xml:space="preserve">   ("Berechnetes Gewicht: " &amp;$C$8)</f>
        <v>Berechnetes Gewicht: LH Bankdrücken</v>
      </c>
      <c r="B115" s="946"/>
      <c r="C115" s="946"/>
      <c r="D115" s="393"/>
      <c r="E115" s="391"/>
      <c r="F115" s="391"/>
      <c r="G115" s="390"/>
      <c r="H115" s="390"/>
      <c r="I115" s="390"/>
      <c r="J115" s="390"/>
      <c r="K115" s="507"/>
      <c r="L115" s="556">
        <v>0.7</v>
      </c>
      <c r="M115" s="557">
        <f t="shared" si="4098"/>
        <v>84</v>
      </c>
      <c r="N115" s="558">
        <f t="shared" si="4099"/>
        <v>12</v>
      </c>
      <c r="O115" s="509"/>
      <c r="P115" s="509"/>
      <c r="Q115" s="509"/>
      <c r="R115" s="509"/>
      <c r="S115" s="509"/>
      <c r="T115" s="509"/>
      <c r="U115" s="509"/>
      <c r="V115" s="509"/>
      <c r="W115" s="509"/>
      <c r="X115" s="509"/>
      <c r="Y115" s="509"/>
      <c r="Z115" s="290"/>
      <c r="AA115" s="290"/>
      <c r="AB115" s="290"/>
      <c r="AC115" s="290"/>
      <c r="AD115" s="290"/>
      <c r="AE115" s="290"/>
    </row>
    <row r="116" spans="1:31" ht="30" customHeight="1">
      <c r="A116" s="390"/>
      <c r="B116" s="390"/>
      <c r="C116" s="390"/>
      <c r="D116" s="390"/>
      <c r="E116" s="390"/>
      <c r="F116" s="390"/>
      <c r="G116" s="390"/>
      <c r="H116" s="390"/>
      <c r="I116" s="390"/>
      <c r="J116" s="390"/>
      <c r="K116" s="507"/>
      <c r="L116" s="559">
        <v>0.65</v>
      </c>
      <c r="M116" s="554">
        <f t="shared" si="4098"/>
        <v>78</v>
      </c>
      <c r="N116" s="555">
        <f t="shared" si="4099"/>
        <v>16</v>
      </c>
      <c r="O116" s="509"/>
      <c r="P116" s="509"/>
      <c r="Q116" s="509"/>
      <c r="R116" s="509"/>
      <c r="S116" s="509"/>
      <c r="T116" s="509"/>
      <c r="U116" s="509"/>
      <c r="V116" s="509"/>
      <c r="W116" s="509"/>
      <c r="X116" s="509"/>
      <c r="Y116" s="509"/>
      <c r="Z116" s="290"/>
      <c r="AA116" s="290"/>
      <c r="AB116" s="290"/>
      <c r="AC116" s="290"/>
      <c r="AD116" s="290"/>
      <c r="AE116" s="290"/>
    </row>
    <row r="117" spans="1:31" ht="30" customHeight="1">
      <c r="A117" s="390"/>
      <c r="B117" s="390"/>
      <c r="C117" s="390"/>
      <c r="D117" s="390"/>
      <c r="E117" s="390"/>
      <c r="F117" s="390"/>
      <c r="G117" s="390"/>
      <c r="H117" s="390"/>
      <c r="I117" s="390"/>
      <c r="J117" s="390"/>
      <c r="K117" s="507"/>
      <c r="L117" s="556">
        <v>0.6</v>
      </c>
      <c r="M117" s="557">
        <f t="shared" si="4098"/>
        <v>72</v>
      </c>
      <c r="N117" s="558">
        <f t="shared" ref="N117:N121" si="4100">IFERROR(IF($C$11="Epley",ROUNDDOWN((((30*$D$25)/$M117)-30),0),(ROUNDDOWN(((((($M117*36)/$D$25)-37)*-1)),0))),"")</f>
        <v>20</v>
      </c>
      <c r="O117" s="509"/>
      <c r="P117" s="509"/>
      <c r="Q117" s="509"/>
      <c r="R117" s="509"/>
      <c r="S117" s="509"/>
      <c r="T117" s="509"/>
      <c r="U117" s="509"/>
      <c r="V117" s="509"/>
      <c r="W117" s="509"/>
      <c r="X117" s="509"/>
      <c r="Y117" s="509"/>
      <c r="Z117" s="290"/>
      <c r="AA117" s="290"/>
      <c r="AB117" s="290"/>
      <c r="AC117" s="290"/>
      <c r="AD117" s="290"/>
      <c r="AE117" s="290"/>
    </row>
    <row r="118" spans="1:31" ht="30" customHeight="1">
      <c r="A118" s="1071" t="s">
        <v>335</v>
      </c>
      <c r="B118" s="1071"/>
      <c r="C118" s="1069" t="s">
        <v>332</v>
      </c>
      <c r="D118" s="1070"/>
      <c r="E118" s="390"/>
      <c r="F118" s="390"/>
      <c r="G118" s="390"/>
      <c r="H118" s="390"/>
      <c r="I118" s="390"/>
      <c r="J118" s="390"/>
      <c r="K118" s="507"/>
      <c r="L118" s="559">
        <v>0.55000000000000004</v>
      </c>
      <c r="M118" s="554">
        <f t="shared" si="4098"/>
        <v>66</v>
      </c>
      <c r="N118" s="555">
        <f t="shared" si="4100"/>
        <v>24</v>
      </c>
      <c r="O118" s="509"/>
      <c r="P118" s="509"/>
      <c r="Q118" s="509"/>
      <c r="R118" s="509"/>
      <c r="S118" s="509"/>
      <c r="T118" s="509"/>
      <c r="U118" s="509"/>
      <c r="V118" s="509"/>
      <c r="W118" s="509"/>
      <c r="X118" s="509"/>
      <c r="Y118" s="509"/>
      <c r="Z118" s="290"/>
      <c r="AA118" s="290"/>
      <c r="AB118" s="290"/>
      <c r="AC118" s="290"/>
      <c r="AD118" s="290"/>
      <c r="AE118" s="290"/>
    </row>
    <row r="119" spans="1:31" ht="30" customHeight="1">
      <c r="A119" s="390"/>
      <c r="B119" s="390"/>
      <c r="C119" s="390"/>
      <c r="D119" s="390"/>
      <c r="E119" s="390"/>
      <c r="F119" s="390"/>
      <c r="G119" s="390"/>
      <c r="H119" s="390"/>
      <c r="I119" s="390"/>
      <c r="J119" s="390"/>
      <c r="K119" s="507"/>
      <c r="L119" s="556">
        <v>0.5</v>
      </c>
      <c r="M119" s="557">
        <f t="shared" si="4098"/>
        <v>60</v>
      </c>
      <c r="N119" s="558">
        <f t="shared" si="4100"/>
        <v>30</v>
      </c>
      <c r="O119" s="509"/>
      <c r="P119" s="509"/>
      <c r="Q119" s="509"/>
      <c r="R119" s="509"/>
      <c r="S119" s="509"/>
      <c r="T119" s="509"/>
      <c r="U119" s="509"/>
      <c r="V119" s="509"/>
      <c r="W119" s="509"/>
      <c r="X119" s="509"/>
      <c r="Y119" s="509"/>
      <c r="Z119" s="290"/>
      <c r="AA119" s="290"/>
      <c r="AB119" s="290"/>
      <c r="AC119" s="290"/>
      <c r="AD119" s="290"/>
      <c r="AE119" s="290"/>
    </row>
    <row r="120" spans="1:31" ht="30" customHeight="1">
      <c r="A120" s="390"/>
      <c r="B120" s="390"/>
      <c r="C120" s="390"/>
      <c r="D120" s="390"/>
      <c r="E120" s="390"/>
      <c r="F120" s="390"/>
      <c r="G120" s="390"/>
      <c r="H120" s="390"/>
      <c r="I120" s="390"/>
      <c r="J120" s="390"/>
      <c r="K120" s="508"/>
      <c r="L120" s="559">
        <v>0.45</v>
      </c>
      <c r="M120" s="554">
        <f t="shared" si="4098"/>
        <v>54</v>
      </c>
      <c r="N120" s="555">
        <f t="shared" si="4100"/>
        <v>36</v>
      </c>
      <c r="O120" s="509"/>
      <c r="P120" s="509"/>
      <c r="Q120" s="509"/>
      <c r="R120" s="509"/>
      <c r="S120" s="509"/>
      <c r="T120" s="509"/>
      <c r="U120" s="509"/>
      <c r="V120" s="509"/>
      <c r="W120" s="509"/>
      <c r="X120" s="509"/>
      <c r="Y120" s="509"/>
      <c r="Z120" s="290"/>
      <c r="AA120" s="290"/>
      <c r="AB120" s="290"/>
      <c r="AC120" s="290"/>
      <c r="AD120" s="290"/>
      <c r="AE120" s="290"/>
    </row>
    <row r="121" spans="1:31" ht="30" customHeight="1">
      <c r="A121" s="390"/>
      <c r="B121" s="390"/>
      <c r="C121" s="390"/>
      <c r="D121" s="390"/>
      <c r="E121" s="390"/>
      <c r="F121" s="390"/>
      <c r="G121" s="390"/>
      <c r="H121" s="390"/>
      <c r="I121" s="390"/>
      <c r="J121" s="390"/>
      <c r="K121" s="507"/>
      <c r="L121" s="556">
        <v>0.4</v>
      </c>
      <c r="M121" s="557">
        <f t="shared" si="4098"/>
        <v>48</v>
      </c>
      <c r="N121" s="558">
        <f t="shared" si="4100"/>
        <v>45</v>
      </c>
      <c r="O121" s="509"/>
      <c r="P121" s="509"/>
      <c r="Q121" s="509"/>
      <c r="R121" s="509"/>
      <c r="S121" s="509"/>
      <c r="T121" s="509"/>
      <c r="U121" s="509"/>
      <c r="V121" s="509"/>
      <c r="W121" s="509"/>
      <c r="X121" s="509"/>
      <c r="Y121" s="509"/>
      <c r="Z121" s="290"/>
      <c r="AA121" s="290"/>
      <c r="AB121" s="290"/>
      <c r="AC121" s="290"/>
      <c r="AD121" s="290"/>
      <c r="AE121" s="290"/>
    </row>
    <row r="122" spans="1:31" ht="30" customHeight="1">
      <c r="A122" s="390"/>
      <c r="B122" s="390"/>
      <c r="C122" s="390"/>
      <c r="D122" s="390"/>
      <c r="E122" s="390"/>
      <c r="F122" s="390"/>
      <c r="G122" s="390"/>
      <c r="H122" s="390"/>
      <c r="I122" s="390"/>
      <c r="J122" s="390"/>
      <c r="K122" s="507"/>
      <c r="L122" s="509"/>
      <c r="M122" s="509"/>
      <c r="N122" s="509"/>
      <c r="O122" s="509"/>
      <c r="P122" s="509"/>
      <c r="Q122" s="509"/>
      <c r="R122" s="509"/>
      <c r="S122" s="509"/>
      <c r="T122" s="509"/>
      <c r="U122" s="509"/>
      <c r="V122" s="509"/>
      <c r="W122" s="509"/>
      <c r="X122" s="509"/>
      <c r="Y122" s="509"/>
      <c r="Z122" s="290"/>
      <c r="AA122" s="290"/>
      <c r="AB122" s="290"/>
      <c r="AC122" s="290"/>
      <c r="AD122" s="290"/>
      <c r="AE122" s="290"/>
    </row>
    <row r="123" spans="1:31" ht="30" customHeight="1">
      <c r="A123" s="390"/>
      <c r="B123" s="390"/>
      <c r="C123" s="390"/>
      <c r="D123" s="390"/>
      <c r="E123" s="390"/>
      <c r="F123" s="390"/>
      <c r="G123" s="390"/>
      <c r="H123" s="390"/>
      <c r="I123" s="390"/>
      <c r="J123" s="390"/>
      <c r="K123" s="507"/>
      <c r="L123" s="509"/>
      <c r="M123" s="509"/>
      <c r="N123" s="509"/>
      <c r="O123" s="509"/>
      <c r="P123" s="509"/>
      <c r="Q123" s="509"/>
      <c r="R123" s="509"/>
      <c r="S123" s="509"/>
      <c r="T123" s="509"/>
      <c r="U123" s="509"/>
      <c r="V123" s="509"/>
      <c r="W123" s="509"/>
      <c r="X123" s="509"/>
      <c r="Y123" s="509"/>
      <c r="Z123" s="290"/>
      <c r="AA123" s="290"/>
      <c r="AB123" s="290"/>
      <c r="AC123" s="290"/>
      <c r="AD123" s="290"/>
      <c r="AE123" s="290"/>
    </row>
    <row r="124" spans="1:31" ht="30" customHeight="1" thickBot="1">
      <c r="A124" s="390"/>
      <c r="B124" s="390"/>
      <c r="C124" s="390"/>
      <c r="D124" s="390"/>
      <c r="E124" s="390"/>
      <c r="F124" s="390"/>
      <c r="G124" s="390"/>
      <c r="H124" s="390"/>
      <c r="I124" s="390"/>
      <c r="J124" s="390"/>
      <c r="K124" s="507"/>
      <c r="L124" s="1059" t="s">
        <v>290</v>
      </c>
      <c r="M124" s="1059"/>
      <c r="N124" s="1059"/>
      <c r="O124" s="1059"/>
      <c r="P124" s="509"/>
      <c r="Q124" s="509"/>
      <c r="R124" s="509"/>
      <c r="S124" s="509"/>
      <c r="T124" s="509"/>
      <c r="U124" s="509"/>
      <c r="V124" s="509"/>
      <c r="W124" s="509"/>
      <c r="X124" s="509"/>
      <c r="Y124" s="509"/>
      <c r="Z124" s="290"/>
      <c r="AA124" s="290"/>
      <c r="AB124" s="290"/>
      <c r="AC124" s="290"/>
      <c r="AD124" s="290"/>
      <c r="AE124" s="290"/>
    </row>
    <row r="125" spans="1:31" ht="30" customHeight="1">
      <c r="A125" s="390"/>
      <c r="B125" s="1107" t="s">
        <v>257</v>
      </c>
      <c r="C125" s="589"/>
      <c r="D125" s="1110" t="str">
        <f>IF(Dashboard!$C$31="4 Wochen","Woche 2 ",IF(Dashboard!$C$31="5 Wochen","Woche 2-3",IF(Dashboard!$C$31="6 Wochen","Woche 2-4: ",IF(Dashboard!$C$31="7 Wochen","Woche 2-5",IF(Dashboard!$C$31="8 Wochen","Woche 2-6","Dauer des Meso-Zyklus?")))))</f>
        <v>Woche 2-3</v>
      </c>
      <c r="E125" s="589"/>
      <c r="F125" s="1113" t="str">
        <f>IF(Dashboard!$C$31="4 Wochen","Woche 3",IF(Dashboard!$C$31="5 Wochen","Woche 4",IF(Dashboard!$C$31="6 Wochen","Woche 5",IF(Dashboard!$C$31="7 Wochen","Woche 6 ",IF(Dashboard!$C$31="8 Wochen","Woche 7","Dauer des Meso-Zyklus?")))))</f>
        <v>Woche 4</v>
      </c>
      <c r="G125" s="590"/>
      <c r="H125" s="390"/>
      <c r="I125" s="390"/>
      <c r="J125" s="390"/>
      <c r="K125" s="507"/>
      <c r="L125" s="509"/>
      <c r="M125" s="509"/>
      <c r="N125" s="509"/>
      <c r="O125" s="509"/>
      <c r="P125" s="509"/>
      <c r="Q125" s="509"/>
      <c r="R125" s="509"/>
      <c r="S125" s="509"/>
      <c r="T125" s="509"/>
      <c r="U125" s="509"/>
      <c r="V125" s="509"/>
      <c r="W125" s="509"/>
      <c r="X125" s="509"/>
      <c r="Y125" s="509"/>
      <c r="Z125" s="290"/>
      <c r="AA125" s="290"/>
      <c r="AB125" s="290"/>
      <c r="AC125" s="290"/>
      <c r="AD125" s="290"/>
      <c r="AE125" s="290"/>
    </row>
    <row r="126" spans="1:31" ht="30" customHeight="1">
      <c r="A126" s="390"/>
      <c r="B126" s="1108"/>
      <c r="C126" s="461"/>
      <c r="D126" s="1111" t="str">
        <f>IF($B$8="4 Wochen","Woche 2 ",IF($B$8="5 Wochen","Woche 2-3",IF($B$8="6 Wochen","Woche 2-4: ",IF($B$8="7 Wochen","Woche 2-5",IF($B$8="8 Wochen","Woche 2-6","Dauer des Meso-Zyklus?")))))</f>
        <v>Dauer des Meso-Zyklus?</v>
      </c>
      <c r="E126" s="461"/>
      <c r="F126" s="1114" t="str">
        <f>IF($B$8="4 Wochen","Woche 3",IF($B$8="5 Wochen","Woche 4",IF($B$8="6 Wochen","Woche 5",IF($B$8="7 Wochen","Woche 6 ",IF($B$8="8 Wochen","Woche 7","Dauer des Meso-Zyklus?")))))</f>
        <v>Dauer des Meso-Zyklus?</v>
      </c>
      <c r="G126" s="591"/>
      <c r="H126" s="390"/>
      <c r="I126" s="390"/>
      <c r="J126" s="390"/>
      <c r="K126" s="507"/>
      <c r="L126" s="543" t="s">
        <v>139</v>
      </c>
      <c r="M126" s="543" t="s">
        <v>138</v>
      </c>
      <c r="N126" s="543" t="s">
        <v>56</v>
      </c>
      <c r="O126" s="543" t="s">
        <v>230</v>
      </c>
      <c r="P126" s="509"/>
      <c r="Q126" s="509"/>
      <c r="R126" s="509"/>
      <c r="S126" s="509"/>
      <c r="T126" s="509"/>
      <c r="U126" s="509"/>
      <c r="V126" s="509"/>
      <c r="W126" s="509"/>
      <c r="X126" s="509"/>
      <c r="Y126" s="509"/>
      <c r="Z126" s="290"/>
      <c r="AA126" s="290"/>
      <c r="AB126" s="290"/>
      <c r="AC126" s="290"/>
      <c r="AD126" s="290"/>
      <c r="AE126" s="290"/>
    </row>
    <row r="127" spans="1:31" ht="30" customHeight="1">
      <c r="A127" s="390"/>
      <c r="B127" s="1109" t="str">
        <f>IF($C$118="Individueller Rechner",(IF($E$91="Wdh.?","",$E$91&amp;" "&amp;Dashboard!$C$24)),(IF($D$56="Wdh.?","",$D$56&amp;" "&amp;Dashboard!$C$24)))</f>
        <v>87,5 [Kg]</v>
      </c>
      <c r="C127" s="461"/>
      <c r="D127" s="1112" t="str">
        <f>IF($C$118="Individueller Rechner",(IF($E$97="Wdh.?","",$E$97&amp;" "&amp;Dashboard!$C$24)),(IF($D$61="Wdh.?","",$D$61&amp;" "&amp;Dashboard!$C$24)))</f>
        <v>90 [Kg]</v>
      </c>
      <c r="E127" s="461"/>
      <c r="F127" s="1115" t="str">
        <f>IF($C$118="Individueller Rechner",(IF($E$103="Wdh.?","",$E$103&amp;" "&amp;Dashboard!$C$24)),(IF($D$66="Wdh.?","",IF($D$66="Steigerung ?","",$D$66&amp;" "&amp;Dashboard!$C$24))))</f>
        <v>90 [Kg]</v>
      </c>
      <c r="G127" s="591"/>
      <c r="H127" s="390"/>
      <c r="I127" s="390"/>
      <c r="J127" s="390"/>
      <c r="K127" s="507"/>
      <c r="L127" s="560">
        <f>IFERROR(IF($C$13=0.1,(IF(MROUND((0.95*$D$25),$C$13)&gt;(0.95*$D$25),MROUND((0.95*$D$25)-($C$13/2),$C$13),MROUND((0.95*$D$25),$C$13))),IF($C$13=0.5,(IF(MROUND((0.95*$D$25),$C$13)&gt;(0.95*$D$25),MROUND((0.95*$D$25)-($C$13/2),$C$13),MROUND((0.95*$D$25),$C$13))),(IF(MROUND((0.95*$D$25),$C$13)&gt;(0.95*$D$25),MROUND((0.95*$D$25)-($C$13/2),$C$13),MROUND((0.95*$D$25),$C$13))))),"")</f>
        <v>112.5</v>
      </c>
      <c r="M127" s="561">
        <f t="shared" ref="M127:M137" si="4101">IFERROR(PRODUCT($L127/$D$25),"")</f>
        <v>0.9375</v>
      </c>
      <c r="N127" s="555">
        <f t="shared" ref="N127:N137" si="4102">IFERROR(IF($C$11="Epley",ROUNDDOWN((((30*$D$25)/$L127)-30),0),ROUNDDOWN((((($L127*36)/$D$25)-37)*-1),0)),"")</f>
        <v>2</v>
      </c>
      <c r="O127" s="562">
        <f t="shared" ref="O127:O137" si="4103">IFERROR(IF($C$11="Epley",(((30*$D$25)/$L127)-30),((($L127*36)/$D$25)-37)*-1),"")</f>
        <v>2</v>
      </c>
      <c r="P127" s="509"/>
      <c r="Q127" s="509"/>
      <c r="R127" s="509"/>
      <c r="S127" s="509"/>
      <c r="T127" s="509"/>
      <c r="U127" s="509"/>
      <c r="V127" s="509"/>
      <c r="W127" s="509"/>
      <c r="X127" s="509"/>
      <c r="Y127" s="509"/>
      <c r="Z127" s="290"/>
      <c r="AA127" s="290"/>
      <c r="AB127" s="290"/>
      <c r="AC127" s="290"/>
      <c r="AD127" s="290"/>
      <c r="AE127" s="290"/>
    </row>
    <row r="128" spans="1:31" ht="30" customHeight="1">
      <c r="A128" s="390"/>
      <c r="B128" s="1109"/>
      <c r="C128" s="461"/>
      <c r="D128" s="1112"/>
      <c r="E128" s="461"/>
      <c r="F128" s="1115"/>
      <c r="G128" s="591"/>
      <c r="H128" s="390"/>
      <c r="I128" s="390"/>
      <c r="J128" s="390"/>
      <c r="K128" s="507"/>
      <c r="L128" s="563">
        <f>IFERROR(IF($C$13=0.1,(IF(MROUND((0.95*$D$25),$C$13)&gt;(0.95*$D$25),MROUND((0.95*$D$25)-($C$13/2),$C$13),MROUND((0.95*$D$25),$C$13))-10*(1*$C$13)),IF($C$13=0.5,(IF(MROUND((0.95*$D$25),$C$13)&gt;(0.95*$D$25),MROUND((0.95*$D$25)-($C$13/2),$C$13),MROUND((0.95*$D$25),$C$13))-2*(1*$C$13)),(IF(MROUND((0.95*$D$25),$C$13)&gt;(0.95*$D$25),MROUND((0.95*$D$25)-($C$13/2),$C$13),MROUND((0.95*$D$25),$C$13))-(1*$C$13)))),"")</f>
        <v>110</v>
      </c>
      <c r="M128" s="550">
        <f t="shared" si="4101"/>
        <v>0.91666666666666663</v>
      </c>
      <c r="N128" s="558">
        <f t="shared" si="4102"/>
        <v>2</v>
      </c>
      <c r="O128" s="564">
        <f t="shared" si="4103"/>
        <v>2.7272727272727266</v>
      </c>
      <c r="P128" s="508"/>
      <c r="Q128" s="508"/>
      <c r="R128" s="508"/>
      <c r="S128" s="508"/>
      <c r="T128" s="508"/>
      <c r="U128" s="509"/>
      <c r="V128" s="509"/>
      <c r="W128" s="509"/>
      <c r="X128" s="509"/>
      <c r="Y128" s="509"/>
      <c r="Z128" s="290"/>
      <c r="AA128" s="290"/>
      <c r="AB128" s="290"/>
      <c r="AC128" s="290"/>
      <c r="AD128" s="290"/>
      <c r="AE128" s="290"/>
    </row>
    <row r="129" spans="1:31" ht="30" customHeight="1">
      <c r="A129" s="390"/>
      <c r="B129" s="592" t="str">
        <f>IF($C$118="Individueller Rechner",(IF($G$91="Wdh.?","",$G$91)),(IF($G$56="Wdh.?","",$G$56)))</f>
        <v>8 Wdh.</v>
      </c>
      <c r="C129" s="461"/>
      <c r="D129" s="571" t="str">
        <f>IF($C$118="Individueller Rechner",(IF($G$97="Wdh.?","",$G$97)),(IF($G$61="Wdh.?","",$G$61)))</f>
        <v>8 Wdh.</v>
      </c>
      <c r="E129" s="461"/>
      <c r="F129" s="572" t="str">
        <f>IF($C$118="Individueller Rechner",(IF($G$103="Wdh.?","",$G$103)),(IF($G$66="Wdh.?","",$G$66)))</f>
        <v>9 Wdh.</v>
      </c>
      <c r="G129" s="591"/>
      <c r="H129" s="390"/>
      <c r="I129" s="390"/>
      <c r="J129" s="390"/>
      <c r="K129" s="507"/>
      <c r="L129" s="560">
        <f>IFERROR(IF($C$13=0.1,(IF(MROUND((0.95*$D$25),$C$13)&gt;(0.95*$D$25),MROUND((0.95*$D$25)-($C$13/2),$C$13),MROUND((0.95*$D$25),$C$13))-10*(2*$C$13)),IF($C$13=0.5,(IF(MROUND((0.95*$D$25),$C$13)&gt;(0.95*$D$25),MROUND((0.95*$D$25)-($C$13/2),$C$13),MROUND((0.95*$D$25),$C$13))-2*(2*$C$13)),(IF(MROUND((0.95*$D$25),$C$13)&gt;(0.95*$D$25),MROUND((0.95*$D$25)-($C$13/2),$C$13),MROUND((0.95*$D$25),$C$13))-(2*$C$13)))),"")</f>
        <v>107.5</v>
      </c>
      <c r="M129" s="561">
        <f t="shared" si="4101"/>
        <v>0.89583333333333337</v>
      </c>
      <c r="N129" s="555">
        <f t="shared" si="4102"/>
        <v>3</v>
      </c>
      <c r="O129" s="562">
        <f t="shared" si="4103"/>
        <v>3.4883720930232585</v>
      </c>
      <c r="P129" s="508"/>
      <c r="Q129" s="508"/>
      <c r="R129" s="508"/>
      <c r="S129" s="508"/>
      <c r="T129" s="508"/>
      <c r="U129" s="509"/>
      <c r="V129" s="509"/>
      <c r="W129" s="509"/>
      <c r="X129" s="509"/>
      <c r="Y129" s="509"/>
      <c r="Z129" s="290"/>
      <c r="AA129" s="290"/>
      <c r="AB129" s="290"/>
      <c r="AC129" s="290"/>
      <c r="AD129" s="290"/>
      <c r="AE129" s="290"/>
    </row>
    <row r="130" spans="1:31" ht="30" customHeight="1" thickBot="1">
      <c r="A130" s="390"/>
      <c r="B130" s="593" t="str">
        <f>IF($C$118="Individueller Rechner",(IF($H$91="Wdh.?","",$H$91)),(IF($H$56="Wdh.?","",$H$56)))</f>
        <v>2 Sätze</v>
      </c>
      <c r="C130" s="594"/>
      <c r="D130" s="595" t="str">
        <f>IF($C$118="Individueller Rechner",(IF($H$97="Wdh.?","",$H$97)),(IF($H$61="Wdh.?","",$H$61)))</f>
        <v>2 Sätze</v>
      </c>
      <c r="E130" s="594"/>
      <c r="F130" s="596" t="str">
        <f>IF($C$118="Individueller Rechner",(IF($H$103="Wdh.?","",$H$103)),(IF($H$66="Wdh.?","",$H$66)))</f>
        <v>2 Sätze</v>
      </c>
      <c r="G130" s="597"/>
      <c r="H130" s="390"/>
      <c r="I130" s="390"/>
      <c r="J130" s="390"/>
      <c r="K130" s="507"/>
      <c r="L130" s="563">
        <f>IFERROR(IF($C$13=0.1,(IF(MROUND((0.95*$D$25),$C$13)&gt;(0.95*$D$25),MROUND((0.95*$D$25)-($C$13/2),$C$13),MROUND((0.95*$D$25),$C$13))-10*(3*$C$13)),IF($C$13=0.5,(IF(MROUND((0.95*$D$25),$C$13)&gt;(0.95*$D$25),MROUND((0.95*$D$25)-($C$13/2),$C$13),MROUND((0.95*$D$25),$C$13))-2*(3*$C$13)),(IF(MROUND((0.95*$D$25),$C$13)&gt;(0.95*$D$25),MROUND((0.95*$D$25)-($C$13/2),$C$13),MROUND((0.95*$D$25),$C$13))-(3*$C$13)))),"")</f>
        <v>105</v>
      </c>
      <c r="M130" s="550">
        <f t="shared" si="4101"/>
        <v>0.875</v>
      </c>
      <c r="N130" s="558">
        <f t="shared" si="4102"/>
        <v>4</v>
      </c>
      <c r="O130" s="565">
        <f t="shared" si="4103"/>
        <v>4.2857142857142847</v>
      </c>
      <c r="P130" s="508"/>
      <c r="Q130" s="508"/>
      <c r="R130" s="508"/>
      <c r="S130" s="508"/>
      <c r="T130" s="508"/>
      <c r="U130" s="509"/>
      <c r="V130" s="509"/>
      <c r="W130" s="509"/>
      <c r="X130" s="509"/>
      <c r="Y130" s="509"/>
      <c r="Z130" s="290"/>
      <c r="AA130" s="290"/>
      <c r="AB130" s="290"/>
      <c r="AC130" s="290"/>
      <c r="AD130" s="290"/>
      <c r="AE130" s="290"/>
    </row>
    <row r="131" spans="1:31" ht="30" customHeight="1">
      <c r="A131" s="390"/>
      <c r="B131" s="390"/>
      <c r="C131" s="390"/>
      <c r="D131" s="390"/>
      <c r="E131" s="390"/>
      <c r="F131" s="390"/>
      <c r="G131" s="390"/>
      <c r="H131" s="390"/>
      <c r="I131" s="390"/>
      <c r="J131" s="390"/>
      <c r="K131" s="507"/>
      <c r="L131" s="566">
        <f>IFERROR(IF($C$13=0.1,(IF(MROUND((0.95*$D$25),$C$13)&gt;(0.95*$D$25),MROUND((0.95*$D$25)-($C$13/2),$C$13),MROUND((0.95*$D$25),$C$13))-10*(4*$C$13)),IF($C$13=0.5,(IF(MROUND((0.95*$D$25),$C$13)&gt;(0.95*$D$25),MROUND((0.95*$D$25)-($C$13/2),$C$13),MROUND((0.95*$D$25),$C$13))-2*(4*$C$13)),(IF(MROUND((0.95*$D$25),$C$13)&gt;(0.95*$D$25),MROUND((0.95*$D$25)-($C$13/2),$C$13),MROUND((0.95*$D$25),$C$13))-(4*$C$13)))),"")</f>
        <v>102.5</v>
      </c>
      <c r="M131" s="561">
        <f t="shared" si="4101"/>
        <v>0.85416666666666663</v>
      </c>
      <c r="N131" s="555">
        <f t="shared" si="4102"/>
        <v>5</v>
      </c>
      <c r="O131" s="562">
        <f t="shared" si="4103"/>
        <v>5.1219512195121979</v>
      </c>
      <c r="P131" s="508"/>
      <c r="Q131" s="508"/>
      <c r="R131" s="508"/>
      <c r="S131" s="508"/>
      <c r="T131" s="508"/>
      <c r="U131" s="509"/>
      <c r="V131" s="509"/>
      <c r="W131" s="509"/>
      <c r="X131" s="509"/>
      <c r="Y131" s="509"/>
      <c r="Z131" s="290"/>
      <c r="AA131" s="290"/>
      <c r="AB131" s="290"/>
      <c r="AC131" s="290"/>
      <c r="AD131" s="290"/>
      <c r="AE131" s="290"/>
    </row>
    <row r="132" spans="1:31" ht="30" customHeight="1">
      <c r="A132" s="390"/>
      <c r="B132" s="390"/>
      <c r="C132" s="390"/>
      <c r="D132" s="390"/>
      <c r="E132" s="390"/>
      <c r="F132" s="390"/>
      <c r="G132" s="390"/>
      <c r="H132" s="390"/>
      <c r="I132" s="390"/>
      <c r="J132" s="390"/>
      <c r="K132" s="507"/>
      <c r="L132" s="563">
        <f>IFERROR(IF($C$13=0.1,(IF(MROUND((0.95*$D$25),$C$13)&gt;(0.95*$D$25),MROUND((0.95*$D$25)-($C$13/2),$C$13),MROUND((0.95*$D$25),$C$13))-10*(5*$C$13)),IF($C$13=0.5,(IF(MROUND((0.95*$D$25),$C$13)&gt;(0.95*$D$25),MROUND((0.95*$D$25)-($C$13/2),$C$13),MROUND((0.95*$D$25),$C$13))-2*(5*$C$13)),(IF(MROUND((0.95*$D$25),$C$13)&gt;(0.95*$D$25),MROUND((0.95*$D$25)-($C$13/2),$C$13),MROUND((0.95*$D$25),$C$13))-(5*$C$13)))),"")</f>
        <v>100</v>
      </c>
      <c r="M132" s="550">
        <f t="shared" si="4101"/>
        <v>0.83333333333333337</v>
      </c>
      <c r="N132" s="558">
        <f t="shared" si="4102"/>
        <v>6</v>
      </c>
      <c r="O132" s="565">
        <f t="shared" si="4103"/>
        <v>6</v>
      </c>
      <c r="P132" s="508"/>
      <c r="Q132" s="508"/>
      <c r="R132" s="508"/>
      <c r="S132" s="508"/>
      <c r="T132" s="508"/>
      <c r="U132" s="509"/>
      <c r="V132" s="509"/>
      <c r="W132" s="509"/>
      <c r="X132" s="509"/>
      <c r="Y132" s="509"/>
      <c r="Z132" s="290"/>
      <c r="AA132" s="290"/>
      <c r="AB132" s="290"/>
      <c r="AC132" s="290"/>
      <c r="AD132" s="290"/>
      <c r="AE132" s="290"/>
    </row>
    <row r="133" spans="1:31" ht="30" customHeight="1">
      <c r="A133" s="390"/>
      <c r="B133" s="390"/>
      <c r="C133" s="390"/>
      <c r="D133" s="390"/>
      <c r="E133" s="390"/>
      <c r="F133" s="390"/>
      <c r="G133" s="390"/>
      <c r="H133" s="390"/>
      <c r="I133" s="390"/>
      <c r="J133" s="390"/>
      <c r="K133" s="509"/>
      <c r="L133" s="566">
        <f>IFERROR(IF($C$13=0.1,(IF(MROUND((0.95*$D$25),$C$13)&gt;(0.95*$D$25),MROUND((0.95*$D$25)-($C$13/2),$C$13),MROUND((0.95*$D$25),$C$13))-10*(6*$C$13)),IF($C$13=0.5,(IF(MROUND((0.95*$D$25),$C$13)&gt;(0.95*$D$25),MROUND((0.95*$D$25)-($C$13/2),$C$13),MROUND((0.95*$D$25),$C$13))-2*(6*$C$13)),(IF(MROUND((0.95*$D$25),$C$13)&gt;(0.95*$D$25),MROUND((0.95*$D$25)-($C$13/2),$C$13),MROUND((0.95*$D$25),$C$13))-(6*$C$13)))),"")</f>
        <v>97.5</v>
      </c>
      <c r="M133" s="561">
        <f t="shared" si="4101"/>
        <v>0.8125</v>
      </c>
      <c r="N133" s="555">
        <f t="shared" si="4102"/>
        <v>6</v>
      </c>
      <c r="O133" s="562">
        <f t="shared" si="4103"/>
        <v>6.9230769230769198</v>
      </c>
      <c r="P133" s="508"/>
      <c r="Q133" s="508"/>
      <c r="R133" s="508"/>
      <c r="S133" s="508"/>
      <c r="T133" s="508"/>
      <c r="U133" s="509"/>
      <c r="V133" s="509"/>
      <c r="W133" s="509"/>
      <c r="X133" s="509"/>
      <c r="Y133" s="509"/>
      <c r="Z133" s="290"/>
      <c r="AA133" s="290"/>
      <c r="AB133" s="290"/>
      <c r="AC133" s="290"/>
      <c r="AD133" s="290"/>
      <c r="AE133" s="290"/>
    </row>
    <row r="134" spans="1:31" ht="30" customHeight="1">
      <c r="A134" s="1071" t="s">
        <v>334</v>
      </c>
      <c r="B134" s="1072"/>
      <c r="C134" s="1069" t="s">
        <v>406</v>
      </c>
      <c r="D134" s="1070"/>
      <c r="E134" s="390"/>
      <c r="F134" s="390"/>
      <c r="G134" s="390"/>
      <c r="H134" s="390"/>
      <c r="I134" s="390"/>
      <c r="J134" s="390"/>
      <c r="K134" s="509"/>
      <c r="L134" s="563">
        <f>IFERROR(IF($C$13=0.1,(IF(MROUND((0.95*$D$25),$C$13)&gt;(0.95*$D$25),MROUND((0.95*$D$25)-($C$13/2),$C$13),MROUND((0.95*$D$25),$C$13))-10*(7*$C$13)),IF($C$13=0.5,(IF(MROUND((0.95*$D$25),$C$13)&gt;(0.95*$D$25),MROUND((0.95*$D$25)-($C$13/2),$C$13),MROUND((0.95*$D$25),$C$13))-2*(7*$C$13)),(IF(MROUND((0.95*$D$25),$C$13)&gt;(0.95*$D$25),MROUND((0.95*$D$25)-($C$13/2),$C$13),MROUND((0.95*$D$25),$C$13))-(7*$C$13)))),"")</f>
        <v>95</v>
      </c>
      <c r="M134" s="550">
        <f t="shared" si="4101"/>
        <v>0.79166666666666663</v>
      </c>
      <c r="N134" s="558">
        <f t="shared" si="4102"/>
        <v>7</v>
      </c>
      <c r="O134" s="565">
        <f t="shared" si="4103"/>
        <v>7.8947368421052602</v>
      </c>
      <c r="P134" s="508"/>
      <c r="Q134" s="508"/>
      <c r="R134" s="508"/>
      <c r="S134" s="508"/>
      <c r="T134" s="508"/>
      <c r="U134" s="509"/>
      <c r="V134" s="509"/>
      <c r="W134" s="509"/>
      <c r="X134" s="509"/>
      <c r="Y134" s="509"/>
      <c r="Z134" s="290"/>
      <c r="AA134" s="290"/>
      <c r="AB134" s="290"/>
      <c r="AC134" s="290"/>
      <c r="AD134" s="290"/>
      <c r="AE134" s="290"/>
    </row>
    <row r="135" spans="1:31" ht="30" customHeight="1">
      <c r="A135" s="390"/>
      <c r="B135" s="390"/>
      <c r="C135" s="390"/>
      <c r="D135" s="390"/>
      <c r="E135" s="390"/>
      <c r="F135" s="390"/>
      <c r="G135" s="390"/>
      <c r="H135" s="390"/>
      <c r="I135" s="390"/>
      <c r="J135" s="390"/>
      <c r="K135" s="509"/>
      <c r="L135" s="566">
        <f>IFERROR(IF($C$13=0.1,(IF(MROUND((0.95*$D$25),$C$13)&gt;(0.95*$D$25),MROUND((0.95*$D$25)-($C$13/2),$C$13),MROUND((0.95*$D$25),$C$13))-10*(8*$C$13)),IF($C$13=0.5,(IF(MROUND((0.95*$D$25),$C$13)&gt;(0.95*$D$25),MROUND((0.95*$D$25)-($C$13/2),$C$13),MROUND((0.95*$D$25),$C$13))-2*(8*$C$13)),(IF(MROUND((0.95*$D$25),$C$13)&gt;(0.95*$D$25),MROUND((0.95*$D$25)-($C$13/2),$C$13),MROUND((0.95*$D$25),$C$13))-(8*$C$13)))),"")</f>
        <v>92.5</v>
      </c>
      <c r="M135" s="561">
        <f t="shared" si="4101"/>
        <v>0.77083333333333337</v>
      </c>
      <c r="N135" s="555">
        <f t="shared" si="4102"/>
        <v>8</v>
      </c>
      <c r="O135" s="562">
        <f t="shared" si="4103"/>
        <v>8.9189189189189193</v>
      </c>
      <c r="P135" s="508"/>
      <c r="Q135" s="508"/>
      <c r="R135" s="508"/>
      <c r="S135" s="508"/>
      <c r="T135" s="508"/>
      <c r="U135" s="509"/>
      <c r="V135" s="509"/>
      <c r="W135" s="509"/>
      <c r="X135" s="509"/>
      <c r="Y135" s="509"/>
      <c r="Z135" s="290"/>
      <c r="AA135" s="290"/>
      <c r="AB135" s="290"/>
      <c r="AC135" s="290"/>
      <c r="AD135" s="290"/>
      <c r="AE135" s="290"/>
    </row>
    <row r="136" spans="1:31" ht="30" customHeight="1">
      <c r="A136" s="1071" t="s">
        <v>348</v>
      </c>
      <c r="B136" s="1072"/>
      <c r="C136" s="1069" t="s">
        <v>406</v>
      </c>
      <c r="D136" s="1070"/>
      <c r="E136" s="390"/>
      <c r="F136" s="390"/>
      <c r="G136" s="390"/>
      <c r="H136" s="390"/>
      <c r="I136" s="390"/>
      <c r="J136" s="390"/>
      <c r="K136" s="509"/>
      <c r="L136" s="563">
        <f>IFERROR(IF($C$13=0.1,(IF(MROUND((0.95*$D$25),$C$13)&gt;(0.95*$D$25),MROUND((0.95*$D$25)-($C$13/2),$C$13),MROUND((0.95*$D$25),$C$13))-10*(9*$C$13)),IF($C$13=0.5,(IF(MROUND((0.95*$D$25),$C$13)&gt;(0.95*$D$25),MROUND((0.95*$D$25)-($C$13/2),$C$13),MROUND((0.95*$D$25),$C$13))-2*(9*$C$13)),(IF(MROUND((0.95*$D$25),$C$13)&gt;(0.95*$D$25),MROUND((0.95*$D$25)-($C$13/2),$C$13),MROUND((0.95*$D$25),$C$13))-(9*$C$13)))),"")</f>
        <v>90</v>
      </c>
      <c r="M136" s="550">
        <f t="shared" si="4101"/>
        <v>0.75</v>
      </c>
      <c r="N136" s="558">
        <f t="shared" si="4102"/>
        <v>10</v>
      </c>
      <c r="O136" s="565">
        <f t="shared" si="4103"/>
        <v>10</v>
      </c>
      <c r="P136" s="508"/>
      <c r="Q136" s="508"/>
      <c r="R136" s="508"/>
      <c r="S136" s="508"/>
      <c r="T136" s="508"/>
      <c r="U136" s="509"/>
      <c r="V136" s="509"/>
      <c r="W136" s="509"/>
      <c r="X136" s="509"/>
      <c r="Y136" s="509"/>
      <c r="Z136" s="290"/>
      <c r="AA136" s="290"/>
      <c r="AB136" s="290"/>
      <c r="AC136" s="290"/>
      <c r="AD136" s="290"/>
      <c r="AE136" s="290"/>
    </row>
    <row r="137" spans="1:31" ht="30" customHeight="1">
      <c r="A137" s="390"/>
      <c r="B137" s="390"/>
      <c r="C137" s="390"/>
      <c r="D137" s="390"/>
      <c r="E137" s="390"/>
      <c r="F137" s="390"/>
      <c r="G137" s="390"/>
      <c r="H137" s="390"/>
      <c r="I137" s="390"/>
      <c r="J137" s="390"/>
      <c r="K137" s="509"/>
      <c r="L137" s="566">
        <f>IFERROR(IF($C$13=0.1,(IF(MROUND((0.95*$D$25),$C$13)&gt;(0.95*$D$25),MROUND((0.95*$D$25)-($C$13/2),$C$13),MROUND((0.95*$D$25),$C$13))-10*(10*$C$13)),IF($C$13=0.5,(IF(MROUND((0.95*$D$25),$C$13)&gt;(0.95*$D$25),MROUND((0.95*$D$25)-($C$13/2),$C$13),MROUND((0.95*$D$25),$C$13))-2*(10*$C$13)),(IF(MROUND((0.95*$D$25),$C$13)&gt;(0.95*$D$25),MROUND((0.95*$D$25)-($C$13/2),$C$13),MROUND((0.95*$D$25),$C$13))-(10*$C$13)))),"")</f>
        <v>87.5</v>
      </c>
      <c r="M137" s="561">
        <f t="shared" si="4101"/>
        <v>0.72916666666666663</v>
      </c>
      <c r="N137" s="555">
        <f t="shared" si="4102"/>
        <v>11</v>
      </c>
      <c r="O137" s="562">
        <f t="shared" si="4103"/>
        <v>11.142857142857146</v>
      </c>
      <c r="P137" s="508"/>
      <c r="Q137" s="508"/>
      <c r="R137" s="508"/>
      <c r="S137" s="508"/>
      <c r="T137" s="508"/>
      <c r="U137" s="509"/>
      <c r="V137" s="509"/>
      <c r="W137" s="509"/>
      <c r="X137" s="509"/>
      <c r="Y137" s="509"/>
      <c r="Z137" s="290"/>
      <c r="AA137" s="290"/>
      <c r="AB137" s="290"/>
      <c r="AC137" s="290"/>
      <c r="AD137" s="290"/>
      <c r="AE137" s="290"/>
    </row>
    <row r="138" spans="1:31" ht="30" customHeight="1">
      <c r="A138" s="390"/>
      <c r="B138" s="390"/>
      <c r="C138" s="390"/>
      <c r="D138" s="390"/>
      <c r="E138" s="390"/>
      <c r="F138" s="390"/>
      <c r="G138" s="390"/>
      <c r="H138" s="390"/>
      <c r="I138" s="390"/>
      <c r="J138" s="390"/>
      <c r="K138" s="509"/>
      <c r="L138" s="508"/>
      <c r="M138" s="508"/>
      <c r="N138" s="508"/>
      <c r="O138" s="508"/>
      <c r="P138" s="508"/>
      <c r="Q138" s="508"/>
      <c r="R138" s="508"/>
      <c r="S138" s="508"/>
      <c r="T138" s="508"/>
      <c r="U138" s="509"/>
      <c r="V138" s="509"/>
      <c r="W138" s="509"/>
      <c r="X138" s="509"/>
      <c r="Y138" s="509"/>
      <c r="Z138" s="290"/>
      <c r="AA138" s="290"/>
      <c r="AB138" s="290"/>
      <c r="AC138" s="290"/>
      <c r="AD138" s="290"/>
      <c r="AE138" s="290"/>
    </row>
    <row r="139" spans="1:31" ht="30" customHeight="1">
      <c r="A139" s="390"/>
      <c r="B139" s="390"/>
      <c r="C139" s="390"/>
      <c r="D139" s="390"/>
      <c r="E139" s="390"/>
      <c r="F139" s="390"/>
      <c r="G139" s="390"/>
      <c r="H139" s="390"/>
      <c r="I139" s="390"/>
      <c r="J139" s="390"/>
      <c r="K139" s="509"/>
      <c r="L139" s="508"/>
      <c r="M139" s="508"/>
      <c r="N139" s="508"/>
      <c r="O139" s="508"/>
      <c r="P139" s="508"/>
      <c r="Q139" s="508"/>
      <c r="R139" s="508"/>
      <c r="S139" s="508"/>
      <c r="T139" s="508"/>
      <c r="U139" s="509"/>
      <c r="V139" s="509"/>
      <c r="W139" s="509"/>
      <c r="X139" s="509"/>
      <c r="Y139" s="509"/>
      <c r="Z139" s="290"/>
      <c r="AA139" s="290"/>
      <c r="AB139" s="290"/>
      <c r="AC139" s="290"/>
      <c r="AD139" s="290"/>
      <c r="AE139" s="290"/>
    </row>
    <row r="140" spans="1:31" ht="30" customHeight="1">
      <c r="A140" s="390"/>
      <c r="B140" s="390"/>
      <c r="C140" s="390"/>
      <c r="D140" s="390"/>
      <c r="E140" s="390"/>
      <c r="F140" s="390"/>
      <c r="G140" s="390"/>
      <c r="H140" s="390"/>
      <c r="I140" s="390"/>
      <c r="J140" s="390"/>
      <c r="K140" s="509"/>
      <c r="L140" s="508"/>
      <c r="M140" s="508"/>
      <c r="N140" s="508"/>
      <c r="O140" s="508"/>
      <c r="P140" s="508"/>
      <c r="Q140" s="508"/>
      <c r="R140" s="508"/>
      <c r="S140" s="508"/>
      <c r="T140" s="508"/>
      <c r="U140" s="509"/>
      <c r="V140" s="509"/>
      <c r="W140" s="509"/>
      <c r="X140" s="509"/>
      <c r="Y140" s="509"/>
      <c r="Z140" s="290"/>
      <c r="AA140" s="290"/>
      <c r="AB140" s="290"/>
      <c r="AC140" s="290"/>
      <c r="AD140" s="290"/>
      <c r="AE140" s="290"/>
    </row>
    <row r="141" spans="1:31" ht="30" customHeight="1">
      <c r="A141" s="390"/>
      <c r="B141" s="390"/>
      <c r="C141" s="390"/>
      <c r="D141" s="398"/>
      <c r="E141" s="399"/>
      <c r="F141" s="399"/>
      <c r="G141" s="390"/>
      <c r="H141" s="390"/>
      <c r="I141" s="390"/>
      <c r="J141" s="390"/>
      <c r="K141" s="509"/>
      <c r="L141" s="508"/>
      <c r="M141" s="508"/>
      <c r="N141" s="508"/>
      <c r="O141" s="508"/>
      <c r="P141" s="508"/>
      <c r="Q141" s="508"/>
      <c r="R141" s="508"/>
      <c r="S141" s="508"/>
      <c r="T141" s="508"/>
      <c r="U141" s="509"/>
      <c r="V141" s="509"/>
      <c r="W141" s="509"/>
      <c r="X141" s="509"/>
      <c r="Y141" s="509"/>
      <c r="Z141" s="290"/>
      <c r="AA141" s="290"/>
      <c r="AB141" s="290"/>
      <c r="AC141" s="290"/>
      <c r="AD141" s="290"/>
      <c r="AE141" s="290"/>
    </row>
    <row r="142" spans="1:31" ht="30" customHeight="1">
      <c r="A142" s="946" t="s">
        <v>365</v>
      </c>
      <c r="B142" s="946"/>
      <c r="C142" s="946"/>
      <c r="D142" s="393"/>
      <c r="E142" s="657"/>
      <c r="F142" s="657"/>
      <c r="G142" s="390"/>
      <c r="H142" s="390"/>
      <c r="I142" s="390"/>
      <c r="J142" s="390"/>
      <c r="K142" s="509"/>
      <c r="L142" s="508"/>
      <c r="M142" s="508"/>
      <c r="N142" s="508"/>
      <c r="O142" s="508"/>
      <c r="P142" s="508"/>
      <c r="Q142" s="508"/>
      <c r="R142" s="508"/>
      <c r="S142" s="508"/>
      <c r="T142" s="508"/>
      <c r="U142" s="509"/>
      <c r="V142" s="509"/>
      <c r="W142" s="509"/>
      <c r="X142" s="509"/>
      <c r="Y142" s="509"/>
      <c r="Z142" s="290"/>
      <c r="AA142" s="290"/>
      <c r="AB142" s="290"/>
      <c r="AC142" s="290"/>
      <c r="AD142" s="290"/>
      <c r="AE142" s="290"/>
    </row>
    <row r="143" spans="1:31" ht="30" customHeight="1">
      <c r="A143" s="390"/>
      <c r="B143" s="390"/>
      <c r="C143" s="390"/>
      <c r="D143" s="390"/>
      <c r="E143" s="390"/>
      <c r="F143" s="390"/>
      <c r="G143" s="390"/>
      <c r="H143" s="390"/>
      <c r="I143" s="390"/>
      <c r="J143" s="390"/>
      <c r="K143" s="509"/>
      <c r="L143" s="508"/>
      <c r="M143" s="508"/>
      <c r="N143" s="508"/>
      <c r="O143" s="508"/>
      <c r="P143" s="508"/>
      <c r="Q143" s="508"/>
      <c r="R143" s="508"/>
      <c r="S143" s="508"/>
      <c r="T143" s="508"/>
      <c r="U143" s="509"/>
      <c r="V143" s="509"/>
      <c r="W143" s="509"/>
      <c r="X143" s="509"/>
      <c r="Y143" s="509"/>
      <c r="Z143" s="290"/>
      <c r="AA143" s="290"/>
      <c r="AB143" s="290"/>
      <c r="AC143" s="290"/>
      <c r="AD143" s="290"/>
      <c r="AE143" s="290"/>
    </row>
    <row r="144" spans="1:31" ht="30" customHeight="1">
      <c r="A144" s="390"/>
      <c r="B144" s="390"/>
      <c r="C144" s="390"/>
      <c r="D144" s="390"/>
      <c r="E144" s="390"/>
      <c r="F144" s="390"/>
      <c r="G144" s="390"/>
      <c r="H144" s="390"/>
      <c r="I144" s="390"/>
      <c r="J144" s="390"/>
      <c r="K144" s="509"/>
      <c r="L144" s="508"/>
      <c r="M144" s="508"/>
      <c r="N144" s="508"/>
      <c r="O144" s="508"/>
      <c r="P144" s="508"/>
      <c r="Q144" s="508"/>
      <c r="R144" s="508"/>
      <c r="S144" s="508"/>
      <c r="T144" s="508"/>
      <c r="U144" s="509"/>
      <c r="V144" s="509"/>
      <c r="W144" s="509"/>
      <c r="X144" s="509"/>
      <c r="Y144" s="509"/>
      <c r="Z144" s="290"/>
      <c r="AA144" s="290"/>
      <c r="AB144" s="290"/>
      <c r="AC144" s="290"/>
      <c r="AD144" s="290"/>
      <c r="AE144" s="290"/>
    </row>
    <row r="145" spans="1:31" ht="30" customHeight="1">
      <c r="A145" s="390"/>
      <c r="B145" s="1055" t="str">
        <f>"Werte von "&amp;IF(Dashboard!$C$31="4 Wochen","Woche 2 ",IF(Dashboard!$C$31="5 Wochen","Woche 2-3",IF(Dashboard!$C$31="6 Wochen","Woche 2-4: ",IF(Dashboard!$C$31="7 Wochen","Woche 2-5",IF(Dashboard!$C$31="8 Wochen","Woche 2-6","Dauer des Meso-Zyklus?")))))&amp;" eintragen!"</f>
        <v>Werte von Woche 2-3 eintragen!</v>
      </c>
      <c r="C145" s="1055"/>
      <c r="D145" s="390"/>
      <c r="E145" s="390"/>
      <c r="F145" s="390"/>
      <c r="G145" s="390"/>
      <c r="H145" s="390"/>
      <c r="I145" s="390"/>
      <c r="J145" s="390"/>
      <c r="K145" s="509"/>
      <c r="L145" s="508"/>
      <c r="M145" s="508"/>
      <c r="N145" s="508"/>
      <c r="O145" s="508"/>
      <c r="P145" s="508"/>
      <c r="Q145" s="508"/>
      <c r="R145" s="508"/>
      <c r="S145" s="508"/>
      <c r="T145" s="508"/>
      <c r="U145" s="509"/>
      <c r="V145" s="509"/>
      <c r="W145" s="509"/>
      <c r="X145" s="509"/>
      <c r="Y145" s="509"/>
      <c r="Z145" s="290"/>
      <c r="AA145" s="290"/>
      <c r="AB145" s="290"/>
      <c r="AC145" s="290"/>
      <c r="AD145" s="290"/>
      <c r="AE145" s="290"/>
    </row>
    <row r="146" spans="1:31" ht="30" customHeight="1">
      <c r="A146" s="390"/>
      <c r="B146" s="390"/>
      <c r="C146" s="390"/>
      <c r="D146" s="390"/>
      <c r="E146" s="390"/>
      <c r="F146" s="390"/>
      <c r="G146" s="390"/>
      <c r="H146" s="390"/>
      <c r="I146" s="390"/>
      <c r="J146" s="390"/>
      <c r="K146" s="509"/>
      <c r="L146" s="508"/>
      <c r="M146" s="508"/>
      <c r="N146" s="508"/>
      <c r="O146" s="508"/>
      <c r="P146" s="508"/>
      <c r="Q146" s="508"/>
      <c r="R146" s="508"/>
      <c r="S146" s="508"/>
      <c r="T146" s="508"/>
      <c r="U146" s="509"/>
      <c r="V146" s="509"/>
      <c r="W146" s="509"/>
      <c r="X146" s="509"/>
      <c r="Y146" s="509"/>
      <c r="Z146" s="290"/>
      <c r="AA146" s="290"/>
      <c r="AB146" s="290"/>
      <c r="AC146" s="290"/>
      <c r="AD146" s="290"/>
      <c r="AE146" s="290"/>
    </row>
    <row r="147" spans="1:31" ht="30" customHeight="1">
      <c r="A147" s="390"/>
      <c r="B147" s="688" t="s">
        <v>0</v>
      </c>
      <c r="C147" s="688" t="s">
        <v>366</v>
      </c>
      <c r="D147" s="689" t="s">
        <v>367</v>
      </c>
      <c r="E147" s="689" t="s">
        <v>56</v>
      </c>
      <c r="F147" s="689" t="s">
        <v>55</v>
      </c>
      <c r="G147" s="689" t="s">
        <v>212</v>
      </c>
      <c r="H147" s="390"/>
      <c r="I147" s="390"/>
      <c r="J147" s="390"/>
      <c r="K147" s="509"/>
      <c r="L147" s="508"/>
      <c r="M147" s="508"/>
      <c r="N147" s="508"/>
      <c r="O147" s="508"/>
      <c r="P147" s="508"/>
      <c r="Q147" s="508"/>
      <c r="R147" s="508"/>
      <c r="S147" s="508"/>
      <c r="T147" s="508"/>
      <c r="U147" s="509"/>
      <c r="V147" s="509"/>
      <c r="W147" s="509"/>
      <c r="X147" s="509"/>
      <c r="Y147" s="509"/>
      <c r="Z147" s="290"/>
      <c r="AA147" s="290"/>
      <c r="AB147" s="290"/>
      <c r="AC147" s="290"/>
      <c r="AD147" s="290"/>
      <c r="AE147" s="290"/>
    </row>
    <row r="148" spans="1:31" ht="30" customHeight="1">
      <c r="A148" s="390"/>
      <c r="B148" s="690" t="s">
        <v>228</v>
      </c>
      <c r="C148" s="691" t="str">
        <f>IF(ISNA(MAX(VLOOKUP($B148,Zyklus!$A$14:$U$68,17,FALSE),(VLOOKUP($B148,Zyklus!$A$14:$U$68,13,FALSE)))&amp;" "&amp;Dashboard!$C$24),"",MAX(VLOOKUP($B148,Zyklus!$A$14:$U$68,17,FALSE),(VLOOKUP($B148,Zyklus!$A$14:$U$68,13,FALSE)))&amp;" "&amp;Dashboard!$C$24)</f>
        <v>240 [Kg]</v>
      </c>
      <c r="D148" s="692"/>
      <c r="E148" s="693"/>
      <c r="F148" s="694"/>
      <c r="G148" s="695"/>
      <c r="H148" s="390"/>
      <c r="I148" s="390"/>
      <c r="J148" s="390"/>
      <c r="K148" s="509"/>
      <c r="L148" s="508"/>
      <c r="M148" s="508"/>
      <c r="N148" s="508"/>
      <c r="O148" s="508"/>
      <c r="P148" s="508"/>
      <c r="Q148" s="508"/>
      <c r="R148" s="508"/>
      <c r="S148" s="508"/>
      <c r="T148" s="508"/>
      <c r="U148" s="509"/>
      <c r="V148" s="509"/>
      <c r="W148" s="509"/>
      <c r="X148" s="509"/>
      <c r="Y148" s="509"/>
      <c r="Z148" s="290"/>
      <c r="AA148" s="290"/>
      <c r="AB148" s="290"/>
      <c r="AC148" s="290"/>
      <c r="AD148" s="290"/>
      <c r="AE148" s="290"/>
    </row>
    <row r="149" spans="1:31" ht="30" customHeight="1">
      <c r="A149" s="390"/>
      <c r="B149" s="696" t="s">
        <v>72</v>
      </c>
      <c r="C149" s="697" t="str">
        <f>IF(ISNA(MAX(VLOOKUP($B149,Zyklus!$A$14:$U$68,17,FALSE),(VLOOKUP($B149,Zyklus!$A$14:$U$68,13,FALSE)))&amp;" "&amp;Dashboard!$C$24),"",MAX(VLOOKUP($B149,Zyklus!$A$14:$U$68,17,FALSE),(VLOOKUP($B149,Zyklus!$A$14:$U$68,13,FALSE)))&amp;" "&amp;Dashboard!$C$24)</f>
        <v>102,5 [Kg]</v>
      </c>
      <c r="D149" s="698"/>
      <c r="E149" s="699"/>
      <c r="F149" s="700"/>
      <c r="G149" s="700"/>
      <c r="H149" s="390"/>
      <c r="I149" s="390"/>
      <c r="J149" s="390"/>
      <c r="K149" s="509"/>
      <c r="L149" s="508"/>
      <c r="M149" s="508"/>
      <c r="N149" s="508"/>
      <c r="O149" s="508"/>
      <c r="P149" s="531"/>
      <c r="Q149" s="508"/>
      <c r="R149" s="508"/>
      <c r="S149" s="508"/>
      <c r="T149" s="508"/>
      <c r="U149" s="509"/>
      <c r="V149" s="509"/>
      <c r="W149" s="509"/>
      <c r="X149" s="509"/>
      <c r="Y149" s="509"/>
      <c r="Z149" s="290"/>
      <c r="AA149" s="290"/>
      <c r="AB149" s="290"/>
      <c r="AC149" s="290"/>
      <c r="AD149" s="290"/>
      <c r="AE149" s="290"/>
    </row>
    <row r="150" spans="1:31" ht="30" customHeight="1">
      <c r="A150" s="390"/>
      <c r="B150" s="690" t="s">
        <v>5</v>
      </c>
      <c r="C150" s="691" t="str">
        <f>IF(ISNA(MAX(VLOOKUP($B150,Zyklus!$A$14:$U$68,17,FALSE),(VLOOKUP($B150,Zyklus!$A$14:$U$68,13,FALSE)))&amp;" "&amp;Dashboard!$C$24),"",MAX(VLOOKUP($B150,Zyklus!$A$14:$U$68,17,FALSE),(VLOOKUP($B150,Zyklus!$A$14:$U$68,13,FALSE)))&amp;" "&amp;Dashboard!$C$24)</f>
        <v>44 [Kg]</v>
      </c>
      <c r="D150" s="692"/>
      <c r="E150" s="693"/>
      <c r="F150" s="694"/>
      <c r="G150" s="695"/>
      <c r="H150" s="390"/>
      <c r="I150" s="390"/>
      <c r="J150" s="390"/>
      <c r="K150" s="509"/>
      <c r="L150" s="508"/>
      <c r="M150" s="508"/>
      <c r="N150" s="508"/>
      <c r="O150" s="508"/>
      <c r="P150" s="531"/>
      <c r="Q150" s="508"/>
      <c r="R150" s="508"/>
      <c r="S150" s="508"/>
      <c r="T150" s="508"/>
      <c r="U150" s="509"/>
      <c r="V150" s="509"/>
      <c r="W150" s="509"/>
      <c r="X150" s="509"/>
      <c r="Y150" s="509"/>
      <c r="Z150" s="290"/>
      <c r="AA150" s="290"/>
      <c r="AB150" s="290"/>
      <c r="AC150" s="290"/>
      <c r="AD150" s="290"/>
      <c r="AE150" s="290"/>
    </row>
    <row r="151" spans="1:31" ht="30" customHeight="1">
      <c r="A151" s="390"/>
      <c r="B151" s="696" t="s">
        <v>177</v>
      </c>
      <c r="C151" s="697" t="str">
        <f>IF(ISNA(MAX(VLOOKUP($B151,Zyklus!$A$14:$U$68,17,FALSE),(VLOOKUP($B151,Zyklus!$A$14:$U$68,13,FALSE)))&amp;" "&amp;Dashboard!$C$24),"",MAX(VLOOKUP($B151,Zyklus!$A$14:$U$68,17,FALSE),(VLOOKUP($B151,Zyklus!$A$14:$U$68,13,FALSE)))&amp;" "&amp;Dashboard!$C$24)</f>
        <v>117,5 [Kg]</v>
      </c>
      <c r="D151" s="698"/>
      <c r="E151" s="699"/>
      <c r="F151" s="700"/>
      <c r="G151" s="700"/>
      <c r="H151" s="390"/>
      <c r="I151" s="390"/>
      <c r="J151" s="390"/>
      <c r="K151" s="509"/>
      <c r="L151" s="508"/>
      <c r="M151" s="508"/>
      <c r="N151" s="508"/>
      <c r="O151" s="508"/>
      <c r="P151" s="531"/>
      <c r="Q151" s="508"/>
      <c r="R151" s="508"/>
      <c r="S151" s="508"/>
      <c r="T151" s="508"/>
      <c r="U151" s="509"/>
      <c r="V151" s="509"/>
      <c r="W151" s="509"/>
      <c r="X151" s="509"/>
      <c r="Y151" s="509"/>
      <c r="Z151" s="290"/>
      <c r="AA151" s="290"/>
      <c r="AB151" s="290"/>
      <c r="AC151" s="290"/>
      <c r="AD151" s="290"/>
      <c r="AE151" s="290"/>
    </row>
    <row r="152" spans="1:31" ht="30" customHeight="1">
      <c r="A152" s="390"/>
      <c r="B152" s="690" t="s">
        <v>19</v>
      </c>
      <c r="C152" s="691" t="str">
        <f>IF(ISNA(MAX(VLOOKUP($B152,Zyklus!$A$14:$U$68,17,FALSE),(VLOOKUP($B152,Zyklus!$A$14:$U$68,13,FALSE)))&amp;" "&amp;Dashboard!$C$24),"",MAX(VLOOKUP($B152,Zyklus!$A$14:$U$68,17,FALSE),(VLOOKUP($B152,Zyklus!$A$14:$U$68,13,FALSE)))&amp;" "&amp;Dashboard!$C$24)</f>
        <v>117,5 [Kg]</v>
      </c>
      <c r="D152" s="692"/>
      <c r="E152" s="693"/>
      <c r="F152" s="694"/>
      <c r="G152" s="695"/>
      <c r="H152" s="390"/>
      <c r="I152" s="390"/>
      <c r="J152" s="390"/>
      <c r="K152" s="509"/>
      <c r="L152" s="508"/>
      <c r="M152" s="508"/>
      <c r="N152" s="508"/>
      <c r="O152" s="508"/>
      <c r="P152" s="531"/>
      <c r="Q152" s="508"/>
      <c r="R152" s="508"/>
      <c r="S152" s="508"/>
      <c r="T152" s="508"/>
      <c r="U152" s="509"/>
      <c r="V152" s="509"/>
      <c r="W152" s="509"/>
      <c r="X152" s="509"/>
      <c r="Y152" s="509"/>
      <c r="Z152" s="290"/>
      <c r="AA152" s="290"/>
      <c r="AB152" s="290"/>
      <c r="AC152" s="290"/>
      <c r="AD152" s="290"/>
      <c r="AE152" s="290"/>
    </row>
    <row r="153" spans="1:31" ht="30" customHeight="1">
      <c r="A153" s="390"/>
      <c r="B153" s="696" t="s">
        <v>14</v>
      </c>
      <c r="C153" s="697" t="str">
        <f>IF(ISNA(MAX(VLOOKUP($B153,Zyklus!$A$14:$U$68,17,FALSE),(VLOOKUP($B153,Zyklus!$A$14:$U$68,13,FALSE)))&amp;" "&amp;Dashboard!$C$24),"",MAX(VLOOKUP($B153,Zyklus!$A$14:$U$68,17,FALSE),(VLOOKUP($B153,Zyklus!$A$14:$U$68,13,FALSE)))&amp;" "&amp;Dashboard!$C$24)</f>
        <v>87,5 [Kg]</v>
      </c>
      <c r="D153" s="698"/>
      <c r="E153" s="699"/>
      <c r="F153" s="700"/>
      <c r="G153" s="700"/>
      <c r="H153" s="390"/>
      <c r="I153" s="390"/>
      <c r="J153" s="390"/>
      <c r="K153" s="509"/>
      <c r="L153" s="509"/>
      <c r="M153" s="509"/>
      <c r="N153" s="509"/>
      <c r="O153" s="509"/>
      <c r="P153" s="531"/>
      <c r="Q153" s="508"/>
      <c r="R153" s="508"/>
      <c r="S153" s="508"/>
      <c r="T153" s="508"/>
      <c r="U153" s="509"/>
      <c r="V153" s="509"/>
      <c r="W153" s="509"/>
      <c r="X153" s="509"/>
      <c r="Y153" s="509"/>
      <c r="Z153" s="290"/>
      <c r="AA153" s="290"/>
      <c r="AB153" s="290"/>
      <c r="AC153" s="290"/>
      <c r="AD153" s="290"/>
      <c r="AE153" s="290"/>
    </row>
    <row r="154" spans="1:31" ht="30" customHeight="1">
      <c r="A154" s="390"/>
      <c r="B154" s="690" t="s">
        <v>2</v>
      </c>
      <c r="C154" s="691" t="str">
        <f>IF(ISNA(MAX(VLOOKUP($B154,Zyklus!$A$14:$U$68,17,FALSE),(VLOOKUP($B154,Zyklus!$A$14:$U$68,13,FALSE)))&amp;" "&amp;Dashboard!$C$24),"",MAX(VLOOKUP($B154,Zyklus!$A$14:$U$68,17,FALSE),(VLOOKUP($B154,Zyklus!$A$14:$U$68,13,FALSE)))&amp;" "&amp;Dashboard!$C$24)</f>
        <v>100 [Kg]</v>
      </c>
      <c r="D154" s="692"/>
      <c r="E154" s="693"/>
      <c r="F154" s="694"/>
      <c r="G154" s="695"/>
      <c r="H154" s="390"/>
      <c r="I154" s="390"/>
      <c r="J154" s="390"/>
      <c r="K154" s="509"/>
      <c r="L154" s="507"/>
      <c r="M154" s="507"/>
      <c r="N154" s="507"/>
      <c r="O154" s="507"/>
      <c r="P154" s="507"/>
      <c r="Q154" s="508"/>
      <c r="R154" s="508"/>
      <c r="S154" s="508"/>
      <c r="T154" s="508"/>
      <c r="U154" s="509"/>
      <c r="V154" s="509"/>
      <c r="W154" s="509"/>
      <c r="X154" s="509"/>
      <c r="Y154" s="509"/>
      <c r="Z154" s="290"/>
      <c r="AA154" s="290"/>
      <c r="AB154" s="290"/>
      <c r="AC154" s="290"/>
      <c r="AD154" s="290"/>
      <c r="AE154" s="290"/>
    </row>
    <row r="155" spans="1:31" ht="30" customHeight="1">
      <c r="A155" s="390"/>
      <c r="B155" s="696" t="s">
        <v>135</v>
      </c>
      <c r="C155" s="697" t="str">
        <f>IF(ISNA(MAX(VLOOKUP($B155,Zyklus!$A$14:$U$68,17,FALSE),(VLOOKUP($B155,Zyklus!$A$14:$U$68,13,FALSE)))&amp;" "&amp;Dashboard!$C$24),"",MAX(VLOOKUP($B155,Zyklus!$A$14:$U$68,17,FALSE),(VLOOKUP($B155,Zyklus!$A$14:$U$68,13,FALSE)))&amp;" "&amp;Dashboard!$C$24)</f>
        <v>95 [Kg]</v>
      </c>
      <c r="D155" s="698"/>
      <c r="E155" s="699"/>
      <c r="F155" s="700"/>
      <c r="G155" s="700"/>
      <c r="H155" s="390"/>
      <c r="I155" s="390"/>
      <c r="J155" s="390"/>
      <c r="K155" s="509"/>
      <c r="L155" s="509"/>
      <c r="M155" s="509"/>
      <c r="N155" s="509"/>
      <c r="O155" s="509"/>
      <c r="P155" s="508"/>
      <c r="Q155" s="508"/>
      <c r="R155" s="508"/>
      <c r="S155" s="508"/>
      <c r="T155" s="508"/>
      <c r="U155" s="509"/>
      <c r="V155" s="509"/>
      <c r="W155" s="509"/>
      <c r="X155" s="509"/>
      <c r="Y155" s="509"/>
      <c r="Z155" s="290"/>
      <c r="AA155" s="290"/>
      <c r="AB155" s="290"/>
      <c r="AC155" s="290"/>
      <c r="AD155" s="290"/>
      <c r="AE155" s="290"/>
    </row>
    <row r="156" spans="1:31" ht="30" customHeight="1">
      <c r="A156" s="390"/>
      <c r="B156" s="690" t="s">
        <v>153</v>
      </c>
      <c r="C156" s="691" t="str">
        <f>IF(ISNA(MAX(VLOOKUP($B156,Zyklus!$A$14:$U$68,17,FALSE),(VLOOKUP($B156,Zyklus!$A$14:$U$68,13,FALSE)))&amp;" "&amp;Dashboard!$C$24),"",MAX(VLOOKUP($B156,Zyklus!$A$14:$U$68,17,FALSE),(VLOOKUP($B156,Zyklus!$A$14:$U$68,13,FALSE)))&amp;" "&amp;Dashboard!$C$24)</f>
        <v>75 [Kg]</v>
      </c>
      <c r="D156" s="692"/>
      <c r="E156" s="693"/>
      <c r="F156" s="694"/>
      <c r="G156" s="695"/>
      <c r="H156" s="390"/>
      <c r="I156" s="390"/>
      <c r="J156" s="390"/>
      <c r="K156" s="509"/>
      <c r="L156" s="509"/>
      <c r="M156" s="509"/>
      <c r="N156" s="509"/>
      <c r="O156" s="509"/>
      <c r="P156" s="508"/>
      <c r="Q156" s="508"/>
      <c r="R156" s="508"/>
      <c r="S156" s="508"/>
      <c r="T156" s="508"/>
      <c r="U156" s="509"/>
      <c r="V156" s="509"/>
      <c r="W156" s="509"/>
      <c r="X156" s="509"/>
      <c r="Y156" s="509"/>
      <c r="Z156" s="290"/>
      <c r="AA156" s="290"/>
      <c r="AB156" s="290"/>
      <c r="AC156" s="290"/>
      <c r="AD156" s="290"/>
      <c r="AE156" s="290"/>
    </row>
    <row r="157" spans="1:31" ht="30" customHeight="1">
      <c r="A157" s="390"/>
      <c r="B157" s="696" t="s">
        <v>152</v>
      </c>
      <c r="C157" s="697" t="str">
        <f>IF(ISNA(MAX(VLOOKUP($B157,Zyklus!$A$14:$U$68,17,FALSE),(VLOOKUP($B157,Zyklus!$A$14:$U$68,13,FALSE)))&amp;" "&amp;Dashboard!$C$24),"",MAX(VLOOKUP($B157,Zyklus!$A$14:$U$68,17,FALSE),(VLOOKUP($B157,Zyklus!$A$14:$U$68,13,FALSE)))&amp;" "&amp;Dashboard!$C$24)</f>
        <v>70 [Kg]</v>
      </c>
      <c r="D157" s="698"/>
      <c r="E157" s="699"/>
      <c r="F157" s="700"/>
      <c r="G157" s="700"/>
      <c r="H157" s="390"/>
      <c r="I157" s="390"/>
      <c r="J157" s="390"/>
      <c r="K157" s="509"/>
      <c r="L157" s="508"/>
      <c r="M157" s="508"/>
      <c r="N157" s="508"/>
      <c r="O157" s="508"/>
      <c r="P157" s="508"/>
      <c r="Q157" s="508"/>
      <c r="R157" s="508"/>
      <c r="S157" s="508"/>
      <c r="T157" s="508"/>
      <c r="U157" s="509"/>
      <c r="V157" s="509"/>
      <c r="W157" s="509"/>
      <c r="X157" s="509"/>
      <c r="Y157" s="509"/>
      <c r="Z157" s="290"/>
      <c r="AA157" s="290"/>
      <c r="AB157" s="290"/>
      <c r="AC157" s="290"/>
      <c r="AD157" s="290"/>
      <c r="AE157" s="290"/>
    </row>
    <row r="158" spans="1:31" ht="30" customHeight="1">
      <c r="A158" s="390"/>
      <c r="B158" s="690" t="s">
        <v>27</v>
      </c>
      <c r="C158" s="691" t="str">
        <f>IF(ISNA(MAX(VLOOKUP($B158,Zyklus!$A$14:$U$68,17,FALSE),(VLOOKUP($B158,Zyklus!$A$14:$U$68,13,FALSE)))&amp;" "&amp;Dashboard!$C$24),"",MAX(VLOOKUP($B158,Zyklus!$A$14:$U$68,17,FALSE),(VLOOKUP($B158,Zyklus!$A$14:$U$68,13,FALSE)))&amp;" "&amp;Dashboard!$C$24)</f>
        <v>110 [Kg]</v>
      </c>
      <c r="D158" s="692"/>
      <c r="E158" s="693"/>
      <c r="F158" s="694"/>
      <c r="G158" s="695"/>
      <c r="H158" s="390"/>
      <c r="I158" s="390"/>
      <c r="J158" s="390"/>
      <c r="K158" s="509"/>
      <c r="L158" s="508"/>
      <c r="M158" s="508"/>
      <c r="N158" s="508"/>
      <c r="O158" s="508"/>
      <c r="P158" s="508"/>
      <c r="Q158" s="508"/>
      <c r="R158" s="508"/>
      <c r="S158" s="508"/>
      <c r="T158" s="508"/>
      <c r="U158" s="509"/>
      <c r="V158" s="509"/>
      <c r="W158" s="509"/>
      <c r="X158" s="509"/>
      <c r="Y158" s="509"/>
      <c r="Z158" s="290"/>
      <c r="AA158" s="290"/>
      <c r="AB158" s="290"/>
      <c r="AC158" s="290"/>
      <c r="AD158" s="290"/>
      <c r="AE158" s="290"/>
    </row>
    <row r="159" spans="1:31" ht="30" customHeight="1">
      <c r="A159" s="390"/>
      <c r="B159" s="696" t="s">
        <v>288</v>
      </c>
      <c r="C159" s="697" t="str">
        <f>IF(ISNA(MAX(VLOOKUP($B159,Zyklus!$A$14:$U$68,17,FALSE),(VLOOKUP($B159,Zyklus!$A$14:$U$68,13,FALSE)))&amp;" "&amp;Dashboard!$C$24),"",MAX(VLOOKUP($B159,Zyklus!$A$14:$U$68,17,FALSE),(VLOOKUP($B159,Zyklus!$A$14:$U$68,13,FALSE)))&amp;" "&amp;Dashboard!$C$24)</f>
        <v>0 [Kg]</v>
      </c>
      <c r="D159" s="697"/>
      <c r="E159" s="699"/>
      <c r="F159" s="700"/>
      <c r="G159" s="700"/>
      <c r="H159" s="390"/>
      <c r="I159" s="390"/>
      <c r="J159" s="390"/>
      <c r="K159" s="509"/>
      <c r="L159" s="508"/>
      <c r="M159" s="508"/>
      <c r="N159" s="508"/>
      <c r="O159" s="508"/>
      <c r="P159" s="508"/>
      <c r="Q159" s="508"/>
      <c r="R159" s="508"/>
      <c r="S159" s="508"/>
      <c r="T159" s="508"/>
      <c r="U159" s="509"/>
      <c r="V159" s="509"/>
      <c r="W159" s="509"/>
      <c r="X159" s="509"/>
      <c r="Y159" s="509"/>
      <c r="Z159" s="290"/>
      <c r="AA159" s="290"/>
      <c r="AB159" s="290"/>
      <c r="AC159" s="290"/>
      <c r="AD159" s="290"/>
      <c r="AE159" s="290"/>
    </row>
    <row r="160" spans="1:31" ht="30" customHeight="1">
      <c r="A160" s="390"/>
      <c r="B160" s="690" t="s">
        <v>288</v>
      </c>
      <c r="C160" s="691" t="str">
        <f>IF(ISNA(MAX(VLOOKUP($B160,Zyklus!$A$14:$U$68,17,FALSE),(VLOOKUP($B160,Zyklus!$A$14:$U$68,13,FALSE)))&amp;" "&amp;Dashboard!$C$24),"",MAX(VLOOKUP($B160,Zyklus!$A$14:$U$68,17,FALSE),(VLOOKUP($B160,Zyklus!$A$14:$U$68,13,FALSE)))&amp;" "&amp;Dashboard!$C$24)</f>
        <v>0 [Kg]</v>
      </c>
      <c r="D160" s="692"/>
      <c r="E160" s="693"/>
      <c r="F160" s="694"/>
      <c r="G160" s="695"/>
      <c r="H160" s="390"/>
      <c r="I160" s="390"/>
      <c r="J160" s="390"/>
      <c r="K160" s="509"/>
      <c r="L160" s="508"/>
      <c r="M160" s="508"/>
      <c r="N160" s="508"/>
      <c r="O160" s="508"/>
      <c r="P160" s="508"/>
      <c r="Q160" s="508"/>
      <c r="R160" s="508"/>
      <c r="S160" s="508"/>
      <c r="T160" s="508"/>
      <c r="U160" s="509"/>
      <c r="V160" s="509"/>
      <c r="W160" s="509"/>
      <c r="X160" s="509"/>
      <c r="Y160" s="509"/>
      <c r="Z160" s="290"/>
      <c r="AA160" s="290"/>
      <c r="AB160" s="290"/>
      <c r="AC160" s="290"/>
      <c r="AD160" s="290"/>
      <c r="AE160" s="290"/>
    </row>
    <row r="161" spans="1:31" ht="30" customHeight="1">
      <c r="A161" s="390"/>
      <c r="B161" s="696" t="s">
        <v>288</v>
      </c>
      <c r="C161" s="697" t="str">
        <f>IF(ISNA(MAX(VLOOKUP($B161,Zyklus!$A$14:$U$68,17,FALSE),(VLOOKUP($B161,Zyklus!$A$14:$U$68,13,FALSE)))&amp;" "&amp;Dashboard!$C$24),"",MAX(VLOOKUP($B161,Zyklus!$A$14:$U$68,17,FALSE),(VLOOKUP($B161,Zyklus!$A$14:$U$68,13,FALSE)))&amp;" "&amp;Dashboard!$C$24)</f>
        <v>0 [Kg]</v>
      </c>
      <c r="D161" s="697"/>
      <c r="E161" s="699"/>
      <c r="F161" s="700"/>
      <c r="G161" s="700"/>
      <c r="H161" s="390"/>
      <c r="I161" s="390"/>
      <c r="J161" s="390"/>
      <c r="K161" s="509"/>
      <c r="L161" s="508"/>
      <c r="M161" s="508"/>
      <c r="N161" s="508"/>
      <c r="O161" s="508"/>
      <c r="P161" s="508"/>
      <c r="Q161" s="508"/>
      <c r="R161" s="508"/>
      <c r="S161" s="508"/>
      <c r="T161" s="508"/>
      <c r="U161" s="509"/>
      <c r="V161" s="509"/>
      <c r="W161" s="509"/>
      <c r="X161" s="509"/>
      <c r="Y161" s="509"/>
      <c r="Z161" s="290"/>
      <c r="AA161" s="290"/>
      <c r="AB161" s="290"/>
      <c r="AC161" s="290"/>
      <c r="AD161" s="290"/>
      <c r="AE161" s="290"/>
    </row>
    <row r="162" spans="1:31" ht="30" customHeight="1">
      <c r="A162" s="390"/>
      <c r="B162" s="690" t="s">
        <v>288</v>
      </c>
      <c r="C162" s="691" t="str">
        <f>IF(ISNA(MAX(VLOOKUP($B162,Zyklus!$A$14:$U$68,17,FALSE),(VLOOKUP($B162,Zyklus!$A$14:$U$68,13,FALSE)))&amp;" "&amp;Dashboard!$C$24),"",MAX(VLOOKUP($B162,Zyklus!$A$14:$U$68,17,FALSE),(VLOOKUP($B162,Zyklus!$A$14:$U$68,13,FALSE)))&amp;" "&amp;Dashboard!$C$24)</f>
        <v>0 [Kg]</v>
      </c>
      <c r="D162" s="692"/>
      <c r="E162" s="693"/>
      <c r="F162" s="694"/>
      <c r="G162" s="695"/>
      <c r="H162" s="390"/>
      <c r="I162" s="390"/>
      <c r="J162" s="390"/>
      <c r="K162" s="509"/>
      <c r="L162" s="508"/>
      <c r="M162" s="508"/>
      <c r="N162" s="508"/>
      <c r="O162" s="508"/>
      <c r="P162" s="508"/>
      <c r="Q162" s="508"/>
      <c r="R162" s="508"/>
      <c r="S162" s="508"/>
      <c r="T162" s="508"/>
      <c r="U162" s="509"/>
      <c r="V162" s="509"/>
      <c r="W162" s="509"/>
      <c r="X162" s="509"/>
      <c r="Y162" s="509"/>
      <c r="Z162" s="290"/>
      <c r="AA162" s="290"/>
      <c r="AB162" s="290"/>
      <c r="AC162" s="290"/>
      <c r="AD162" s="290"/>
      <c r="AE162" s="290"/>
    </row>
    <row r="163" spans="1:31" ht="30" customHeight="1">
      <c r="A163" s="390"/>
      <c r="B163" s="390"/>
      <c r="C163" s="390"/>
      <c r="D163" s="390"/>
      <c r="E163" s="390"/>
      <c r="F163" s="390"/>
      <c r="G163" s="687" t="s">
        <v>369</v>
      </c>
      <c r="H163" s="390"/>
      <c r="I163" s="390"/>
      <c r="J163" s="390"/>
      <c r="K163" s="509"/>
      <c r="L163" s="508"/>
      <c r="M163" s="508"/>
      <c r="N163" s="508"/>
      <c r="O163" s="508"/>
      <c r="P163" s="508"/>
      <c r="Q163" s="508"/>
      <c r="R163" s="508"/>
      <c r="S163" s="508"/>
      <c r="T163" s="508"/>
      <c r="U163" s="509"/>
      <c r="V163" s="509"/>
      <c r="W163" s="509"/>
      <c r="X163" s="509"/>
      <c r="Y163" s="509"/>
      <c r="Z163" s="290"/>
      <c r="AA163" s="290"/>
      <c r="AB163" s="290"/>
      <c r="AC163" s="290"/>
      <c r="AD163" s="290"/>
      <c r="AE163" s="290"/>
    </row>
    <row r="164" spans="1:31" ht="30" customHeight="1">
      <c r="A164" s="390"/>
      <c r="B164" s="390"/>
      <c r="C164" s="390"/>
      <c r="D164" s="390"/>
      <c r="E164" s="390"/>
      <c r="F164" s="390"/>
      <c r="G164" s="390"/>
      <c r="H164" s="390"/>
      <c r="I164" s="390"/>
      <c r="J164" s="390"/>
      <c r="K164" s="509"/>
      <c r="L164" s="508"/>
      <c r="M164" s="508"/>
      <c r="N164" s="508"/>
      <c r="O164" s="508"/>
      <c r="P164" s="508"/>
      <c r="Q164" s="508"/>
      <c r="R164" s="508"/>
      <c r="S164" s="508"/>
      <c r="T164" s="508"/>
      <c r="U164" s="509"/>
      <c r="V164" s="509"/>
      <c r="W164" s="509"/>
      <c r="X164" s="509"/>
      <c r="Y164" s="509"/>
      <c r="Z164" s="290"/>
      <c r="AA164" s="290"/>
      <c r="AB164" s="290"/>
      <c r="AC164" s="290"/>
      <c r="AD164" s="290"/>
      <c r="AE164" s="290"/>
    </row>
    <row r="165" spans="1:31" ht="30" customHeight="1">
      <c r="A165" s="390"/>
      <c r="B165" s="390"/>
      <c r="C165" s="390"/>
      <c r="D165" s="390"/>
      <c r="E165" s="390"/>
      <c r="F165" s="390"/>
      <c r="G165" s="390"/>
      <c r="H165" s="390"/>
      <c r="I165" s="390"/>
      <c r="J165" s="390"/>
      <c r="K165" s="509"/>
      <c r="L165" s="508"/>
      <c r="M165" s="508"/>
      <c r="N165" s="508"/>
      <c r="O165" s="508"/>
      <c r="P165" s="508"/>
      <c r="Q165" s="508"/>
      <c r="R165" s="508"/>
      <c r="S165" s="508"/>
      <c r="T165" s="508"/>
      <c r="U165" s="509"/>
      <c r="V165" s="509"/>
      <c r="W165" s="509"/>
      <c r="X165" s="509"/>
      <c r="Y165" s="509"/>
      <c r="Z165" s="290"/>
      <c r="AA165" s="290"/>
      <c r="AB165" s="290"/>
      <c r="AC165" s="290"/>
      <c r="AD165" s="290"/>
      <c r="AE165" s="290"/>
    </row>
    <row r="166" spans="1:31" ht="30" customHeight="1">
      <c r="A166" s="390"/>
      <c r="B166" s="390"/>
      <c r="C166" s="390"/>
      <c r="D166" s="390"/>
      <c r="E166" s="390"/>
      <c r="F166" s="390"/>
      <c r="G166" s="390"/>
      <c r="H166" s="390"/>
      <c r="I166" s="390"/>
      <c r="J166" s="390"/>
      <c r="K166" s="509"/>
      <c r="L166" s="508"/>
      <c r="M166" s="508"/>
      <c r="N166" s="508"/>
      <c r="O166" s="508"/>
      <c r="P166" s="508"/>
      <c r="Q166" s="508"/>
      <c r="R166" s="508"/>
      <c r="S166" s="508"/>
      <c r="T166" s="508"/>
      <c r="U166" s="509"/>
      <c r="V166" s="509"/>
      <c r="W166" s="509"/>
      <c r="X166" s="509"/>
      <c r="Y166" s="509"/>
      <c r="Z166" s="290"/>
      <c r="AA166" s="290"/>
      <c r="AB166" s="290"/>
      <c r="AC166" s="290"/>
      <c r="AD166" s="290"/>
      <c r="AE166" s="290"/>
    </row>
    <row r="167" spans="1:31" ht="30" customHeight="1">
      <c r="A167" s="390"/>
      <c r="B167" s="390"/>
      <c r="C167" s="390"/>
      <c r="D167" s="390"/>
      <c r="E167" s="390"/>
      <c r="F167" s="390"/>
      <c r="G167" s="390"/>
      <c r="H167" s="390"/>
      <c r="I167" s="390"/>
      <c r="J167" s="390"/>
      <c r="K167" s="509"/>
      <c r="L167" s="508"/>
      <c r="M167" s="508"/>
      <c r="N167" s="508"/>
      <c r="O167" s="508"/>
      <c r="P167" s="508"/>
      <c r="Q167" s="508"/>
      <c r="R167" s="508"/>
      <c r="S167" s="508"/>
      <c r="T167" s="508"/>
      <c r="U167" s="509"/>
      <c r="V167" s="509"/>
      <c r="W167" s="509"/>
      <c r="X167" s="509"/>
      <c r="Y167" s="509"/>
      <c r="Z167" s="290"/>
      <c r="AA167" s="290"/>
      <c r="AB167" s="290"/>
      <c r="AC167" s="290"/>
      <c r="AD167" s="290"/>
      <c r="AE167" s="290"/>
    </row>
    <row r="168" spans="1:31" ht="30" customHeight="1">
      <c r="A168" s="390"/>
      <c r="B168" s="390"/>
      <c r="C168" s="390"/>
      <c r="D168" s="390"/>
      <c r="E168" s="390"/>
      <c r="F168" s="390"/>
      <c r="G168" s="390"/>
      <c r="H168" s="390"/>
      <c r="I168" s="390"/>
      <c r="J168" s="390"/>
      <c r="K168" s="509"/>
      <c r="L168" s="508"/>
      <c r="M168" s="508"/>
      <c r="N168" s="508"/>
      <c r="O168" s="508"/>
      <c r="P168" s="508"/>
      <c r="Q168" s="508"/>
      <c r="R168" s="508"/>
      <c r="S168" s="508"/>
      <c r="T168" s="508"/>
      <c r="U168" s="509"/>
      <c r="V168" s="509"/>
      <c r="W168" s="509"/>
      <c r="X168" s="509"/>
      <c r="Y168" s="509"/>
      <c r="Z168" s="290"/>
      <c r="AA168" s="290"/>
      <c r="AB168" s="290"/>
      <c r="AC168" s="290"/>
      <c r="AD168" s="290"/>
      <c r="AE168" s="290"/>
    </row>
    <row r="169" spans="1:31" ht="30" customHeight="1">
      <c r="A169" s="390"/>
      <c r="B169" s="390"/>
      <c r="C169" s="390"/>
      <c r="D169" s="390"/>
      <c r="E169" s="390"/>
      <c r="F169" s="390"/>
      <c r="G169" s="390"/>
      <c r="H169" s="390"/>
      <c r="I169" s="390"/>
      <c r="J169" s="390"/>
      <c r="K169" s="509"/>
      <c r="L169" s="508"/>
      <c r="M169" s="508"/>
      <c r="N169" s="508"/>
      <c r="O169" s="508"/>
      <c r="P169" s="508"/>
      <c r="Q169" s="508"/>
      <c r="R169" s="508"/>
      <c r="S169" s="508"/>
      <c r="T169" s="508"/>
      <c r="U169" s="509"/>
      <c r="V169" s="509"/>
      <c r="W169" s="509"/>
      <c r="X169" s="509"/>
      <c r="Y169" s="509"/>
      <c r="Z169" s="290"/>
      <c r="AA169" s="290"/>
      <c r="AB169" s="290"/>
      <c r="AC169" s="290"/>
      <c r="AD169" s="290"/>
      <c r="AE169" s="290"/>
    </row>
    <row r="170" spans="1:31" ht="30" customHeight="1">
      <c r="A170" s="390"/>
      <c r="B170" s="390"/>
      <c r="C170" s="390"/>
      <c r="D170" s="390"/>
      <c r="E170" s="390"/>
      <c r="F170" s="390"/>
      <c r="G170" s="390"/>
      <c r="H170" s="390"/>
      <c r="I170" s="390"/>
      <c r="J170" s="390"/>
      <c r="K170" s="509"/>
      <c r="L170" s="508"/>
      <c r="M170" s="508"/>
      <c r="N170" s="508"/>
      <c r="O170" s="508"/>
      <c r="P170" s="508"/>
      <c r="Q170" s="508"/>
      <c r="R170" s="508"/>
      <c r="S170" s="508"/>
      <c r="T170" s="508"/>
      <c r="U170" s="509"/>
      <c r="V170" s="509"/>
      <c r="W170" s="509"/>
      <c r="X170" s="509"/>
      <c r="Y170" s="509"/>
      <c r="Z170" s="290"/>
      <c r="AA170" s="290"/>
      <c r="AB170" s="290"/>
      <c r="AC170" s="290"/>
      <c r="AD170" s="290"/>
      <c r="AE170" s="290"/>
    </row>
    <row r="171" spans="1:31" ht="30" customHeight="1">
      <c r="A171" s="390"/>
      <c r="B171" s="390"/>
      <c r="C171" s="390"/>
      <c r="D171" s="390"/>
      <c r="E171" s="390"/>
      <c r="F171" s="390"/>
      <c r="G171" s="390"/>
      <c r="H171" s="390"/>
      <c r="I171" s="390"/>
      <c r="J171" s="390"/>
      <c r="K171" s="509"/>
      <c r="L171" s="508"/>
      <c r="M171" s="508"/>
      <c r="N171" s="508"/>
      <c r="O171" s="508"/>
      <c r="P171" s="508"/>
      <c r="Q171" s="508"/>
      <c r="R171" s="508"/>
      <c r="S171" s="508"/>
      <c r="T171" s="508"/>
      <c r="U171" s="509"/>
      <c r="V171" s="509"/>
      <c r="W171" s="509"/>
      <c r="X171" s="509"/>
      <c r="Y171" s="509"/>
      <c r="Z171" s="290"/>
      <c r="AA171" s="290"/>
      <c r="AB171" s="290"/>
      <c r="AC171" s="290"/>
      <c r="AD171" s="290"/>
      <c r="AE171" s="290"/>
    </row>
    <row r="172" spans="1:31" ht="30" customHeight="1">
      <c r="A172" s="390"/>
      <c r="B172" s="390"/>
      <c r="C172" s="390"/>
      <c r="D172" s="390"/>
      <c r="E172" s="390"/>
      <c r="F172" s="390"/>
      <c r="G172" s="390"/>
      <c r="H172" s="390"/>
      <c r="I172" s="390"/>
      <c r="J172" s="390"/>
      <c r="K172" s="509"/>
      <c r="L172" s="508"/>
      <c r="M172" s="508"/>
      <c r="N172" s="508"/>
      <c r="O172" s="508"/>
      <c r="P172" s="508"/>
      <c r="Q172" s="508"/>
      <c r="R172" s="508"/>
      <c r="S172" s="508"/>
      <c r="T172" s="508"/>
      <c r="U172" s="509"/>
      <c r="V172" s="509"/>
      <c r="W172" s="509"/>
      <c r="X172" s="509"/>
      <c r="Y172" s="509"/>
      <c r="Z172" s="290"/>
      <c r="AA172" s="290"/>
      <c r="AB172" s="290"/>
      <c r="AC172" s="290"/>
      <c r="AD172" s="290"/>
      <c r="AE172" s="290"/>
    </row>
    <row r="173" spans="1:31" ht="30" customHeight="1">
      <c r="A173" s="390"/>
      <c r="B173" s="390"/>
      <c r="C173" s="390"/>
      <c r="D173" s="390"/>
      <c r="E173" s="390"/>
      <c r="F173" s="390"/>
      <c r="G173" s="390"/>
      <c r="H173" s="390"/>
      <c r="I173" s="390"/>
      <c r="J173" s="390"/>
      <c r="K173" s="509"/>
      <c r="L173" s="508"/>
      <c r="M173" s="508"/>
      <c r="N173" s="508"/>
      <c r="O173" s="508"/>
      <c r="P173" s="508"/>
      <c r="Q173" s="508"/>
      <c r="R173" s="508"/>
      <c r="S173" s="508"/>
      <c r="T173" s="508"/>
      <c r="U173" s="509"/>
      <c r="V173" s="509"/>
      <c r="W173" s="509"/>
      <c r="X173" s="509"/>
      <c r="Y173" s="509"/>
      <c r="Z173" s="290"/>
      <c r="AA173" s="290"/>
      <c r="AB173" s="290"/>
      <c r="AC173" s="290"/>
      <c r="AD173" s="290"/>
      <c r="AE173" s="290"/>
    </row>
    <row r="174" spans="1:31" ht="30" customHeight="1">
      <c r="A174" s="390"/>
      <c r="B174" s="390"/>
      <c r="C174" s="390"/>
      <c r="D174" s="390"/>
      <c r="E174" s="390"/>
      <c r="F174" s="390"/>
      <c r="G174" s="390"/>
      <c r="H174" s="390"/>
      <c r="I174" s="390"/>
      <c r="J174" s="390"/>
      <c r="K174" s="509"/>
      <c r="L174" s="508"/>
      <c r="M174" s="508"/>
      <c r="N174" s="508"/>
      <c r="O174" s="508"/>
      <c r="P174" s="508"/>
      <c r="Q174" s="508"/>
      <c r="R174" s="508"/>
      <c r="S174" s="508"/>
      <c r="T174" s="508"/>
      <c r="U174" s="509"/>
      <c r="V174" s="509"/>
      <c r="W174" s="509"/>
      <c r="X174" s="509"/>
      <c r="Y174" s="509"/>
      <c r="Z174" s="290"/>
      <c r="AA174" s="290"/>
      <c r="AB174" s="290"/>
      <c r="AC174" s="290"/>
      <c r="AD174" s="290"/>
      <c r="AE174" s="290"/>
    </row>
    <row r="175" spans="1:31" ht="30" customHeight="1">
      <c r="A175" s="390"/>
      <c r="B175" s="390"/>
      <c r="C175" s="390"/>
      <c r="D175" s="390"/>
      <c r="E175" s="390"/>
      <c r="F175" s="390"/>
      <c r="G175" s="390"/>
      <c r="H175" s="390"/>
      <c r="I175" s="390"/>
      <c r="J175" s="390"/>
      <c r="K175" s="509"/>
      <c r="L175" s="508"/>
      <c r="M175" s="508"/>
      <c r="N175" s="508"/>
      <c r="O175" s="508"/>
      <c r="P175" s="508"/>
      <c r="Q175" s="508"/>
      <c r="R175" s="508"/>
      <c r="S175" s="508"/>
      <c r="T175" s="508"/>
      <c r="U175" s="509"/>
      <c r="V175" s="509"/>
      <c r="W175" s="509"/>
      <c r="X175" s="509"/>
      <c r="Y175" s="509"/>
      <c r="Z175" s="290"/>
      <c r="AA175" s="290"/>
      <c r="AB175" s="290"/>
      <c r="AC175" s="290"/>
      <c r="AD175" s="290"/>
      <c r="AE175" s="290"/>
    </row>
    <row r="176" spans="1:31" ht="30" customHeight="1">
      <c r="A176" s="390"/>
      <c r="B176" s="390"/>
      <c r="C176" s="390"/>
      <c r="D176" s="390"/>
      <c r="E176" s="390"/>
      <c r="F176" s="390"/>
      <c r="G176" s="390"/>
      <c r="H176" s="390"/>
      <c r="I176" s="390"/>
      <c r="J176" s="390"/>
      <c r="K176" s="509"/>
      <c r="L176" s="508"/>
      <c r="M176" s="508"/>
      <c r="N176" s="508"/>
      <c r="O176" s="508"/>
      <c r="P176" s="508"/>
      <c r="Q176" s="508"/>
      <c r="R176" s="508"/>
      <c r="S176" s="508"/>
      <c r="T176" s="508"/>
      <c r="U176" s="509"/>
      <c r="V176" s="509"/>
      <c r="W176" s="509"/>
      <c r="X176" s="509"/>
      <c r="Y176" s="509"/>
      <c r="Z176" s="290"/>
      <c r="AA176" s="290"/>
      <c r="AB176" s="290"/>
      <c r="AC176" s="290"/>
      <c r="AD176" s="290"/>
      <c r="AE176" s="290"/>
    </row>
    <row r="177" spans="1:31" ht="30" customHeight="1">
      <c r="A177" s="390"/>
      <c r="B177" s="390"/>
      <c r="C177" s="390"/>
      <c r="D177" s="390"/>
      <c r="E177" s="390"/>
      <c r="F177" s="390"/>
      <c r="G177" s="390"/>
      <c r="H177" s="390"/>
      <c r="I177" s="390"/>
      <c r="J177" s="390"/>
      <c r="K177" s="509"/>
      <c r="L177" s="508"/>
      <c r="M177" s="508"/>
      <c r="N177" s="508"/>
      <c r="O177" s="508"/>
      <c r="P177" s="508"/>
      <c r="Q177" s="508"/>
      <c r="R177" s="508"/>
      <c r="S177" s="508"/>
      <c r="T177" s="508"/>
      <c r="U177" s="509"/>
      <c r="V177" s="509"/>
      <c r="W177" s="509"/>
      <c r="X177" s="509"/>
      <c r="Y177" s="509"/>
      <c r="Z177" s="290"/>
      <c r="AA177" s="290"/>
      <c r="AB177" s="290"/>
      <c r="AC177" s="290"/>
      <c r="AD177" s="290"/>
      <c r="AE177" s="290"/>
    </row>
    <row r="178" spans="1:31" ht="30" customHeight="1">
      <c r="A178" s="390"/>
      <c r="B178" s="390"/>
      <c r="C178" s="390"/>
      <c r="D178" s="390"/>
      <c r="E178" s="390"/>
      <c r="F178" s="390"/>
      <c r="G178" s="390"/>
      <c r="H178" s="390"/>
      <c r="I178" s="390"/>
      <c r="J178" s="390"/>
      <c r="K178" s="509"/>
      <c r="L178" s="508"/>
      <c r="M178" s="508"/>
      <c r="N178" s="508"/>
      <c r="O178" s="508"/>
      <c r="P178" s="508"/>
      <c r="Q178" s="508"/>
      <c r="R178" s="508"/>
      <c r="S178" s="508"/>
      <c r="T178" s="508"/>
      <c r="U178" s="509"/>
      <c r="V178" s="509"/>
      <c r="W178" s="509"/>
      <c r="X178" s="509"/>
      <c r="Y178" s="509"/>
      <c r="Z178" s="290"/>
      <c r="AA178" s="290"/>
      <c r="AB178" s="290"/>
      <c r="AC178" s="290"/>
      <c r="AD178" s="290"/>
      <c r="AE178" s="290"/>
    </row>
    <row r="179" spans="1:31" ht="30" customHeight="1">
      <c r="A179" s="390"/>
      <c r="B179" s="390"/>
      <c r="C179" s="390"/>
      <c r="D179" s="390"/>
      <c r="E179" s="390"/>
      <c r="F179" s="390"/>
      <c r="G179" s="390"/>
      <c r="H179" s="390"/>
      <c r="I179" s="390"/>
      <c r="J179" s="390"/>
      <c r="K179" s="509"/>
      <c r="L179" s="508"/>
      <c r="M179" s="508"/>
      <c r="N179" s="508"/>
      <c r="O179" s="508"/>
      <c r="P179" s="508"/>
      <c r="Q179" s="508"/>
      <c r="R179" s="508"/>
      <c r="S179" s="508"/>
      <c r="T179" s="508"/>
      <c r="U179" s="509"/>
      <c r="V179" s="509"/>
      <c r="W179" s="509"/>
      <c r="X179" s="509"/>
      <c r="Y179" s="509"/>
      <c r="Z179" s="290"/>
      <c r="AA179" s="290"/>
      <c r="AB179" s="290"/>
      <c r="AC179" s="290"/>
      <c r="AD179" s="290"/>
      <c r="AE179" s="290"/>
    </row>
    <row r="180" spans="1:31" ht="30" customHeight="1">
      <c r="A180" s="390"/>
      <c r="B180" s="390"/>
      <c r="C180" s="390"/>
      <c r="D180" s="390"/>
      <c r="E180" s="390"/>
      <c r="F180" s="390"/>
      <c r="G180" s="390"/>
      <c r="H180" s="390"/>
      <c r="I180" s="390"/>
      <c r="J180" s="390"/>
      <c r="K180" s="509"/>
      <c r="L180" s="508"/>
      <c r="M180" s="508"/>
      <c r="N180" s="508"/>
      <c r="O180" s="508"/>
      <c r="P180" s="508"/>
      <c r="Q180" s="508"/>
      <c r="R180" s="508"/>
      <c r="S180" s="508"/>
      <c r="T180" s="508"/>
      <c r="U180" s="509"/>
      <c r="V180" s="509"/>
      <c r="W180" s="509"/>
      <c r="X180" s="509"/>
      <c r="Y180" s="509"/>
      <c r="Z180" s="290"/>
      <c r="AA180" s="290"/>
      <c r="AB180" s="290"/>
      <c r="AC180" s="290"/>
      <c r="AD180" s="290"/>
      <c r="AE180" s="290"/>
    </row>
    <row r="181" spans="1:31" ht="30" customHeight="1">
      <c r="A181" s="390"/>
      <c r="B181" s="390"/>
      <c r="C181" s="390"/>
      <c r="D181" s="390"/>
      <c r="E181" s="390"/>
      <c r="F181" s="390"/>
      <c r="G181" s="390"/>
      <c r="H181" s="390"/>
      <c r="I181" s="390"/>
      <c r="J181" s="390"/>
      <c r="K181" s="509"/>
      <c r="L181" s="508"/>
      <c r="M181" s="508"/>
      <c r="N181" s="508"/>
      <c r="O181" s="508"/>
      <c r="P181" s="508"/>
      <c r="Q181" s="508"/>
      <c r="R181" s="508"/>
      <c r="S181" s="508"/>
      <c r="T181" s="508"/>
      <c r="U181" s="509"/>
      <c r="V181" s="509"/>
      <c r="W181" s="509"/>
      <c r="X181" s="509"/>
      <c r="Y181" s="509"/>
      <c r="Z181" s="290"/>
      <c r="AA181" s="290"/>
      <c r="AB181" s="290"/>
      <c r="AC181" s="290"/>
      <c r="AD181" s="290"/>
      <c r="AE181" s="290"/>
    </row>
    <row r="182" spans="1:31" ht="30" customHeight="1">
      <c r="A182" s="390"/>
      <c r="B182" s="390"/>
      <c r="C182" s="390"/>
      <c r="D182" s="390"/>
      <c r="E182" s="390"/>
      <c r="F182" s="390"/>
      <c r="G182" s="390"/>
      <c r="H182" s="390"/>
      <c r="I182" s="390"/>
      <c r="J182" s="390"/>
      <c r="K182" s="509"/>
      <c r="L182" s="508"/>
      <c r="M182" s="508"/>
      <c r="N182" s="508"/>
      <c r="O182" s="508"/>
      <c r="P182" s="508"/>
      <c r="Q182" s="508"/>
      <c r="R182" s="508"/>
      <c r="S182" s="508"/>
      <c r="T182" s="508"/>
      <c r="U182" s="509"/>
      <c r="V182" s="509"/>
      <c r="W182" s="509"/>
      <c r="X182" s="509"/>
      <c r="Y182" s="509"/>
      <c r="Z182" s="290"/>
      <c r="AA182" s="290"/>
      <c r="AB182" s="290"/>
      <c r="AC182" s="290"/>
      <c r="AD182" s="290"/>
      <c r="AE182" s="290"/>
    </row>
    <row r="183" spans="1:31" ht="30" customHeight="1">
      <c r="A183" s="390"/>
      <c r="B183" s="390"/>
      <c r="C183" s="390"/>
      <c r="D183" s="390"/>
      <c r="E183" s="390"/>
      <c r="F183" s="390"/>
      <c r="G183" s="390"/>
      <c r="H183" s="390"/>
      <c r="I183" s="390"/>
      <c r="J183" s="390"/>
      <c r="K183" s="509"/>
      <c r="L183" s="508"/>
      <c r="M183" s="508"/>
      <c r="N183" s="508"/>
      <c r="O183" s="508"/>
      <c r="P183" s="508"/>
      <c r="Q183" s="508"/>
      <c r="R183" s="508"/>
      <c r="S183" s="508"/>
      <c r="T183" s="508"/>
      <c r="U183" s="509"/>
      <c r="V183" s="509"/>
      <c r="W183" s="509"/>
      <c r="X183" s="509"/>
      <c r="Y183" s="509"/>
      <c r="Z183" s="290"/>
      <c r="AA183" s="290"/>
      <c r="AB183" s="290"/>
      <c r="AC183" s="290"/>
      <c r="AD183" s="290"/>
      <c r="AE183" s="290"/>
    </row>
    <row r="184" spans="1:31" ht="30" customHeight="1">
      <c r="A184" s="390"/>
      <c r="B184" s="390"/>
      <c r="C184" s="390"/>
      <c r="D184" s="390"/>
      <c r="E184" s="390"/>
      <c r="F184" s="390"/>
      <c r="G184" s="390"/>
      <c r="H184" s="390"/>
      <c r="I184" s="390"/>
      <c r="J184" s="390"/>
      <c r="K184" s="509"/>
      <c r="L184" s="508"/>
      <c r="M184" s="508"/>
      <c r="N184" s="508"/>
      <c r="O184" s="508"/>
      <c r="P184" s="508"/>
      <c r="Q184" s="508"/>
      <c r="R184" s="508"/>
      <c r="S184" s="508"/>
      <c r="T184" s="508"/>
      <c r="U184" s="509"/>
      <c r="V184" s="509"/>
      <c r="W184" s="509"/>
      <c r="X184" s="509"/>
      <c r="Y184" s="509"/>
      <c r="Z184" s="290"/>
      <c r="AA184" s="290"/>
      <c r="AB184" s="290"/>
      <c r="AC184" s="290"/>
      <c r="AD184" s="290"/>
      <c r="AE184" s="290"/>
    </row>
    <row r="185" spans="1:31" ht="30" customHeight="1">
      <c r="A185" s="390"/>
      <c r="B185" s="390"/>
      <c r="C185" s="390"/>
      <c r="D185" s="390"/>
      <c r="E185" s="390"/>
      <c r="F185" s="390"/>
      <c r="G185" s="390"/>
      <c r="H185" s="390"/>
      <c r="I185" s="390"/>
      <c r="J185" s="390"/>
      <c r="K185" s="509"/>
      <c r="L185" s="508"/>
      <c r="M185" s="508"/>
      <c r="N185" s="508"/>
      <c r="O185" s="508"/>
      <c r="P185" s="508"/>
      <c r="Q185" s="508"/>
      <c r="R185" s="508"/>
      <c r="S185" s="508"/>
      <c r="T185" s="508"/>
      <c r="U185" s="509"/>
      <c r="V185" s="509"/>
      <c r="W185" s="509"/>
      <c r="X185" s="509"/>
      <c r="Y185" s="509"/>
      <c r="Z185" s="290"/>
      <c r="AA185" s="290"/>
      <c r="AB185" s="290"/>
      <c r="AC185" s="290"/>
      <c r="AD185" s="290"/>
      <c r="AE185" s="290"/>
    </row>
    <row r="186" spans="1:31" ht="30" customHeight="1">
      <c r="A186" s="390"/>
      <c r="B186" s="390"/>
      <c r="C186" s="390"/>
      <c r="D186" s="390"/>
      <c r="E186" s="390"/>
      <c r="F186" s="390"/>
      <c r="G186" s="390"/>
      <c r="H186" s="390"/>
      <c r="I186" s="390"/>
      <c r="J186" s="390"/>
      <c r="K186" s="509"/>
      <c r="L186" s="508"/>
      <c r="M186" s="508"/>
      <c r="N186" s="508"/>
      <c r="O186" s="508"/>
      <c r="P186" s="508"/>
      <c r="Q186" s="508"/>
      <c r="R186" s="508"/>
      <c r="S186" s="508"/>
      <c r="T186" s="508"/>
      <c r="U186" s="509"/>
      <c r="V186" s="509"/>
      <c r="W186" s="509"/>
      <c r="X186" s="509"/>
      <c r="Y186" s="509"/>
      <c r="Z186" s="290"/>
      <c r="AA186" s="290"/>
      <c r="AB186" s="290"/>
      <c r="AC186" s="290"/>
      <c r="AD186" s="290"/>
      <c r="AE186" s="290"/>
    </row>
    <row r="187" spans="1:31" ht="30" customHeight="1">
      <c r="A187" s="390"/>
      <c r="B187" s="390"/>
      <c r="C187" s="390"/>
      <c r="D187" s="390"/>
      <c r="E187" s="390"/>
      <c r="F187" s="390"/>
      <c r="G187" s="390"/>
      <c r="H187" s="390"/>
      <c r="I187" s="390"/>
      <c r="J187" s="390"/>
      <c r="K187" s="509"/>
      <c r="L187" s="508"/>
      <c r="M187" s="508"/>
      <c r="N187" s="508"/>
      <c r="O187" s="508"/>
      <c r="P187" s="508"/>
      <c r="Q187" s="508"/>
      <c r="R187" s="508"/>
      <c r="S187" s="508"/>
      <c r="T187" s="508"/>
      <c r="U187" s="509"/>
      <c r="V187" s="509"/>
      <c r="W187" s="509"/>
      <c r="X187" s="509"/>
      <c r="Y187" s="509"/>
      <c r="Z187" s="290"/>
      <c r="AA187" s="290"/>
      <c r="AB187" s="290"/>
      <c r="AC187" s="290"/>
      <c r="AD187" s="290"/>
      <c r="AE187" s="290"/>
    </row>
    <row r="188" spans="1:31" ht="30" customHeight="1">
      <c r="A188" s="390"/>
      <c r="B188" s="390"/>
      <c r="C188" s="390"/>
      <c r="D188" s="390"/>
      <c r="E188" s="390"/>
      <c r="F188" s="390"/>
      <c r="G188" s="390"/>
      <c r="H188" s="390"/>
      <c r="I188" s="390"/>
      <c r="J188" s="390"/>
      <c r="K188" s="509"/>
      <c r="L188" s="508"/>
      <c r="M188" s="508"/>
      <c r="N188" s="508"/>
      <c r="O188" s="508"/>
      <c r="P188" s="508"/>
      <c r="Q188" s="508"/>
      <c r="R188" s="508"/>
      <c r="S188" s="508"/>
      <c r="T188" s="508"/>
      <c r="U188" s="509"/>
      <c r="V188" s="509"/>
      <c r="W188" s="509"/>
      <c r="X188" s="509"/>
      <c r="Y188" s="509"/>
      <c r="Z188" s="290"/>
      <c r="AA188" s="290"/>
      <c r="AB188" s="290"/>
      <c r="AC188" s="290"/>
      <c r="AD188" s="290"/>
      <c r="AE188" s="290"/>
    </row>
    <row r="189" spans="1:31" ht="30" customHeight="1">
      <c r="A189" s="390"/>
      <c r="B189" s="390"/>
      <c r="C189" s="390"/>
      <c r="D189" s="390"/>
      <c r="E189" s="390"/>
      <c r="F189" s="390"/>
      <c r="G189" s="390"/>
      <c r="H189" s="390"/>
      <c r="I189" s="390"/>
      <c r="J189" s="390"/>
      <c r="K189" s="509"/>
      <c r="L189" s="508"/>
      <c r="M189" s="508"/>
      <c r="N189" s="508"/>
      <c r="O189" s="508"/>
      <c r="P189" s="508"/>
      <c r="Q189" s="508"/>
      <c r="R189" s="508"/>
      <c r="S189" s="508"/>
      <c r="T189" s="508"/>
      <c r="U189" s="509"/>
      <c r="V189" s="509"/>
      <c r="W189" s="509"/>
      <c r="X189" s="509"/>
      <c r="Y189" s="509"/>
      <c r="Z189" s="290"/>
      <c r="AA189" s="290"/>
      <c r="AB189" s="290"/>
      <c r="AC189" s="290"/>
      <c r="AD189" s="290"/>
      <c r="AE189" s="290"/>
    </row>
    <row r="190" spans="1:31" ht="30" customHeight="1">
      <c r="A190" s="390"/>
      <c r="B190" s="390"/>
      <c r="C190" s="390"/>
      <c r="D190" s="390"/>
      <c r="E190" s="390"/>
      <c r="F190" s="390"/>
      <c r="G190" s="390"/>
      <c r="H190" s="390"/>
      <c r="I190" s="390"/>
      <c r="J190" s="390"/>
      <c r="K190" s="509"/>
      <c r="L190" s="508"/>
      <c r="M190" s="508"/>
      <c r="N190" s="508"/>
      <c r="O190" s="508"/>
      <c r="P190" s="508"/>
      <c r="Q190" s="508"/>
      <c r="R190" s="508"/>
      <c r="S190" s="508"/>
      <c r="T190" s="508"/>
      <c r="U190" s="509"/>
      <c r="V190" s="509"/>
      <c r="W190" s="509"/>
      <c r="X190" s="509"/>
      <c r="Y190" s="509"/>
      <c r="Z190" s="290"/>
      <c r="AA190" s="290"/>
      <c r="AB190" s="290"/>
      <c r="AC190" s="290"/>
      <c r="AD190" s="290"/>
      <c r="AE190" s="290"/>
    </row>
    <row r="191" spans="1:31" ht="30" customHeight="1">
      <c r="A191" s="390"/>
      <c r="B191" s="390"/>
      <c r="C191" s="390"/>
      <c r="D191" s="390"/>
      <c r="E191" s="390"/>
      <c r="F191" s="390"/>
      <c r="G191" s="390"/>
      <c r="H191" s="390"/>
      <c r="I191" s="390"/>
      <c r="J191" s="390"/>
      <c r="K191" s="509"/>
      <c r="L191" s="508"/>
      <c r="M191" s="508"/>
      <c r="N191" s="508"/>
      <c r="O191" s="508"/>
      <c r="P191" s="508"/>
      <c r="Q191" s="508"/>
      <c r="R191" s="508"/>
      <c r="S191" s="508"/>
      <c r="T191" s="508"/>
      <c r="U191" s="509"/>
      <c r="V191" s="509"/>
      <c r="W191" s="509"/>
      <c r="X191" s="509"/>
      <c r="Y191" s="509"/>
      <c r="Z191" s="290"/>
      <c r="AA191" s="290"/>
      <c r="AB191" s="290"/>
      <c r="AC191" s="290"/>
      <c r="AD191" s="290"/>
      <c r="AE191" s="290"/>
    </row>
    <row r="192" spans="1:31" ht="30" customHeight="1">
      <c r="A192" s="390"/>
      <c r="B192" s="390"/>
      <c r="C192" s="390"/>
      <c r="D192" s="390"/>
      <c r="E192" s="390"/>
      <c r="F192" s="390"/>
      <c r="G192" s="390"/>
      <c r="H192" s="390"/>
      <c r="I192" s="390"/>
      <c r="J192" s="390"/>
      <c r="K192" s="509"/>
      <c r="L192" s="508"/>
      <c r="M192" s="508"/>
      <c r="N192" s="508"/>
      <c r="O192" s="508"/>
      <c r="P192" s="508"/>
      <c r="Q192" s="508"/>
      <c r="R192" s="508"/>
      <c r="S192" s="508"/>
      <c r="T192" s="508"/>
      <c r="U192" s="509"/>
      <c r="V192" s="509"/>
      <c r="W192" s="509"/>
      <c r="X192" s="509"/>
      <c r="Y192" s="509"/>
      <c r="Z192" s="290"/>
      <c r="AA192" s="290"/>
      <c r="AB192" s="290"/>
      <c r="AC192" s="290"/>
      <c r="AD192" s="290"/>
      <c r="AE192" s="290"/>
    </row>
    <row r="193" spans="1:31" ht="30" customHeight="1">
      <c r="A193" s="390"/>
      <c r="B193" s="390"/>
      <c r="C193" s="390"/>
      <c r="D193" s="390"/>
      <c r="E193" s="390"/>
      <c r="F193" s="390"/>
      <c r="G193" s="390"/>
      <c r="H193" s="390"/>
      <c r="I193" s="390"/>
      <c r="J193" s="390"/>
      <c r="K193" s="509"/>
      <c r="L193" s="508"/>
      <c r="M193" s="508"/>
      <c r="N193" s="508"/>
      <c r="O193" s="508"/>
      <c r="P193" s="508"/>
      <c r="Q193" s="508"/>
      <c r="R193" s="508"/>
      <c r="S193" s="508"/>
      <c r="T193" s="508"/>
      <c r="U193" s="509"/>
      <c r="V193" s="509"/>
      <c r="W193" s="509"/>
      <c r="X193" s="509"/>
      <c r="Y193" s="509"/>
      <c r="Z193" s="290"/>
      <c r="AA193" s="290"/>
      <c r="AB193" s="290"/>
      <c r="AC193" s="290"/>
      <c r="AD193" s="290"/>
      <c r="AE193" s="290"/>
    </row>
    <row r="194" spans="1:31" ht="30" customHeight="1">
      <c r="A194" s="390"/>
      <c r="B194" s="390"/>
      <c r="C194" s="390"/>
      <c r="D194" s="390"/>
      <c r="E194" s="390"/>
      <c r="F194" s="390"/>
      <c r="G194" s="390"/>
      <c r="H194" s="390"/>
      <c r="I194" s="390"/>
      <c r="J194" s="390"/>
      <c r="K194" s="509"/>
      <c r="L194" s="508"/>
      <c r="M194" s="508"/>
      <c r="N194" s="508"/>
      <c r="O194" s="508"/>
      <c r="P194" s="508"/>
      <c r="Q194" s="508"/>
      <c r="R194" s="508"/>
      <c r="S194" s="508"/>
      <c r="T194" s="508"/>
      <c r="U194" s="509"/>
      <c r="V194" s="509"/>
      <c r="W194" s="509"/>
      <c r="X194" s="509"/>
      <c r="Y194" s="509"/>
      <c r="Z194" s="290"/>
      <c r="AA194" s="290"/>
      <c r="AB194" s="290"/>
      <c r="AC194" s="290"/>
      <c r="AD194" s="290"/>
      <c r="AE194" s="290"/>
    </row>
    <row r="195" spans="1:31" ht="30" customHeight="1">
      <c r="A195" s="390"/>
      <c r="B195" s="390"/>
      <c r="C195" s="390"/>
      <c r="D195" s="390"/>
      <c r="E195" s="390"/>
      <c r="F195" s="390"/>
      <c r="G195" s="390"/>
      <c r="H195" s="390"/>
      <c r="I195" s="390"/>
      <c r="J195" s="390"/>
      <c r="K195" s="509"/>
      <c r="L195" s="508"/>
      <c r="M195" s="508"/>
      <c r="N195" s="508"/>
      <c r="O195" s="508"/>
      <c r="P195" s="508"/>
      <c r="Q195" s="508"/>
      <c r="R195" s="508"/>
      <c r="S195" s="508"/>
      <c r="T195" s="508"/>
      <c r="U195" s="509"/>
      <c r="V195" s="509"/>
      <c r="W195" s="509"/>
      <c r="X195" s="509"/>
      <c r="Y195" s="509"/>
      <c r="Z195" s="290"/>
      <c r="AA195" s="290"/>
      <c r="AB195" s="290"/>
      <c r="AC195" s="290"/>
      <c r="AD195" s="290"/>
      <c r="AE195" s="290"/>
    </row>
    <row r="196" spans="1:31" ht="30" customHeight="1">
      <c r="A196" s="390"/>
      <c r="B196" s="390"/>
      <c r="C196" s="390"/>
      <c r="D196" s="390"/>
      <c r="E196" s="390"/>
      <c r="F196" s="390"/>
      <c r="G196" s="390"/>
      <c r="H196" s="390"/>
      <c r="I196" s="390"/>
      <c r="J196" s="390"/>
      <c r="K196" s="509"/>
      <c r="L196" s="508"/>
      <c r="M196" s="508"/>
      <c r="N196" s="508"/>
      <c r="O196" s="508"/>
      <c r="P196" s="508"/>
      <c r="Q196" s="508"/>
      <c r="R196" s="508"/>
      <c r="S196" s="508"/>
      <c r="T196" s="508"/>
      <c r="U196" s="509"/>
      <c r="V196" s="509"/>
      <c r="W196" s="509"/>
      <c r="X196" s="509"/>
      <c r="Y196" s="509"/>
      <c r="Z196" s="290"/>
      <c r="AA196" s="290"/>
      <c r="AB196" s="290"/>
      <c r="AC196" s="290"/>
      <c r="AD196" s="290"/>
      <c r="AE196" s="290"/>
    </row>
    <row r="197" spans="1:31" ht="30" customHeight="1">
      <c r="A197" s="390"/>
      <c r="B197" s="390"/>
      <c r="C197" s="390"/>
      <c r="D197" s="390"/>
      <c r="E197" s="390"/>
      <c r="F197" s="390"/>
      <c r="G197" s="390"/>
      <c r="H197" s="390"/>
      <c r="I197" s="390"/>
      <c r="J197" s="390"/>
      <c r="K197" s="509"/>
      <c r="L197" s="508"/>
      <c r="M197" s="508"/>
      <c r="N197" s="508"/>
      <c r="O197" s="508"/>
      <c r="P197" s="508"/>
      <c r="Q197" s="508"/>
      <c r="R197" s="508"/>
      <c r="S197" s="508"/>
      <c r="T197" s="508"/>
      <c r="U197" s="509"/>
      <c r="V197" s="509"/>
      <c r="W197" s="509"/>
      <c r="X197" s="509"/>
      <c r="Y197" s="509"/>
      <c r="Z197" s="290"/>
      <c r="AA197" s="290"/>
      <c r="AB197" s="290"/>
      <c r="AC197" s="290"/>
      <c r="AD197" s="290"/>
      <c r="AE197" s="290"/>
    </row>
    <row r="198" spans="1:31" ht="30" customHeight="1">
      <c r="A198" s="390"/>
      <c r="B198" s="390"/>
      <c r="C198" s="390"/>
      <c r="D198" s="390"/>
      <c r="E198" s="390"/>
      <c r="F198" s="390"/>
      <c r="G198" s="390"/>
      <c r="H198" s="390"/>
      <c r="I198" s="390"/>
      <c r="J198" s="390"/>
      <c r="K198" s="509"/>
      <c r="L198" s="508"/>
      <c r="M198" s="508"/>
      <c r="N198" s="508"/>
      <c r="O198" s="508"/>
      <c r="P198" s="508"/>
      <c r="Q198" s="508"/>
      <c r="R198" s="508"/>
      <c r="S198" s="508"/>
      <c r="T198" s="508"/>
      <c r="U198" s="509"/>
      <c r="V198" s="509"/>
      <c r="W198" s="509"/>
      <c r="X198" s="509"/>
      <c r="Y198" s="509"/>
      <c r="Z198" s="290"/>
      <c r="AA198" s="290"/>
      <c r="AB198" s="290"/>
      <c r="AC198" s="290"/>
      <c r="AD198" s="290"/>
      <c r="AE198" s="290"/>
    </row>
    <row r="199" spans="1:31" ht="30" customHeight="1">
      <c r="A199" s="390"/>
      <c r="B199" s="390"/>
      <c r="C199" s="390"/>
      <c r="D199" s="390"/>
      <c r="E199" s="390"/>
      <c r="F199" s="390"/>
      <c r="G199" s="390"/>
      <c r="H199" s="390"/>
      <c r="I199" s="390"/>
      <c r="J199" s="390"/>
      <c r="K199" s="509"/>
      <c r="L199" s="508"/>
      <c r="M199" s="508"/>
      <c r="N199" s="508"/>
      <c r="O199" s="508"/>
      <c r="P199" s="508"/>
      <c r="Q199" s="508"/>
      <c r="R199" s="508"/>
      <c r="S199" s="508"/>
      <c r="T199" s="508"/>
      <c r="U199" s="509"/>
      <c r="V199" s="509"/>
      <c r="W199" s="509"/>
      <c r="X199" s="509"/>
      <c r="Y199" s="509"/>
      <c r="Z199" s="290"/>
      <c r="AA199" s="290"/>
      <c r="AB199" s="290"/>
      <c r="AC199" s="290"/>
      <c r="AD199" s="290"/>
      <c r="AE199" s="290"/>
    </row>
    <row r="200" spans="1:31" ht="30" customHeight="1">
      <c r="A200" s="390"/>
      <c r="B200" s="390"/>
      <c r="C200" s="390"/>
      <c r="D200" s="390"/>
      <c r="E200" s="390"/>
      <c r="F200" s="390"/>
      <c r="G200" s="390"/>
      <c r="H200" s="390"/>
      <c r="I200" s="390"/>
      <c r="J200" s="390"/>
      <c r="K200" s="509"/>
      <c r="L200" s="508"/>
      <c r="M200" s="508"/>
      <c r="N200" s="508"/>
      <c r="O200" s="508"/>
      <c r="P200" s="508"/>
      <c r="Q200" s="508"/>
      <c r="R200" s="508"/>
      <c r="S200" s="508"/>
      <c r="T200" s="508"/>
      <c r="U200" s="509"/>
      <c r="V200" s="509"/>
      <c r="W200" s="509"/>
      <c r="X200" s="509"/>
      <c r="Y200" s="509"/>
      <c r="Z200" s="290"/>
      <c r="AA200" s="290"/>
      <c r="AB200" s="290"/>
      <c r="AC200" s="290"/>
      <c r="AD200" s="290"/>
      <c r="AE200" s="290"/>
    </row>
    <row r="201" spans="1:31" ht="30" customHeight="1">
      <c r="A201" s="390"/>
      <c r="B201" s="390"/>
      <c r="C201" s="390"/>
      <c r="D201" s="390"/>
      <c r="E201" s="390"/>
      <c r="F201" s="390"/>
      <c r="G201" s="390"/>
      <c r="H201" s="390"/>
      <c r="I201" s="390"/>
      <c r="J201" s="390"/>
      <c r="K201" s="509"/>
      <c r="L201" s="508"/>
      <c r="M201" s="508"/>
      <c r="N201" s="508"/>
      <c r="O201" s="508"/>
      <c r="P201" s="508"/>
      <c r="Q201" s="508"/>
      <c r="R201" s="508"/>
      <c r="S201" s="508"/>
      <c r="T201" s="508"/>
      <c r="U201" s="509"/>
      <c r="V201" s="509"/>
      <c r="W201" s="509"/>
      <c r="X201" s="509"/>
      <c r="Y201" s="509"/>
      <c r="Z201" s="290"/>
      <c r="AA201" s="290"/>
      <c r="AB201" s="290"/>
      <c r="AC201" s="290"/>
      <c r="AD201" s="290"/>
      <c r="AE201" s="290"/>
    </row>
    <row r="202" spans="1:31" ht="30" customHeight="1">
      <c r="A202" s="390"/>
      <c r="B202" s="390"/>
      <c r="C202" s="390"/>
      <c r="D202" s="390"/>
      <c r="E202" s="390"/>
      <c r="F202" s="390"/>
      <c r="G202" s="390"/>
      <c r="H202" s="390"/>
      <c r="I202" s="390"/>
      <c r="J202" s="390"/>
      <c r="K202" s="509"/>
      <c r="L202" s="508"/>
      <c r="M202" s="508"/>
      <c r="N202" s="508"/>
      <c r="O202" s="508"/>
      <c r="P202" s="508"/>
      <c r="Q202" s="508"/>
      <c r="R202" s="508"/>
      <c r="S202" s="508"/>
      <c r="T202" s="508"/>
      <c r="U202" s="509"/>
      <c r="V202" s="509"/>
      <c r="W202" s="509"/>
      <c r="X202" s="509"/>
      <c r="Y202" s="509"/>
      <c r="Z202" s="290"/>
      <c r="AA202" s="290"/>
      <c r="AB202" s="290"/>
      <c r="AC202" s="290"/>
      <c r="AD202" s="290"/>
      <c r="AE202" s="290"/>
    </row>
    <row r="203" spans="1:31" ht="30" customHeight="1">
      <c r="A203" s="390"/>
      <c r="B203" s="390"/>
      <c r="C203" s="390"/>
      <c r="D203" s="390"/>
      <c r="E203" s="390"/>
      <c r="F203" s="390"/>
      <c r="G203" s="390"/>
      <c r="H203" s="390"/>
      <c r="I203" s="390"/>
      <c r="J203" s="390"/>
      <c r="K203" s="509"/>
      <c r="L203" s="508"/>
      <c r="M203" s="508"/>
      <c r="N203" s="508"/>
      <c r="O203" s="508"/>
      <c r="P203" s="508"/>
      <c r="Q203" s="508"/>
      <c r="R203" s="508"/>
      <c r="S203" s="508"/>
      <c r="T203" s="508"/>
      <c r="U203" s="509"/>
      <c r="V203" s="509"/>
      <c r="W203" s="509"/>
      <c r="X203" s="509"/>
      <c r="Y203" s="509"/>
      <c r="Z203" s="290"/>
      <c r="AA203" s="290"/>
      <c r="AB203" s="290"/>
      <c r="AC203" s="290"/>
      <c r="AD203" s="290"/>
      <c r="AE203" s="290"/>
    </row>
    <row r="204" spans="1:31" ht="30" customHeight="1">
      <c r="A204" s="390"/>
      <c r="B204" s="390"/>
      <c r="C204" s="390"/>
      <c r="D204" s="390"/>
      <c r="E204" s="390"/>
      <c r="F204" s="390"/>
      <c r="G204" s="390"/>
      <c r="H204" s="390"/>
      <c r="I204" s="390"/>
      <c r="J204" s="390"/>
      <c r="K204" s="509"/>
      <c r="L204" s="508"/>
      <c r="M204" s="508"/>
      <c r="N204" s="508"/>
      <c r="O204" s="508"/>
      <c r="P204" s="508"/>
      <c r="Q204" s="508"/>
      <c r="R204" s="508"/>
      <c r="S204" s="508"/>
      <c r="T204" s="508"/>
      <c r="U204" s="509"/>
      <c r="V204" s="509"/>
      <c r="W204" s="509"/>
      <c r="X204" s="509"/>
      <c r="Y204" s="509"/>
      <c r="Z204" s="290"/>
      <c r="AA204" s="290"/>
      <c r="AB204" s="290"/>
      <c r="AC204" s="290"/>
      <c r="AD204" s="290"/>
      <c r="AE204" s="290"/>
    </row>
    <row r="205" spans="1:31" ht="30" customHeight="1">
      <c r="A205" s="390"/>
      <c r="B205" s="390"/>
      <c r="C205" s="390"/>
      <c r="D205" s="390"/>
      <c r="E205" s="390"/>
      <c r="F205" s="390"/>
      <c r="G205" s="390"/>
      <c r="H205" s="390"/>
      <c r="I205" s="390"/>
      <c r="J205" s="390"/>
      <c r="K205" s="509"/>
      <c r="L205" s="508"/>
      <c r="M205" s="508"/>
      <c r="N205" s="508"/>
      <c r="O205" s="508"/>
      <c r="P205" s="508"/>
      <c r="Q205" s="508"/>
      <c r="R205" s="508"/>
      <c r="S205" s="508"/>
      <c r="T205" s="508"/>
      <c r="U205" s="509"/>
      <c r="V205" s="509"/>
      <c r="W205" s="509"/>
      <c r="X205" s="509"/>
      <c r="Y205" s="509"/>
      <c r="Z205" s="290"/>
      <c r="AA205" s="290"/>
      <c r="AB205" s="290"/>
      <c r="AC205" s="290"/>
      <c r="AD205" s="290"/>
      <c r="AE205" s="290"/>
    </row>
    <row r="206" spans="1:31" ht="30" customHeight="1">
      <c r="A206" s="390"/>
      <c r="B206" s="390"/>
      <c r="C206" s="390"/>
      <c r="D206" s="390"/>
      <c r="E206" s="390"/>
      <c r="F206" s="390"/>
      <c r="G206" s="390"/>
      <c r="H206" s="390"/>
      <c r="I206" s="390"/>
      <c r="J206" s="390"/>
      <c r="K206" s="509"/>
      <c r="L206" s="508"/>
      <c r="M206" s="508"/>
      <c r="N206" s="508"/>
      <c r="O206" s="508"/>
      <c r="P206" s="508"/>
      <c r="Q206" s="508"/>
      <c r="R206" s="508"/>
      <c r="S206" s="508"/>
      <c r="T206" s="508"/>
      <c r="U206" s="509"/>
      <c r="V206" s="509"/>
      <c r="W206" s="509"/>
      <c r="X206" s="509"/>
      <c r="Y206" s="509"/>
      <c r="Z206" s="290"/>
      <c r="AA206" s="290"/>
      <c r="AB206" s="290"/>
      <c r="AC206" s="290"/>
      <c r="AD206" s="290"/>
      <c r="AE206" s="290"/>
    </row>
    <row r="207" spans="1:31" ht="30" customHeight="1">
      <c r="A207" s="390"/>
      <c r="B207" s="390"/>
      <c r="C207" s="390"/>
      <c r="D207" s="390"/>
      <c r="E207" s="390"/>
      <c r="F207" s="390"/>
      <c r="G207" s="390"/>
      <c r="H207" s="390"/>
      <c r="I207" s="390"/>
      <c r="J207" s="390"/>
      <c r="K207" s="509"/>
      <c r="L207" s="508"/>
      <c r="M207" s="508"/>
      <c r="N207" s="508"/>
      <c r="O207" s="508"/>
      <c r="P207" s="508"/>
      <c r="Q207" s="508"/>
      <c r="R207" s="508"/>
      <c r="S207" s="508"/>
      <c r="T207" s="508"/>
      <c r="U207" s="509"/>
      <c r="V207" s="509"/>
      <c r="W207" s="509"/>
      <c r="X207" s="509"/>
      <c r="Y207" s="509"/>
      <c r="Z207" s="290"/>
      <c r="AA207" s="290"/>
      <c r="AB207" s="290"/>
      <c r="AC207" s="290"/>
      <c r="AD207" s="290"/>
      <c r="AE207" s="290"/>
    </row>
    <row r="208" spans="1:31">
      <c r="A208" s="390"/>
      <c r="B208" s="390"/>
      <c r="C208" s="390"/>
      <c r="D208" s="390"/>
      <c r="E208" s="390"/>
      <c r="F208" s="390"/>
      <c r="G208" s="390"/>
      <c r="H208" s="390"/>
      <c r="I208" s="390"/>
      <c r="J208" s="390"/>
      <c r="K208" s="509"/>
      <c r="L208" s="508"/>
      <c r="M208" s="508"/>
      <c r="N208" s="508"/>
      <c r="O208" s="508"/>
      <c r="P208" s="508"/>
      <c r="Q208" s="508"/>
      <c r="R208" s="508"/>
      <c r="S208" s="508"/>
      <c r="T208" s="508"/>
      <c r="U208" s="509"/>
      <c r="V208" s="509"/>
      <c r="W208" s="509"/>
      <c r="X208" s="509"/>
      <c r="Y208" s="509"/>
      <c r="Z208" s="290"/>
      <c r="AA208" s="290"/>
      <c r="AB208" s="290"/>
      <c r="AC208" s="290"/>
      <c r="AD208" s="290"/>
      <c r="AE208" s="290"/>
    </row>
    <row r="209" spans="1:31">
      <c r="A209" s="390"/>
      <c r="B209" s="390"/>
      <c r="C209" s="390"/>
      <c r="D209" s="390"/>
      <c r="E209" s="390"/>
      <c r="F209" s="390"/>
      <c r="G209" s="390"/>
      <c r="H209" s="390"/>
      <c r="I209" s="390"/>
      <c r="J209" s="390"/>
      <c r="K209" s="509"/>
      <c r="L209" s="508"/>
      <c r="M209" s="508"/>
      <c r="N209" s="508"/>
      <c r="O209" s="508"/>
      <c r="P209" s="508"/>
      <c r="Q209" s="508"/>
      <c r="R209" s="508"/>
      <c r="S209" s="508"/>
      <c r="T209" s="508"/>
      <c r="U209" s="509"/>
      <c r="V209" s="509"/>
      <c r="W209" s="509"/>
      <c r="X209" s="509"/>
      <c r="Y209" s="509"/>
      <c r="Z209" s="290"/>
      <c r="AA209" s="290"/>
      <c r="AB209" s="290"/>
      <c r="AC209" s="290"/>
      <c r="AD209" s="290"/>
      <c r="AE209" s="290"/>
    </row>
    <row r="210" spans="1:31">
      <c r="A210" s="390"/>
      <c r="B210" s="390"/>
      <c r="C210" s="390"/>
      <c r="D210" s="390"/>
      <c r="E210" s="390"/>
      <c r="F210" s="390"/>
      <c r="G210" s="390"/>
      <c r="H210" s="390"/>
      <c r="I210" s="390"/>
      <c r="J210" s="390"/>
      <c r="K210" s="509"/>
      <c r="L210" s="508"/>
      <c r="M210" s="508"/>
      <c r="N210" s="508"/>
      <c r="O210" s="508"/>
      <c r="P210" s="508"/>
      <c r="Q210" s="508"/>
      <c r="R210" s="508"/>
      <c r="S210" s="508"/>
      <c r="T210" s="508"/>
      <c r="U210" s="509"/>
      <c r="V210" s="509"/>
      <c r="W210" s="509"/>
      <c r="X210" s="509"/>
      <c r="Y210" s="509"/>
      <c r="Z210" s="290"/>
      <c r="AA210" s="290"/>
      <c r="AB210" s="290"/>
      <c r="AC210" s="290"/>
      <c r="AD210" s="290"/>
      <c r="AE210" s="290"/>
    </row>
    <row r="211" spans="1:31">
      <c r="A211" s="390"/>
      <c r="B211" s="390"/>
      <c r="C211" s="390"/>
      <c r="D211" s="390"/>
      <c r="E211" s="390"/>
      <c r="F211" s="390"/>
      <c r="G211" s="390"/>
      <c r="H211" s="390"/>
      <c r="I211" s="390"/>
      <c r="J211" s="390"/>
      <c r="K211" s="509"/>
      <c r="L211" s="508"/>
      <c r="M211" s="508"/>
      <c r="N211" s="508"/>
      <c r="O211" s="508"/>
      <c r="P211" s="508"/>
      <c r="Q211" s="508"/>
      <c r="R211" s="508"/>
      <c r="S211" s="508"/>
      <c r="T211" s="508"/>
      <c r="U211" s="509"/>
      <c r="V211" s="509"/>
      <c r="W211" s="509"/>
      <c r="X211" s="509"/>
      <c r="Y211" s="509"/>
      <c r="Z211" s="290"/>
      <c r="AA211" s="290"/>
      <c r="AB211" s="290"/>
      <c r="AC211" s="290"/>
      <c r="AD211" s="290"/>
      <c r="AE211" s="290"/>
    </row>
    <row r="212" spans="1:31">
      <c r="A212" s="390"/>
      <c r="B212" s="390"/>
      <c r="C212" s="390"/>
      <c r="D212" s="390"/>
      <c r="E212" s="390"/>
      <c r="F212" s="390"/>
      <c r="G212" s="390"/>
      <c r="H212" s="390"/>
      <c r="I212" s="390"/>
      <c r="J212" s="390"/>
      <c r="K212" s="509"/>
      <c r="L212" s="508"/>
      <c r="M212" s="508"/>
      <c r="N212" s="508"/>
      <c r="O212" s="508"/>
      <c r="P212" s="508"/>
      <c r="Q212" s="508"/>
      <c r="R212" s="508"/>
      <c r="S212" s="508"/>
      <c r="T212" s="508"/>
      <c r="U212" s="509"/>
      <c r="V212" s="509"/>
      <c r="W212" s="509"/>
      <c r="X212" s="509"/>
      <c r="Y212" s="509"/>
      <c r="Z212" s="290"/>
      <c r="AA212" s="290"/>
      <c r="AB212" s="290"/>
      <c r="AC212" s="290"/>
      <c r="AD212" s="290"/>
      <c r="AE212" s="290"/>
    </row>
    <row r="213" spans="1:31">
      <c r="A213" s="390"/>
      <c r="B213" s="390"/>
      <c r="C213" s="390"/>
      <c r="D213" s="390"/>
      <c r="E213" s="390"/>
      <c r="F213" s="390"/>
      <c r="G213" s="390"/>
      <c r="H213" s="390"/>
      <c r="I213" s="390"/>
      <c r="J213" s="390"/>
      <c r="K213" s="509"/>
      <c r="L213" s="508"/>
      <c r="M213" s="508"/>
      <c r="N213" s="508"/>
      <c r="O213" s="508"/>
      <c r="P213" s="508"/>
      <c r="Q213" s="508"/>
      <c r="R213" s="508"/>
      <c r="S213" s="508"/>
      <c r="T213" s="508"/>
      <c r="U213" s="509"/>
      <c r="V213" s="509"/>
      <c r="W213" s="509"/>
      <c r="X213" s="509"/>
      <c r="Y213" s="509"/>
      <c r="Z213" s="290"/>
      <c r="AA213" s="290"/>
      <c r="AB213" s="290"/>
      <c r="AC213" s="290"/>
      <c r="AD213" s="290"/>
      <c r="AE213" s="290"/>
    </row>
    <row r="214" spans="1:31">
      <c r="A214" s="390"/>
      <c r="B214" s="390"/>
      <c r="C214" s="390"/>
      <c r="D214" s="390"/>
      <c r="E214" s="390"/>
      <c r="F214" s="390"/>
      <c r="G214" s="390"/>
      <c r="H214" s="390"/>
      <c r="I214" s="390"/>
      <c r="J214" s="390"/>
      <c r="K214" s="509"/>
      <c r="L214" s="508"/>
      <c r="M214" s="508"/>
      <c r="N214" s="508"/>
      <c r="O214" s="508"/>
      <c r="P214" s="508"/>
      <c r="Q214" s="508"/>
      <c r="R214" s="508"/>
      <c r="S214" s="508"/>
      <c r="T214" s="508"/>
      <c r="U214" s="509"/>
      <c r="V214" s="509"/>
      <c r="W214" s="509"/>
      <c r="X214" s="509"/>
      <c r="Y214" s="509"/>
      <c r="Z214" s="290"/>
      <c r="AA214" s="290"/>
      <c r="AB214" s="290"/>
      <c r="AC214" s="290"/>
      <c r="AD214" s="290"/>
      <c r="AE214" s="290"/>
    </row>
    <row r="215" spans="1:31">
      <c r="A215" s="390"/>
      <c r="B215" s="390"/>
      <c r="C215" s="390"/>
      <c r="D215" s="390"/>
      <c r="E215" s="390"/>
      <c r="F215" s="390"/>
      <c r="G215" s="390"/>
      <c r="H215" s="390"/>
      <c r="I215" s="390"/>
      <c r="J215" s="390"/>
      <c r="K215" s="509"/>
      <c r="L215" s="508"/>
      <c r="M215" s="508"/>
      <c r="N215" s="508"/>
      <c r="O215" s="508"/>
      <c r="P215" s="508"/>
      <c r="Q215" s="508"/>
      <c r="R215" s="508"/>
      <c r="S215" s="508"/>
      <c r="T215" s="508"/>
      <c r="U215" s="509"/>
      <c r="V215" s="509"/>
      <c r="W215" s="509"/>
      <c r="X215" s="509"/>
      <c r="Y215" s="509"/>
      <c r="Z215" s="290"/>
      <c r="AA215" s="290"/>
      <c r="AB215" s="290"/>
      <c r="AC215" s="290"/>
      <c r="AD215" s="290"/>
      <c r="AE215" s="290"/>
    </row>
    <row r="216" spans="1:31">
      <c r="A216" s="390"/>
      <c r="B216" s="390"/>
      <c r="C216" s="390"/>
      <c r="D216" s="390"/>
      <c r="E216" s="390"/>
      <c r="F216" s="390"/>
      <c r="G216" s="390"/>
      <c r="H216" s="390"/>
      <c r="I216" s="390"/>
      <c r="J216" s="390"/>
      <c r="K216" s="509"/>
      <c r="L216" s="508"/>
      <c r="M216" s="508"/>
      <c r="N216" s="508"/>
      <c r="O216" s="508"/>
      <c r="P216" s="508"/>
      <c r="Q216" s="508"/>
      <c r="R216" s="508"/>
      <c r="S216" s="508"/>
      <c r="T216" s="508"/>
      <c r="U216" s="509"/>
      <c r="V216" s="509"/>
      <c r="W216" s="509"/>
      <c r="X216" s="509"/>
      <c r="Y216" s="509"/>
      <c r="Z216" s="290"/>
      <c r="AA216" s="290"/>
      <c r="AB216" s="290"/>
      <c r="AC216" s="290"/>
      <c r="AD216" s="290"/>
      <c r="AE216" s="290"/>
    </row>
    <row r="217" spans="1:31">
      <c r="A217" s="390"/>
      <c r="B217" s="390"/>
      <c r="C217" s="390"/>
      <c r="D217" s="390"/>
      <c r="E217" s="390"/>
      <c r="F217" s="390"/>
      <c r="G217" s="390"/>
      <c r="H217" s="390"/>
      <c r="I217" s="390"/>
      <c r="J217" s="390"/>
      <c r="K217" s="509"/>
      <c r="L217" s="508"/>
      <c r="M217" s="508"/>
      <c r="N217" s="508"/>
      <c r="O217" s="508"/>
      <c r="P217" s="508"/>
      <c r="Q217" s="508"/>
      <c r="R217" s="508"/>
      <c r="S217" s="508"/>
      <c r="T217" s="508"/>
      <c r="U217" s="509"/>
      <c r="V217" s="509"/>
      <c r="W217" s="509"/>
      <c r="X217" s="509"/>
      <c r="Y217" s="509"/>
      <c r="Z217" s="290"/>
      <c r="AA217" s="290"/>
      <c r="AB217" s="290"/>
      <c r="AC217" s="290"/>
      <c r="AD217" s="290"/>
      <c r="AE217" s="290"/>
    </row>
    <row r="218" spans="1:31">
      <c r="A218" s="390"/>
      <c r="B218" s="390"/>
      <c r="C218" s="390"/>
      <c r="D218" s="390"/>
      <c r="E218" s="390"/>
      <c r="F218" s="390"/>
      <c r="G218" s="390"/>
      <c r="H218" s="390"/>
      <c r="I218" s="390"/>
      <c r="J218" s="390"/>
      <c r="K218" s="509"/>
      <c r="L218" s="508"/>
      <c r="M218" s="508"/>
      <c r="N218" s="508"/>
      <c r="O218" s="508"/>
      <c r="P218" s="508"/>
      <c r="Q218" s="508"/>
      <c r="R218" s="508"/>
      <c r="S218" s="508"/>
      <c r="T218" s="508"/>
      <c r="U218" s="509"/>
      <c r="V218" s="509"/>
      <c r="W218" s="509"/>
      <c r="X218" s="509"/>
      <c r="Y218" s="509"/>
      <c r="Z218" s="290"/>
      <c r="AA218" s="290"/>
      <c r="AB218" s="290"/>
      <c r="AC218" s="290"/>
      <c r="AD218" s="290"/>
      <c r="AE218" s="290"/>
    </row>
    <row r="219" spans="1:31">
      <c r="A219" s="390"/>
      <c r="B219" s="390"/>
      <c r="C219" s="390"/>
      <c r="D219" s="390"/>
      <c r="E219" s="390"/>
      <c r="F219" s="390"/>
      <c r="G219" s="390"/>
      <c r="H219" s="390"/>
      <c r="I219" s="390"/>
      <c r="J219" s="390"/>
      <c r="K219" s="509"/>
      <c r="L219" s="508"/>
      <c r="M219" s="508"/>
      <c r="N219" s="508"/>
      <c r="O219" s="508"/>
      <c r="P219" s="508"/>
      <c r="Q219" s="508"/>
      <c r="R219" s="508"/>
      <c r="S219" s="508"/>
      <c r="T219" s="508"/>
      <c r="U219" s="509"/>
      <c r="V219" s="509"/>
      <c r="W219" s="509"/>
      <c r="X219" s="509"/>
      <c r="Y219" s="509"/>
      <c r="Z219" s="290"/>
      <c r="AA219" s="290"/>
      <c r="AB219" s="290"/>
      <c r="AC219" s="290"/>
      <c r="AD219" s="290"/>
      <c r="AE219" s="290"/>
    </row>
    <row r="220" spans="1:31">
      <c r="A220" s="390"/>
      <c r="B220" s="390"/>
      <c r="C220" s="390"/>
      <c r="D220" s="390"/>
      <c r="E220" s="390"/>
      <c r="F220" s="390"/>
      <c r="G220" s="390"/>
      <c r="H220" s="390"/>
      <c r="I220" s="390"/>
      <c r="J220" s="390"/>
      <c r="K220" s="509"/>
      <c r="L220" s="508"/>
      <c r="M220" s="508"/>
      <c r="N220" s="508"/>
      <c r="O220" s="508"/>
      <c r="P220" s="508"/>
      <c r="Q220" s="508"/>
      <c r="R220" s="508"/>
      <c r="S220" s="508"/>
      <c r="T220" s="508"/>
      <c r="U220" s="509"/>
      <c r="V220" s="509"/>
      <c r="W220" s="509"/>
      <c r="X220" s="509"/>
      <c r="Y220" s="509"/>
      <c r="Z220" s="290"/>
      <c r="AA220" s="290"/>
      <c r="AB220" s="290"/>
      <c r="AC220" s="290"/>
      <c r="AD220" s="290"/>
      <c r="AE220" s="290"/>
    </row>
    <row r="221" spans="1:31">
      <c r="A221" s="390"/>
      <c r="B221" s="390"/>
      <c r="C221" s="390"/>
      <c r="D221" s="390"/>
      <c r="E221" s="390"/>
      <c r="F221" s="390"/>
      <c r="G221" s="390"/>
      <c r="H221" s="390"/>
      <c r="I221" s="390"/>
      <c r="J221" s="390"/>
      <c r="K221" s="509"/>
      <c r="L221" s="508"/>
      <c r="M221" s="508"/>
      <c r="N221" s="508"/>
      <c r="O221" s="508"/>
      <c r="P221" s="508"/>
      <c r="Q221" s="508"/>
      <c r="R221" s="508"/>
      <c r="S221" s="508"/>
      <c r="T221" s="508"/>
      <c r="U221" s="509"/>
      <c r="V221" s="509"/>
      <c r="W221" s="509"/>
      <c r="X221" s="509"/>
      <c r="Y221" s="509"/>
      <c r="Z221" s="290"/>
      <c r="AA221" s="290"/>
      <c r="AB221" s="290"/>
      <c r="AC221" s="290"/>
      <c r="AD221" s="290"/>
      <c r="AE221" s="290"/>
    </row>
    <row r="222" spans="1:31">
      <c r="A222" s="390"/>
      <c r="B222" s="390"/>
      <c r="C222" s="390"/>
      <c r="D222" s="390"/>
      <c r="E222" s="390"/>
      <c r="F222" s="390"/>
      <c r="G222" s="390"/>
      <c r="H222" s="390"/>
      <c r="I222" s="390"/>
      <c r="J222" s="390"/>
      <c r="K222" s="509"/>
      <c r="L222" s="508"/>
      <c r="M222" s="508"/>
      <c r="N222" s="508"/>
      <c r="O222" s="508"/>
      <c r="P222" s="508"/>
      <c r="Q222" s="508"/>
      <c r="R222" s="508"/>
      <c r="S222" s="508"/>
      <c r="T222" s="508"/>
      <c r="U222" s="509"/>
      <c r="V222" s="509"/>
      <c r="W222" s="509"/>
      <c r="X222" s="509"/>
      <c r="Y222" s="509"/>
      <c r="Z222" s="290"/>
      <c r="AA222" s="290"/>
      <c r="AB222" s="290"/>
      <c r="AC222" s="290"/>
      <c r="AD222" s="290"/>
      <c r="AE222" s="290"/>
    </row>
    <row r="223" spans="1:31">
      <c r="A223" s="390"/>
      <c r="B223" s="390"/>
      <c r="C223" s="390"/>
      <c r="D223" s="390"/>
      <c r="E223" s="390"/>
      <c r="F223" s="390"/>
      <c r="G223" s="390"/>
      <c r="H223" s="390"/>
      <c r="I223" s="390"/>
      <c r="J223" s="390"/>
      <c r="K223" s="509"/>
      <c r="L223" s="508"/>
      <c r="M223" s="508"/>
      <c r="N223" s="508"/>
      <c r="O223" s="508"/>
      <c r="P223" s="508"/>
      <c r="Q223" s="508"/>
      <c r="R223" s="508"/>
      <c r="S223" s="508"/>
      <c r="T223" s="508"/>
      <c r="U223" s="509"/>
      <c r="V223" s="509"/>
      <c r="W223" s="509"/>
      <c r="X223" s="509"/>
      <c r="Y223" s="509"/>
      <c r="Z223" s="290"/>
      <c r="AA223" s="290"/>
      <c r="AB223" s="290"/>
      <c r="AC223" s="290"/>
      <c r="AD223" s="290"/>
      <c r="AE223" s="290"/>
    </row>
    <row r="224" spans="1:31">
      <c r="A224" s="390"/>
      <c r="B224" s="390"/>
      <c r="C224" s="390"/>
      <c r="D224" s="390"/>
      <c r="E224" s="390"/>
      <c r="F224" s="390"/>
      <c r="G224" s="390"/>
      <c r="H224" s="390"/>
      <c r="I224" s="390"/>
      <c r="J224" s="390"/>
      <c r="K224" s="509"/>
      <c r="L224" s="508"/>
      <c r="M224" s="508"/>
      <c r="N224" s="508"/>
      <c r="O224" s="508"/>
      <c r="P224" s="508"/>
      <c r="Q224" s="508"/>
      <c r="R224" s="508"/>
      <c r="S224" s="508"/>
      <c r="T224" s="508"/>
      <c r="U224" s="509"/>
      <c r="V224" s="509"/>
      <c r="W224" s="509"/>
      <c r="X224" s="509"/>
      <c r="Y224" s="509"/>
      <c r="Z224" s="290"/>
      <c r="AA224" s="290"/>
      <c r="AB224" s="290"/>
      <c r="AC224" s="290"/>
      <c r="AD224" s="290"/>
      <c r="AE224" s="290"/>
    </row>
    <row r="225" spans="1:31">
      <c r="A225" s="390"/>
      <c r="B225" s="390"/>
      <c r="C225" s="390"/>
      <c r="D225" s="390"/>
      <c r="E225" s="390"/>
      <c r="F225" s="390"/>
      <c r="G225" s="390"/>
      <c r="H225" s="390"/>
      <c r="I225" s="390"/>
      <c r="J225" s="390"/>
      <c r="K225" s="509"/>
      <c r="L225" s="508"/>
      <c r="M225" s="508"/>
      <c r="N225" s="508"/>
      <c r="O225" s="508"/>
      <c r="P225" s="508"/>
      <c r="Q225" s="508"/>
      <c r="R225" s="508"/>
      <c r="S225" s="508"/>
      <c r="T225" s="508"/>
      <c r="U225" s="509"/>
      <c r="V225" s="509"/>
      <c r="W225" s="509"/>
      <c r="X225" s="509"/>
      <c r="Y225" s="509"/>
      <c r="Z225" s="290"/>
      <c r="AA225" s="290"/>
      <c r="AB225" s="290"/>
      <c r="AC225" s="290"/>
      <c r="AD225" s="290"/>
      <c r="AE225" s="290"/>
    </row>
    <row r="226" spans="1:31">
      <c r="A226" s="390"/>
      <c r="B226" s="390"/>
      <c r="C226" s="390"/>
      <c r="D226" s="390"/>
      <c r="E226" s="390"/>
      <c r="F226" s="390"/>
      <c r="G226" s="390"/>
      <c r="H226" s="390"/>
      <c r="I226" s="390"/>
      <c r="J226" s="390"/>
      <c r="K226" s="509"/>
      <c r="L226" s="508"/>
      <c r="M226" s="508"/>
      <c r="N226" s="508"/>
      <c r="O226" s="508"/>
      <c r="P226" s="508"/>
      <c r="Q226" s="508"/>
      <c r="R226" s="508"/>
      <c r="S226" s="508"/>
      <c r="T226" s="508"/>
      <c r="U226" s="509"/>
      <c r="V226" s="509"/>
      <c r="W226" s="509"/>
      <c r="X226" s="509"/>
      <c r="Y226" s="509"/>
      <c r="Z226" s="290"/>
      <c r="AA226" s="290"/>
      <c r="AB226" s="290"/>
      <c r="AC226" s="290"/>
      <c r="AD226" s="290"/>
      <c r="AE226" s="290"/>
    </row>
    <row r="227" spans="1:31">
      <c r="A227" s="390"/>
      <c r="B227" s="390"/>
      <c r="C227" s="390"/>
      <c r="D227" s="390"/>
      <c r="E227" s="390"/>
      <c r="F227" s="390"/>
      <c r="G227" s="390"/>
      <c r="H227" s="390"/>
      <c r="I227" s="390"/>
      <c r="J227" s="390"/>
      <c r="K227" s="509"/>
      <c r="L227" s="508"/>
      <c r="M227" s="508"/>
      <c r="N227" s="508"/>
      <c r="O227" s="508"/>
      <c r="P227" s="508"/>
      <c r="Q227" s="508"/>
      <c r="R227" s="508"/>
      <c r="S227" s="508"/>
      <c r="T227" s="508"/>
      <c r="U227" s="509"/>
      <c r="V227" s="509"/>
      <c r="W227" s="509"/>
      <c r="X227" s="509"/>
      <c r="Y227" s="509"/>
      <c r="Z227" s="290"/>
      <c r="AA227" s="290"/>
      <c r="AB227" s="290"/>
      <c r="AC227" s="290"/>
      <c r="AD227" s="290"/>
      <c r="AE227" s="290"/>
    </row>
    <row r="228" spans="1:31">
      <c r="A228" s="390"/>
      <c r="B228" s="390"/>
      <c r="C228" s="390"/>
      <c r="D228" s="390"/>
      <c r="E228" s="390"/>
      <c r="F228" s="390"/>
      <c r="G228" s="390"/>
      <c r="H228" s="390"/>
      <c r="I228" s="390"/>
      <c r="J228" s="390"/>
      <c r="K228" s="509"/>
      <c r="L228" s="508"/>
      <c r="M228" s="508"/>
      <c r="N228" s="508"/>
      <c r="O228" s="508"/>
      <c r="P228" s="508"/>
      <c r="Q228" s="508"/>
      <c r="R228" s="508"/>
      <c r="S228" s="508"/>
      <c r="T228" s="508"/>
      <c r="U228" s="509"/>
      <c r="V228" s="509"/>
      <c r="W228" s="509"/>
      <c r="X228" s="509"/>
      <c r="Y228" s="509"/>
      <c r="Z228" s="290"/>
      <c r="AA228" s="290"/>
      <c r="AB228" s="290"/>
      <c r="AC228" s="290"/>
      <c r="AD228" s="290"/>
      <c r="AE228" s="290"/>
    </row>
    <row r="229" spans="1:31">
      <c r="A229" s="390"/>
      <c r="B229" s="390"/>
      <c r="C229" s="390"/>
      <c r="D229" s="390"/>
      <c r="E229" s="390"/>
      <c r="F229" s="390"/>
      <c r="G229" s="390"/>
      <c r="H229" s="390"/>
      <c r="I229" s="390"/>
      <c r="J229" s="390"/>
      <c r="K229" s="509"/>
      <c r="L229" s="508"/>
      <c r="M229" s="508"/>
      <c r="N229" s="508"/>
      <c r="O229" s="508"/>
      <c r="P229" s="508"/>
      <c r="Q229" s="508"/>
      <c r="R229" s="508"/>
      <c r="S229" s="508"/>
      <c r="T229" s="508"/>
      <c r="U229" s="509"/>
      <c r="V229" s="509"/>
      <c r="W229" s="509"/>
      <c r="X229" s="509"/>
      <c r="Y229" s="509"/>
      <c r="Z229" s="290"/>
      <c r="AA229" s="290"/>
      <c r="AB229" s="290"/>
      <c r="AC229" s="290"/>
      <c r="AD229" s="290"/>
      <c r="AE229" s="290"/>
    </row>
    <row r="230" spans="1:31">
      <c r="A230" s="390"/>
      <c r="B230" s="390"/>
      <c r="C230" s="390"/>
      <c r="D230" s="390"/>
      <c r="E230" s="390"/>
      <c r="F230" s="390"/>
      <c r="G230" s="390"/>
      <c r="H230" s="390"/>
      <c r="I230" s="390"/>
      <c r="J230" s="390"/>
      <c r="K230" s="509"/>
      <c r="L230" s="508"/>
      <c r="M230" s="508"/>
      <c r="N230" s="508"/>
      <c r="O230" s="508"/>
      <c r="P230" s="508"/>
      <c r="Q230" s="508"/>
      <c r="R230" s="508"/>
      <c r="S230" s="508"/>
      <c r="T230" s="508"/>
      <c r="U230" s="509"/>
      <c r="V230" s="509"/>
      <c r="W230" s="509"/>
      <c r="X230" s="509"/>
      <c r="Y230" s="509"/>
      <c r="Z230" s="290"/>
      <c r="AA230" s="290"/>
      <c r="AB230" s="290"/>
      <c r="AC230" s="290"/>
      <c r="AD230" s="290"/>
      <c r="AE230" s="290"/>
    </row>
    <row r="231" spans="1:31">
      <c r="A231" s="390"/>
      <c r="B231" s="390"/>
      <c r="C231" s="390"/>
      <c r="D231" s="390"/>
      <c r="E231" s="390"/>
      <c r="F231" s="390"/>
      <c r="G231" s="390"/>
      <c r="H231" s="390"/>
      <c r="I231" s="390"/>
      <c r="J231" s="390"/>
      <c r="K231" s="509"/>
      <c r="L231" s="508"/>
      <c r="M231" s="508"/>
      <c r="N231" s="508"/>
      <c r="O231" s="508"/>
      <c r="P231" s="508"/>
      <c r="Q231" s="508"/>
      <c r="R231" s="508"/>
      <c r="S231" s="508"/>
      <c r="T231" s="508"/>
      <c r="U231" s="509"/>
      <c r="V231" s="509"/>
      <c r="W231" s="509"/>
      <c r="X231" s="509"/>
      <c r="Y231" s="509"/>
      <c r="Z231" s="290"/>
      <c r="AA231" s="290"/>
      <c r="AB231" s="290"/>
      <c r="AC231" s="290"/>
      <c r="AD231" s="290"/>
      <c r="AE231" s="290"/>
    </row>
    <row r="232" spans="1:31">
      <c r="A232" s="390"/>
      <c r="B232" s="390"/>
      <c r="C232" s="390"/>
      <c r="D232" s="390"/>
      <c r="E232" s="390"/>
      <c r="F232" s="390"/>
      <c r="G232" s="390"/>
      <c r="H232" s="390"/>
      <c r="I232" s="390"/>
      <c r="J232" s="390"/>
      <c r="K232" s="509"/>
      <c r="L232" s="508"/>
      <c r="M232" s="508"/>
      <c r="N232" s="508"/>
      <c r="O232" s="508"/>
      <c r="P232" s="508"/>
      <c r="Q232" s="508"/>
      <c r="R232" s="508"/>
      <c r="S232" s="508"/>
      <c r="T232" s="508"/>
      <c r="U232" s="509"/>
      <c r="V232" s="509"/>
      <c r="W232" s="509"/>
      <c r="X232" s="509"/>
      <c r="Y232" s="509"/>
      <c r="Z232" s="290"/>
      <c r="AA232" s="290"/>
      <c r="AB232" s="290"/>
      <c r="AC232" s="290"/>
      <c r="AD232" s="290"/>
      <c r="AE232" s="290"/>
    </row>
    <row r="233" spans="1:31">
      <c r="A233" s="390"/>
      <c r="B233" s="390"/>
      <c r="C233" s="390"/>
      <c r="D233" s="390"/>
      <c r="E233" s="390"/>
      <c r="F233" s="390"/>
      <c r="G233" s="390"/>
      <c r="H233" s="390"/>
      <c r="I233" s="390"/>
      <c r="J233" s="390"/>
      <c r="K233" s="509"/>
      <c r="L233" s="508"/>
      <c r="M233" s="508"/>
      <c r="N233" s="508"/>
      <c r="O233" s="508"/>
      <c r="P233" s="508"/>
      <c r="Q233" s="508"/>
      <c r="R233" s="508"/>
      <c r="S233" s="508"/>
      <c r="T233" s="508"/>
      <c r="U233" s="509"/>
      <c r="V233" s="509"/>
      <c r="W233" s="509"/>
      <c r="X233" s="509"/>
      <c r="Y233" s="509"/>
      <c r="Z233" s="290"/>
      <c r="AA233" s="290"/>
      <c r="AB233" s="290"/>
      <c r="AC233" s="290"/>
      <c r="AD233" s="290"/>
      <c r="AE233" s="290"/>
    </row>
    <row r="234" spans="1:31">
      <c r="A234" s="390"/>
      <c r="B234" s="390"/>
      <c r="C234" s="390"/>
      <c r="D234" s="390"/>
      <c r="E234" s="390"/>
      <c r="F234" s="390"/>
      <c r="G234" s="390"/>
      <c r="H234" s="390"/>
      <c r="I234" s="390"/>
      <c r="J234" s="390"/>
      <c r="K234" s="509"/>
      <c r="L234" s="508"/>
      <c r="M234" s="508"/>
      <c r="N234" s="508"/>
      <c r="O234" s="508"/>
      <c r="P234" s="508"/>
      <c r="Q234" s="508"/>
      <c r="R234" s="508"/>
      <c r="S234" s="508"/>
      <c r="T234" s="508"/>
      <c r="U234" s="509"/>
      <c r="V234" s="509"/>
      <c r="W234" s="509"/>
      <c r="X234" s="509"/>
      <c r="Y234" s="509"/>
      <c r="Z234" s="290"/>
      <c r="AA234" s="290"/>
      <c r="AB234" s="290"/>
      <c r="AC234" s="290"/>
      <c r="AD234" s="290"/>
      <c r="AE234" s="290"/>
    </row>
    <row r="235" spans="1:31">
      <c r="A235" s="390"/>
      <c r="B235" s="390"/>
      <c r="C235" s="390"/>
      <c r="D235" s="390"/>
      <c r="E235" s="390"/>
      <c r="F235" s="390"/>
      <c r="G235" s="390"/>
      <c r="H235" s="390"/>
      <c r="I235" s="390"/>
      <c r="J235" s="390"/>
      <c r="K235" s="509"/>
      <c r="L235" s="508"/>
      <c r="M235" s="508"/>
      <c r="N235" s="508"/>
      <c r="O235" s="508"/>
      <c r="P235" s="508"/>
      <c r="Q235" s="508"/>
      <c r="R235" s="508"/>
      <c r="S235" s="508"/>
      <c r="T235" s="508"/>
      <c r="U235" s="509"/>
      <c r="V235" s="509"/>
      <c r="W235" s="509"/>
      <c r="X235" s="509"/>
      <c r="Y235" s="509"/>
      <c r="Z235" s="290"/>
      <c r="AA235" s="290"/>
      <c r="AB235" s="290"/>
      <c r="AC235" s="290"/>
      <c r="AD235" s="290"/>
      <c r="AE235" s="290"/>
    </row>
    <row r="236" spans="1:31">
      <c r="A236" s="390"/>
      <c r="B236" s="390"/>
      <c r="C236" s="390"/>
      <c r="D236" s="390"/>
      <c r="E236" s="390"/>
      <c r="F236" s="390"/>
      <c r="G236" s="390"/>
      <c r="H236" s="390"/>
      <c r="I236" s="390"/>
      <c r="J236" s="390"/>
      <c r="K236" s="509"/>
      <c r="L236" s="508"/>
      <c r="M236" s="508"/>
      <c r="N236" s="508"/>
      <c r="O236" s="508"/>
      <c r="P236" s="508"/>
      <c r="Q236" s="508"/>
      <c r="R236" s="508"/>
      <c r="S236" s="508"/>
      <c r="T236" s="508"/>
      <c r="U236" s="509"/>
      <c r="V236" s="509"/>
      <c r="W236" s="509"/>
      <c r="X236" s="509"/>
      <c r="Y236" s="509"/>
      <c r="Z236" s="290"/>
      <c r="AA236" s="290"/>
      <c r="AB236" s="290"/>
      <c r="AC236" s="290"/>
      <c r="AD236" s="290"/>
      <c r="AE236" s="290"/>
    </row>
    <row r="237" spans="1:31">
      <c r="A237" s="390"/>
      <c r="B237" s="390"/>
      <c r="C237" s="390"/>
      <c r="D237" s="390"/>
      <c r="E237" s="390"/>
      <c r="F237" s="390"/>
      <c r="G237" s="390"/>
      <c r="H237" s="390"/>
      <c r="I237" s="390"/>
      <c r="J237" s="390"/>
      <c r="K237" s="509"/>
      <c r="L237" s="508"/>
      <c r="M237" s="508"/>
      <c r="N237" s="508"/>
      <c r="O237" s="508"/>
      <c r="P237" s="508"/>
      <c r="Q237" s="508"/>
      <c r="R237" s="508"/>
      <c r="S237" s="508"/>
      <c r="T237" s="508"/>
      <c r="U237" s="509"/>
      <c r="V237" s="509"/>
      <c r="W237" s="509"/>
      <c r="X237" s="509"/>
      <c r="Y237" s="509"/>
      <c r="Z237" s="290"/>
      <c r="AA237" s="290"/>
      <c r="AB237" s="290"/>
      <c r="AC237" s="290"/>
      <c r="AD237" s="290"/>
      <c r="AE237" s="290"/>
    </row>
    <row r="238" spans="1:31">
      <c r="A238" s="390"/>
      <c r="B238" s="390"/>
      <c r="C238" s="390"/>
      <c r="D238" s="390"/>
      <c r="E238" s="390"/>
      <c r="F238" s="390"/>
      <c r="G238" s="390"/>
      <c r="H238" s="390"/>
      <c r="I238" s="390"/>
      <c r="J238" s="390"/>
      <c r="K238" s="509"/>
      <c r="L238" s="508"/>
      <c r="M238" s="508"/>
      <c r="N238" s="508"/>
      <c r="O238" s="508"/>
      <c r="P238" s="508"/>
      <c r="Q238" s="508"/>
      <c r="R238" s="508"/>
      <c r="S238" s="508"/>
      <c r="T238" s="508"/>
      <c r="U238" s="509"/>
      <c r="V238" s="509"/>
      <c r="W238" s="509"/>
      <c r="X238" s="509"/>
      <c r="Y238" s="509"/>
      <c r="Z238" s="290"/>
      <c r="AA238" s="290"/>
      <c r="AB238" s="290"/>
      <c r="AC238" s="290"/>
      <c r="AD238" s="290"/>
      <c r="AE238" s="290"/>
    </row>
    <row r="239" spans="1:31">
      <c r="A239" s="390"/>
      <c r="B239" s="390"/>
      <c r="C239" s="390"/>
      <c r="D239" s="390"/>
      <c r="E239" s="390"/>
      <c r="F239" s="390"/>
      <c r="G239" s="390"/>
      <c r="H239" s="390"/>
      <c r="I239" s="390"/>
      <c r="J239" s="390"/>
      <c r="K239" s="509"/>
      <c r="L239" s="508"/>
      <c r="M239" s="508"/>
      <c r="N239" s="508"/>
      <c r="O239" s="508"/>
      <c r="P239" s="508"/>
      <c r="Q239" s="508"/>
      <c r="R239" s="508"/>
      <c r="S239" s="508"/>
      <c r="T239" s="508"/>
      <c r="U239" s="509"/>
      <c r="V239" s="509"/>
      <c r="W239" s="509"/>
      <c r="X239" s="509"/>
      <c r="Y239" s="509"/>
      <c r="AE239" s="290"/>
    </row>
    <row r="240" spans="1:31">
      <c r="K240" s="290"/>
    </row>
  </sheetData>
  <sheetProtection selectLockedCells="1"/>
  <mergeCells count="4190">
    <mergeCell ref="XDY105:XEB105"/>
    <mergeCell ref="XEC105:XEF105"/>
    <mergeCell ref="XEG105:XEJ105"/>
    <mergeCell ref="XEK105:XEN105"/>
    <mergeCell ref="XEO105:XER105"/>
    <mergeCell ref="XES105:XEV105"/>
    <mergeCell ref="XEW105:XEZ105"/>
    <mergeCell ref="XFA105:XFD105"/>
    <mergeCell ref="XCO105:XCR105"/>
    <mergeCell ref="XCS105:XCV105"/>
    <mergeCell ref="XCW105:XCZ105"/>
    <mergeCell ref="XDA105:XDD105"/>
    <mergeCell ref="XDE105:XDH105"/>
    <mergeCell ref="XDI105:XDL105"/>
    <mergeCell ref="XDM105:XDP105"/>
    <mergeCell ref="XDQ105:XDT105"/>
    <mergeCell ref="XDU105:XDX105"/>
    <mergeCell ref="XCC105:XCF105"/>
    <mergeCell ref="XCG105:XCJ105"/>
    <mergeCell ref="XCK105:XCN105"/>
    <mergeCell ref="WZU105:WZX105"/>
    <mergeCell ref="WZY105:XAB105"/>
    <mergeCell ref="XAC105:XAF105"/>
    <mergeCell ref="XAG105:XAJ105"/>
    <mergeCell ref="XAK105:XAN105"/>
    <mergeCell ref="XAO105:XAR105"/>
    <mergeCell ref="XAS105:XAV105"/>
    <mergeCell ref="XAW105:XAZ105"/>
    <mergeCell ref="XBA105:XBD105"/>
    <mergeCell ref="WYK105:WYN105"/>
    <mergeCell ref="WYO105:WYR105"/>
    <mergeCell ref="WYS105:WYV105"/>
    <mergeCell ref="WYW105:WYZ105"/>
    <mergeCell ref="WZA105:WZD105"/>
    <mergeCell ref="WZE105:WZH105"/>
    <mergeCell ref="WZI105:WZL105"/>
    <mergeCell ref="WZM105:WZP105"/>
    <mergeCell ref="WZQ105:WZT105"/>
    <mergeCell ref="XBE105:XBH105"/>
    <mergeCell ref="XBI105:XBL105"/>
    <mergeCell ref="XBM105:XBP105"/>
    <mergeCell ref="XBQ105:XBT105"/>
    <mergeCell ref="XBU105:XBX105"/>
    <mergeCell ref="XBY105:XCB105"/>
    <mergeCell ref="WXA105:WXD105"/>
    <mergeCell ref="WXE105:WXH105"/>
    <mergeCell ref="WXI105:WXL105"/>
    <mergeCell ref="WXM105:WXP105"/>
    <mergeCell ref="WXQ105:WXT105"/>
    <mergeCell ref="WXU105:WXX105"/>
    <mergeCell ref="WXY105:WYB105"/>
    <mergeCell ref="WYC105:WYF105"/>
    <mergeCell ref="WYG105:WYJ105"/>
    <mergeCell ref="WVQ105:WVT105"/>
    <mergeCell ref="WVU105:WVX105"/>
    <mergeCell ref="WVY105:WWB105"/>
    <mergeCell ref="WWC105:WWF105"/>
    <mergeCell ref="WWG105:WWJ105"/>
    <mergeCell ref="WWK105:WWN105"/>
    <mergeCell ref="WWO105:WWR105"/>
    <mergeCell ref="WWS105:WWV105"/>
    <mergeCell ref="WWW105:WWZ105"/>
    <mergeCell ref="WUG105:WUJ105"/>
    <mergeCell ref="WUK105:WUN105"/>
    <mergeCell ref="WUO105:WUR105"/>
    <mergeCell ref="WUS105:WUV105"/>
    <mergeCell ref="WUW105:WUZ105"/>
    <mergeCell ref="WVA105:WVD105"/>
    <mergeCell ref="WVE105:WVH105"/>
    <mergeCell ref="WVI105:WVL105"/>
    <mergeCell ref="WVM105:WVP105"/>
    <mergeCell ref="WSW105:WSZ105"/>
    <mergeCell ref="WTA105:WTD105"/>
    <mergeCell ref="WTE105:WTH105"/>
    <mergeCell ref="WTI105:WTL105"/>
    <mergeCell ref="WTM105:WTP105"/>
    <mergeCell ref="WTQ105:WTT105"/>
    <mergeCell ref="WTU105:WTX105"/>
    <mergeCell ref="WTY105:WUB105"/>
    <mergeCell ref="WUC105:WUF105"/>
    <mergeCell ref="WRM105:WRP105"/>
    <mergeCell ref="WRQ105:WRT105"/>
    <mergeCell ref="WRU105:WRX105"/>
    <mergeCell ref="WRY105:WSB105"/>
    <mergeCell ref="WSC105:WSF105"/>
    <mergeCell ref="WSG105:WSJ105"/>
    <mergeCell ref="WSK105:WSN105"/>
    <mergeCell ref="WSO105:WSR105"/>
    <mergeCell ref="WSS105:WSV105"/>
    <mergeCell ref="WQC105:WQF105"/>
    <mergeCell ref="WQG105:WQJ105"/>
    <mergeCell ref="WQK105:WQN105"/>
    <mergeCell ref="WQO105:WQR105"/>
    <mergeCell ref="WQS105:WQV105"/>
    <mergeCell ref="WQW105:WQZ105"/>
    <mergeCell ref="WRA105:WRD105"/>
    <mergeCell ref="WRE105:WRH105"/>
    <mergeCell ref="WRI105:WRL105"/>
    <mergeCell ref="WOS105:WOV105"/>
    <mergeCell ref="WOW105:WOZ105"/>
    <mergeCell ref="WPA105:WPD105"/>
    <mergeCell ref="WPE105:WPH105"/>
    <mergeCell ref="WPI105:WPL105"/>
    <mergeCell ref="WPM105:WPP105"/>
    <mergeCell ref="WPQ105:WPT105"/>
    <mergeCell ref="WPU105:WPX105"/>
    <mergeCell ref="WPY105:WQB105"/>
    <mergeCell ref="WNI105:WNL105"/>
    <mergeCell ref="WNM105:WNP105"/>
    <mergeCell ref="WNQ105:WNT105"/>
    <mergeCell ref="WNU105:WNX105"/>
    <mergeCell ref="WNY105:WOB105"/>
    <mergeCell ref="WOC105:WOF105"/>
    <mergeCell ref="WOG105:WOJ105"/>
    <mergeCell ref="WOK105:WON105"/>
    <mergeCell ref="WOO105:WOR105"/>
    <mergeCell ref="WLY105:WMB105"/>
    <mergeCell ref="WMC105:WMF105"/>
    <mergeCell ref="WMG105:WMJ105"/>
    <mergeCell ref="WMK105:WMN105"/>
    <mergeCell ref="WMO105:WMR105"/>
    <mergeCell ref="WMS105:WMV105"/>
    <mergeCell ref="WMW105:WMZ105"/>
    <mergeCell ref="WNA105:WND105"/>
    <mergeCell ref="WNE105:WNH105"/>
    <mergeCell ref="WKO105:WKR105"/>
    <mergeCell ref="WKS105:WKV105"/>
    <mergeCell ref="WKW105:WKZ105"/>
    <mergeCell ref="WLA105:WLD105"/>
    <mergeCell ref="WLE105:WLH105"/>
    <mergeCell ref="WLI105:WLL105"/>
    <mergeCell ref="WLM105:WLP105"/>
    <mergeCell ref="WLQ105:WLT105"/>
    <mergeCell ref="WLU105:WLX105"/>
    <mergeCell ref="WJE105:WJH105"/>
    <mergeCell ref="WJI105:WJL105"/>
    <mergeCell ref="WJM105:WJP105"/>
    <mergeCell ref="WJQ105:WJT105"/>
    <mergeCell ref="WJU105:WJX105"/>
    <mergeCell ref="WJY105:WKB105"/>
    <mergeCell ref="WKC105:WKF105"/>
    <mergeCell ref="WKG105:WKJ105"/>
    <mergeCell ref="WKK105:WKN105"/>
    <mergeCell ref="WHU105:WHX105"/>
    <mergeCell ref="WHY105:WIB105"/>
    <mergeCell ref="WIC105:WIF105"/>
    <mergeCell ref="WIG105:WIJ105"/>
    <mergeCell ref="WIK105:WIN105"/>
    <mergeCell ref="WIO105:WIR105"/>
    <mergeCell ref="WIS105:WIV105"/>
    <mergeCell ref="WIW105:WIZ105"/>
    <mergeCell ref="WJA105:WJD105"/>
    <mergeCell ref="WGK105:WGN105"/>
    <mergeCell ref="WGO105:WGR105"/>
    <mergeCell ref="WGS105:WGV105"/>
    <mergeCell ref="WGW105:WGZ105"/>
    <mergeCell ref="WHA105:WHD105"/>
    <mergeCell ref="WHE105:WHH105"/>
    <mergeCell ref="WHI105:WHL105"/>
    <mergeCell ref="WHM105:WHP105"/>
    <mergeCell ref="WHQ105:WHT105"/>
    <mergeCell ref="WFA105:WFD105"/>
    <mergeCell ref="WFE105:WFH105"/>
    <mergeCell ref="WFI105:WFL105"/>
    <mergeCell ref="WFM105:WFP105"/>
    <mergeCell ref="WFQ105:WFT105"/>
    <mergeCell ref="WFU105:WFX105"/>
    <mergeCell ref="WFY105:WGB105"/>
    <mergeCell ref="WGC105:WGF105"/>
    <mergeCell ref="WGG105:WGJ105"/>
    <mergeCell ref="WDQ105:WDT105"/>
    <mergeCell ref="WDU105:WDX105"/>
    <mergeCell ref="WDY105:WEB105"/>
    <mergeCell ref="WEC105:WEF105"/>
    <mergeCell ref="WEG105:WEJ105"/>
    <mergeCell ref="WEK105:WEN105"/>
    <mergeCell ref="WEO105:WER105"/>
    <mergeCell ref="WES105:WEV105"/>
    <mergeCell ref="WEW105:WEZ105"/>
    <mergeCell ref="WCG105:WCJ105"/>
    <mergeCell ref="WCK105:WCN105"/>
    <mergeCell ref="WCO105:WCR105"/>
    <mergeCell ref="WCS105:WCV105"/>
    <mergeCell ref="WCW105:WCZ105"/>
    <mergeCell ref="WDA105:WDD105"/>
    <mergeCell ref="WDE105:WDH105"/>
    <mergeCell ref="WDI105:WDL105"/>
    <mergeCell ref="WDM105:WDP105"/>
    <mergeCell ref="WAW105:WAZ105"/>
    <mergeCell ref="WBA105:WBD105"/>
    <mergeCell ref="WBE105:WBH105"/>
    <mergeCell ref="WBI105:WBL105"/>
    <mergeCell ref="WBM105:WBP105"/>
    <mergeCell ref="WBQ105:WBT105"/>
    <mergeCell ref="WBU105:WBX105"/>
    <mergeCell ref="WBY105:WCB105"/>
    <mergeCell ref="WCC105:WCF105"/>
    <mergeCell ref="VZM105:VZP105"/>
    <mergeCell ref="VZQ105:VZT105"/>
    <mergeCell ref="VZU105:VZX105"/>
    <mergeCell ref="VZY105:WAB105"/>
    <mergeCell ref="WAC105:WAF105"/>
    <mergeCell ref="WAG105:WAJ105"/>
    <mergeCell ref="WAK105:WAN105"/>
    <mergeCell ref="WAO105:WAR105"/>
    <mergeCell ref="WAS105:WAV105"/>
    <mergeCell ref="VYC105:VYF105"/>
    <mergeCell ref="VYG105:VYJ105"/>
    <mergeCell ref="VYK105:VYN105"/>
    <mergeCell ref="VYO105:VYR105"/>
    <mergeCell ref="VYS105:VYV105"/>
    <mergeCell ref="VYW105:VYZ105"/>
    <mergeCell ref="VZA105:VZD105"/>
    <mergeCell ref="VZE105:VZH105"/>
    <mergeCell ref="VZI105:VZL105"/>
    <mergeCell ref="VWS105:VWV105"/>
    <mergeCell ref="VWW105:VWZ105"/>
    <mergeCell ref="VXA105:VXD105"/>
    <mergeCell ref="VXE105:VXH105"/>
    <mergeCell ref="VXI105:VXL105"/>
    <mergeCell ref="VXM105:VXP105"/>
    <mergeCell ref="VXQ105:VXT105"/>
    <mergeCell ref="VXU105:VXX105"/>
    <mergeCell ref="VXY105:VYB105"/>
    <mergeCell ref="VVI105:VVL105"/>
    <mergeCell ref="VVM105:VVP105"/>
    <mergeCell ref="VVQ105:VVT105"/>
    <mergeCell ref="VVU105:VVX105"/>
    <mergeCell ref="VVY105:VWB105"/>
    <mergeCell ref="VWC105:VWF105"/>
    <mergeCell ref="VWG105:VWJ105"/>
    <mergeCell ref="VWK105:VWN105"/>
    <mergeCell ref="VWO105:VWR105"/>
    <mergeCell ref="VTY105:VUB105"/>
    <mergeCell ref="VUC105:VUF105"/>
    <mergeCell ref="VUG105:VUJ105"/>
    <mergeCell ref="VUK105:VUN105"/>
    <mergeCell ref="VUO105:VUR105"/>
    <mergeCell ref="VUS105:VUV105"/>
    <mergeCell ref="VUW105:VUZ105"/>
    <mergeCell ref="VVA105:VVD105"/>
    <mergeCell ref="VVE105:VVH105"/>
    <mergeCell ref="VSO105:VSR105"/>
    <mergeCell ref="VSS105:VSV105"/>
    <mergeCell ref="VSW105:VSZ105"/>
    <mergeCell ref="VTA105:VTD105"/>
    <mergeCell ref="VTE105:VTH105"/>
    <mergeCell ref="VTI105:VTL105"/>
    <mergeCell ref="VTM105:VTP105"/>
    <mergeCell ref="VTQ105:VTT105"/>
    <mergeCell ref="VTU105:VTX105"/>
    <mergeCell ref="VRE105:VRH105"/>
    <mergeCell ref="VRI105:VRL105"/>
    <mergeCell ref="VRM105:VRP105"/>
    <mergeCell ref="VRQ105:VRT105"/>
    <mergeCell ref="VRU105:VRX105"/>
    <mergeCell ref="VRY105:VSB105"/>
    <mergeCell ref="VSC105:VSF105"/>
    <mergeCell ref="VSG105:VSJ105"/>
    <mergeCell ref="VSK105:VSN105"/>
    <mergeCell ref="VPU105:VPX105"/>
    <mergeCell ref="VPY105:VQB105"/>
    <mergeCell ref="VQC105:VQF105"/>
    <mergeCell ref="VQG105:VQJ105"/>
    <mergeCell ref="VQK105:VQN105"/>
    <mergeCell ref="VQO105:VQR105"/>
    <mergeCell ref="VQS105:VQV105"/>
    <mergeCell ref="VQW105:VQZ105"/>
    <mergeCell ref="VRA105:VRD105"/>
    <mergeCell ref="VOK105:VON105"/>
    <mergeCell ref="VOO105:VOR105"/>
    <mergeCell ref="VOS105:VOV105"/>
    <mergeCell ref="VOW105:VOZ105"/>
    <mergeCell ref="VPA105:VPD105"/>
    <mergeCell ref="VPE105:VPH105"/>
    <mergeCell ref="VPI105:VPL105"/>
    <mergeCell ref="VPM105:VPP105"/>
    <mergeCell ref="VPQ105:VPT105"/>
    <mergeCell ref="VNA105:VND105"/>
    <mergeCell ref="VNE105:VNH105"/>
    <mergeCell ref="VNI105:VNL105"/>
    <mergeCell ref="VNM105:VNP105"/>
    <mergeCell ref="VNQ105:VNT105"/>
    <mergeCell ref="VNU105:VNX105"/>
    <mergeCell ref="VNY105:VOB105"/>
    <mergeCell ref="VOC105:VOF105"/>
    <mergeCell ref="VOG105:VOJ105"/>
    <mergeCell ref="VLQ105:VLT105"/>
    <mergeCell ref="VLU105:VLX105"/>
    <mergeCell ref="VLY105:VMB105"/>
    <mergeCell ref="VMC105:VMF105"/>
    <mergeCell ref="VMG105:VMJ105"/>
    <mergeCell ref="VMK105:VMN105"/>
    <mergeCell ref="VMO105:VMR105"/>
    <mergeCell ref="VMS105:VMV105"/>
    <mergeCell ref="VMW105:VMZ105"/>
    <mergeCell ref="VKG105:VKJ105"/>
    <mergeCell ref="VKK105:VKN105"/>
    <mergeCell ref="VKO105:VKR105"/>
    <mergeCell ref="VKS105:VKV105"/>
    <mergeCell ref="VKW105:VKZ105"/>
    <mergeCell ref="VLA105:VLD105"/>
    <mergeCell ref="VLE105:VLH105"/>
    <mergeCell ref="VLI105:VLL105"/>
    <mergeCell ref="VLM105:VLP105"/>
    <mergeCell ref="VIW105:VIZ105"/>
    <mergeCell ref="VJA105:VJD105"/>
    <mergeCell ref="VJE105:VJH105"/>
    <mergeCell ref="VJI105:VJL105"/>
    <mergeCell ref="VJM105:VJP105"/>
    <mergeCell ref="VJQ105:VJT105"/>
    <mergeCell ref="VJU105:VJX105"/>
    <mergeCell ref="VJY105:VKB105"/>
    <mergeCell ref="VKC105:VKF105"/>
    <mergeCell ref="VHM105:VHP105"/>
    <mergeCell ref="VHQ105:VHT105"/>
    <mergeCell ref="VHU105:VHX105"/>
    <mergeCell ref="VHY105:VIB105"/>
    <mergeCell ref="VIC105:VIF105"/>
    <mergeCell ref="VIG105:VIJ105"/>
    <mergeCell ref="VIK105:VIN105"/>
    <mergeCell ref="VIO105:VIR105"/>
    <mergeCell ref="VIS105:VIV105"/>
    <mergeCell ref="VGC105:VGF105"/>
    <mergeCell ref="VGG105:VGJ105"/>
    <mergeCell ref="VGK105:VGN105"/>
    <mergeCell ref="VGO105:VGR105"/>
    <mergeCell ref="VGS105:VGV105"/>
    <mergeCell ref="VGW105:VGZ105"/>
    <mergeCell ref="VHA105:VHD105"/>
    <mergeCell ref="VHE105:VHH105"/>
    <mergeCell ref="VHI105:VHL105"/>
    <mergeCell ref="VES105:VEV105"/>
    <mergeCell ref="VEW105:VEZ105"/>
    <mergeCell ref="VFA105:VFD105"/>
    <mergeCell ref="VFE105:VFH105"/>
    <mergeCell ref="VFI105:VFL105"/>
    <mergeCell ref="VFM105:VFP105"/>
    <mergeCell ref="VFQ105:VFT105"/>
    <mergeCell ref="VFU105:VFX105"/>
    <mergeCell ref="VFY105:VGB105"/>
    <mergeCell ref="VDI105:VDL105"/>
    <mergeCell ref="VDM105:VDP105"/>
    <mergeCell ref="VDQ105:VDT105"/>
    <mergeCell ref="VDU105:VDX105"/>
    <mergeCell ref="VDY105:VEB105"/>
    <mergeCell ref="VEC105:VEF105"/>
    <mergeCell ref="VEG105:VEJ105"/>
    <mergeCell ref="VEK105:VEN105"/>
    <mergeCell ref="VEO105:VER105"/>
    <mergeCell ref="VBY105:VCB105"/>
    <mergeCell ref="VCC105:VCF105"/>
    <mergeCell ref="VCG105:VCJ105"/>
    <mergeCell ref="VCK105:VCN105"/>
    <mergeCell ref="VCO105:VCR105"/>
    <mergeCell ref="VCS105:VCV105"/>
    <mergeCell ref="VCW105:VCZ105"/>
    <mergeCell ref="VDA105:VDD105"/>
    <mergeCell ref="VDE105:VDH105"/>
    <mergeCell ref="VAO105:VAR105"/>
    <mergeCell ref="VAS105:VAV105"/>
    <mergeCell ref="VAW105:VAZ105"/>
    <mergeCell ref="VBA105:VBD105"/>
    <mergeCell ref="VBE105:VBH105"/>
    <mergeCell ref="VBI105:VBL105"/>
    <mergeCell ref="VBM105:VBP105"/>
    <mergeCell ref="VBQ105:VBT105"/>
    <mergeCell ref="VBU105:VBX105"/>
    <mergeCell ref="UZE105:UZH105"/>
    <mergeCell ref="UZI105:UZL105"/>
    <mergeCell ref="UZM105:UZP105"/>
    <mergeCell ref="UZQ105:UZT105"/>
    <mergeCell ref="UZU105:UZX105"/>
    <mergeCell ref="UZY105:VAB105"/>
    <mergeCell ref="VAC105:VAF105"/>
    <mergeCell ref="VAG105:VAJ105"/>
    <mergeCell ref="VAK105:VAN105"/>
    <mergeCell ref="UXU105:UXX105"/>
    <mergeCell ref="UXY105:UYB105"/>
    <mergeCell ref="UYC105:UYF105"/>
    <mergeCell ref="UYG105:UYJ105"/>
    <mergeCell ref="UYK105:UYN105"/>
    <mergeCell ref="UYO105:UYR105"/>
    <mergeCell ref="UYS105:UYV105"/>
    <mergeCell ref="UYW105:UYZ105"/>
    <mergeCell ref="UZA105:UZD105"/>
    <mergeCell ref="UWK105:UWN105"/>
    <mergeCell ref="UWO105:UWR105"/>
    <mergeCell ref="UWS105:UWV105"/>
    <mergeCell ref="UWW105:UWZ105"/>
    <mergeCell ref="UXA105:UXD105"/>
    <mergeCell ref="UXE105:UXH105"/>
    <mergeCell ref="UXI105:UXL105"/>
    <mergeCell ref="UXM105:UXP105"/>
    <mergeCell ref="UXQ105:UXT105"/>
    <mergeCell ref="UVA105:UVD105"/>
    <mergeCell ref="UVE105:UVH105"/>
    <mergeCell ref="UVI105:UVL105"/>
    <mergeCell ref="UVM105:UVP105"/>
    <mergeCell ref="UVQ105:UVT105"/>
    <mergeCell ref="UVU105:UVX105"/>
    <mergeCell ref="UVY105:UWB105"/>
    <mergeCell ref="UWC105:UWF105"/>
    <mergeCell ref="UWG105:UWJ105"/>
    <mergeCell ref="UTQ105:UTT105"/>
    <mergeCell ref="UTU105:UTX105"/>
    <mergeCell ref="UTY105:UUB105"/>
    <mergeCell ref="UUC105:UUF105"/>
    <mergeCell ref="UUG105:UUJ105"/>
    <mergeCell ref="UUK105:UUN105"/>
    <mergeCell ref="UUO105:UUR105"/>
    <mergeCell ref="UUS105:UUV105"/>
    <mergeCell ref="UUW105:UUZ105"/>
    <mergeCell ref="USG105:USJ105"/>
    <mergeCell ref="USK105:USN105"/>
    <mergeCell ref="USO105:USR105"/>
    <mergeCell ref="USS105:USV105"/>
    <mergeCell ref="USW105:USZ105"/>
    <mergeCell ref="UTA105:UTD105"/>
    <mergeCell ref="UTE105:UTH105"/>
    <mergeCell ref="UTI105:UTL105"/>
    <mergeCell ref="UTM105:UTP105"/>
    <mergeCell ref="UQW105:UQZ105"/>
    <mergeCell ref="URA105:URD105"/>
    <mergeCell ref="URE105:URH105"/>
    <mergeCell ref="URI105:URL105"/>
    <mergeCell ref="URM105:URP105"/>
    <mergeCell ref="URQ105:URT105"/>
    <mergeCell ref="URU105:URX105"/>
    <mergeCell ref="URY105:USB105"/>
    <mergeCell ref="USC105:USF105"/>
    <mergeCell ref="UPM105:UPP105"/>
    <mergeCell ref="UPQ105:UPT105"/>
    <mergeCell ref="UPU105:UPX105"/>
    <mergeCell ref="UPY105:UQB105"/>
    <mergeCell ref="UQC105:UQF105"/>
    <mergeCell ref="UQG105:UQJ105"/>
    <mergeCell ref="UQK105:UQN105"/>
    <mergeCell ref="UQO105:UQR105"/>
    <mergeCell ref="UQS105:UQV105"/>
    <mergeCell ref="UOC105:UOF105"/>
    <mergeCell ref="UOG105:UOJ105"/>
    <mergeCell ref="UOK105:UON105"/>
    <mergeCell ref="UOO105:UOR105"/>
    <mergeCell ref="UOS105:UOV105"/>
    <mergeCell ref="UOW105:UOZ105"/>
    <mergeCell ref="UPA105:UPD105"/>
    <mergeCell ref="UPE105:UPH105"/>
    <mergeCell ref="UPI105:UPL105"/>
    <mergeCell ref="UMS105:UMV105"/>
    <mergeCell ref="UMW105:UMZ105"/>
    <mergeCell ref="UNA105:UND105"/>
    <mergeCell ref="UNE105:UNH105"/>
    <mergeCell ref="UNI105:UNL105"/>
    <mergeCell ref="UNM105:UNP105"/>
    <mergeCell ref="UNQ105:UNT105"/>
    <mergeCell ref="UNU105:UNX105"/>
    <mergeCell ref="UNY105:UOB105"/>
    <mergeCell ref="ULI105:ULL105"/>
    <mergeCell ref="ULM105:ULP105"/>
    <mergeCell ref="ULQ105:ULT105"/>
    <mergeCell ref="ULU105:ULX105"/>
    <mergeCell ref="ULY105:UMB105"/>
    <mergeCell ref="UMC105:UMF105"/>
    <mergeCell ref="UMG105:UMJ105"/>
    <mergeCell ref="UMK105:UMN105"/>
    <mergeCell ref="UMO105:UMR105"/>
    <mergeCell ref="UJY105:UKB105"/>
    <mergeCell ref="UKC105:UKF105"/>
    <mergeCell ref="UKG105:UKJ105"/>
    <mergeCell ref="UKK105:UKN105"/>
    <mergeCell ref="UKO105:UKR105"/>
    <mergeCell ref="UKS105:UKV105"/>
    <mergeCell ref="UKW105:UKZ105"/>
    <mergeCell ref="ULA105:ULD105"/>
    <mergeCell ref="ULE105:ULH105"/>
    <mergeCell ref="UIO105:UIR105"/>
    <mergeCell ref="UIS105:UIV105"/>
    <mergeCell ref="UIW105:UIZ105"/>
    <mergeCell ref="UJA105:UJD105"/>
    <mergeCell ref="UJE105:UJH105"/>
    <mergeCell ref="UJI105:UJL105"/>
    <mergeCell ref="UJM105:UJP105"/>
    <mergeCell ref="UJQ105:UJT105"/>
    <mergeCell ref="UJU105:UJX105"/>
    <mergeCell ref="UHE105:UHH105"/>
    <mergeCell ref="UHI105:UHL105"/>
    <mergeCell ref="UHM105:UHP105"/>
    <mergeCell ref="UHQ105:UHT105"/>
    <mergeCell ref="UHU105:UHX105"/>
    <mergeCell ref="UHY105:UIB105"/>
    <mergeCell ref="UIC105:UIF105"/>
    <mergeCell ref="UIG105:UIJ105"/>
    <mergeCell ref="UIK105:UIN105"/>
    <mergeCell ref="UFU105:UFX105"/>
    <mergeCell ref="UFY105:UGB105"/>
    <mergeCell ref="UGC105:UGF105"/>
    <mergeCell ref="UGG105:UGJ105"/>
    <mergeCell ref="UGK105:UGN105"/>
    <mergeCell ref="UGO105:UGR105"/>
    <mergeCell ref="UGS105:UGV105"/>
    <mergeCell ref="UGW105:UGZ105"/>
    <mergeCell ref="UHA105:UHD105"/>
    <mergeCell ref="UEK105:UEN105"/>
    <mergeCell ref="UEO105:UER105"/>
    <mergeCell ref="UES105:UEV105"/>
    <mergeCell ref="UEW105:UEZ105"/>
    <mergeCell ref="UFA105:UFD105"/>
    <mergeCell ref="UFE105:UFH105"/>
    <mergeCell ref="UFI105:UFL105"/>
    <mergeCell ref="UFM105:UFP105"/>
    <mergeCell ref="UFQ105:UFT105"/>
    <mergeCell ref="UDA105:UDD105"/>
    <mergeCell ref="UDE105:UDH105"/>
    <mergeCell ref="UDI105:UDL105"/>
    <mergeCell ref="UDM105:UDP105"/>
    <mergeCell ref="UDQ105:UDT105"/>
    <mergeCell ref="UDU105:UDX105"/>
    <mergeCell ref="UDY105:UEB105"/>
    <mergeCell ref="UEC105:UEF105"/>
    <mergeCell ref="UEG105:UEJ105"/>
    <mergeCell ref="UBQ105:UBT105"/>
    <mergeCell ref="UBU105:UBX105"/>
    <mergeCell ref="UBY105:UCB105"/>
    <mergeCell ref="UCC105:UCF105"/>
    <mergeCell ref="UCG105:UCJ105"/>
    <mergeCell ref="UCK105:UCN105"/>
    <mergeCell ref="UCO105:UCR105"/>
    <mergeCell ref="UCS105:UCV105"/>
    <mergeCell ref="UCW105:UCZ105"/>
    <mergeCell ref="UAG105:UAJ105"/>
    <mergeCell ref="UAK105:UAN105"/>
    <mergeCell ref="UAO105:UAR105"/>
    <mergeCell ref="UAS105:UAV105"/>
    <mergeCell ref="UAW105:UAZ105"/>
    <mergeCell ref="UBA105:UBD105"/>
    <mergeCell ref="UBE105:UBH105"/>
    <mergeCell ref="UBI105:UBL105"/>
    <mergeCell ref="UBM105:UBP105"/>
    <mergeCell ref="TYW105:TYZ105"/>
    <mergeCell ref="TZA105:TZD105"/>
    <mergeCell ref="TZE105:TZH105"/>
    <mergeCell ref="TZI105:TZL105"/>
    <mergeCell ref="TZM105:TZP105"/>
    <mergeCell ref="TZQ105:TZT105"/>
    <mergeCell ref="TZU105:TZX105"/>
    <mergeCell ref="TZY105:UAB105"/>
    <mergeCell ref="UAC105:UAF105"/>
    <mergeCell ref="TXM105:TXP105"/>
    <mergeCell ref="TXQ105:TXT105"/>
    <mergeCell ref="TXU105:TXX105"/>
    <mergeCell ref="TXY105:TYB105"/>
    <mergeCell ref="TYC105:TYF105"/>
    <mergeCell ref="TYG105:TYJ105"/>
    <mergeCell ref="TYK105:TYN105"/>
    <mergeCell ref="TYO105:TYR105"/>
    <mergeCell ref="TYS105:TYV105"/>
    <mergeCell ref="TWC105:TWF105"/>
    <mergeCell ref="TWG105:TWJ105"/>
    <mergeCell ref="TWK105:TWN105"/>
    <mergeCell ref="TWO105:TWR105"/>
    <mergeCell ref="TWS105:TWV105"/>
    <mergeCell ref="TWW105:TWZ105"/>
    <mergeCell ref="TXA105:TXD105"/>
    <mergeCell ref="TXE105:TXH105"/>
    <mergeCell ref="TXI105:TXL105"/>
    <mergeCell ref="TUS105:TUV105"/>
    <mergeCell ref="TUW105:TUZ105"/>
    <mergeCell ref="TVA105:TVD105"/>
    <mergeCell ref="TVE105:TVH105"/>
    <mergeCell ref="TVI105:TVL105"/>
    <mergeCell ref="TVM105:TVP105"/>
    <mergeCell ref="TVQ105:TVT105"/>
    <mergeCell ref="TVU105:TVX105"/>
    <mergeCell ref="TVY105:TWB105"/>
    <mergeCell ref="TTI105:TTL105"/>
    <mergeCell ref="TTM105:TTP105"/>
    <mergeCell ref="TTQ105:TTT105"/>
    <mergeCell ref="TTU105:TTX105"/>
    <mergeCell ref="TTY105:TUB105"/>
    <mergeCell ref="TUC105:TUF105"/>
    <mergeCell ref="TUG105:TUJ105"/>
    <mergeCell ref="TUK105:TUN105"/>
    <mergeCell ref="TUO105:TUR105"/>
    <mergeCell ref="TRY105:TSB105"/>
    <mergeCell ref="TSC105:TSF105"/>
    <mergeCell ref="TSG105:TSJ105"/>
    <mergeCell ref="TSK105:TSN105"/>
    <mergeCell ref="TSO105:TSR105"/>
    <mergeCell ref="TSS105:TSV105"/>
    <mergeCell ref="TSW105:TSZ105"/>
    <mergeCell ref="TTA105:TTD105"/>
    <mergeCell ref="TTE105:TTH105"/>
    <mergeCell ref="TQO105:TQR105"/>
    <mergeCell ref="TQS105:TQV105"/>
    <mergeCell ref="TQW105:TQZ105"/>
    <mergeCell ref="TRA105:TRD105"/>
    <mergeCell ref="TRE105:TRH105"/>
    <mergeCell ref="TRI105:TRL105"/>
    <mergeCell ref="TRM105:TRP105"/>
    <mergeCell ref="TRQ105:TRT105"/>
    <mergeCell ref="TRU105:TRX105"/>
    <mergeCell ref="TPE105:TPH105"/>
    <mergeCell ref="TPI105:TPL105"/>
    <mergeCell ref="TPM105:TPP105"/>
    <mergeCell ref="TPQ105:TPT105"/>
    <mergeCell ref="TPU105:TPX105"/>
    <mergeCell ref="TPY105:TQB105"/>
    <mergeCell ref="TQC105:TQF105"/>
    <mergeCell ref="TQG105:TQJ105"/>
    <mergeCell ref="TQK105:TQN105"/>
    <mergeCell ref="TNU105:TNX105"/>
    <mergeCell ref="TNY105:TOB105"/>
    <mergeCell ref="TOC105:TOF105"/>
    <mergeCell ref="TOG105:TOJ105"/>
    <mergeCell ref="TOK105:TON105"/>
    <mergeCell ref="TOO105:TOR105"/>
    <mergeCell ref="TOS105:TOV105"/>
    <mergeCell ref="TOW105:TOZ105"/>
    <mergeCell ref="TPA105:TPD105"/>
    <mergeCell ref="TMK105:TMN105"/>
    <mergeCell ref="TMO105:TMR105"/>
    <mergeCell ref="TMS105:TMV105"/>
    <mergeCell ref="TMW105:TMZ105"/>
    <mergeCell ref="TNA105:TND105"/>
    <mergeCell ref="TNE105:TNH105"/>
    <mergeCell ref="TNI105:TNL105"/>
    <mergeCell ref="TNM105:TNP105"/>
    <mergeCell ref="TNQ105:TNT105"/>
    <mergeCell ref="TLA105:TLD105"/>
    <mergeCell ref="TLE105:TLH105"/>
    <mergeCell ref="TLI105:TLL105"/>
    <mergeCell ref="TLM105:TLP105"/>
    <mergeCell ref="TLQ105:TLT105"/>
    <mergeCell ref="TLU105:TLX105"/>
    <mergeCell ref="TLY105:TMB105"/>
    <mergeCell ref="TMC105:TMF105"/>
    <mergeCell ref="TMG105:TMJ105"/>
    <mergeCell ref="TJQ105:TJT105"/>
    <mergeCell ref="TJU105:TJX105"/>
    <mergeCell ref="TJY105:TKB105"/>
    <mergeCell ref="TKC105:TKF105"/>
    <mergeCell ref="TKG105:TKJ105"/>
    <mergeCell ref="TKK105:TKN105"/>
    <mergeCell ref="TKO105:TKR105"/>
    <mergeCell ref="TKS105:TKV105"/>
    <mergeCell ref="TKW105:TKZ105"/>
    <mergeCell ref="TIG105:TIJ105"/>
    <mergeCell ref="TIK105:TIN105"/>
    <mergeCell ref="TIO105:TIR105"/>
    <mergeCell ref="TIS105:TIV105"/>
    <mergeCell ref="TIW105:TIZ105"/>
    <mergeCell ref="TJA105:TJD105"/>
    <mergeCell ref="TJE105:TJH105"/>
    <mergeCell ref="TJI105:TJL105"/>
    <mergeCell ref="TJM105:TJP105"/>
    <mergeCell ref="TGW105:TGZ105"/>
    <mergeCell ref="THA105:THD105"/>
    <mergeCell ref="THE105:THH105"/>
    <mergeCell ref="THI105:THL105"/>
    <mergeCell ref="THM105:THP105"/>
    <mergeCell ref="THQ105:THT105"/>
    <mergeCell ref="THU105:THX105"/>
    <mergeCell ref="THY105:TIB105"/>
    <mergeCell ref="TIC105:TIF105"/>
    <mergeCell ref="TFM105:TFP105"/>
    <mergeCell ref="TFQ105:TFT105"/>
    <mergeCell ref="TFU105:TFX105"/>
    <mergeCell ref="TFY105:TGB105"/>
    <mergeCell ref="TGC105:TGF105"/>
    <mergeCell ref="TGG105:TGJ105"/>
    <mergeCell ref="TGK105:TGN105"/>
    <mergeCell ref="TGO105:TGR105"/>
    <mergeCell ref="TGS105:TGV105"/>
    <mergeCell ref="TEC105:TEF105"/>
    <mergeCell ref="TEG105:TEJ105"/>
    <mergeCell ref="TEK105:TEN105"/>
    <mergeCell ref="TEO105:TER105"/>
    <mergeCell ref="TES105:TEV105"/>
    <mergeCell ref="TEW105:TEZ105"/>
    <mergeCell ref="TFA105:TFD105"/>
    <mergeCell ref="TFE105:TFH105"/>
    <mergeCell ref="TFI105:TFL105"/>
    <mergeCell ref="TCS105:TCV105"/>
    <mergeCell ref="TCW105:TCZ105"/>
    <mergeCell ref="TDA105:TDD105"/>
    <mergeCell ref="TDE105:TDH105"/>
    <mergeCell ref="TDI105:TDL105"/>
    <mergeCell ref="TDM105:TDP105"/>
    <mergeCell ref="TDQ105:TDT105"/>
    <mergeCell ref="TDU105:TDX105"/>
    <mergeCell ref="TDY105:TEB105"/>
    <mergeCell ref="TBI105:TBL105"/>
    <mergeCell ref="TBM105:TBP105"/>
    <mergeCell ref="TBQ105:TBT105"/>
    <mergeCell ref="TBU105:TBX105"/>
    <mergeCell ref="TBY105:TCB105"/>
    <mergeCell ref="TCC105:TCF105"/>
    <mergeCell ref="TCG105:TCJ105"/>
    <mergeCell ref="TCK105:TCN105"/>
    <mergeCell ref="TCO105:TCR105"/>
    <mergeCell ref="SZY105:TAB105"/>
    <mergeCell ref="TAC105:TAF105"/>
    <mergeCell ref="TAG105:TAJ105"/>
    <mergeCell ref="TAK105:TAN105"/>
    <mergeCell ref="TAO105:TAR105"/>
    <mergeCell ref="TAS105:TAV105"/>
    <mergeCell ref="TAW105:TAZ105"/>
    <mergeCell ref="TBA105:TBD105"/>
    <mergeCell ref="TBE105:TBH105"/>
    <mergeCell ref="SYO105:SYR105"/>
    <mergeCell ref="SYS105:SYV105"/>
    <mergeCell ref="SYW105:SYZ105"/>
    <mergeCell ref="SZA105:SZD105"/>
    <mergeCell ref="SZE105:SZH105"/>
    <mergeCell ref="SZI105:SZL105"/>
    <mergeCell ref="SZM105:SZP105"/>
    <mergeCell ref="SZQ105:SZT105"/>
    <mergeCell ref="SZU105:SZX105"/>
    <mergeCell ref="SXE105:SXH105"/>
    <mergeCell ref="SXI105:SXL105"/>
    <mergeCell ref="SXM105:SXP105"/>
    <mergeCell ref="SXQ105:SXT105"/>
    <mergeCell ref="SXU105:SXX105"/>
    <mergeCell ref="SXY105:SYB105"/>
    <mergeCell ref="SYC105:SYF105"/>
    <mergeCell ref="SYG105:SYJ105"/>
    <mergeCell ref="SYK105:SYN105"/>
    <mergeCell ref="SVU105:SVX105"/>
    <mergeCell ref="SVY105:SWB105"/>
    <mergeCell ref="SWC105:SWF105"/>
    <mergeCell ref="SWG105:SWJ105"/>
    <mergeCell ref="SWK105:SWN105"/>
    <mergeCell ref="SWO105:SWR105"/>
    <mergeCell ref="SWS105:SWV105"/>
    <mergeCell ref="SWW105:SWZ105"/>
    <mergeCell ref="SXA105:SXD105"/>
    <mergeCell ref="SUK105:SUN105"/>
    <mergeCell ref="SUO105:SUR105"/>
    <mergeCell ref="SUS105:SUV105"/>
    <mergeCell ref="SUW105:SUZ105"/>
    <mergeCell ref="SVA105:SVD105"/>
    <mergeCell ref="SVE105:SVH105"/>
    <mergeCell ref="SVI105:SVL105"/>
    <mergeCell ref="SVM105:SVP105"/>
    <mergeCell ref="SVQ105:SVT105"/>
    <mergeCell ref="STA105:STD105"/>
    <mergeCell ref="STE105:STH105"/>
    <mergeCell ref="STI105:STL105"/>
    <mergeCell ref="STM105:STP105"/>
    <mergeCell ref="STQ105:STT105"/>
    <mergeCell ref="STU105:STX105"/>
    <mergeCell ref="STY105:SUB105"/>
    <mergeCell ref="SUC105:SUF105"/>
    <mergeCell ref="SUG105:SUJ105"/>
    <mergeCell ref="SRQ105:SRT105"/>
    <mergeCell ref="SRU105:SRX105"/>
    <mergeCell ref="SRY105:SSB105"/>
    <mergeCell ref="SSC105:SSF105"/>
    <mergeCell ref="SSG105:SSJ105"/>
    <mergeCell ref="SSK105:SSN105"/>
    <mergeCell ref="SSO105:SSR105"/>
    <mergeCell ref="SSS105:SSV105"/>
    <mergeCell ref="SSW105:SSZ105"/>
    <mergeCell ref="SQG105:SQJ105"/>
    <mergeCell ref="SQK105:SQN105"/>
    <mergeCell ref="SQO105:SQR105"/>
    <mergeCell ref="SQS105:SQV105"/>
    <mergeCell ref="SQW105:SQZ105"/>
    <mergeCell ref="SRA105:SRD105"/>
    <mergeCell ref="SRE105:SRH105"/>
    <mergeCell ref="SRI105:SRL105"/>
    <mergeCell ref="SRM105:SRP105"/>
    <mergeCell ref="SOW105:SOZ105"/>
    <mergeCell ref="SPA105:SPD105"/>
    <mergeCell ref="SPE105:SPH105"/>
    <mergeCell ref="SPI105:SPL105"/>
    <mergeCell ref="SPM105:SPP105"/>
    <mergeCell ref="SPQ105:SPT105"/>
    <mergeCell ref="SPU105:SPX105"/>
    <mergeCell ref="SPY105:SQB105"/>
    <mergeCell ref="SQC105:SQF105"/>
    <mergeCell ref="SNM105:SNP105"/>
    <mergeCell ref="SNQ105:SNT105"/>
    <mergeCell ref="SNU105:SNX105"/>
    <mergeCell ref="SNY105:SOB105"/>
    <mergeCell ref="SOC105:SOF105"/>
    <mergeCell ref="SOG105:SOJ105"/>
    <mergeCell ref="SOK105:SON105"/>
    <mergeCell ref="SOO105:SOR105"/>
    <mergeCell ref="SOS105:SOV105"/>
    <mergeCell ref="SMC105:SMF105"/>
    <mergeCell ref="SMG105:SMJ105"/>
    <mergeCell ref="SMK105:SMN105"/>
    <mergeCell ref="SMO105:SMR105"/>
    <mergeCell ref="SMS105:SMV105"/>
    <mergeCell ref="SMW105:SMZ105"/>
    <mergeCell ref="SNA105:SND105"/>
    <mergeCell ref="SNE105:SNH105"/>
    <mergeCell ref="SNI105:SNL105"/>
    <mergeCell ref="SKS105:SKV105"/>
    <mergeCell ref="SKW105:SKZ105"/>
    <mergeCell ref="SLA105:SLD105"/>
    <mergeCell ref="SLE105:SLH105"/>
    <mergeCell ref="SLI105:SLL105"/>
    <mergeCell ref="SLM105:SLP105"/>
    <mergeCell ref="SLQ105:SLT105"/>
    <mergeCell ref="SLU105:SLX105"/>
    <mergeCell ref="SLY105:SMB105"/>
    <mergeCell ref="SJI105:SJL105"/>
    <mergeCell ref="SJM105:SJP105"/>
    <mergeCell ref="SJQ105:SJT105"/>
    <mergeCell ref="SJU105:SJX105"/>
    <mergeCell ref="SJY105:SKB105"/>
    <mergeCell ref="SKC105:SKF105"/>
    <mergeCell ref="SKG105:SKJ105"/>
    <mergeCell ref="SKK105:SKN105"/>
    <mergeCell ref="SKO105:SKR105"/>
    <mergeCell ref="SHY105:SIB105"/>
    <mergeCell ref="SIC105:SIF105"/>
    <mergeCell ref="SIG105:SIJ105"/>
    <mergeCell ref="SIK105:SIN105"/>
    <mergeCell ref="SIO105:SIR105"/>
    <mergeCell ref="SIS105:SIV105"/>
    <mergeCell ref="SIW105:SIZ105"/>
    <mergeCell ref="SJA105:SJD105"/>
    <mergeCell ref="SJE105:SJH105"/>
    <mergeCell ref="SGO105:SGR105"/>
    <mergeCell ref="SGS105:SGV105"/>
    <mergeCell ref="SGW105:SGZ105"/>
    <mergeCell ref="SHA105:SHD105"/>
    <mergeCell ref="SHE105:SHH105"/>
    <mergeCell ref="SHI105:SHL105"/>
    <mergeCell ref="SHM105:SHP105"/>
    <mergeCell ref="SHQ105:SHT105"/>
    <mergeCell ref="SHU105:SHX105"/>
    <mergeCell ref="SFE105:SFH105"/>
    <mergeCell ref="SFI105:SFL105"/>
    <mergeCell ref="SFM105:SFP105"/>
    <mergeCell ref="SFQ105:SFT105"/>
    <mergeCell ref="SFU105:SFX105"/>
    <mergeCell ref="SFY105:SGB105"/>
    <mergeCell ref="SGC105:SGF105"/>
    <mergeCell ref="SGG105:SGJ105"/>
    <mergeCell ref="SGK105:SGN105"/>
    <mergeCell ref="SDU105:SDX105"/>
    <mergeCell ref="SDY105:SEB105"/>
    <mergeCell ref="SEC105:SEF105"/>
    <mergeCell ref="SEG105:SEJ105"/>
    <mergeCell ref="SEK105:SEN105"/>
    <mergeCell ref="SEO105:SER105"/>
    <mergeCell ref="SES105:SEV105"/>
    <mergeCell ref="SEW105:SEZ105"/>
    <mergeCell ref="SFA105:SFD105"/>
    <mergeCell ref="SCK105:SCN105"/>
    <mergeCell ref="SCO105:SCR105"/>
    <mergeCell ref="SCS105:SCV105"/>
    <mergeCell ref="SCW105:SCZ105"/>
    <mergeCell ref="SDA105:SDD105"/>
    <mergeCell ref="SDE105:SDH105"/>
    <mergeCell ref="SDI105:SDL105"/>
    <mergeCell ref="SDM105:SDP105"/>
    <mergeCell ref="SDQ105:SDT105"/>
    <mergeCell ref="SBA105:SBD105"/>
    <mergeCell ref="SBE105:SBH105"/>
    <mergeCell ref="SBI105:SBL105"/>
    <mergeCell ref="SBM105:SBP105"/>
    <mergeCell ref="SBQ105:SBT105"/>
    <mergeCell ref="SBU105:SBX105"/>
    <mergeCell ref="SBY105:SCB105"/>
    <mergeCell ref="SCC105:SCF105"/>
    <mergeCell ref="SCG105:SCJ105"/>
    <mergeCell ref="RZQ105:RZT105"/>
    <mergeCell ref="RZU105:RZX105"/>
    <mergeCell ref="RZY105:SAB105"/>
    <mergeCell ref="SAC105:SAF105"/>
    <mergeCell ref="SAG105:SAJ105"/>
    <mergeCell ref="SAK105:SAN105"/>
    <mergeCell ref="SAO105:SAR105"/>
    <mergeCell ref="SAS105:SAV105"/>
    <mergeCell ref="SAW105:SAZ105"/>
    <mergeCell ref="RYG105:RYJ105"/>
    <mergeCell ref="RYK105:RYN105"/>
    <mergeCell ref="RYO105:RYR105"/>
    <mergeCell ref="RYS105:RYV105"/>
    <mergeCell ref="RYW105:RYZ105"/>
    <mergeCell ref="RZA105:RZD105"/>
    <mergeCell ref="RZE105:RZH105"/>
    <mergeCell ref="RZI105:RZL105"/>
    <mergeCell ref="RZM105:RZP105"/>
    <mergeCell ref="RWW105:RWZ105"/>
    <mergeCell ref="RXA105:RXD105"/>
    <mergeCell ref="RXE105:RXH105"/>
    <mergeCell ref="RXI105:RXL105"/>
    <mergeCell ref="RXM105:RXP105"/>
    <mergeCell ref="RXQ105:RXT105"/>
    <mergeCell ref="RXU105:RXX105"/>
    <mergeCell ref="RXY105:RYB105"/>
    <mergeCell ref="RYC105:RYF105"/>
    <mergeCell ref="RVM105:RVP105"/>
    <mergeCell ref="RVQ105:RVT105"/>
    <mergeCell ref="RVU105:RVX105"/>
    <mergeCell ref="RVY105:RWB105"/>
    <mergeCell ref="RWC105:RWF105"/>
    <mergeCell ref="RWG105:RWJ105"/>
    <mergeCell ref="RWK105:RWN105"/>
    <mergeCell ref="RWO105:RWR105"/>
    <mergeCell ref="RWS105:RWV105"/>
    <mergeCell ref="RUC105:RUF105"/>
    <mergeCell ref="RUG105:RUJ105"/>
    <mergeCell ref="RUK105:RUN105"/>
    <mergeCell ref="RUO105:RUR105"/>
    <mergeCell ref="RUS105:RUV105"/>
    <mergeCell ref="RUW105:RUZ105"/>
    <mergeCell ref="RVA105:RVD105"/>
    <mergeCell ref="RVE105:RVH105"/>
    <mergeCell ref="RVI105:RVL105"/>
    <mergeCell ref="RSS105:RSV105"/>
    <mergeCell ref="RSW105:RSZ105"/>
    <mergeCell ref="RTA105:RTD105"/>
    <mergeCell ref="RTE105:RTH105"/>
    <mergeCell ref="RTI105:RTL105"/>
    <mergeCell ref="RTM105:RTP105"/>
    <mergeCell ref="RTQ105:RTT105"/>
    <mergeCell ref="RTU105:RTX105"/>
    <mergeCell ref="RTY105:RUB105"/>
    <mergeCell ref="RRI105:RRL105"/>
    <mergeCell ref="RRM105:RRP105"/>
    <mergeCell ref="RRQ105:RRT105"/>
    <mergeCell ref="RRU105:RRX105"/>
    <mergeCell ref="RRY105:RSB105"/>
    <mergeCell ref="RSC105:RSF105"/>
    <mergeCell ref="RSG105:RSJ105"/>
    <mergeCell ref="RSK105:RSN105"/>
    <mergeCell ref="RSO105:RSR105"/>
    <mergeCell ref="RPY105:RQB105"/>
    <mergeCell ref="RQC105:RQF105"/>
    <mergeCell ref="RQG105:RQJ105"/>
    <mergeCell ref="RQK105:RQN105"/>
    <mergeCell ref="RQO105:RQR105"/>
    <mergeCell ref="RQS105:RQV105"/>
    <mergeCell ref="RQW105:RQZ105"/>
    <mergeCell ref="RRA105:RRD105"/>
    <mergeCell ref="RRE105:RRH105"/>
    <mergeCell ref="ROO105:ROR105"/>
    <mergeCell ref="ROS105:ROV105"/>
    <mergeCell ref="ROW105:ROZ105"/>
    <mergeCell ref="RPA105:RPD105"/>
    <mergeCell ref="RPE105:RPH105"/>
    <mergeCell ref="RPI105:RPL105"/>
    <mergeCell ref="RPM105:RPP105"/>
    <mergeCell ref="RPQ105:RPT105"/>
    <mergeCell ref="RPU105:RPX105"/>
    <mergeCell ref="RNE105:RNH105"/>
    <mergeCell ref="RNI105:RNL105"/>
    <mergeCell ref="RNM105:RNP105"/>
    <mergeCell ref="RNQ105:RNT105"/>
    <mergeCell ref="RNU105:RNX105"/>
    <mergeCell ref="RNY105:ROB105"/>
    <mergeCell ref="ROC105:ROF105"/>
    <mergeCell ref="ROG105:ROJ105"/>
    <mergeCell ref="ROK105:RON105"/>
    <mergeCell ref="RLU105:RLX105"/>
    <mergeCell ref="RLY105:RMB105"/>
    <mergeCell ref="RMC105:RMF105"/>
    <mergeCell ref="RMG105:RMJ105"/>
    <mergeCell ref="RMK105:RMN105"/>
    <mergeCell ref="RMO105:RMR105"/>
    <mergeCell ref="RMS105:RMV105"/>
    <mergeCell ref="RMW105:RMZ105"/>
    <mergeCell ref="RNA105:RND105"/>
    <mergeCell ref="RKK105:RKN105"/>
    <mergeCell ref="RKO105:RKR105"/>
    <mergeCell ref="RKS105:RKV105"/>
    <mergeCell ref="RKW105:RKZ105"/>
    <mergeCell ref="RLA105:RLD105"/>
    <mergeCell ref="RLE105:RLH105"/>
    <mergeCell ref="RLI105:RLL105"/>
    <mergeCell ref="RLM105:RLP105"/>
    <mergeCell ref="RLQ105:RLT105"/>
    <mergeCell ref="RJA105:RJD105"/>
    <mergeCell ref="RJE105:RJH105"/>
    <mergeCell ref="RJI105:RJL105"/>
    <mergeCell ref="RJM105:RJP105"/>
    <mergeCell ref="RJQ105:RJT105"/>
    <mergeCell ref="RJU105:RJX105"/>
    <mergeCell ref="RJY105:RKB105"/>
    <mergeCell ref="RKC105:RKF105"/>
    <mergeCell ref="RKG105:RKJ105"/>
    <mergeCell ref="RHQ105:RHT105"/>
    <mergeCell ref="RHU105:RHX105"/>
    <mergeCell ref="RHY105:RIB105"/>
    <mergeCell ref="RIC105:RIF105"/>
    <mergeCell ref="RIG105:RIJ105"/>
    <mergeCell ref="RIK105:RIN105"/>
    <mergeCell ref="RIO105:RIR105"/>
    <mergeCell ref="RIS105:RIV105"/>
    <mergeCell ref="RIW105:RIZ105"/>
    <mergeCell ref="RGG105:RGJ105"/>
    <mergeCell ref="RGK105:RGN105"/>
    <mergeCell ref="RGO105:RGR105"/>
    <mergeCell ref="RGS105:RGV105"/>
    <mergeCell ref="RGW105:RGZ105"/>
    <mergeCell ref="RHA105:RHD105"/>
    <mergeCell ref="RHE105:RHH105"/>
    <mergeCell ref="RHI105:RHL105"/>
    <mergeCell ref="RHM105:RHP105"/>
    <mergeCell ref="REW105:REZ105"/>
    <mergeCell ref="RFA105:RFD105"/>
    <mergeCell ref="RFE105:RFH105"/>
    <mergeCell ref="RFI105:RFL105"/>
    <mergeCell ref="RFM105:RFP105"/>
    <mergeCell ref="RFQ105:RFT105"/>
    <mergeCell ref="RFU105:RFX105"/>
    <mergeCell ref="RFY105:RGB105"/>
    <mergeCell ref="RGC105:RGF105"/>
    <mergeCell ref="RDM105:RDP105"/>
    <mergeCell ref="RDQ105:RDT105"/>
    <mergeCell ref="RDU105:RDX105"/>
    <mergeCell ref="RDY105:REB105"/>
    <mergeCell ref="REC105:REF105"/>
    <mergeCell ref="REG105:REJ105"/>
    <mergeCell ref="REK105:REN105"/>
    <mergeCell ref="REO105:RER105"/>
    <mergeCell ref="RES105:REV105"/>
    <mergeCell ref="RCC105:RCF105"/>
    <mergeCell ref="RCG105:RCJ105"/>
    <mergeCell ref="RCK105:RCN105"/>
    <mergeCell ref="RCO105:RCR105"/>
    <mergeCell ref="RCS105:RCV105"/>
    <mergeCell ref="RCW105:RCZ105"/>
    <mergeCell ref="RDA105:RDD105"/>
    <mergeCell ref="RDE105:RDH105"/>
    <mergeCell ref="RDI105:RDL105"/>
    <mergeCell ref="RAS105:RAV105"/>
    <mergeCell ref="RAW105:RAZ105"/>
    <mergeCell ref="RBA105:RBD105"/>
    <mergeCell ref="RBE105:RBH105"/>
    <mergeCell ref="RBI105:RBL105"/>
    <mergeCell ref="RBM105:RBP105"/>
    <mergeCell ref="RBQ105:RBT105"/>
    <mergeCell ref="RBU105:RBX105"/>
    <mergeCell ref="RBY105:RCB105"/>
    <mergeCell ref="QZI105:QZL105"/>
    <mergeCell ref="QZM105:QZP105"/>
    <mergeCell ref="QZQ105:QZT105"/>
    <mergeCell ref="QZU105:QZX105"/>
    <mergeCell ref="QZY105:RAB105"/>
    <mergeCell ref="RAC105:RAF105"/>
    <mergeCell ref="RAG105:RAJ105"/>
    <mergeCell ref="RAK105:RAN105"/>
    <mergeCell ref="RAO105:RAR105"/>
    <mergeCell ref="QXY105:QYB105"/>
    <mergeCell ref="QYC105:QYF105"/>
    <mergeCell ref="QYG105:QYJ105"/>
    <mergeCell ref="QYK105:QYN105"/>
    <mergeCell ref="QYO105:QYR105"/>
    <mergeCell ref="QYS105:QYV105"/>
    <mergeCell ref="QYW105:QYZ105"/>
    <mergeCell ref="QZA105:QZD105"/>
    <mergeCell ref="QZE105:QZH105"/>
    <mergeCell ref="QWO105:QWR105"/>
    <mergeCell ref="QWS105:QWV105"/>
    <mergeCell ref="QWW105:QWZ105"/>
    <mergeCell ref="QXA105:QXD105"/>
    <mergeCell ref="QXE105:QXH105"/>
    <mergeCell ref="QXI105:QXL105"/>
    <mergeCell ref="QXM105:QXP105"/>
    <mergeCell ref="QXQ105:QXT105"/>
    <mergeCell ref="QXU105:QXX105"/>
    <mergeCell ref="QVE105:QVH105"/>
    <mergeCell ref="QVI105:QVL105"/>
    <mergeCell ref="QVM105:QVP105"/>
    <mergeCell ref="QVQ105:QVT105"/>
    <mergeCell ref="QVU105:QVX105"/>
    <mergeCell ref="QVY105:QWB105"/>
    <mergeCell ref="QWC105:QWF105"/>
    <mergeCell ref="QWG105:QWJ105"/>
    <mergeCell ref="QWK105:QWN105"/>
    <mergeCell ref="QTU105:QTX105"/>
    <mergeCell ref="QTY105:QUB105"/>
    <mergeCell ref="QUC105:QUF105"/>
    <mergeCell ref="QUG105:QUJ105"/>
    <mergeCell ref="QUK105:QUN105"/>
    <mergeCell ref="QUO105:QUR105"/>
    <mergeCell ref="QUS105:QUV105"/>
    <mergeCell ref="QUW105:QUZ105"/>
    <mergeCell ref="QVA105:QVD105"/>
    <mergeCell ref="QSK105:QSN105"/>
    <mergeCell ref="QSO105:QSR105"/>
    <mergeCell ref="QSS105:QSV105"/>
    <mergeCell ref="QSW105:QSZ105"/>
    <mergeCell ref="QTA105:QTD105"/>
    <mergeCell ref="QTE105:QTH105"/>
    <mergeCell ref="QTI105:QTL105"/>
    <mergeCell ref="QTM105:QTP105"/>
    <mergeCell ref="QTQ105:QTT105"/>
    <mergeCell ref="QRA105:QRD105"/>
    <mergeCell ref="QRE105:QRH105"/>
    <mergeCell ref="QRI105:QRL105"/>
    <mergeCell ref="QRM105:QRP105"/>
    <mergeCell ref="QRQ105:QRT105"/>
    <mergeCell ref="QRU105:QRX105"/>
    <mergeCell ref="QRY105:QSB105"/>
    <mergeCell ref="QSC105:QSF105"/>
    <mergeCell ref="QSG105:QSJ105"/>
    <mergeCell ref="QPQ105:QPT105"/>
    <mergeCell ref="QPU105:QPX105"/>
    <mergeCell ref="QPY105:QQB105"/>
    <mergeCell ref="QQC105:QQF105"/>
    <mergeCell ref="QQG105:QQJ105"/>
    <mergeCell ref="QQK105:QQN105"/>
    <mergeCell ref="QQO105:QQR105"/>
    <mergeCell ref="QQS105:QQV105"/>
    <mergeCell ref="QQW105:QQZ105"/>
    <mergeCell ref="QOG105:QOJ105"/>
    <mergeCell ref="QOK105:QON105"/>
    <mergeCell ref="QOO105:QOR105"/>
    <mergeCell ref="QOS105:QOV105"/>
    <mergeCell ref="QOW105:QOZ105"/>
    <mergeCell ref="QPA105:QPD105"/>
    <mergeCell ref="QPE105:QPH105"/>
    <mergeCell ref="QPI105:QPL105"/>
    <mergeCell ref="QPM105:QPP105"/>
    <mergeCell ref="QMW105:QMZ105"/>
    <mergeCell ref="QNA105:QND105"/>
    <mergeCell ref="QNE105:QNH105"/>
    <mergeCell ref="QNI105:QNL105"/>
    <mergeCell ref="QNM105:QNP105"/>
    <mergeCell ref="QNQ105:QNT105"/>
    <mergeCell ref="QNU105:QNX105"/>
    <mergeCell ref="QNY105:QOB105"/>
    <mergeCell ref="QOC105:QOF105"/>
    <mergeCell ref="QLM105:QLP105"/>
    <mergeCell ref="QLQ105:QLT105"/>
    <mergeCell ref="QLU105:QLX105"/>
    <mergeCell ref="QLY105:QMB105"/>
    <mergeCell ref="QMC105:QMF105"/>
    <mergeCell ref="QMG105:QMJ105"/>
    <mergeCell ref="QMK105:QMN105"/>
    <mergeCell ref="QMO105:QMR105"/>
    <mergeCell ref="QMS105:QMV105"/>
    <mergeCell ref="QKC105:QKF105"/>
    <mergeCell ref="QKG105:QKJ105"/>
    <mergeCell ref="QKK105:QKN105"/>
    <mergeCell ref="QKO105:QKR105"/>
    <mergeCell ref="QKS105:QKV105"/>
    <mergeCell ref="QKW105:QKZ105"/>
    <mergeCell ref="QLA105:QLD105"/>
    <mergeCell ref="QLE105:QLH105"/>
    <mergeCell ref="QLI105:QLL105"/>
    <mergeCell ref="QIS105:QIV105"/>
    <mergeCell ref="QIW105:QIZ105"/>
    <mergeCell ref="QJA105:QJD105"/>
    <mergeCell ref="QJE105:QJH105"/>
    <mergeCell ref="QJI105:QJL105"/>
    <mergeCell ref="QJM105:QJP105"/>
    <mergeCell ref="QJQ105:QJT105"/>
    <mergeCell ref="QJU105:QJX105"/>
    <mergeCell ref="QJY105:QKB105"/>
    <mergeCell ref="QHI105:QHL105"/>
    <mergeCell ref="QHM105:QHP105"/>
    <mergeCell ref="QHQ105:QHT105"/>
    <mergeCell ref="QHU105:QHX105"/>
    <mergeCell ref="QHY105:QIB105"/>
    <mergeCell ref="QIC105:QIF105"/>
    <mergeCell ref="QIG105:QIJ105"/>
    <mergeCell ref="QIK105:QIN105"/>
    <mergeCell ref="QIO105:QIR105"/>
    <mergeCell ref="QFY105:QGB105"/>
    <mergeCell ref="QGC105:QGF105"/>
    <mergeCell ref="QGG105:QGJ105"/>
    <mergeCell ref="QGK105:QGN105"/>
    <mergeCell ref="QGO105:QGR105"/>
    <mergeCell ref="QGS105:QGV105"/>
    <mergeCell ref="QGW105:QGZ105"/>
    <mergeCell ref="QHA105:QHD105"/>
    <mergeCell ref="QHE105:QHH105"/>
    <mergeCell ref="QEO105:QER105"/>
    <mergeCell ref="QES105:QEV105"/>
    <mergeCell ref="QEW105:QEZ105"/>
    <mergeCell ref="QFA105:QFD105"/>
    <mergeCell ref="QFE105:QFH105"/>
    <mergeCell ref="QFI105:QFL105"/>
    <mergeCell ref="QFM105:QFP105"/>
    <mergeCell ref="QFQ105:QFT105"/>
    <mergeCell ref="QFU105:QFX105"/>
    <mergeCell ref="QDE105:QDH105"/>
    <mergeCell ref="QDI105:QDL105"/>
    <mergeCell ref="QDM105:QDP105"/>
    <mergeCell ref="QDQ105:QDT105"/>
    <mergeCell ref="QDU105:QDX105"/>
    <mergeCell ref="QDY105:QEB105"/>
    <mergeCell ref="QEC105:QEF105"/>
    <mergeCell ref="QEG105:QEJ105"/>
    <mergeCell ref="QEK105:QEN105"/>
    <mergeCell ref="QBU105:QBX105"/>
    <mergeCell ref="QBY105:QCB105"/>
    <mergeCell ref="QCC105:QCF105"/>
    <mergeCell ref="QCG105:QCJ105"/>
    <mergeCell ref="QCK105:QCN105"/>
    <mergeCell ref="QCO105:QCR105"/>
    <mergeCell ref="QCS105:QCV105"/>
    <mergeCell ref="QCW105:QCZ105"/>
    <mergeCell ref="QDA105:QDD105"/>
    <mergeCell ref="QAK105:QAN105"/>
    <mergeCell ref="QAO105:QAR105"/>
    <mergeCell ref="QAS105:QAV105"/>
    <mergeCell ref="QAW105:QAZ105"/>
    <mergeCell ref="QBA105:QBD105"/>
    <mergeCell ref="QBE105:QBH105"/>
    <mergeCell ref="QBI105:QBL105"/>
    <mergeCell ref="QBM105:QBP105"/>
    <mergeCell ref="QBQ105:QBT105"/>
    <mergeCell ref="PZA105:PZD105"/>
    <mergeCell ref="PZE105:PZH105"/>
    <mergeCell ref="PZI105:PZL105"/>
    <mergeCell ref="PZM105:PZP105"/>
    <mergeCell ref="PZQ105:PZT105"/>
    <mergeCell ref="PZU105:PZX105"/>
    <mergeCell ref="PZY105:QAB105"/>
    <mergeCell ref="QAC105:QAF105"/>
    <mergeCell ref="QAG105:QAJ105"/>
    <mergeCell ref="PXQ105:PXT105"/>
    <mergeCell ref="PXU105:PXX105"/>
    <mergeCell ref="PXY105:PYB105"/>
    <mergeCell ref="PYC105:PYF105"/>
    <mergeCell ref="PYG105:PYJ105"/>
    <mergeCell ref="PYK105:PYN105"/>
    <mergeCell ref="PYO105:PYR105"/>
    <mergeCell ref="PYS105:PYV105"/>
    <mergeCell ref="PYW105:PYZ105"/>
    <mergeCell ref="PWG105:PWJ105"/>
    <mergeCell ref="PWK105:PWN105"/>
    <mergeCell ref="PWO105:PWR105"/>
    <mergeCell ref="PWS105:PWV105"/>
    <mergeCell ref="PWW105:PWZ105"/>
    <mergeCell ref="PXA105:PXD105"/>
    <mergeCell ref="PXE105:PXH105"/>
    <mergeCell ref="PXI105:PXL105"/>
    <mergeCell ref="PXM105:PXP105"/>
    <mergeCell ref="PUW105:PUZ105"/>
    <mergeCell ref="PVA105:PVD105"/>
    <mergeCell ref="PVE105:PVH105"/>
    <mergeCell ref="PVI105:PVL105"/>
    <mergeCell ref="PVM105:PVP105"/>
    <mergeCell ref="PVQ105:PVT105"/>
    <mergeCell ref="PVU105:PVX105"/>
    <mergeCell ref="PVY105:PWB105"/>
    <mergeCell ref="PWC105:PWF105"/>
    <mergeCell ref="PTM105:PTP105"/>
    <mergeCell ref="PTQ105:PTT105"/>
    <mergeCell ref="PTU105:PTX105"/>
    <mergeCell ref="PTY105:PUB105"/>
    <mergeCell ref="PUC105:PUF105"/>
    <mergeCell ref="PUG105:PUJ105"/>
    <mergeCell ref="PUK105:PUN105"/>
    <mergeCell ref="PUO105:PUR105"/>
    <mergeCell ref="PUS105:PUV105"/>
    <mergeCell ref="PSC105:PSF105"/>
    <mergeCell ref="PSG105:PSJ105"/>
    <mergeCell ref="PSK105:PSN105"/>
    <mergeCell ref="PSO105:PSR105"/>
    <mergeCell ref="PSS105:PSV105"/>
    <mergeCell ref="PSW105:PSZ105"/>
    <mergeCell ref="PTA105:PTD105"/>
    <mergeCell ref="PTE105:PTH105"/>
    <mergeCell ref="PTI105:PTL105"/>
    <mergeCell ref="PQS105:PQV105"/>
    <mergeCell ref="PQW105:PQZ105"/>
    <mergeCell ref="PRA105:PRD105"/>
    <mergeCell ref="PRE105:PRH105"/>
    <mergeCell ref="PRI105:PRL105"/>
    <mergeCell ref="PRM105:PRP105"/>
    <mergeCell ref="PRQ105:PRT105"/>
    <mergeCell ref="PRU105:PRX105"/>
    <mergeCell ref="PRY105:PSB105"/>
    <mergeCell ref="PPI105:PPL105"/>
    <mergeCell ref="PPM105:PPP105"/>
    <mergeCell ref="PPQ105:PPT105"/>
    <mergeCell ref="PPU105:PPX105"/>
    <mergeCell ref="PPY105:PQB105"/>
    <mergeCell ref="PQC105:PQF105"/>
    <mergeCell ref="PQG105:PQJ105"/>
    <mergeCell ref="PQK105:PQN105"/>
    <mergeCell ref="PQO105:PQR105"/>
    <mergeCell ref="PNY105:POB105"/>
    <mergeCell ref="POC105:POF105"/>
    <mergeCell ref="POG105:POJ105"/>
    <mergeCell ref="POK105:PON105"/>
    <mergeCell ref="POO105:POR105"/>
    <mergeCell ref="POS105:POV105"/>
    <mergeCell ref="POW105:POZ105"/>
    <mergeCell ref="PPA105:PPD105"/>
    <mergeCell ref="PPE105:PPH105"/>
    <mergeCell ref="PMO105:PMR105"/>
    <mergeCell ref="PMS105:PMV105"/>
    <mergeCell ref="PMW105:PMZ105"/>
    <mergeCell ref="PNA105:PND105"/>
    <mergeCell ref="PNE105:PNH105"/>
    <mergeCell ref="PNI105:PNL105"/>
    <mergeCell ref="PNM105:PNP105"/>
    <mergeCell ref="PNQ105:PNT105"/>
    <mergeCell ref="PNU105:PNX105"/>
    <mergeCell ref="PLE105:PLH105"/>
    <mergeCell ref="PLI105:PLL105"/>
    <mergeCell ref="PLM105:PLP105"/>
    <mergeCell ref="PLQ105:PLT105"/>
    <mergeCell ref="PLU105:PLX105"/>
    <mergeCell ref="PLY105:PMB105"/>
    <mergeCell ref="PMC105:PMF105"/>
    <mergeCell ref="PMG105:PMJ105"/>
    <mergeCell ref="PMK105:PMN105"/>
    <mergeCell ref="PJU105:PJX105"/>
    <mergeCell ref="PJY105:PKB105"/>
    <mergeCell ref="PKC105:PKF105"/>
    <mergeCell ref="PKG105:PKJ105"/>
    <mergeCell ref="PKK105:PKN105"/>
    <mergeCell ref="PKO105:PKR105"/>
    <mergeCell ref="PKS105:PKV105"/>
    <mergeCell ref="PKW105:PKZ105"/>
    <mergeCell ref="PLA105:PLD105"/>
    <mergeCell ref="PIK105:PIN105"/>
    <mergeCell ref="PIO105:PIR105"/>
    <mergeCell ref="PIS105:PIV105"/>
    <mergeCell ref="PIW105:PIZ105"/>
    <mergeCell ref="PJA105:PJD105"/>
    <mergeCell ref="PJE105:PJH105"/>
    <mergeCell ref="PJI105:PJL105"/>
    <mergeCell ref="PJM105:PJP105"/>
    <mergeCell ref="PJQ105:PJT105"/>
    <mergeCell ref="PHA105:PHD105"/>
    <mergeCell ref="PHE105:PHH105"/>
    <mergeCell ref="PHI105:PHL105"/>
    <mergeCell ref="PHM105:PHP105"/>
    <mergeCell ref="PHQ105:PHT105"/>
    <mergeCell ref="PHU105:PHX105"/>
    <mergeCell ref="PHY105:PIB105"/>
    <mergeCell ref="PIC105:PIF105"/>
    <mergeCell ref="PIG105:PIJ105"/>
    <mergeCell ref="PFQ105:PFT105"/>
    <mergeCell ref="PFU105:PFX105"/>
    <mergeCell ref="PFY105:PGB105"/>
    <mergeCell ref="PGC105:PGF105"/>
    <mergeCell ref="PGG105:PGJ105"/>
    <mergeCell ref="PGK105:PGN105"/>
    <mergeCell ref="PGO105:PGR105"/>
    <mergeCell ref="PGS105:PGV105"/>
    <mergeCell ref="PGW105:PGZ105"/>
    <mergeCell ref="PEG105:PEJ105"/>
    <mergeCell ref="PEK105:PEN105"/>
    <mergeCell ref="PEO105:PER105"/>
    <mergeCell ref="PES105:PEV105"/>
    <mergeCell ref="PEW105:PEZ105"/>
    <mergeCell ref="PFA105:PFD105"/>
    <mergeCell ref="PFE105:PFH105"/>
    <mergeCell ref="PFI105:PFL105"/>
    <mergeCell ref="PFM105:PFP105"/>
    <mergeCell ref="PCW105:PCZ105"/>
    <mergeCell ref="PDA105:PDD105"/>
    <mergeCell ref="PDE105:PDH105"/>
    <mergeCell ref="PDI105:PDL105"/>
    <mergeCell ref="PDM105:PDP105"/>
    <mergeCell ref="PDQ105:PDT105"/>
    <mergeCell ref="PDU105:PDX105"/>
    <mergeCell ref="PDY105:PEB105"/>
    <mergeCell ref="PEC105:PEF105"/>
    <mergeCell ref="PBM105:PBP105"/>
    <mergeCell ref="PBQ105:PBT105"/>
    <mergeCell ref="PBU105:PBX105"/>
    <mergeCell ref="PBY105:PCB105"/>
    <mergeCell ref="PCC105:PCF105"/>
    <mergeCell ref="PCG105:PCJ105"/>
    <mergeCell ref="PCK105:PCN105"/>
    <mergeCell ref="PCO105:PCR105"/>
    <mergeCell ref="PCS105:PCV105"/>
    <mergeCell ref="PAC105:PAF105"/>
    <mergeCell ref="PAG105:PAJ105"/>
    <mergeCell ref="PAK105:PAN105"/>
    <mergeCell ref="PAO105:PAR105"/>
    <mergeCell ref="PAS105:PAV105"/>
    <mergeCell ref="PAW105:PAZ105"/>
    <mergeCell ref="PBA105:PBD105"/>
    <mergeCell ref="PBE105:PBH105"/>
    <mergeCell ref="PBI105:PBL105"/>
    <mergeCell ref="OYS105:OYV105"/>
    <mergeCell ref="OYW105:OYZ105"/>
    <mergeCell ref="OZA105:OZD105"/>
    <mergeCell ref="OZE105:OZH105"/>
    <mergeCell ref="OZI105:OZL105"/>
    <mergeCell ref="OZM105:OZP105"/>
    <mergeCell ref="OZQ105:OZT105"/>
    <mergeCell ref="OZU105:OZX105"/>
    <mergeCell ref="OZY105:PAB105"/>
    <mergeCell ref="OXI105:OXL105"/>
    <mergeCell ref="OXM105:OXP105"/>
    <mergeCell ref="OXQ105:OXT105"/>
    <mergeCell ref="OXU105:OXX105"/>
    <mergeCell ref="OXY105:OYB105"/>
    <mergeCell ref="OYC105:OYF105"/>
    <mergeCell ref="OYG105:OYJ105"/>
    <mergeCell ref="OYK105:OYN105"/>
    <mergeCell ref="OYO105:OYR105"/>
    <mergeCell ref="OVY105:OWB105"/>
    <mergeCell ref="OWC105:OWF105"/>
    <mergeCell ref="OWG105:OWJ105"/>
    <mergeCell ref="OWK105:OWN105"/>
    <mergeCell ref="OWO105:OWR105"/>
    <mergeCell ref="OWS105:OWV105"/>
    <mergeCell ref="OWW105:OWZ105"/>
    <mergeCell ref="OXA105:OXD105"/>
    <mergeCell ref="OXE105:OXH105"/>
    <mergeCell ref="OUO105:OUR105"/>
    <mergeCell ref="OUS105:OUV105"/>
    <mergeCell ref="OUW105:OUZ105"/>
    <mergeCell ref="OVA105:OVD105"/>
    <mergeCell ref="OVE105:OVH105"/>
    <mergeCell ref="OVI105:OVL105"/>
    <mergeCell ref="OVM105:OVP105"/>
    <mergeCell ref="OVQ105:OVT105"/>
    <mergeCell ref="OVU105:OVX105"/>
    <mergeCell ref="OTE105:OTH105"/>
    <mergeCell ref="OTI105:OTL105"/>
    <mergeCell ref="OTM105:OTP105"/>
    <mergeCell ref="OTQ105:OTT105"/>
    <mergeCell ref="OTU105:OTX105"/>
    <mergeCell ref="OTY105:OUB105"/>
    <mergeCell ref="OUC105:OUF105"/>
    <mergeCell ref="OUG105:OUJ105"/>
    <mergeCell ref="OUK105:OUN105"/>
    <mergeCell ref="ORU105:ORX105"/>
    <mergeCell ref="ORY105:OSB105"/>
    <mergeCell ref="OSC105:OSF105"/>
    <mergeCell ref="OSG105:OSJ105"/>
    <mergeCell ref="OSK105:OSN105"/>
    <mergeCell ref="OSO105:OSR105"/>
    <mergeCell ref="OSS105:OSV105"/>
    <mergeCell ref="OSW105:OSZ105"/>
    <mergeCell ref="OTA105:OTD105"/>
    <mergeCell ref="OQK105:OQN105"/>
    <mergeCell ref="OQO105:OQR105"/>
    <mergeCell ref="OQS105:OQV105"/>
    <mergeCell ref="OQW105:OQZ105"/>
    <mergeCell ref="ORA105:ORD105"/>
    <mergeCell ref="ORE105:ORH105"/>
    <mergeCell ref="ORI105:ORL105"/>
    <mergeCell ref="ORM105:ORP105"/>
    <mergeCell ref="ORQ105:ORT105"/>
    <mergeCell ref="OPA105:OPD105"/>
    <mergeCell ref="OPE105:OPH105"/>
    <mergeCell ref="OPI105:OPL105"/>
    <mergeCell ref="OPM105:OPP105"/>
    <mergeCell ref="OPQ105:OPT105"/>
    <mergeCell ref="OPU105:OPX105"/>
    <mergeCell ref="OPY105:OQB105"/>
    <mergeCell ref="OQC105:OQF105"/>
    <mergeCell ref="OQG105:OQJ105"/>
    <mergeCell ref="ONQ105:ONT105"/>
    <mergeCell ref="ONU105:ONX105"/>
    <mergeCell ref="ONY105:OOB105"/>
    <mergeCell ref="OOC105:OOF105"/>
    <mergeCell ref="OOG105:OOJ105"/>
    <mergeCell ref="OOK105:OON105"/>
    <mergeCell ref="OOO105:OOR105"/>
    <mergeCell ref="OOS105:OOV105"/>
    <mergeCell ref="OOW105:OOZ105"/>
    <mergeCell ref="OMG105:OMJ105"/>
    <mergeCell ref="OMK105:OMN105"/>
    <mergeCell ref="OMO105:OMR105"/>
    <mergeCell ref="OMS105:OMV105"/>
    <mergeCell ref="OMW105:OMZ105"/>
    <mergeCell ref="ONA105:OND105"/>
    <mergeCell ref="ONE105:ONH105"/>
    <mergeCell ref="ONI105:ONL105"/>
    <mergeCell ref="ONM105:ONP105"/>
    <mergeCell ref="OKW105:OKZ105"/>
    <mergeCell ref="OLA105:OLD105"/>
    <mergeCell ref="OLE105:OLH105"/>
    <mergeCell ref="OLI105:OLL105"/>
    <mergeCell ref="OLM105:OLP105"/>
    <mergeCell ref="OLQ105:OLT105"/>
    <mergeCell ref="OLU105:OLX105"/>
    <mergeCell ref="OLY105:OMB105"/>
    <mergeCell ref="OMC105:OMF105"/>
    <mergeCell ref="OJM105:OJP105"/>
    <mergeCell ref="OJQ105:OJT105"/>
    <mergeCell ref="OJU105:OJX105"/>
    <mergeCell ref="OJY105:OKB105"/>
    <mergeCell ref="OKC105:OKF105"/>
    <mergeCell ref="OKG105:OKJ105"/>
    <mergeCell ref="OKK105:OKN105"/>
    <mergeCell ref="OKO105:OKR105"/>
    <mergeCell ref="OKS105:OKV105"/>
    <mergeCell ref="OIC105:OIF105"/>
    <mergeCell ref="OIG105:OIJ105"/>
    <mergeCell ref="OIK105:OIN105"/>
    <mergeCell ref="OIO105:OIR105"/>
    <mergeCell ref="OIS105:OIV105"/>
    <mergeCell ref="OIW105:OIZ105"/>
    <mergeCell ref="OJA105:OJD105"/>
    <mergeCell ref="OJE105:OJH105"/>
    <mergeCell ref="OJI105:OJL105"/>
    <mergeCell ref="OGS105:OGV105"/>
    <mergeCell ref="OGW105:OGZ105"/>
    <mergeCell ref="OHA105:OHD105"/>
    <mergeCell ref="OHE105:OHH105"/>
    <mergeCell ref="OHI105:OHL105"/>
    <mergeCell ref="OHM105:OHP105"/>
    <mergeCell ref="OHQ105:OHT105"/>
    <mergeCell ref="OHU105:OHX105"/>
    <mergeCell ref="OHY105:OIB105"/>
    <mergeCell ref="OFI105:OFL105"/>
    <mergeCell ref="OFM105:OFP105"/>
    <mergeCell ref="OFQ105:OFT105"/>
    <mergeCell ref="OFU105:OFX105"/>
    <mergeCell ref="OFY105:OGB105"/>
    <mergeCell ref="OGC105:OGF105"/>
    <mergeCell ref="OGG105:OGJ105"/>
    <mergeCell ref="OGK105:OGN105"/>
    <mergeCell ref="OGO105:OGR105"/>
    <mergeCell ref="ODY105:OEB105"/>
    <mergeCell ref="OEC105:OEF105"/>
    <mergeCell ref="OEG105:OEJ105"/>
    <mergeCell ref="OEK105:OEN105"/>
    <mergeCell ref="OEO105:OER105"/>
    <mergeCell ref="OES105:OEV105"/>
    <mergeCell ref="OEW105:OEZ105"/>
    <mergeCell ref="OFA105:OFD105"/>
    <mergeCell ref="OFE105:OFH105"/>
    <mergeCell ref="OCO105:OCR105"/>
    <mergeCell ref="OCS105:OCV105"/>
    <mergeCell ref="OCW105:OCZ105"/>
    <mergeCell ref="ODA105:ODD105"/>
    <mergeCell ref="ODE105:ODH105"/>
    <mergeCell ref="ODI105:ODL105"/>
    <mergeCell ref="ODM105:ODP105"/>
    <mergeCell ref="ODQ105:ODT105"/>
    <mergeCell ref="ODU105:ODX105"/>
    <mergeCell ref="OBE105:OBH105"/>
    <mergeCell ref="OBI105:OBL105"/>
    <mergeCell ref="OBM105:OBP105"/>
    <mergeCell ref="OBQ105:OBT105"/>
    <mergeCell ref="OBU105:OBX105"/>
    <mergeCell ref="OBY105:OCB105"/>
    <mergeCell ref="OCC105:OCF105"/>
    <mergeCell ref="OCG105:OCJ105"/>
    <mergeCell ref="OCK105:OCN105"/>
    <mergeCell ref="NZU105:NZX105"/>
    <mergeCell ref="NZY105:OAB105"/>
    <mergeCell ref="OAC105:OAF105"/>
    <mergeCell ref="OAG105:OAJ105"/>
    <mergeCell ref="OAK105:OAN105"/>
    <mergeCell ref="OAO105:OAR105"/>
    <mergeCell ref="OAS105:OAV105"/>
    <mergeCell ref="OAW105:OAZ105"/>
    <mergeCell ref="OBA105:OBD105"/>
    <mergeCell ref="NYK105:NYN105"/>
    <mergeCell ref="NYO105:NYR105"/>
    <mergeCell ref="NYS105:NYV105"/>
    <mergeCell ref="NYW105:NYZ105"/>
    <mergeCell ref="NZA105:NZD105"/>
    <mergeCell ref="NZE105:NZH105"/>
    <mergeCell ref="NZI105:NZL105"/>
    <mergeCell ref="NZM105:NZP105"/>
    <mergeCell ref="NZQ105:NZT105"/>
    <mergeCell ref="NXA105:NXD105"/>
    <mergeCell ref="NXE105:NXH105"/>
    <mergeCell ref="NXI105:NXL105"/>
    <mergeCell ref="NXM105:NXP105"/>
    <mergeCell ref="NXQ105:NXT105"/>
    <mergeCell ref="NXU105:NXX105"/>
    <mergeCell ref="NXY105:NYB105"/>
    <mergeCell ref="NYC105:NYF105"/>
    <mergeCell ref="NYG105:NYJ105"/>
    <mergeCell ref="NVQ105:NVT105"/>
    <mergeCell ref="NVU105:NVX105"/>
    <mergeCell ref="NVY105:NWB105"/>
    <mergeCell ref="NWC105:NWF105"/>
    <mergeCell ref="NWG105:NWJ105"/>
    <mergeCell ref="NWK105:NWN105"/>
    <mergeCell ref="NWO105:NWR105"/>
    <mergeCell ref="NWS105:NWV105"/>
    <mergeCell ref="NWW105:NWZ105"/>
    <mergeCell ref="NUG105:NUJ105"/>
    <mergeCell ref="NUK105:NUN105"/>
    <mergeCell ref="NUO105:NUR105"/>
    <mergeCell ref="NUS105:NUV105"/>
    <mergeCell ref="NUW105:NUZ105"/>
    <mergeCell ref="NVA105:NVD105"/>
    <mergeCell ref="NVE105:NVH105"/>
    <mergeCell ref="NVI105:NVL105"/>
    <mergeCell ref="NVM105:NVP105"/>
    <mergeCell ref="NSW105:NSZ105"/>
    <mergeCell ref="NTA105:NTD105"/>
    <mergeCell ref="NTE105:NTH105"/>
    <mergeCell ref="NTI105:NTL105"/>
    <mergeCell ref="NTM105:NTP105"/>
    <mergeCell ref="NTQ105:NTT105"/>
    <mergeCell ref="NTU105:NTX105"/>
    <mergeCell ref="NTY105:NUB105"/>
    <mergeCell ref="NUC105:NUF105"/>
    <mergeCell ref="NRM105:NRP105"/>
    <mergeCell ref="NRQ105:NRT105"/>
    <mergeCell ref="NRU105:NRX105"/>
    <mergeCell ref="NRY105:NSB105"/>
    <mergeCell ref="NSC105:NSF105"/>
    <mergeCell ref="NSG105:NSJ105"/>
    <mergeCell ref="NSK105:NSN105"/>
    <mergeCell ref="NSO105:NSR105"/>
    <mergeCell ref="NSS105:NSV105"/>
    <mergeCell ref="NQC105:NQF105"/>
    <mergeCell ref="NQG105:NQJ105"/>
    <mergeCell ref="NQK105:NQN105"/>
    <mergeCell ref="NQO105:NQR105"/>
    <mergeCell ref="NQS105:NQV105"/>
    <mergeCell ref="NQW105:NQZ105"/>
    <mergeCell ref="NRA105:NRD105"/>
    <mergeCell ref="NRE105:NRH105"/>
    <mergeCell ref="NRI105:NRL105"/>
    <mergeCell ref="NOS105:NOV105"/>
    <mergeCell ref="NOW105:NOZ105"/>
    <mergeCell ref="NPA105:NPD105"/>
    <mergeCell ref="NPE105:NPH105"/>
    <mergeCell ref="NPI105:NPL105"/>
    <mergeCell ref="NPM105:NPP105"/>
    <mergeCell ref="NPQ105:NPT105"/>
    <mergeCell ref="NPU105:NPX105"/>
    <mergeCell ref="NPY105:NQB105"/>
    <mergeCell ref="NNI105:NNL105"/>
    <mergeCell ref="NNM105:NNP105"/>
    <mergeCell ref="NNQ105:NNT105"/>
    <mergeCell ref="NNU105:NNX105"/>
    <mergeCell ref="NNY105:NOB105"/>
    <mergeCell ref="NOC105:NOF105"/>
    <mergeCell ref="NOG105:NOJ105"/>
    <mergeCell ref="NOK105:NON105"/>
    <mergeCell ref="NOO105:NOR105"/>
    <mergeCell ref="NLY105:NMB105"/>
    <mergeCell ref="NMC105:NMF105"/>
    <mergeCell ref="NMG105:NMJ105"/>
    <mergeCell ref="NMK105:NMN105"/>
    <mergeCell ref="NMO105:NMR105"/>
    <mergeCell ref="NMS105:NMV105"/>
    <mergeCell ref="NMW105:NMZ105"/>
    <mergeCell ref="NNA105:NND105"/>
    <mergeCell ref="NNE105:NNH105"/>
    <mergeCell ref="NKO105:NKR105"/>
    <mergeCell ref="NKS105:NKV105"/>
    <mergeCell ref="NKW105:NKZ105"/>
    <mergeCell ref="NLA105:NLD105"/>
    <mergeCell ref="NLE105:NLH105"/>
    <mergeCell ref="NLI105:NLL105"/>
    <mergeCell ref="NLM105:NLP105"/>
    <mergeCell ref="NLQ105:NLT105"/>
    <mergeCell ref="NLU105:NLX105"/>
    <mergeCell ref="NJE105:NJH105"/>
    <mergeCell ref="NJI105:NJL105"/>
    <mergeCell ref="NJM105:NJP105"/>
    <mergeCell ref="NJQ105:NJT105"/>
    <mergeCell ref="NJU105:NJX105"/>
    <mergeCell ref="NJY105:NKB105"/>
    <mergeCell ref="NKC105:NKF105"/>
    <mergeCell ref="NKG105:NKJ105"/>
    <mergeCell ref="NKK105:NKN105"/>
    <mergeCell ref="NHU105:NHX105"/>
    <mergeCell ref="NHY105:NIB105"/>
    <mergeCell ref="NIC105:NIF105"/>
    <mergeCell ref="NIG105:NIJ105"/>
    <mergeCell ref="NIK105:NIN105"/>
    <mergeCell ref="NIO105:NIR105"/>
    <mergeCell ref="NIS105:NIV105"/>
    <mergeCell ref="NIW105:NIZ105"/>
    <mergeCell ref="NJA105:NJD105"/>
    <mergeCell ref="NGK105:NGN105"/>
    <mergeCell ref="NGO105:NGR105"/>
    <mergeCell ref="NGS105:NGV105"/>
    <mergeCell ref="NGW105:NGZ105"/>
    <mergeCell ref="NHA105:NHD105"/>
    <mergeCell ref="NHE105:NHH105"/>
    <mergeCell ref="NHI105:NHL105"/>
    <mergeCell ref="NHM105:NHP105"/>
    <mergeCell ref="NHQ105:NHT105"/>
    <mergeCell ref="NFA105:NFD105"/>
    <mergeCell ref="NFE105:NFH105"/>
    <mergeCell ref="NFI105:NFL105"/>
    <mergeCell ref="NFM105:NFP105"/>
    <mergeCell ref="NFQ105:NFT105"/>
    <mergeCell ref="NFU105:NFX105"/>
    <mergeCell ref="NFY105:NGB105"/>
    <mergeCell ref="NGC105:NGF105"/>
    <mergeCell ref="NGG105:NGJ105"/>
    <mergeCell ref="NDQ105:NDT105"/>
    <mergeCell ref="NDU105:NDX105"/>
    <mergeCell ref="NDY105:NEB105"/>
    <mergeCell ref="NEC105:NEF105"/>
    <mergeCell ref="NEG105:NEJ105"/>
    <mergeCell ref="NEK105:NEN105"/>
    <mergeCell ref="NEO105:NER105"/>
    <mergeCell ref="NES105:NEV105"/>
    <mergeCell ref="NEW105:NEZ105"/>
    <mergeCell ref="NCG105:NCJ105"/>
    <mergeCell ref="NCK105:NCN105"/>
    <mergeCell ref="NCO105:NCR105"/>
    <mergeCell ref="NCS105:NCV105"/>
    <mergeCell ref="NCW105:NCZ105"/>
    <mergeCell ref="NDA105:NDD105"/>
    <mergeCell ref="NDE105:NDH105"/>
    <mergeCell ref="NDI105:NDL105"/>
    <mergeCell ref="NDM105:NDP105"/>
    <mergeCell ref="NAW105:NAZ105"/>
    <mergeCell ref="NBA105:NBD105"/>
    <mergeCell ref="NBE105:NBH105"/>
    <mergeCell ref="NBI105:NBL105"/>
    <mergeCell ref="NBM105:NBP105"/>
    <mergeCell ref="NBQ105:NBT105"/>
    <mergeCell ref="NBU105:NBX105"/>
    <mergeCell ref="NBY105:NCB105"/>
    <mergeCell ref="NCC105:NCF105"/>
    <mergeCell ref="MZM105:MZP105"/>
    <mergeCell ref="MZQ105:MZT105"/>
    <mergeCell ref="MZU105:MZX105"/>
    <mergeCell ref="MZY105:NAB105"/>
    <mergeCell ref="NAC105:NAF105"/>
    <mergeCell ref="NAG105:NAJ105"/>
    <mergeCell ref="NAK105:NAN105"/>
    <mergeCell ref="NAO105:NAR105"/>
    <mergeCell ref="NAS105:NAV105"/>
    <mergeCell ref="MYC105:MYF105"/>
    <mergeCell ref="MYG105:MYJ105"/>
    <mergeCell ref="MYK105:MYN105"/>
    <mergeCell ref="MYO105:MYR105"/>
    <mergeCell ref="MYS105:MYV105"/>
    <mergeCell ref="MYW105:MYZ105"/>
    <mergeCell ref="MZA105:MZD105"/>
    <mergeCell ref="MZE105:MZH105"/>
    <mergeCell ref="MZI105:MZL105"/>
    <mergeCell ref="MWS105:MWV105"/>
    <mergeCell ref="MWW105:MWZ105"/>
    <mergeCell ref="MXA105:MXD105"/>
    <mergeCell ref="MXE105:MXH105"/>
    <mergeCell ref="MXI105:MXL105"/>
    <mergeCell ref="MXM105:MXP105"/>
    <mergeCell ref="MXQ105:MXT105"/>
    <mergeCell ref="MXU105:MXX105"/>
    <mergeCell ref="MXY105:MYB105"/>
    <mergeCell ref="MVI105:MVL105"/>
    <mergeCell ref="MVM105:MVP105"/>
    <mergeCell ref="MVQ105:MVT105"/>
    <mergeCell ref="MVU105:MVX105"/>
    <mergeCell ref="MVY105:MWB105"/>
    <mergeCell ref="MWC105:MWF105"/>
    <mergeCell ref="MWG105:MWJ105"/>
    <mergeCell ref="MWK105:MWN105"/>
    <mergeCell ref="MWO105:MWR105"/>
    <mergeCell ref="MTY105:MUB105"/>
    <mergeCell ref="MUC105:MUF105"/>
    <mergeCell ref="MUG105:MUJ105"/>
    <mergeCell ref="MUK105:MUN105"/>
    <mergeCell ref="MUO105:MUR105"/>
    <mergeCell ref="MUS105:MUV105"/>
    <mergeCell ref="MUW105:MUZ105"/>
    <mergeCell ref="MVA105:MVD105"/>
    <mergeCell ref="MVE105:MVH105"/>
    <mergeCell ref="MSO105:MSR105"/>
    <mergeCell ref="MSS105:MSV105"/>
    <mergeCell ref="MSW105:MSZ105"/>
    <mergeCell ref="MTA105:MTD105"/>
    <mergeCell ref="MTE105:MTH105"/>
    <mergeCell ref="MTI105:MTL105"/>
    <mergeCell ref="MTM105:MTP105"/>
    <mergeCell ref="MTQ105:MTT105"/>
    <mergeCell ref="MTU105:MTX105"/>
    <mergeCell ref="MRE105:MRH105"/>
    <mergeCell ref="MRI105:MRL105"/>
    <mergeCell ref="MRM105:MRP105"/>
    <mergeCell ref="MRQ105:MRT105"/>
    <mergeCell ref="MRU105:MRX105"/>
    <mergeCell ref="MRY105:MSB105"/>
    <mergeCell ref="MSC105:MSF105"/>
    <mergeCell ref="MSG105:MSJ105"/>
    <mergeCell ref="MSK105:MSN105"/>
    <mergeCell ref="MPU105:MPX105"/>
    <mergeCell ref="MPY105:MQB105"/>
    <mergeCell ref="MQC105:MQF105"/>
    <mergeCell ref="MQG105:MQJ105"/>
    <mergeCell ref="MQK105:MQN105"/>
    <mergeCell ref="MQO105:MQR105"/>
    <mergeCell ref="MQS105:MQV105"/>
    <mergeCell ref="MQW105:MQZ105"/>
    <mergeCell ref="MRA105:MRD105"/>
    <mergeCell ref="MOK105:MON105"/>
    <mergeCell ref="MOO105:MOR105"/>
    <mergeCell ref="MOS105:MOV105"/>
    <mergeCell ref="MOW105:MOZ105"/>
    <mergeCell ref="MPA105:MPD105"/>
    <mergeCell ref="MPE105:MPH105"/>
    <mergeCell ref="MPI105:MPL105"/>
    <mergeCell ref="MPM105:MPP105"/>
    <mergeCell ref="MPQ105:MPT105"/>
    <mergeCell ref="MNA105:MND105"/>
    <mergeCell ref="MNE105:MNH105"/>
    <mergeCell ref="MNI105:MNL105"/>
    <mergeCell ref="MNM105:MNP105"/>
    <mergeCell ref="MNQ105:MNT105"/>
    <mergeCell ref="MNU105:MNX105"/>
    <mergeCell ref="MNY105:MOB105"/>
    <mergeCell ref="MOC105:MOF105"/>
    <mergeCell ref="MOG105:MOJ105"/>
    <mergeCell ref="MLQ105:MLT105"/>
    <mergeCell ref="MLU105:MLX105"/>
    <mergeCell ref="MLY105:MMB105"/>
    <mergeCell ref="MMC105:MMF105"/>
    <mergeCell ref="MMG105:MMJ105"/>
    <mergeCell ref="MMK105:MMN105"/>
    <mergeCell ref="MMO105:MMR105"/>
    <mergeCell ref="MMS105:MMV105"/>
    <mergeCell ref="MMW105:MMZ105"/>
    <mergeCell ref="MKG105:MKJ105"/>
    <mergeCell ref="MKK105:MKN105"/>
    <mergeCell ref="MKO105:MKR105"/>
    <mergeCell ref="MKS105:MKV105"/>
    <mergeCell ref="MKW105:MKZ105"/>
    <mergeCell ref="MLA105:MLD105"/>
    <mergeCell ref="MLE105:MLH105"/>
    <mergeCell ref="MLI105:MLL105"/>
    <mergeCell ref="MLM105:MLP105"/>
    <mergeCell ref="MIW105:MIZ105"/>
    <mergeCell ref="MJA105:MJD105"/>
    <mergeCell ref="MJE105:MJH105"/>
    <mergeCell ref="MJI105:MJL105"/>
    <mergeCell ref="MJM105:MJP105"/>
    <mergeCell ref="MJQ105:MJT105"/>
    <mergeCell ref="MJU105:MJX105"/>
    <mergeCell ref="MJY105:MKB105"/>
    <mergeCell ref="MKC105:MKF105"/>
    <mergeCell ref="MHM105:MHP105"/>
    <mergeCell ref="MHQ105:MHT105"/>
    <mergeCell ref="MHU105:MHX105"/>
    <mergeCell ref="MHY105:MIB105"/>
    <mergeCell ref="MIC105:MIF105"/>
    <mergeCell ref="MIG105:MIJ105"/>
    <mergeCell ref="MIK105:MIN105"/>
    <mergeCell ref="MIO105:MIR105"/>
    <mergeCell ref="MIS105:MIV105"/>
    <mergeCell ref="MGC105:MGF105"/>
    <mergeCell ref="MGG105:MGJ105"/>
    <mergeCell ref="MGK105:MGN105"/>
    <mergeCell ref="MGO105:MGR105"/>
    <mergeCell ref="MGS105:MGV105"/>
    <mergeCell ref="MGW105:MGZ105"/>
    <mergeCell ref="MHA105:MHD105"/>
    <mergeCell ref="MHE105:MHH105"/>
    <mergeCell ref="MHI105:MHL105"/>
    <mergeCell ref="MES105:MEV105"/>
    <mergeCell ref="MEW105:MEZ105"/>
    <mergeCell ref="MFA105:MFD105"/>
    <mergeCell ref="MFE105:MFH105"/>
    <mergeCell ref="MFI105:MFL105"/>
    <mergeCell ref="MFM105:MFP105"/>
    <mergeCell ref="MFQ105:MFT105"/>
    <mergeCell ref="MFU105:MFX105"/>
    <mergeCell ref="MFY105:MGB105"/>
    <mergeCell ref="MDI105:MDL105"/>
    <mergeCell ref="MDM105:MDP105"/>
    <mergeCell ref="MDQ105:MDT105"/>
    <mergeCell ref="MDU105:MDX105"/>
    <mergeCell ref="MDY105:MEB105"/>
    <mergeCell ref="MEC105:MEF105"/>
    <mergeCell ref="MEG105:MEJ105"/>
    <mergeCell ref="MEK105:MEN105"/>
    <mergeCell ref="MEO105:MER105"/>
    <mergeCell ref="MBY105:MCB105"/>
    <mergeCell ref="MCC105:MCF105"/>
    <mergeCell ref="MCG105:MCJ105"/>
    <mergeCell ref="MCK105:MCN105"/>
    <mergeCell ref="MCO105:MCR105"/>
    <mergeCell ref="MCS105:MCV105"/>
    <mergeCell ref="MCW105:MCZ105"/>
    <mergeCell ref="MDA105:MDD105"/>
    <mergeCell ref="MDE105:MDH105"/>
    <mergeCell ref="MAO105:MAR105"/>
    <mergeCell ref="MAS105:MAV105"/>
    <mergeCell ref="MAW105:MAZ105"/>
    <mergeCell ref="MBA105:MBD105"/>
    <mergeCell ref="MBE105:MBH105"/>
    <mergeCell ref="MBI105:MBL105"/>
    <mergeCell ref="MBM105:MBP105"/>
    <mergeCell ref="MBQ105:MBT105"/>
    <mergeCell ref="MBU105:MBX105"/>
    <mergeCell ref="LZE105:LZH105"/>
    <mergeCell ref="LZI105:LZL105"/>
    <mergeCell ref="LZM105:LZP105"/>
    <mergeCell ref="LZQ105:LZT105"/>
    <mergeCell ref="LZU105:LZX105"/>
    <mergeCell ref="LZY105:MAB105"/>
    <mergeCell ref="MAC105:MAF105"/>
    <mergeCell ref="MAG105:MAJ105"/>
    <mergeCell ref="MAK105:MAN105"/>
    <mergeCell ref="LXU105:LXX105"/>
    <mergeCell ref="LXY105:LYB105"/>
    <mergeCell ref="LYC105:LYF105"/>
    <mergeCell ref="LYG105:LYJ105"/>
    <mergeCell ref="LYK105:LYN105"/>
    <mergeCell ref="LYO105:LYR105"/>
    <mergeCell ref="LYS105:LYV105"/>
    <mergeCell ref="LYW105:LYZ105"/>
    <mergeCell ref="LZA105:LZD105"/>
    <mergeCell ref="LWK105:LWN105"/>
    <mergeCell ref="LWO105:LWR105"/>
    <mergeCell ref="LWS105:LWV105"/>
    <mergeCell ref="LWW105:LWZ105"/>
    <mergeCell ref="LXA105:LXD105"/>
    <mergeCell ref="LXE105:LXH105"/>
    <mergeCell ref="LXI105:LXL105"/>
    <mergeCell ref="LXM105:LXP105"/>
    <mergeCell ref="LXQ105:LXT105"/>
    <mergeCell ref="LVA105:LVD105"/>
    <mergeCell ref="LVE105:LVH105"/>
    <mergeCell ref="LVI105:LVL105"/>
    <mergeCell ref="LVM105:LVP105"/>
    <mergeCell ref="LVQ105:LVT105"/>
    <mergeCell ref="LVU105:LVX105"/>
    <mergeCell ref="LVY105:LWB105"/>
    <mergeCell ref="LWC105:LWF105"/>
    <mergeCell ref="LWG105:LWJ105"/>
    <mergeCell ref="LTQ105:LTT105"/>
    <mergeCell ref="LTU105:LTX105"/>
    <mergeCell ref="LTY105:LUB105"/>
    <mergeCell ref="LUC105:LUF105"/>
    <mergeCell ref="LUG105:LUJ105"/>
    <mergeCell ref="LUK105:LUN105"/>
    <mergeCell ref="LUO105:LUR105"/>
    <mergeCell ref="LUS105:LUV105"/>
    <mergeCell ref="LUW105:LUZ105"/>
    <mergeCell ref="LSG105:LSJ105"/>
    <mergeCell ref="LSK105:LSN105"/>
    <mergeCell ref="LSO105:LSR105"/>
    <mergeCell ref="LSS105:LSV105"/>
    <mergeCell ref="LSW105:LSZ105"/>
    <mergeCell ref="LTA105:LTD105"/>
    <mergeCell ref="LTE105:LTH105"/>
    <mergeCell ref="LTI105:LTL105"/>
    <mergeCell ref="LTM105:LTP105"/>
    <mergeCell ref="LQW105:LQZ105"/>
    <mergeCell ref="LRA105:LRD105"/>
    <mergeCell ref="LRE105:LRH105"/>
    <mergeCell ref="LRI105:LRL105"/>
    <mergeCell ref="LRM105:LRP105"/>
    <mergeCell ref="LRQ105:LRT105"/>
    <mergeCell ref="LRU105:LRX105"/>
    <mergeCell ref="LRY105:LSB105"/>
    <mergeCell ref="LSC105:LSF105"/>
    <mergeCell ref="LPM105:LPP105"/>
    <mergeCell ref="LPQ105:LPT105"/>
    <mergeCell ref="LPU105:LPX105"/>
    <mergeCell ref="LPY105:LQB105"/>
    <mergeCell ref="LQC105:LQF105"/>
    <mergeCell ref="LQG105:LQJ105"/>
    <mergeCell ref="LQK105:LQN105"/>
    <mergeCell ref="LQO105:LQR105"/>
    <mergeCell ref="LQS105:LQV105"/>
    <mergeCell ref="LOC105:LOF105"/>
    <mergeCell ref="LOG105:LOJ105"/>
    <mergeCell ref="LOK105:LON105"/>
    <mergeCell ref="LOO105:LOR105"/>
    <mergeCell ref="LOS105:LOV105"/>
    <mergeCell ref="LOW105:LOZ105"/>
    <mergeCell ref="LPA105:LPD105"/>
    <mergeCell ref="LPE105:LPH105"/>
    <mergeCell ref="LPI105:LPL105"/>
    <mergeCell ref="LMS105:LMV105"/>
    <mergeCell ref="LMW105:LMZ105"/>
    <mergeCell ref="LNA105:LND105"/>
    <mergeCell ref="LNE105:LNH105"/>
    <mergeCell ref="LNI105:LNL105"/>
    <mergeCell ref="LNM105:LNP105"/>
    <mergeCell ref="LNQ105:LNT105"/>
    <mergeCell ref="LNU105:LNX105"/>
    <mergeCell ref="LNY105:LOB105"/>
    <mergeCell ref="LLI105:LLL105"/>
    <mergeCell ref="LLM105:LLP105"/>
    <mergeCell ref="LLQ105:LLT105"/>
    <mergeCell ref="LLU105:LLX105"/>
    <mergeCell ref="LLY105:LMB105"/>
    <mergeCell ref="LMC105:LMF105"/>
    <mergeCell ref="LMG105:LMJ105"/>
    <mergeCell ref="LMK105:LMN105"/>
    <mergeCell ref="LMO105:LMR105"/>
    <mergeCell ref="LJY105:LKB105"/>
    <mergeCell ref="LKC105:LKF105"/>
    <mergeCell ref="LKG105:LKJ105"/>
    <mergeCell ref="LKK105:LKN105"/>
    <mergeCell ref="LKO105:LKR105"/>
    <mergeCell ref="LKS105:LKV105"/>
    <mergeCell ref="LKW105:LKZ105"/>
    <mergeCell ref="LLA105:LLD105"/>
    <mergeCell ref="LLE105:LLH105"/>
    <mergeCell ref="LIO105:LIR105"/>
    <mergeCell ref="LIS105:LIV105"/>
    <mergeCell ref="LIW105:LIZ105"/>
    <mergeCell ref="LJA105:LJD105"/>
    <mergeCell ref="LJE105:LJH105"/>
    <mergeCell ref="LJI105:LJL105"/>
    <mergeCell ref="LJM105:LJP105"/>
    <mergeCell ref="LJQ105:LJT105"/>
    <mergeCell ref="LJU105:LJX105"/>
    <mergeCell ref="LHE105:LHH105"/>
    <mergeCell ref="LHI105:LHL105"/>
    <mergeCell ref="LHM105:LHP105"/>
    <mergeCell ref="LHQ105:LHT105"/>
    <mergeCell ref="LHU105:LHX105"/>
    <mergeCell ref="LHY105:LIB105"/>
    <mergeCell ref="LIC105:LIF105"/>
    <mergeCell ref="LIG105:LIJ105"/>
    <mergeCell ref="LIK105:LIN105"/>
    <mergeCell ref="LFU105:LFX105"/>
    <mergeCell ref="LFY105:LGB105"/>
    <mergeCell ref="LGC105:LGF105"/>
    <mergeCell ref="LGG105:LGJ105"/>
    <mergeCell ref="LGK105:LGN105"/>
    <mergeCell ref="LGO105:LGR105"/>
    <mergeCell ref="LGS105:LGV105"/>
    <mergeCell ref="LGW105:LGZ105"/>
    <mergeCell ref="LHA105:LHD105"/>
    <mergeCell ref="LEK105:LEN105"/>
    <mergeCell ref="LEO105:LER105"/>
    <mergeCell ref="LES105:LEV105"/>
    <mergeCell ref="LEW105:LEZ105"/>
    <mergeCell ref="LFA105:LFD105"/>
    <mergeCell ref="LFE105:LFH105"/>
    <mergeCell ref="LFI105:LFL105"/>
    <mergeCell ref="LFM105:LFP105"/>
    <mergeCell ref="LFQ105:LFT105"/>
    <mergeCell ref="LDA105:LDD105"/>
    <mergeCell ref="LDE105:LDH105"/>
    <mergeCell ref="LDI105:LDL105"/>
    <mergeCell ref="LDM105:LDP105"/>
    <mergeCell ref="LDQ105:LDT105"/>
    <mergeCell ref="LDU105:LDX105"/>
    <mergeCell ref="LDY105:LEB105"/>
    <mergeCell ref="LEC105:LEF105"/>
    <mergeCell ref="LEG105:LEJ105"/>
    <mergeCell ref="LBQ105:LBT105"/>
    <mergeCell ref="LBU105:LBX105"/>
    <mergeCell ref="LBY105:LCB105"/>
    <mergeCell ref="LCC105:LCF105"/>
    <mergeCell ref="LCG105:LCJ105"/>
    <mergeCell ref="LCK105:LCN105"/>
    <mergeCell ref="LCO105:LCR105"/>
    <mergeCell ref="LCS105:LCV105"/>
    <mergeCell ref="LCW105:LCZ105"/>
    <mergeCell ref="LAG105:LAJ105"/>
    <mergeCell ref="LAK105:LAN105"/>
    <mergeCell ref="LAO105:LAR105"/>
    <mergeCell ref="LAS105:LAV105"/>
    <mergeCell ref="LAW105:LAZ105"/>
    <mergeCell ref="LBA105:LBD105"/>
    <mergeCell ref="LBE105:LBH105"/>
    <mergeCell ref="LBI105:LBL105"/>
    <mergeCell ref="LBM105:LBP105"/>
    <mergeCell ref="KYW105:KYZ105"/>
    <mergeCell ref="KZA105:KZD105"/>
    <mergeCell ref="KZE105:KZH105"/>
    <mergeCell ref="KZI105:KZL105"/>
    <mergeCell ref="KZM105:KZP105"/>
    <mergeCell ref="KZQ105:KZT105"/>
    <mergeCell ref="KZU105:KZX105"/>
    <mergeCell ref="KZY105:LAB105"/>
    <mergeCell ref="LAC105:LAF105"/>
    <mergeCell ref="KXM105:KXP105"/>
    <mergeCell ref="KXQ105:KXT105"/>
    <mergeCell ref="KXU105:KXX105"/>
    <mergeCell ref="KXY105:KYB105"/>
    <mergeCell ref="KYC105:KYF105"/>
    <mergeCell ref="KYG105:KYJ105"/>
    <mergeCell ref="KYK105:KYN105"/>
    <mergeCell ref="KYO105:KYR105"/>
    <mergeCell ref="KYS105:KYV105"/>
    <mergeCell ref="KWC105:KWF105"/>
    <mergeCell ref="KWG105:KWJ105"/>
    <mergeCell ref="KWK105:KWN105"/>
    <mergeCell ref="KWO105:KWR105"/>
    <mergeCell ref="KWS105:KWV105"/>
    <mergeCell ref="KWW105:KWZ105"/>
    <mergeCell ref="KXA105:KXD105"/>
    <mergeCell ref="KXE105:KXH105"/>
    <mergeCell ref="KXI105:KXL105"/>
    <mergeCell ref="KUS105:KUV105"/>
    <mergeCell ref="KUW105:KUZ105"/>
    <mergeCell ref="KVA105:KVD105"/>
    <mergeCell ref="KVE105:KVH105"/>
    <mergeCell ref="KVI105:KVL105"/>
    <mergeCell ref="KVM105:KVP105"/>
    <mergeCell ref="KVQ105:KVT105"/>
    <mergeCell ref="KVU105:KVX105"/>
    <mergeCell ref="KVY105:KWB105"/>
    <mergeCell ref="KTI105:KTL105"/>
    <mergeCell ref="KTM105:KTP105"/>
    <mergeCell ref="KTQ105:KTT105"/>
    <mergeCell ref="KTU105:KTX105"/>
    <mergeCell ref="KTY105:KUB105"/>
    <mergeCell ref="KUC105:KUF105"/>
    <mergeCell ref="KUG105:KUJ105"/>
    <mergeCell ref="KUK105:KUN105"/>
    <mergeCell ref="KUO105:KUR105"/>
    <mergeCell ref="KRY105:KSB105"/>
    <mergeCell ref="KSC105:KSF105"/>
    <mergeCell ref="KSG105:KSJ105"/>
    <mergeCell ref="KSK105:KSN105"/>
    <mergeCell ref="KSO105:KSR105"/>
    <mergeCell ref="KSS105:KSV105"/>
    <mergeCell ref="KSW105:KSZ105"/>
    <mergeCell ref="KTA105:KTD105"/>
    <mergeCell ref="KTE105:KTH105"/>
    <mergeCell ref="KQO105:KQR105"/>
    <mergeCell ref="KQS105:KQV105"/>
    <mergeCell ref="KQW105:KQZ105"/>
    <mergeCell ref="KRA105:KRD105"/>
    <mergeCell ref="KRE105:KRH105"/>
    <mergeCell ref="KRI105:KRL105"/>
    <mergeCell ref="KRM105:KRP105"/>
    <mergeCell ref="KRQ105:KRT105"/>
    <mergeCell ref="KRU105:KRX105"/>
    <mergeCell ref="KPE105:KPH105"/>
    <mergeCell ref="KPI105:KPL105"/>
    <mergeCell ref="KPM105:KPP105"/>
    <mergeCell ref="KPQ105:KPT105"/>
    <mergeCell ref="KPU105:KPX105"/>
    <mergeCell ref="KPY105:KQB105"/>
    <mergeCell ref="KQC105:KQF105"/>
    <mergeCell ref="KQG105:KQJ105"/>
    <mergeCell ref="KQK105:KQN105"/>
    <mergeCell ref="KNU105:KNX105"/>
    <mergeCell ref="KNY105:KOB105"/>
    <mergeCell ref="KOC105:KOF105"/>
    <mergeCell ref="KOG105:KOJ105"/>
    <mergeCell ref="KOK105:KON105"/>
    <mergeCell ref="KOO105:KOR105"/>
    <mergeCell ref="KOS105:KOV105"/>
    <mergeCell ref="KOW105:KOZ105"/>
    <mergeCell ref="KPA105:KPD105"/>
    <mergeCell ref="KMK105:KMN105"/>
    <mergeCell ref="KMO105:KMR105"/>
    <mergeCell ref="KMS105:KMV105"/>
    <mergeCell ref="KMW105:KMZ105"/>
    <mergeCell ref="KNA105:KND105"/>
    <mergeCell ref="KNE105:KNH105"/>
    <mergeCell ref="KNI105:KNL105"/>
    <mergeCell ref="KNM105:KNP105"/>
    <mergeCell ref="KNQ105:KNT105"/>
    <mergeCell ref="KLA105:KLD105"/>
    <mergeCell ref="KLE105:KLH105"/>
    <mergeCell ref="KLI105:KLL105"/>
    <mergeCell ref="KLM105:KLP105"/>
    <mergeCell ref="KLQ105:KLT105"/>
    <mergeCell ref="KLU105:KLX105"/>
    <mergeCell ref="KLY105:KMB105"/>
    <mergeCell ref="KMC105:KMF105"/>
    <mergeCell ref="KMG105:KMJ105"/>
    <mergeCell ref="KJQ105:KJT105"/>
    <mergeCell ref="KJU105:KJX105"/>
    <mergeCell ref="KJY105:KKB105"/>
    <mergeCell ref="KKC105:KKF105"/>
    <mergeCell ref="KKG105:KKJ105"/>
    <mergeCell ref="KKK105:KKN105"/>
    <mergeCell ref="KKO105:KKR105"/>
    <mergeCell ref="KKS105:KKV105"/>
    <mergeCell ref="KKW105:KKZ105"/>
    <mergeCell ref="KIG105:KIJ105"/>
    <mergeCell ref="KIK105:KIN105"/>
    <mergeCell ref="KIO105:KIR105"/>
    <mergeCell ref="KIS105:KIV105"/>
    <mergeCell ref="KIW105:KIZ105"/>
    <mergeCell ref="KJA105:KJD105"/>
    <mergeCell ref="KJE105:KJH105"/>
    <mergeCell ref="KJI105:KJL105"/>
    <mergeCell ref="KJM105:KJP105"/>
    <mergeCell ref="KGW105:KGZ105"/>
    <mergeCell ref="KHA105:KHD105"/>
    <mergeCell ref="KHE105:KHH105"/>
    <mergeCell ref="KHI105:KHL105"/>
    <mergeCell ref="KHM105:KHP105"/>
    <mergeCell ref="KHQ105:KHT105"/>
    <mergeCell ref="KHU105:KHX105"/>
    <mergeCell ref="KHY105:KIB105"/>
    <mergeCell ref="KIC105:KIF105"/>
    <mergeCell ref="KFM105:KFP105"/>
    <mergeCell ref="KFQ105:KFT105"/>
    <mergeCell ref="KFU105:KFX105"/>
    <mergeCell ref="KFY105:KGB105"/>
    <mergeCell ref="KGC105:KGF105"/>
    <mergeCell ref="KGG105:KGJ105"/>
    <mergeCell ref="KGK105:KGN105"/>
    <mergeCell ref="KGO105:KGR105"/>
    <mergeCell ref="KGS105:KGV105"/>
    <mergeCell ref="KEC105:KEF105"/>
    <mergeCell ref="KEG105:KEJ105"/>
    <mergeCell ref="KEK105:KEN105"/>
    <mergeCell ref="KEO105:KER105"/>
    <mergeCell ref="KES105:KEV105"/>
    <mergeCell ref="KEW105:KEZ105"/>
    <mergeCell ref="KFA105:KFD105"/>
    <mergeCell ref="KFE105:KFH105"/>
    <mergeCell ref="KFI105:KFL105"/>
    <mergeCell ref="KCS105:KCV105"/>
    <mergeCell ref="KCW105:KCZ105"/>
    <mergeCell ref="KDA105:KDD105"/>
    <mergeCell ref="KDE105:KDH105"/>
    <mergeCell ref="KDI105:KDL105"/>
    <mergeCell ref="KDM105:KDP105"/>
    <mergeCell ref="KDQ105:KDT105"/>
    <mergeCell ref="KDU105:KDX105"/>
    <mergeCell ref="KDY105:KEB105"/>
    <mergeCell ref="KBI105:KBL105"/>
    <mergeCell ref="KBM105:KBP105"/>
    <mergeCell ref="KBQ105:KBT105"/>
    <mergeCell ref="KBU105:KBX105"/>
    <mergeCell ref="KBY105:KCB105"/>
    <mergeCell ref="KCC105:KCF105"/>
    <mergeCell ref="KCG105:KCJ105"/>
    <mergeCell ref="KCK105:KCN105"/>
    <mergeCell ref="KCO105:KCR105"/>
    <mergeCell ref="JZY105:KAB105"/>
    <mergeCell ref="KAC105:KAF105"/>
    <mergeCell ref="KAG105:KAJ105"/>
    <mergeCell ref="KAK105:KAN105"/>
    <mergeCell ref="KAO105:KAR105"/>
    <mergeCell ref="KAS105:KAV105"/>
    <mergeCell ref="KAW105:KAZ105"/>
    <mergeCell ref="KBA105:KBD105"/>
    <mergeCell ref="KBE105:KBH105"/>
    <mergeCell ref="JYO105:JYR105"/>
    <mergeCell ref="JYS105:JYV105"/>
    <mergeCell ref="JYW105:JYZ105"/>
    <mergeCell ref="JZA105:JZD105"/>
    <mergeCell ref="JZE105:JZH105"/>
    <mergeCell ref="JZI105:JZL105"/>
    <mergeCell ref="JZM105:JZP105"/>
    <mergeCell ref="JZQ105:JZT105"/>
    <mergeCell ref="JZU105:JZX105"/>
    <mergeCell ref="JXE105:JXH105"/>
    <mergeCell ref="JXI105:JXL105"/>
    <mergeCell ref="JXM105:JXP105"/>
    <mergeCell ref="JXQ105:JXT105"/>
    <mergeCell ref="JXU105:JXX105"/>
    <mergeCell ref="JXY105:JYB105"/>
    <mergeCell ref="JYC105:JYF105"/>
    <mergeCell ref="JYG105:JYJ105"/>
    <mergeCell ref="JYK105:JYN105"/>
    <mergeCell ref="JVU105:JVX105"/>
    <mergeCell ref="JVY105:JWB105"/>
    <mergeCell ref="JWC105:JWF105"/>
    <mergeCell ref="JWG105:JWJ105"/>
    <mergeCell ref="JWK105:JWN105"/>
    <mergeCell ref="JWO105:JWR105"/>
    <mergeCell ref="JWS105:JWV105"/>
    <mergeCell ref="JWW105:JWZ105"/>
    <mergeCell ref="JXA105:JXD105"/>
    <mergeCell ref="JUK105:JUN105"/>
    <mergeCell ref="JUO105:JUR105"/>
    <mergeCell ref="JUS105:JUV105"/>
    <mergeCell ref="JUW105:JUZ105"/>
    <mergeCell ref="JVA105:JVD105"/>
    <mergeCell ref="JVE105:JVH105"/>
    <mergeCell ref="JVI105:JVL105"/>
    <mergeCell ref="JVM105:JVP105"/>
    <mergeCell ref="JVQ105:JVT105"/>
    <mergeCell ref="JTA105:JTD105"/>
    <mergeCell ref="JTE105:JTH105"/>
    <mergeCell ref="JTI105:JTL105"/>
    <mergeCell ref="JTM105:JTP105"/>
    <mergeCell ref="JTQ105:JTT105"/>
    <mergeCell ref="JTU105:JTX105"/>
    <mergeCell ref="JTY105:JUB105"/>
    <mergeCell ref="JUC105:JUF105"/>
    <mergeCell ref="JUG105:JUJ105"/>
    <mergeCell ref="JRQ105:JRT105"/>
    <mergeCell ref="JRU105:JRX105"/>
    <mergeCell ref="JRY105:JSB105"/>
    <mergeCell ref="JSC105:JSF105"/>
    <mergeCell ref="JSG105:JSJ105"/>
    <mergeCell ref="JSK105:JSN105"/>
    <mergeCell ref="JSO105:JSR105"/>
    <mergeCell ref="JSS105:JSV105"/>
    <mergeCell ref="JSW105:JSZ105"/>
    <mergeCell ref="JQG105:JQJ105"/>
    <mergeCell ref="JQK105:JQN105"/>
    <mergeCell ref="JQO105:JQR105"/>
    <mergeCell ref="JQS105:JQV105"/>
    <mergeCell ref="JQW105:JQZ105"/>
    <mergeCell ref="JRA105:JRD105"/>
    <mergeCell ref="JRE105:JRH105"/>
    <mergeCell ref="JRI105:JRL105"/>
    <mergeCell ref="JRM105:JRP105"/>
    <mergeCell ref="JOW105:JOZ105"/>
    <mergeCell ref="JPA105:JPD105"/>
    <mergeCell ref="JPE105:JPH105"/>
    <mergeCell ref="JPI105:JPL105"/>
    <mergeCell ref="JPM105:JPP105"/>
    <mergeCell ref="JPQ105:JPT105"/>
    <mergeCell ref="JPU105:JPX105"/>
    <mergeCell ref="JPY105:JQB105"/>
    <mergeCell ref="JQC105:JQF105"/>
    <mergeCell ref="JNM105:JNP105"/>
    <mergeCell ref="JNQ105:JNT105"/>
    <mergeCell ref="JNU105:JNX105"/>
    <mergeCell ref="JNY105:JOB105"/>
    <mergeCell ref="JOC105:JOF105"/>
    <mergeCell ref="JOG105:JOJ105"/>
    <mergeCell ref="JOK105:JON105"/>
    <mergeCell ref="JOO105:JOR105"/>
    <mergeCell ref="JOS105:JOV105"/>
    <mergeCell ref="JMC105:JMF105"/>
    <mergeCell ref="JMG105:JMJ105"/>
    <mergeCell ref="JMK105:JMN105"/>
    <mergeCell ref="JMO105:JMR105"/>
    <mergeCell ref="JMS105:JMV105"/>
    <mergeCell ref="JMW105:JMZ105"/>
    <mergeCell ref="JNA105:JND105"/>
    <mergeCell ref="JNE105:JNH105"/>
    <mergeCell ref="JNI105:JNL105"/>
    <mergeCell ref="JKS105:JKV105"/>
    <mergeCell ref="JKW105:JKZ105"/>
    <mergeCell ref="JLA105:JLD105"/>
    <mergeCell ref="JLE105:JLH105"/>
    <mergeCell ref="JLI105:JLL105"/>
    <mergeCell ref="JLM105:JLP105"/>
    <mergeCell ref="JLQ105:JLT105"/>
    <mergeCell ref="JLU105:JLX105"/>
    <mergeCell ref="JLY105:JMB105"/>
    <mergeCell ref="JJI105:JJL105"/>
    <mergeCell ref="JJM105:JJP105"/>
    <mergeCell ref="JJQ105:JJT105"/>
    <mergeCell ref="JJU105:JJX105"/>
    <mergeCell ref="JJY105:JKB105"/>
    <mergeCell ref="JKC105:JKF105"/>
    <mergeCell ref="JKG105:JKJ105"/>
    <mergeCell ref="JKK105:JKN105"/>
    <mergeCell ref="JKO105:JKR105"/>
    <mergeCell ref="JHY105:JIB105"/>
    <mergeCell ref="JIC105:JIF105"/>
    <mergeCell ref="JIG105:JIJ105"/>
    <mergeCell ref="JIK105:JIN105"/>
    <mergeCell ref="JIO105:JIR105"/>
    <mergeCell ref="JIS105:JIV105"/>
    <mergeCell ref="JIW105:JIZ105"/>
    <mergeCell ref="JJA105:JJD105"/>
    <mergeCell ref="JJE105:JJH105"/>
    <mergeCell ref="JGO105:JGR105"/>
    <mergeCell ref="JGS105:JGV105"/>
    <mergeCell ref="JGW105:JGZ105"/>
    <mergeCell ref="JHA105:JHD105"/>
    <mergeCell ref="JHE105:JHH105"/>
    <mergeCell ref="JHI105:JHL105"/>
    <mergeCell ref="JHM105:JHP105"/>
    <mergeCell ref="JHQ105:JHT105"/>
    <mergeCell ref="JHU105:JHX105"/>
    <mergeCell ref="JFE105:JFH105"/>
    <mergeCell ref="JFI105:JFL105"/>
    <mergeCell ref="JFM105:JFP105"/>
    <mergeCell ref="JFQ105:JFT105"/>
    <mergeCell ref="JFU105:JFX105"/>
    <mergeCell ref="JFY105:JGB105"/>
    <mergeCell ref="JGC105:JGF105"/>
    <mergeCell ref="JGG105:JGJ105"/>
    <mergeCell ref="JGK105:JGN105"/>
    <mergeCell ref="JDU105:JDX105"/>
    <mergeCell ref="JDY105:JEB105"/>
    <mergeCell ref="JEC105:JEF105"/>
    <mergeCell ref="JEG105:JEJ105"/>
    <mergeCell ref="JEK105:JEN105"/>
    <mergeCell ref="JEO105:JER105"/>
    <mergeCell ref="JES105:JEV105"/>
    <mergeCell ref="JEW105:JEZ105"/>
    <mergeCell ref="JFA105:JFD105"/>
    <mergeCell ref="JCK105:JCN105"/>
    <mergeCell ref="JCO105:JCR105"/>
    <mergeCell ref="JCS105:JCV105"/>
    <mergeCell ref="JCW105:JCZ105"/>
    <mergeCell ref="JDA105:JDD105"/>
    <mergeCell ref="JDE105:JDH105"/>
    <mergeCell ref="JDI105:JDL105"/>
    <mergeCell ref="JDM105:JDP105"/>
    <mergeCell ref="JDQ105:JDT105"/>
    <mergeCell ref="JBA105:JBD105"/>
    <mergeCell ref="JBE105:JBH105"/>
    <mergeCell ref="JBI105:JBL105"/>
    <mergeCell ref="JBM105:JBP105"/>
    <mergeCell ref="JBQ105:JBT105"/>
    <mergeCell ref="JBU105:JBX105"/>
    <mergeCell ref="JBY105:JCB105"/>
    <mergeCell ref="JCC105:JCF105"/>
    <mergeCell ref="JCG105:JCJ105"/>
    <mergeCell ref="IZQ105:IZT105"/>
    <mergeCell ref="IZU105:IZX105"/>
    <mergeCell ref="IZY105:JAB105"/>
    <mergeCell ref="JAC105:JAF105"/>
    <mergeCell ref="JAG105:JAJ105"/>
    <mergeCell ref="JAK105:JAN105"/>
    <mergeCell ref="JAO105:JAR105"/>
    <mergeCell ref="JAS105:JAV105"/>
    <mergeCell ref="JAW105:JAZ105"/>
    <mergeCell ref="IYG105:IYJ105"/>
    <mergeCell ref="IYK105:IYN105"/>
    <mergeCell ref="IYO105:IYR105"/>
    <mergeCell ref="IYS105:IYV105"/>
    <mergeCell ref="IYW105:IYZ105"/>
    <mergeCell ref="IZA105:IZD105"/>
    <mergeCell ref="IZE105:IZH105"/>
    <mergeCell ref="IZI105:IZL105"/>
    <mergeCell ref="IZM105:IZP105"/>
    <mergeCell ref="IWW105:IWZ105"/>
    <mergeCell ref="IXA105:IXD105"/>
    <mergeCell ref="IXE105:IXH105"/>
    <mergeCell ref="IXI105:IXL105"/>
    <mergeCell ref="IXM105:IXP105"/>
    <mergeCell ref="IXQ105:IXT105"/>
    <mergeCell ref="IXU105:IXX105"/>
    <mergeCell ref="IXY105:IYB105"/>
    <mergeCell ref="IYC105:IYF105"/>
    <mergeCell ref="IVM105:IVP105"/>
    <mergeCell ref="IVQ105:IVT105"/>
    <mergeCell ref="IVU105:IVX105"/>
    <mergeCell ref="IVY105:IWB105"/>
    <mergeCell ref="IWC105:IWF105"/>
    <mergeCell ref="IWG105:IWJ105"/>
    <mergeCell ref="IWK105:IWN105"/>
    <mergeCell ref="IWO105:IWR105"/>
    <mergeCell ref="IWS105:IWV105"/>
    <mergeCell ref="IUC105:IUF105"/>
    <mergeCell ref="IUG105:IUJ105"/>
    <mergeCell ref="IUK105:IUN105"/>
    <mergeCell ref="IUO105:IUR105"/>
    <mergeCell ref="IUS105:IUV105"/>
    <mergeCell ref="IUW105:IUZ105"/>
    <mergeCell ref="IVA105:IVD105"/>
    <mergeCell ref="IVE105:IVH105"/>
    <mergeCell ref="IVI105:IVL105"/>
    <mergeCell ref="ISS105:ISV105"/>
    <mergeCell ref="ISW105:ISZ105"/>
    <mergeCell ref="ITA105:ITD105"/>
    <mergeCell ref="ITE105:ITH105"/>
    <mergeCell ref="ITI105:ITL105"/>
    <mergeCell ref="ITM105:ITP105"/>
    <mergeCell ref="ITQ105:ITT105"/>
    <mergeCell ref="ITU105:ITX105"/>
    <mergeCell ref="ITY105:IUB105"/>
    <mergeCell ref="IRI105:IRL105"/>
    <mergeCell ref="IRM105:IRP105"/>
    <mergeCell ref="IRQ105:IRT105"/>
    <mergeCell ref="IRU105:IRX105"/>
    <mergeCell ref="IRY105:ISB105"/>
    <mergeCell ref="ISC105:ISF105"/>
    <mergeCell ref="ISG105:ISJ105"/>
    <mergeCell ref="ISK105:ISN105"/>
    <mergeCell ref="ISO105:ISR105"/>
    <mergeCell ref="IPY105:IQB105"/>
    <mergeCell ref="IQC105:IQF105"/>
    <mergeCell ref="IQG105:IQJ105"/>
    <mergeCell ref="IQK105:IQN105"/>
    <mergeCell ref="IQO105:IQR105"/>
    <mergeCell ref="IQS105:IQV105"/>
    <mergeCell ref="IQW105:IQZ105"/>
    <mergeCell ref="IRA105:IRD105"/>
    <mergeCell ref="IRE105:IRH105"/>
    <mergeCell ref="IOO105:IOR105"/>
    <mergeCell ref="IOS105:IOV105"/>
    <mergeCell ref="IOW105:IOZ105"/>
    <mergeCell ref="IPA105:IPD105"/>
    <mergeCell ref="IPE105:IPH105"/>
    <mergeCell ref="IPI105:IPL105"/>
    <mergeCell ref="IPM105:IPP105"/>
    <mergeCell ref="IPQ105:IPT105"/>
    <mergeCell ref="IPU105:IPX105"/>
    <mergeCell ref="INE105:INH105"/>
    <mergeCell ref="INI105:INL105"/>
    <mergeCell ref="INM105:INP105"/>
    <mergeCell ref="INQ105:INT105"/>
    <mergeCell ref="INU105:INX105"/>
    <mergeCell ref="INY105:IOB105"/>
    <mergeCell ref="IOC105:IOF105"/>
    <mergeCell ref="IOG105:IOJ105"/>
    <mergeCell ref="IOK105:ION105"/>
    <mergeCell ref="ILU105:ILX105"/>
    <mergeCell ref="ILY105:IMB105"/>
    <mergeCell ref="IMC105:IMF105"/>
    <mergeCell ref="IMG105:IMJ105"/>
    <mergeCell ref="IMK105:IMN105"/>
    <mergeCell ref="IMO105:IMR105"/>
    <mergeCell ref="IMS105:IMV105"/>
    <mergeCell ref="IMW105:IMZ105"/>
    <mergeCell ref="INA105:IND105"/>
    <mergeCell ref="IKK105:IKN105"/>
    <mergeCell ref="IKO105:IKR105"/>
    <mergeCell ref="IKS105:IKV105"/>
    <mergeCell ref="IKW105:IKZ105"/>
    <mergeCell ref="ILA105:ILD105"/>
    <mergeCell ref="ILE105:ILH105"/>
    <mergeCell ref="ILI105:ILL105"/>
    <mergeCell ref="ILM105:ILP105"/>
    <mergeCell ref="ILQ105:ILT105"/>
    <mergeCell ref="IJA105:IJD105"/>
    <mergeCell ref="IJE105:IJH105"/>
    <mergeCell ref="IJI105:IJL105"/>
    <mergeCell ref="IJM105:IJP105"/>
    <mergeCell ref="IJQ105:IJT105"/>
    <mergeCell ref="IJU105:IJX105"/>
    <mergeCell ref="IJY105:IKB105"/>
    <mergeCell ref="IKC105:IKF105"/>
    <mergeCell ref="IKG105:IKJ105"/>
    <mergeCell ref="IHQ105:IHT105"/>
    <mergeCell ref="IHU105:IHX105"/>
    <mergeCell ref="IHY105:IIB105"/>
    <mergeCell ref="IIC105:IIF105"/>
    <mergeCell ref="IIG105:IIJ105"/>
    <mergeCell ref="IIK105:IIN105"/>
    <mergeCell ref="IIO105:IIR105"/>
    <mergeCell ref="IIS105:IIV105"/>
    <mergeCell ref="IIW105:IIZ105"/>
    <mergeCell ref="IGG105:IGJ105"/>
    <mergeCell ref="IGK105:IGN105"/>
    <mergeCell ref="IGO105:IGR105"/>
    <mergeCell ref="IGS105:IGV105"/>
    <mergeCell ref="IGW105:IGZ105"/>
    <mergeCell ref="IHA105:IHD105"/>
    <mergeCell ref="IHE105:IHH105"/>
    <mergeCell ref="IHI105:IHL105"/>
    <mergeCell ref="IHM105:IHP105"/>
    <mergeCell ref="IEW105:IEZ105"/>
    <mergeCell ref="IFA105:IFD105"/>
    <mergeCell ref="IFE105:IFH105"/>
    <mergeCell ref="IFI105:IFL105"/>
    <mergeCell ref="IFM105:IFP105"/>
    <mergeCell ref="IFQ105:IFT105"/>
    <mergeCell ref="IFU105:IFX105"/>
    <mergeCell ref="IFY105:IGB105"/>
    <mergeCell ref="IGC105:IGF105"/>
    <mergeCell ref="IDM105:IDP105"/>
    <mergeCell ref="IDQ105:IDT105"/>
    <mergeCell ref="IDU105:IDX105"/>
    <mergeCell ref="IDY105:IEB105"/>
    <mergeCell ref="IEC105:IEF105"/>
    <mergeCell ref="IEG105:IEJ105"/>
    <mergeCell ref="IEK105:IEN105"/>
    <mergeCell ref="IEO105:IER105"/>
    <mergeCell ref="IES105:IEV105"/>
    <mergeCell ref="ICC105:ICF105"/>
    <mergeCell ref="ICG105:ICJ105"/>
    <mergeCell ref="ICK105:ICN105"/>
    <mergeCell ref="ICO105:ICR105"/>
    <mergeCell ref="ICS105:ICV105"/>
    <mergeCell ref="ICW105:ICZ105"/>
    <mergeCell ref="IDA105:IDD105"/>
    <mergeCell ref="IDE105:IDH105"/>
    <mergeCell ref="IDI105:IDL105"/>
    <mergeCell ref="IAS105:IAV105"/>
    <mergeCell ref="IAW105:IAZ105"/>
    <mergeCell ref="IBA105:IBD105"/>
    <mergeCell ref="IBE105:IBH105"/>
    <mergeCell ref="IBI105:IBL105"/>
    <mergeCell ref="IBM105:IBP105"/>
    <mergeCell ref="IBQ105:IBT105"/>
    <mergeCell ref="IBU105:IBX105"/>
    <mergeCell ref="IBY105:ICB105"/>
    <mergeCell ref="HZI105:HZL105"/>
    <mergeCell ref="HZM105:HZP105"/>
    <mergeCell ref="HZQ105:HZT105"/>
    <mergeCell ref="HZU105:HZX105"/>
    <mergeCell ref="HZY105:IAB105"/>
    <mergeCell ref="IAC105:IAF105"/>
    <mergeCell ref="IAG105:IAJ105"/>
    <mergeCell ref="IAK105:IAN105"/>
    <mergeCell ref="IAO105:IAR105"/>
    <mergeCell ref="HXY105:HYB105"/>
    <mergeCell ref="HYC105:HYF105"/>
    <mergeCell ref="HYG105:HYJ105"/>
    <mergeCell ref="HYK105:HYN105"/>
    <mergeCell ref="HYO105:HYR105"/>
    <mergeCell ref="HYS105:HYV105"/>
    <mergeCell ref="HYW105:HYZ105"/>
    <mergeCell ref="HZA105:HZD105"/>
    <mergeCell ref="HZE105:HZH105"/>
    <mergeCell ref="HWO105:HWR105"/>
    <mergeCell ref="HWS105:HWV105"/>
    <mergeCell ref="HWW105:HWZ105"/>
    <mergeCell ref="HXA105:HXD105"/>
    <mergeCell ref="HXE105:HXH105"/>
    <mergeCell ref="HXI105:HXL105"/>
    <mergeCell ref="HXM105:HXP105"/>
    <mergeCell ref="HXQ105:HXT105"/>
    <mergeCell ref="HXU105:HXX105"/>
    <mergeCell ref="HVE105:HVH105"/>
    <mergeCell ref="HVI105:HVL105"/>
    <mergeCell ref="HVM105:HVP105"/>
    <mergeCell ref="HVQ105:HVT105"/>
    <mergeCell ref="HVU105:HVX105"/>
    <mergeCell ref="HVY105:HWB105"/>
    <mergeCell ref="HWC105:HWF105"/>
    <mergeCell ref="HWG105:HWJ105"/>
    <mergeCell ref="HWK105:HWN105"/>
    <mergeCell ref="HTU105:HTX105"/>
    <mergeCell ref="HTY105:HUB105"/>
    <mergeCell ref="HUC105:HUF105"/>
    <mergeCell ref="HUG105:HUJ105"/>
    <mergeCell ref="HUK105:HUN105"/>
    <mergeCell ref="HUO105:HUR105"/>
    <mergeCell ref="HUS105:HUV105"/>
    <mergeCell ref="HUW105:HUZ105"/>
    <mergeCell ref="HVA105:HVD105"/>
    <mergeCell ref="HSK105:HSN105"/>
    <mergeCell ref="HSO105:HSR105"/>
    <mergeCell ref="HSS105:HSV105"/>
    <mergeCell ref="HSW105:HSZ105"/>
    <mergeCell ref="HTA105:HTD105"/>
    <mergeCell ref="HTE105:HTH105"/>
    <mergeCell ref="HTI105:HTL105"/>
    <mergeCell ref="HTM105:HTP105"/>
    <mergeCell ref="HTQ105:HTT105"/>
    <mergeCell ref="HRA105:HRD105"/>
    <mergeCell ref="HRE105:HRH105"/>
    <mergeCell ref="HRI105:HRL105"/>
    <mergeCell ref="HRM105:HRP105"/>
    <mergeCell ref="HRQ105:HRT105"/>
    <mergeCell ref="HRU105:HRX105"/>
    <mergeCell ref="HRY105:HSB105"/>
    <mergeCell ref="HSC105:HSF105"/>
    <mergeCell ref="HSG105:HSJ105"/>
    <mergeCell ref="HPQ105:HPT105"/>
    <mergeCell ref="HPU105:HPX105"/>
    <mergeCell ref="HPY105:HQB105"/>
    <mergeCell ref="HQC105:HQF105"/>
    <mergeCell ref="HQG105:HQJ105"/>
    <mergeCell ref="HQK105:HQN105"/>
    <mergeCell ref="HQO105:HQR105"/>
    <mergeCell ref="HQS105:HQV105"/>
    <mergeCell ref="HQW105:HQZ105"/>
    <mergeCell ref="HOG105:HOJ105"/>
    <mergeCell ref="HOK105:HON105"/>
    <mergeCell ref="HOO105:HOR105"/>
    <mergeCell ref="HOS105:HOV105"/>
    <mergeCell ref="HOW105:HOZ105"/>
    <mergeCell ref="HPA105:HPD105"/>
    <mergeCell ref="HPE105:HPH105"/>
    <mergeCell ref="HPI105:HPL105"/>
    <mergeCell ref="HPM105:HPP105"/>
    <mergeCell ref="HMW105:HMZ105"/>
    <mergeCell ref="HNA105:HND105"/>
    <mergeCell ref="HNE105:HNH105"/>
    <mergeCell ref="HNI105:HNL105"/>
    <mergeCell ref="HNM105:HNP105"/>
    <mergeCell ref="HNQ105:HNT105"/>
    <mergeCell ref="HNU105:HNX105"/>
    <mergeCell ref="HNY105:HOB105"/>
    <mergeCell ref="HOC105:HOF105"/>
    <mergeCell ref="HLM105:HLP105"/>
    <mergeCell ref="HLQ105:HLT105"/>
    <mergeCell ref="HLU105:HLX105"/>
    <mergeCell ref="HLY105:HMB105"/>
    <mergeCell ref="HMC105:HMF105"/>
    <mergeCell ref="HMG105:HMJ105"/>
    <mergeCell ref="HMK105:HMN105"/>
    <mergeCell ref="HMO105:HMR105"/>
    <mergeCell ref="HMS105:HMV105"/>
    <mergeCell ref="HKC105:HKF105"/>
    <mergeCell ref="HKG105:HKJ105"/>
    <mergeCell ref="HKK105:HKN105"/>
    <mergeCell ref="HKO105:HKR105"/>
    <mergeCell ref="HKS105:HKV105"/>
    <mergeCell ref="HKW105:HKZ105"/>
    <mergeCell ref="HLA105:HLD105"/>
    <mergeCell ref="HLE105:HLH105"/>
    <mergeCell ref="HLI105:HLL105"/>
    <mergeCell ref="HIS105:HIV105"/>
    <mergeCell ref="HIW105:HIZ105"/>
    <mergeCell ref="HJA105:HJD105"/>
    <mergeCell ref="HJE105:HJH105"/>
    <mergeCell ref="HJI105:HJL105"/>
    <mergeCell ref="HJM105:HJP105"/>
    <mergeCell ref="HJQ105:HJT105"/>
    <mergeCell ref="HJU105:HJX105"/>
    <mergeCell ref="HJY105:HKB105"/>
    <mergeCell ref="HHI105:HHL105"/>
    <mergeCell ref="HHM105:HHP105"/>
    <mergeCell ref="HHQ105:HHT105"/>
    <mergeCell ref="HHU105:HHX105"/>
    <mergeCell ref="HHY105:HIB105"/>
    <mergeCell ref="HIC105:HIF105"/>
    <mergeCell ref="HIG105:HIJ105"/>
    <mergeCell ref="HIK105:HIN105"/>
    <mergeCell ref="HIO105:HIR105"/>
    <mergeCell ref="HFY105:HGB105"/>
    <mergeCell ref="HGC105:HGF105"/>
    <mergeCell ref="HGG105:HGJ105"/>
    <mergeCell ref="HGK105:HGN105"/>
    <mergeCell ref="HGO105:HGR105"/>
    <mergeCell ref="HGS105:HGV105"/>
    <mergeCell ref="HGW105:HGZ105"/>
    <mergeCell ref="HHA105:HHD105"/>
    <mergeCell ref="HHE105:HHH105"/>
    <mergeCell ref="HEO105:HER105"/>
    <mergeCell ref="HES105:HEV105"/>
    <mergeCell ref="HEW105:HEZ105"/>
    <mergeCell ref="HFA105:HFD105"/>
    <mergeCell ref="HFE105:HFH105"/>
    <mergeCell ref="HFI105:HFL105"/>
    <mergeCell ref="HFM105:HFP105"/>
    <mergeCell ref="HFQ105:HFT105"/>
    <mergeCell ref="HFU105:HFX105"/>
    <mergeCell ref="HDE105:HDH105"/>
    <mergeCell ref="HDI105:HDL105"/>
    <mergeCell ref="HDM105:HDP105"/>
    <mergeCell ref="HDQ105:HDT105"/>
    <mergeCell ref="HDU105:HDX105"/>
    <mergeCell ref="HDY105:HEB105"/>
    <mergeCell ref="HEC105:HEF105"/>
    <mergeCell ref="HEG105:HEJ105"/>
    <mergeCell ref="HEK105:HEN105"/>
    <mergeCell ref="HBU105:HBX105"/>
    <mergeCell ref="HBY105:HCB105"/>
    <mergeCell ref="HCC105:HCF105"/>
    <mergeCell ref="HCG105:HCJ105"/>
    <mergeCell ref="HCK105:HCN105"/>
    <mergeCell ref="HCO105:HCR105"/>
    <mergeCell ref="HCS105:HCV105"/>
    <mergeCell ref="HCW105:HCZ105"/>
    <mergeCell ref="HDA105:HDD105"/>
    <mergeCell ref="HAK105:HAN105"/>
    <mergeCell ref="HAO105:HAR105"/>
    <mergeCell ref="HAS105:HAV105"/>
    <mergeCell ref="HAW105:HAZ105"/>
    <mergeCell ref="HBA105:HBD105"/>
    <mergeCell ref="HBE105:HBH105"/>
    <mergeCell ref="HBI105:HBL105"/>
    <mergeCell ref="HBM105:HBP105"/>
    <mergeCell ref="HBQ105:HBT105"/>
    <mergeCell ref="GZA105:GZD105"/>
    <mergeCell ref="GZE105:GZH105"/>
    <mergeCell ref="GZI105:GZL105"/>
    <mergeCell ref="GZM105:GZP105"/>
    <mergeCell ref="GZQ105:GZT105"/>
    <mergeCell ref="GZU105:GZX105"/>
    <mergeCell ref="GZY105:HAB105"/>
    <mergeCell ref="HAC105:HAF105"/>
    <mergeCell ref="HAG105:HAJ105"/>
    <mergeCell ref="GXQ105:GXT105"/>
    <mergeCell ref="GXU105:GXX105"/>
    <mergeCell ref="GXY105:GYB105"/>
    <mergeCell ref="GYC105:GYF105"/>
    <mergeCell ref="GYG105:GYJ105"/>
    <mergeCell ref="GYK105:GYN105"/>
    <mergeCell ref="GYO105:GYR105"/>
    <mergeCell ref="GYS105:GYV105"/>
    <mergeCell ref="GYW105:GYZ105"/>
    <mergeCell ref="GWG105:GWJ105"/>
    <mergeCell ref="GWK105:GWN105"/>
    <mergeCell ref="GWO105:GWR105"/>
    <mergeCell ref="GWS105:GWV105"/>
    <mergeCell ref="GWW105:GWZ105"/>
    <mergeCell ref="GXA105:GXD105"/>
    <mergeCell ref="GXE105:GXH105"/>
    <mergeCell ref="GXI105:GXL105"/>
    <mergeCell ref="GXM105:GXP105"/>
    <mergeCell ref="GUW105:GUZ105"/>
    <mergeCell ref="GVA105:GVD105"/>
    <mergeCell ref="GVE105:GVH105"/>
    <mergeCell ref="GVI105:GVL105"/>
    <mergeCell ref="GVM105:GVP105"/>
    <mergeCell ref="GVQ105:GVT105"/>
    <mergeCell ref="GVU105:GVX105"/>
    <mergeCell ref="GVY105:GWB105"/>
    <mergeCell ref="GWC105:GWF105"/>
    <mergeCell ref="GTM105:GTP105"/>
    <mergeCell ref="GTQ105:GTT105"/>
    <mergeCell ref="GTU105:GTX105"/>
    <mergeCell ref="GTY105:GUB105"/>
    <mergeCell ref="GUC105:GUF105"/>
    <mergeCell ref="GUG105:GUJ105"/>
    <mergeCell ref="GUK105:GUN105"/>
    <mergeCell ref="GUO105:GUR105"/>
    <mergeCell ref="GUS105:GUV105"/>
    <mergeCell ref="GSC105:GSF105"/>
    <mergeCell ref="GSG105:GSJ105"/>
    <mergeCell ref="GSK105:GSN105"/>
    <mergeCell ref="GSO105:GSR105"/>
    <mergeCell ref="GSS105:GSV105"/>
    <mergeCell ref="GSW105:GSZ105"/>
    <mergeCell ref="GTA105:GTD105"/>
    <mergeCell ref="GTE105:GTH105"/>
    <mergeCell ref="GTI105:GTL105"/>
    <mergeCell ref="GQS105:GQV105"/>
    <mergeCell ref="GQW105:GQZ105"/>
    <mergeCell ref="GRA105:GRD105"/>
    <mergeCell ref="GRE105:GRH105"/>
    <mergeCell ref="GRI105:GRL105"/>
    <mergeCell ref="GRM105:GRP105"/>
    <mergeCell ref="GRQ105:GRT105"/>
    <mergeCell ref="GRU105:GRX105"/>
    <mergeCell ref="GRY105:GSB105"/>
    <mergeCell ref="GPI105:GPL105"/>
    <mergeCell ref="GPM105:GPP105"/>
    <mergeCell ref="GPQ105:GPT105"/>
    <mergeCell ref="GPU105:GPX105"/>
    <mergeCell ref="GPY105:GQB105"/>
    <mergeCell ref="GQC105:GQF105"/>
    <mergeCell ref="GQG105:GQJ105"/>
    <mergeCell ref="GQK105:GQN105"/>
    <mergeCell ref="GQO105:GQR105"/>
    <mergeCell ref="GNY105:GOB105"/>
    <mergeCell ref="GOC105:GOF105"/>
    <mergeCell ref="GOG105:GOJ105"/>
    <mergeCell ref="GOK105:GON105"/>
    <mergeCell ref="GOO105:GOR105"/>
    <mergeCell ref="GOS105:GOV105"/>
    <mergeCell ref="GOW105:GOZ105"/>
    <mergeCell ref="GPA105:GPD105"/>
    <mergeCell ref="GPE105:GPH105"/>
    <mergeCell ref="GMO105:GMR105"/>
    <mergeCell ref="GMS105:GMV105"/>
    <mergeCell ref="GMW105:GMZ105"/>
    <mergeCell ref="GNA105:GND105"/>
    <mergeCell ref="GNE105:GNH105"/>
    <mergeCell ref="GNI105:GNL105"/>
    <mergeCell ref="GNM105:GNP105"/>
    <mergeCell ref="GNQ105:GNT105"/>
    <mergeCell ref="GNU105:GNX105"/>
    <mergeCell ref="GLE105:GLH105"/>
    <mergeCell ref="GLI105:GLL105"/>
    <mergeCell ref="GLM105:GLP105"/>
    <mergeCell ref="GLQ105:GLT105"/>
    <mergeCell ref="GLU105:GLX105"/>
    <mergeCell ref="GLY105:GMB105"/>
    <mergeCell ref="GMC105:GMF105"/>
    <mergeCell ref="GMG105:GMJ105"/>
    <mergeCell ref="GMK105:GMN105"/>
    <mergeCell ref="GJU105:GJX105"/>
    <mergeCell ref="GJY105:GKB105"/>
    <mergeCell ref="GKC105:GKF105"/>
    <mergeCell ref="GKG105:GKJ105"/>
    <mergeCell ref="GKK105:GKN105"/>
    <mergeCell ref="GKO105:GKR105"/>
    <mergeCell ref="GKS105:GKV105"/>
    <mergeCell ref="GKW105:GKZ105"/>
    <mergeCell ref="GLA105:GLD105"/>
    <mergeCell ref="GIK105:GIN105"/>
    <mergeCell ref="GIO105:GIR105"/>
    <mergeCell ref="GIS105:GIV105"/>
    <mergeCell ref="GIW105:GIZ105"/>
    <mergeCell ref="GJA105:GJD105"/>
    <mergeCell ref="GJE105:GJH105"/>
    <mergeCell ref="GJI105:GJL105"/>
    <mergeCell ref="GJM105:GJP105"/>
    <mergeCell ref="GJQ105:GJT105"/>
    <mergeCell ref="GHA105:GHD105"/>
    <mergeCell ref="GHE105:GHH105"/>
    <mergeCell ref="GHI105:GHL105"/>
    <mergeCell ref="GHM105:GHP105"/>
    <mergeCell ref="GHQ105:GHT105"/>
    <mergeCell ref="GHU105:GHX105"/>
    <mergeCell ref="GHY105:GIB105"/>
    <mergeCell ref="GIC105:GIF105"/>
    <mergeCell ref="GIG105:GIJ105"/>
    <mergeCell ref="GFQ105:GFT105"/>
    <mergeCell ref="GFU105:GFX105"/>
    <mergeCell ref="GFY105:GGB105"/>
    <mergeCell ref="GGC105:GGF105"/>
    <mergeCell ref="GGG105:GGJ105"/>
    <mergeCell ref="GGK105:GGN105"/>
    <mergeCell ref="GGO105:GGR105"/>
    <mergeCell ref="GGS105:GGV105"/>
    <mergeCell ref="GGW105:GGZ105"/>
    <mergeCell ref="GEG105:GEJ105"/>
    <mergeCell ref="GEK105:GEN105"/>
    <mergeCell ref="GEO105:GER105"/>
    <mergeCell ref="GES105:GEV105"/>
    <mergeCell ref="GEW105:GEZ105"/>
    <mergeCell ref="GFA105:GFD105"/>
    <mergeCell ref="GFE105:GFH105"/>
    <mergeCell ref="GFI105:GFL105"/>
    <mergeCell ref="GFM105:GFP105"/>
    <mergeCell ref="GCW105:GCZ105"/>
    <mergeCell ref="GDA105:GDD105"/>
    <mergeCell ref="GDE105:GDH105"/>
    <mergeCell ref="GDI105:GDL105"/>
    <mergeCell ref="GDM105:GDP105"/>
    <mergeCell ref="GDQ105:GDT105"/>
    <mergeCell ref="GDU105:GDX105"/>
    <mergeCell ref="GDY105:GEB105"/>
    <mergeCell ref="GEC105:GEF105"/>
    <mergeCell ref="GBM105:GBP105"/>
    <mergeCell ref="GBQ105:GBT105"/>
    <mergeCell ref="GBU105:GBX105"/>
    <mergeCell ref="GBY105:GCB105"/>
    <mergeCell ref="GCC105:GCF105"/>
    <mergeCell ref="GCG105:GCJ105"/>
    <mergeCell ref="GCK105:GCN105"/>
    <mergeCell ref="GCO105:GCR105"/>
    <mergeCell ref="GCS105:GCV105"/>
    <mergeCell ref="GAC105:GAF105"/>
    <mergeCell ref="GAG105:GAJ105"/>
    <mergeCell ref="GAK105:GAN105"/>
    <mergeCell ref="GAO105:GAR105"/>
    <mergeCell ref="GAS105:GAV105"/>
    <mergeCell ref="GAW105:GAZ105"/>
    <mergeCell ref="GBA105:GBD105"/>
    <mergeCell ref="GBE105:GBH105"/>
    <mergeCell ref="GBI105:GBL105"/>
    <mergeCell ref="FYS105:FYV105"/>
    <mergeCell ref="FYW105:FYZ105"/>
    <mergeCell ref="FZA105:FZD105"/>
    <mergeCell ref="FZE105:FZH105"/>
    <mergeCell ref="FZI105:FZL105"/>
    <mergeCell ref="FZM105:FZP105"/>
    <mergeCell ref="FZQ105:FZT105"/>
    <mergeCell ref="FZU105:FZX105"/>
    <mergeCell ref="FZY105:GAB105"/>
    <mergeCell ref="FXI105:FXL105"/>
    <mergeCell ref="FXM105:FXP105"/>
    <mergeCell ref="FXQ105:FXT105"/>
    <mergeCell ref="FXU105:FXX105"/>
    <mergeCell ref="FXY105:FYB105"/>
    <mergeCell ref="FYC105:FYF105"/>
    <mergeCell ref="FYG105:FYJ105"/>
    <mergeCell ref="FYK105:FYN105"/>
    <mergeCell ref="FYO105:FYR105"/>
    <mergeCell ref="FVY105:FWB105"/>
    <mergeCell ref="FWC105:FWF105"/>
    <mergeCell ref="FWG105:FWJ105"/>
    <mergeCell ref="FWK105:FWN105"/>
    <mergeCell ref="FWO105:FWR105"/>
    <mergeCell ref="FWS105:FWV105"/>
    <mergeCell ref="FWW105:FWZ105"/>
    <mergeCell ref="FXA105:FXD105"/>
    <mergeCell ref="FXE105:FXH105"/>
    <mergeCell ref="FUO105:FUR105"/>
    <mergeCell ref="FUS105:FUV105"/>
    <mergeCell ref="FUW105:FUZ105"/>
    <mergeCell ref="FVA105:FVD105"/>
    <mergeCell ref="FVE105:FVH105"/>
    <mergeCell ref="FVI105:FVL105"/>
    <mergeCell ref="FVM105:FVP105"/>
    <mergeCell ref="FVQ105:FVT105"/>
    <mergeCell ref="FVU105:FVX105"/>
    <mergeCell ref="FTE105:FTH105"/>
    <mergeCell ref="FTI105:FTL105"/>
    <mergeCell ref="FTM105:FTP105"/>
    <mergeCell ref="FTQ105:FTT105"/>
    <mergeCell ref="FTU105:FTX105"/>
    <mergeCell ref="FTY105:FUB105"/>
    <mergeCell ref="FUC105:FUF105"/>
    <mergeCell ref="FUG105:FUJ105"/>
    <mergeCell ref="FUK105:FUN105"/>
    <mergeCell ref="FRU105:FRX105"/>
    <mergeCell ref="FRY105:FSB105"/>
    <mergeCell ref="FSC105:FSF105"/>
    <mergeCell ref="FSG105:FSJ105"/>
    <mergeCell ref="FSK105:FSN105"/>
    <mergeCell ref="FSO105:FSR105"/>
    <mergeCell ref="FSS105:FSV105"/>
    <mergeCell ref="FSW105:FSZ105"/>
    <mergeCell ref="FTA105:FTD105"/>
    <mergeCell ref="FQK105:FQN105"/>
    <mergeCell ref="FQO105:FQR105"/>
    <mergeCell ref="FQS105:FQV105"/>
    <mergeCell ref="FQW105:FQZ105"/>
    <mergeCell ref="FRA105:FRD105"/>
    <mergeCell ref="FRE105:FRH105"/>
    <mergeCell ref="FRI105:FRL105"/>
    <mergeCell ref="FRM105:FRP105"/>
    <mergeCell ref="FRQ105:FRT105"/>
    <mergeCell ref="FPA105:FPD105"/>
    <mergeCell ref="FPE105:FPH105"/>
    <mergeCell ref="FPI105:FPL105"/>
    <mergeCell ref="FPM105:FPP105"/>
    <mergeCell ref="FPQ105:FPT105"/>
    <mergeCell ref="FPU105:FPX105"/>
    <mergeCell ref="FPY105:FQB105"/>
    <mergeCell ref="FQC105:FQF105"/>
    <mergeCell ref="FQG105:FQJ105"/>
    <mergeCell ref="FNQ105:FNT105"/>
    <mergeCell ref="FNU105:FNX105"/>
    <mergeCell ref="FNY105:FOB105"/>
    <mergeCell ref="FOC105:FOF105"/>
    <mergeCell ref="FOG105:FOJ105"/>
    <mergeCell ref="FOK105:FON105"/>
    <mergeCell ref="FOO105:FOR105"/>
    <mergeCell ref="FOS105:FOV105"/>
    <mergeCell ref="FOW105:FOZ105"/>
    <mergeCell ref="FMG105:FMJ105"/>
    <mergeCell ref="FMK105:FMN105"/>
    <mergeCell ref="FMO105:FMR105"/>
    <mergeCell ref="FMS105:FMV105"/>
    <mergeCell ref="FMW105:FMZ105"/>
    <mergeCell ref="FNA105:FND105"/>
    <mergeCell ref="FNE105:FNH105"/>
    <mergeCell ref="FNI105:FNL105"/>
    <mergeCell ref="FNM105:FNP105"/>
    <mergeCell ref="FKW105:FKZ105"/>
    <mergeCell ref="FLA105:FLD105"/>
    <mergeCell ref="FLE105:FLH105"/>
    <mergeCell ref="FLI105:FLL105"/>
    <mergeCell ref="FLM105:FLP105"/>
    <mergeCell ref="FLQ105:FLT105"/>
    <mergeCell ref="FLU105:FLX105"/>
    <mergeCell ref="FLY105:FMB105"/>
    <mergeCell ref="FMC105:FMF105"/>
    <mergeCell ref="FJM105:FJP105"/>
    <mergeCell ref="FJQ105:FJT105"/>
    <mergeCell ref="FJU105:FJX105"/>
    <mergeCell ref="FJY105:FKB105"/>
    <mergeCell ref="FKC105:FKF105"/>
    <mergeCell ref="FKG105:FKJ105"/>
    <mergeCell ref="FKK105:FKN105"/>
    <mergeCell ref="FKO105:FKR105"/>
    <mergeCell ref="FKS105:FKV105"/>
    <mergeCell ref="FIC105:FIF105"/>
    <mergeCell ref="FIG105:FIJ105"/>
    <mergeCell ref="FIK105:FIN105"/>
    <mergeCell ref="FIO105:FIR105"/>
    <mergeCell ref="FIS105:FIV105"/>
    <mergeCell ref="FIW105:FIZ105"/>
    <mergeCell ref="FJA105:FJD105"/>
    <mergeCell ref="FJE105:FJH105"/>
    <mergeCell ref="FJI105:FJL105"/>
    <mergeCell ref="FGS105:FGV105"/>
    <mergeCell ref="FGW105:FGZ105"/>
    <mergeCell ref="FHA105:FHD105"/>
    <mergeCell ref="FHE105:FHH105"/>
    <mergeCell ref="FHI105:FHL105"/>
    <mergeCell ref="FHM105:FHP105"/>
    <mergeCell ref="FHQ105:FHT105"/>
    <mergeCell ref="FHU105:FHX105"/>
    <mergeCell ref="FHY105:FIB105"/>
    <mergeCell ref="FFI105:FFL105"/>
    <mergeCell ref="FFM105:FFP105"/>
    <mergeCell ref="FFQ105:FFT105"/>
    <mergeCell ref="FFU105:FFX105"/>
    <mergeCell ref="FFY105:FGB105"/>
    <mergeCell ref="FGC105:FGF105"/>
    <mergeCell ref="FGG105:FGJ105"/>
    <mergeCell ref="FGK105:FGN105"/>
    <mergeCell ref="FGO105:FGR105"/>
    <mergeCell ref="FDY105:FEB105"/>
    <mergeCell ref="FEC105:FEF105"/>
    <mergeCell ref="FEG105:FEJ105"/>
    <mergeCell ref="FEK105:FEN105"/>
    <mergeCell ref="FEO105:FER105"/>
    <mergeCell ref="FES105:FEV105"/>
    <mergeCell ref="FEW105:FEZ105"/>
    <mergeCell ref="FFA105:FFD105"/>
    <mergeCell ref="FFE105:FFH105"/>
    <mergeCell ref="FCO105:FCR105"/>
    <mergeCell ref="FCS105:FCV105"/>
    <mergeCell ref="FCW105:FCZ105"/>
    <mergeCell ref="FDA105:FDD105"/>
    <mergeCell ref="FDE105:FDH105"/>
    <mergeCell ref="FDI105:FDL105"/>
    <mergeCell ref="FDM105:FDP105"/>
    <mergeCell ref="FDQ105:FDT105"/>
    <mergeCell ref="FDU105:FDX105"/>
    <mergeCell ref="FBE105:FBH105"/>
    <mergeCell ref="FBI105:FBL105"/>
    <mergeCell ref="FBM105:FBP105"/>
    <mergeCell ref="FBQ105:FBT105"/>
    <mergeCell ref="FBU105:FBX105"/>
    <mergeCell ref="FBY105:FCB105"/>
    <mergeCell ref="FCC105:FCF105"/>
    <mergeCell ref="FCG105:FCJ105"/>
    <mergeCell ref="FCK105:FCN105"/>
    <mergeCell ref="EZU105:EZX105"/>
    <mergeCell ref="EZY105:FAB105"/>
    <mergeCell ref="FAC105:FAF105"/>
    <mergeCell ref="FAG105:FAJ105"/>
    <mergeCell ref="FAK105:FAN105"/>
    <mergeCell ref="FAO105:FAR105"/>
    <mergeCell ref="FAS105:FAV105"/>
    <mergeCell ref="FAW105:FAZ105"/>
    <mergeCell ref="FBA105:FBD105"/>
    <mergeCell ref="EYK105:EYN105"/>
    <mergeCell ref="EYO105:EYR105"/>
    <mergeCell ref="EYS105:EYV105"/>
    <mergeCell ref="EYW105:EYZ105"/>
    <mergeCell ref="EZA105:EZD105"/>
    <mergeCell ref="EZE105:EZH105"/>
    <mergeCell ref="EZI105:EZL105"/>
    <mergeCell ref="EZM105:EZP105"/>
    <mergeCell ref="EZQ105:EZT105"/>
    <mergeCell ref="EXA105:EXD105"/>
    <mergeCell ref="EXE105:EXH105"/>
    <mergeCell ref="EXI105:EXL105"/>
    <mergeCell ref="EXM105:EXP105"/>
    <mergeCell ref="EXQ105:EXT105"/>
    <mergeCell ref="EXU105:EXX105"/>
    <mergeCell ref="EXY105:EYB105"/>
    <mergeCell ref="EYC105:EYF105"/>
    <mergeCell ref="EYG105:EYJ105"/>
    <mergeCell ref="EVQ105:EVT105"/>
    <mergeCell ref="EVU105:EVX105"/>
    <mergeCell ref="EVY105:EWB105"/>
    <mergeCell ref="EWC105:EWF105"/>
    <mergeCell ref="EWG105:EWJ105"/>
    <mergeCell ref="EWK105:EWN105"/>
    <mergeCell ref="EWO105:EWR105"/>
    <mergeCell ref="EWS105:EWV105"/>
    <mergeCell ref="EWW105:EWZ105"/>
    <mergeCell ref="EUG105:EUJ105"/>
    <mergeCell ref="EUK105:EUN105"/>
    <mergeCell ref="EUO105:EUR105"/>
    <mergeCell ref="EUS105:EUV105"/>
    <mergeCell ref="EUW105:EUZ105"/>
    <mergeCell ref="EVA105:EVD105"/>
    <mergeCell ref="EVE105:EVH105"/>
    <mergeCell ref="EVI105:EVL105"/>
    <mergeCell ref="EVM105:EVP105"/>
    <mergeCell ref="ESW105:ESZ105"/>
    <mergeCell ref="ETA105:ETD105"/>
    <mergeCell ref="ETE105:ETH105"/>
    <mergeCell ref="ETI105:ETL105"/>
    <mergeCell ref="ETM105:ETP105"/>
    <mergeCell ref="ETQ105:ETT105"/>
    <mergeCell ref="ETU105:ETX105"/>
    <mergeCell ref="ETY105:EUB105"/>
    <mergeCell ref="EUC105:EUF105"/>
    <mergeCell ref="ERM105:ERP105"/>
    <mergeCell ref="ERQ105:ERT105"/>
    <mergeCell ref="ERU105:ERX105"/>
    <mergeCell ref="ERY105:ESB105"/>
    <mergeCell ref="ESC105:ESF105"/>
    <mergeCell ref="ESG105:ESJ105"/>
    <mergeCell ref="ESK105:ESN105"/>
    <mergeCell ref="ESO105:ESR105"/>
    <mergeCell ref="ESS105:ESV105"/>
    <mergeCell ref="EQC105:EQF105"/>
    <mergeCell ref="EQG105:EQJ105"/>
    <mergeCell ref="EQK105:EQN105"/>
    <mergeCell ref="EQO105:EQR105"/>
    <mergeCell ref="EQS105:EQV105"/>
    <mergeCell ref="EQW105:EQZ105"/>
    <mergeCell ref="ERA105:ERD105"/>
    <mergeCell ref="ERE105:ERH105"/>
    <mergeCell ref="ERI105:ERL105"/>
    <mergeCell ref="EOS105:EOV105"/>
    <mergeCell ref="EOW105:EOZ105"/>
    <mergeCell ref="EPA105:EPD105"/>
    <mergeCell ref="EPE105:EPH105"/>
    <mergeCell ref="EPI105:EPL105"/>
    <mergeCell ref="EPM105:EPP105"/>
    <mergeCell ref="EPQ105:EPT105"/>
    <mergeCell ref="EPU105:EPX105"/>
    <mergeCell ref="EPY105:EQB105"/>
    <mergeCell ref="ENI105:ENL105"/>
    <mergeCell ref="ENM105:ENP105"/>
    <mergeCell ref="ENQ105:ENT105"/>
    <mergeCell ref="ENU105:ENX105"/>
    <mergeCell ref="ENY105:EOB105"/>
    <mergeCell ref="EOC105:EOF105"/>
    <mergeCell ref="EOG105:EOJ105"/>
    <mergeCell ref="EOK105:EON105"/>
    <mergeCell ref="EOO105:EOR105"/>
    <mergeCell ref="ELY105:EMB105"/>
    <mergeCell ref="EMC105:EMF105"/>
    <mergeCell ref="EMG105:EMJ105"/>
    <mergeCell ref="EMK105:EMN105"/>
    <mergeCell ref="EMO105:EMR105"/>
    <mergeCell ref="EMS105:EMV105"/>
    <mergeCell ref="EMW105:EMZ105"/>
    <mergeCell ref="ENA105:END105"/>
    <mergeCell ref="ENE105:ENH105"/>
    <mergeCell ref="EKO105:EKR105"/>
    <mergeCell ref="EKS105:EKV105"/>
    <mergeCell ref="EKW105:EKZ105"/>
    <mergeCell ref="ELA105:ELD105"/>
    <mergeCell ref="ELE105:ELH105"/>
    <mergeCell ref="ELI105:ELL105"/>
    <mergeCell ref="ELM105:ELP105"/>
    <mergeCell ref="ELQ105:ELT105"/>
    <mergeCell ref="ELU105:ELX105"/>
    <mergeCell ref="EJE105:EJH105"/>
    <mergeCell ref="EJI105:EJL105"/>
    <mergeCell ref="EJM105:EJP105"/>
    <mergeCell ref="EJQ105:EJT105"/>
    <mergeCell ref="EJU105:EJX105"/>
    <mergeCell ref="EJY105:EKB105"/>
    <mergeCell ref="EKC105:EKF105"/>
    <mergeCell ref="EKG105:EKJ105"/>
    <mergeCell ref="EKK105:EKN105"/>
    <mergeCell ref="EHU105:EHX105"/>
    <mergeCell ref="EHY105:EIB105"/>
    <mergeCell ref="EIC105:EIF105"/>
    <mergeCell ref="EIG105:EIJ105"/>
    <mergeCell ref="EIK105:EIN105"/>
    <mergeCell ref="EIO105:EIR105"/>
    <mergeCell ref="EIS105:EIV105"/>
    <mergeCell ref="EIW105:EIZ105"/>
    <mergeCell ref="EJA105:EJD105"/>
    <mergeCell ref="EGK105:EGN105"/>
    <mergeCell ref="EGO105:EGR105"/>
    <mergeCell ref="EGS105:EGV105"/>
    <mergeCell ref="EGW105:EGZ105"/>
    <mergeCell ref="EHA105:EHD105"/>
    <mergeCell ref="EHE105:EHH105"/>
    <mergeCell ref="EHI105:EHL105"/>
    <mergeCell ref="EHM105:EHP105"/>
    <mergeCell ref="EHQ105:EHT105"/>
    <mergeCell ref="EFA105:EFD105"/>
    <mergeCell ref="EFE105:EFH105"/>
    <mergeCell ref="EFI105:EFL105"/>
    <mergeCell ref="EFM105:EFP105"/>
    <mergeCell ref="EFQ105:EFT105"/>
    <mergeCell ref="EFU105:EFX105"/>
    <mergeCell ref="EFY105:EGB105"/>
    <mergeCell ref="EGC105:EGF105"/>
    <mergeCell ref="EGG105:EGJ105"/>
    <mergeCell ref="EDQ105:EDT105"/>
    <mergeCell ref="EDU105:EDX105"/>
    <mergeCell ref="EDY105:EEB105"/>
    <mergeCell ref="EEC105:EEF105"/>
    <mergeCell ref="EEG105:EEJ105"/>
    <mergeCell ref="EEK105:EEN105"/>
    <mergeCell ref="EEO105:EER105"/>
    <mergeCell ref="EES105:EEV105"/>
    <mergeCell ref="EEW105:EEZ105"/>
    <mergeCell ref="ECG105:ECJ105"/>
    <mergeCell ref="ECK105:ECN105"/>
    <mergeCell ref="ECO105:ECR105"/>
    <mergeCell ref="ECS105:ECV105"/>
    <mergeCell ref="ECW105:ECZ105"/>
    <mergeCell ref="EDA105:EDD105"/>
    <mergeCell ref="EDE105:EDH105"/>
    <mergeCell ref="EDI105:EDL105"/>
    <mergeCell ref="EDM105:EDP105"/>
    <mergeCell ref="EAW105:EAZ105"/>
    <mergeCell ref="EBA105:EBD105"/>
    <mergeCell ref="EBE105:EBH105"/>
    <mergeCell ref="EBI105:EBL105"/>
    <mergeCell ref="EBM105:EBP105"/>
    <mergeCell ref="EBQ105:EBT105"/>
    <mergeCell ref="EBU105:EBX105"/>
    <mergeCell ref="EBY105:ECB105"/>
    <mergeCell ref="ECC105:ECF105"/>
    <mergeCell ref="DZM105:DZP105"/>
    <mergeCell ref="DZQ105:DZT105"/>
    <mergeCell ref="DZU105:DZX105"/>
    <mergeCell ref="DZY105:EAB105"/>
    <mergeCell ref="EAC105:EAF105"/>
    <mergeCell ref="EAG105:EAJ105"/>
    <mergeCell ref="EAK105:EAN105"/>
    <mergeCell ref="EAO105:EAR105"/>
    <mergeCell ref="EAS105:EAV105"/>
    <mergeCell ref="DYC105:DYF105"/>
    <mergeCell ref="DYG105:DYJ105"/>
    <mergeCell ref="DYK105:DYN105"/>
    <mergeCell ref="DYO105:DYR105"/>
    <mergeCell ref="DYS105:DYV105"/>
    <mergeCell ref="DYW105:DYZ105"/>
    <mergeCell ref="DZA105:DZD105"/>
    <mergeCell ref="DZE105:DZH105"/>
    <mergeCell ref="DZI105:DZL105"/>
    <mergeCell ref="DWS105:DWV105"/>
    <mergeCell ref="DWW105:DWZ105"/>
    <mergeCell ref="DXA105:DXD105"/>
    <mergeCell ref="DXE105:DXH105"/>
    <mergeCell ref="DXI105:DXL105"/>
    <mergeCell ref="DXM105:DXP105"/>
    <mergeCell ref="DXQ105:DXT105"/>
    <mergeCell ref="DXU105:DXX105"/>
    <mergeCell ref="DXY105:DYB105"/>
    <mergeCell ref="DVI105:DVL105"/>
    <mergeCell ref="DVM105:DVP105"/>
    <mergeCell ref="DVQ105:DVT105"/>
    <mergeCell ref="DVU105:DVX105"/>
    <mergeCell ref="DVY105:DWB105"/>
    <mergeCell ref="DWC105:DWF105"/>
    <mergeCell ref="DWG105:DWJ105"/>
    <mergeCell ref="DWK105:DWN105"/>
    <mergeCell ref="DWO105:DWR105"/>
    <mergeCell ref="DTY105:DUB105"/>
    <mergeCell ref="DUC105:DUF105"/>
    <mergeCell ref="DUG105:DUJ105"/>
    <mergeCell ref="DUK105:DUN105"/>
    <mergeCell ref="DUO105:DUR105"/>
    <mergeCell ref="DUS105:DUV105"/>
    <mergeCell ref="DUW105:DUZ105"/>
    <mergeCell ref="DVA105:DVD105"/>
    <mergeCell ref="DVE105:DVH105"/>
    <mergeCell ref="DSO105:DSR105"/>
    <mergeCell ref="DSS105:DSV105"/>
    <mergeCell ref="DSW105:DSZ105"/>
    <mergeCell ref="DTA105:DTD105"/>
    <mergeCell ref="DTE105:DTH105"/>
    <mergeCell ref="DTI105:DTL105"/>
    <mergeCell ref="DTM105:DTP105"/>
    <mergeCell ref="DTQ105:DTT105"/>
    <mergeCell ref="DTU105:DTX105"/>
    <mergeCell ref="DRE105:DRH105"/>
    <mergeCell ref="DRI105:DRL105"/>
    <mergeCell ref="DRM105:DRP105"/>
    <mergeCell ref="DRQ105:DRT105"/>
    <mergeCell ref="DRU105:DRX105"/>
    <mergeCell ref="DRY105:DSB105"/>
    <mergeCell ref="DSC105:DSF105"/>
    <mergeCell ref="DSG105:DSJ105"/>
    <mergeCell ref="DSK105:DSN105"/>
    <mergeCell ref="DPU105:DPX105"/>
    <mergeCell ref="DPY105:DQB105"/>
    <mergeCell ref="DQC105:DQF105"/>
    <mergeCell ref="DQG105:DQJ105"/>
    <mergeCell ref="DQK105:DQN105"/>
    <mergeCell ref="DQO105:DQR105"/>
    <mergeCell ref="DQS105:DQV105"/>
    <mergeCell ref="DQW105:DQZ105"/>
    <mergeCell ref="DRA105:DRD105"/>
    <mergeCell ref="DOK105:DON105"/>
    <mergeCell ref="DOO105:DOR105"/>
    <mergeCell ref="DOS105:DOV105"/>
    <mergeCell ref="DOW105:DOZ105"/>
    <mergeCell ref="DPA105:DPD105"/>
    <mergeCell ref="DPE105:DPH105"/>
    <mergeCell ref="DPI105:DPL105"/>
    <mergeCell ref="DPM105:DPP105"/>
    <mergeCell ref="DPQ105:DPT105"/>
    <mergeCell ref="DNA105:DND105"/>
    <mergeCell ref="DNE105:DNH105"/>
    <mergeCell ref="DNI105:DNL105"/>
    <mergeCell ref="DNM105:DNP105"/>
    <mergeCell ref="DNQ105:DNT105"/>
    <mergeCell ref="DNU105:DNX105"/>
    <mergeCell ref="DNY105:DOB105"/>
    <mergeCell ref="DOC105:DOF105"/>
    <mergeCell ref="DOG105:DOJ105"/>
    <mergeCell ref="DLQ105:DLT105"/>
    <mergeCell ref="DLU105:DLX105"/>
    <mergeCell ref="DLY105:DMB105"/>
    <mergeCell ref="DMC105:DMF105"/>
    <mergeCell ref="DMG105:DMJ105"/>
    <mergeCell ref="DMK105:DMN105"/>
    <mergeCell ref="DMO105:DMR105"/>
    <mergeCell ref="DMS105:DMV105"/>
    <mergeCell ref="DMW105:DMZ105"/>
    <mergeCell ref="DKG105:DKJ105"/>
    <mergeCell ref="DKK105:DKN105"/>
    <mergeCell ref="DKO105:DKR105"/>
    <mergeCell ref="DKS105:DKV105"/>
    <mergeCell ref="DKW105:DKZ105"/>
    <mergeCell ref="DLA105:DLD105"/>
    <mergeCell ref="DLE105:DLH105"/>
    <mergeCell ref="DLI105:DLL105"/>
    <mergeCell ref="DLM105:DLP105"/>
    <mergeCell ref="DIW105:DIZ105"/>
    <mergeCell ref="DJA105:DJD105"/>
    <mergeCell ref="DJE105:DJH105"/>
    <mergeCell ref="DJI105:DJL105"/>
    <mergeCell ref="DJM105:DJP105"/>
    <mergeCell ref="DJQ105:DJT105"/>
    <mergeCell ref="DJU105:DJX105"/>
    <mergeCell ref="DJY105:DKB105"/>
    <mergeCell ref="DKC105:DKF105"/>
    <mergeCell ref="DHM105:DHP105"/>
    <mergeCell ref="DHQ105:DHT105"/>
    <mergeCell ref="DHU105:DHX105"/>
    <mergeCell ref="DHY105:DIB105"/>
    <mergeCell ref="DIC105:DIF105"/>
    <mergeCell ref="DIG105:DIJ105"/>
    <mergeCell ref="DIK105:DIN105"/>
    <mergeCell ref="DIO105:DIR105"/>
    <mergeCell ref="DIS105:DIV105"/>
    <mergeCell ref="DGC105:DGF105"/>
    <mergeCell ref="DGG105:DGJ105"/>
    <mergeCell ref="DGK105:DGN105"/>
    <mergeCell ref="DGO105:DGR105"/>
    <mergeCell ref="DGS105:DGV105"/>
    <mergeCell ref="DGW105:DGZ105"/>
    <mergeCell ref="DHA105:DHD105"/>
    <mergeCell ref="DHE105:DHH105"/>
    <mergeCell ref="DHI105:DHL105"/>
    <mergeCell ref="DES105:DEV105"/>
    <mergeCell ref="DEW105:DEZ105"/>
    <mergeCell ref="DFA105:DFD105"/>
    <mergeCell ref="DFE105:DFH105"/>
    <mergeCell ref="DFI105:DFL105"/>
    <mergeCell ref="DFM105:DFP105"/>
    <mergeCell ref="DFQ105:DFT105"/>
    <mergeCell ref="DFU105:DFX105"/>
    <mergeCell ref="DFY105:DGB105"/>
    <mergeCell ref="DDI105:DDL105"/>
    <mergeCell ref="DDM105:DDP105"/>
    <mergeCell ref="DDQ105:DDT105"/>
    <mergeCell ref="DDU105:DDX105"/>
    <mergeCell ref="DDY105:DEB105"/>
    <mergeCell ref="DEC105:DEF105"/>
    <mergeCell ref="DEG105:DEJ105"/>
    <mergeCell ref="DEK105:DEN105"/>
    <mergeCell ref="DEO105:DER105"/>
    <mergeCell ref="DBY105:DCB105"/>
    <mergeCell ref="DCC105:DCF105"/>
    <mergeCell ref="DCG105:DCJ105"/>
    <mergeCell ref="DCK105:DCN105"/>
    <mergeCell ref="DCO105:DCR105"/>
    <mergeCell ref="DCS105:DCV105"/>
    <mergeCell ref="DCW105:DCZ105"/>
    <mergeCell ref="DDA105:DDD105"/>
    <mergeCell ref="DDE105:DDH105"/>
    <mergeCell ref="DAO105:DAR105"/>
    <mergeCell ref="DAS105:DAV105"/>
    <mergeCell ref="DAW105:DAZ105"/>
    <mergeCell ref="DBA105:DBD105"/>
    <mergeCell ref="DBE105:DBH105"/>
    <mergeCell ref="DBI105:DBL105"/>
    <mergeCell ref="DBM105:DBP105"/>
    <mergeCell ref="DBQ105:DBT105"/>
    <mergeCell ref="DBU105:DBX105"/>
    <mergeCell ref="CZE105:CZH105"/>
    <mergeCell ref="CZI105:CZL105"/>
    <mergeCell ref="CZM105:CZP105"/>
    <mergeCell ref="CZQ105:CZT105"/>
    <mergeCell ref="CZU105:CZX105"/>
    <mergeCell ref="CZY105:DAB105"/>
    <mergeCell ref="DAC105:DAF105"/>
    <mergeCell ref="DAG105:DAJ105"/>
    <mergeCell ref="DAK105:DAN105"/>
    <mergeCell ref="CXU105:CXX105"/>
    <mergeCell ref="CXY105:CYB105"/>
    <mergeCell ref="CYC105:CYF105"/>
    <mergeCell ref="CYG105:CYJ105"/>
    <mergeCell ref="CYK105:CYN105"/>
    <mergeCell ref="CYO105:CYR105"/>
    <mergeCell ref="CYS105:CYV105"/>
    <mergeCell ref="CYW105:CYZ105"/>
    <mergeCell ref="CZA105:CZD105"/>
    <mergeCell ref="CWK105:CWN105"/>
    <mergeCell ref="CWO105:CWR105"/>
    <mergeCell ref="CWS105:CWV105"/>
    <mergeCell ref="CWW105:CWZ105"/>
    <mergeCell ref="CXA105:CXD105"/>
    <mergeCell ref="CXE105:CXH105"/>
    <mergeCell ref="CXI105:CXL105"/>
    <mergeCell ref="CXM105:CXP105"/>
    <mergeCell ref="CXQ105:CXT105"/>
    <mergeCell ref="CVA105:CVD105"/>
    <mergeCell ref="CVE105:CVH105"/>
    <mergeCell ref="CVI105:CVL105"/>
    <mergeCell ref="CVM105:CVP105"/>
    <mergeCell ref="CVQ105:CVT105"/>
    <mergeCell ref="CVU105:CVX105"/>
    <mergeCell ref="CVY105:CWB105"/>
    <mergeCell ref="CWC105:CWF105"/>
    <mergeCell ref="CWG105:CWJ105"/>
    <mergeCell ref="CTQ105:CTT105"/>
    <mergeCell ref="CTU105:CTX105"/>
    <mergeCell ref="CTY105:CUB105"/>
    <mergeCell ref="CUC105:CUF105"/>
    <mergeCell ref="CUG105:CUJ105"/>
    <mergeCell ref="CUK105:CUN105"/>
    <mergeCell ref="CUO105:CUR105"/>
    <mergeCell ref="CUS105:CUV105"/>
    <mergeCell ref="CUW105:CUZ105"/>
    <mergeCell ref="CSG105:CSJ105"/>
    <mergeCell ref="CSK105:CSN105"/>
    <mergeCell ref="CSO105:CSR105"/>
    <mergeCell ref="CSS105:CSV105"/>
    <mergeCell ref="CSW105:CSZ105"/>
    <mergeCell ref="CTA105:CTD105"/>
    <mergeCell ref="CTE105:CTH105"/>
    <mergeCell ref="CTI105:CTL105"/>
    <mergeCell ref="CTM105:CTP105"/>
    <mergeCell ref="CQW105:CQZ105"/>
    <mergeCell ref="CRA105:CRD105"/>
    <mergeCell ref="CRE105:CRH105"/>
    <mergeCell ref="CRI105:CRL105"/>
    <mergeCell ref="CRM105:CRP105"/>
    <mergeCell ref="CRQ105:CRT105"/>
    <mergeCell ref="CRU105:CRX105"/>
    <mergeCell ref="CRY105:CSB105"/>
    <mergeCell ref="CSC105:CSF105"/>
    <mergeCell ref="CPM105:CPP105"/>
    <mergeCell ref="CPQ105:CPT105"/>
    <mergeCell ref="CPU105:CPX105"/>
    <mergeCell ref="CPY105:CQB105"/>
    <mergeCell ref="CQC105:CQF105"/>
    <mergeCell ref="CQG105:CQJ105"/>
    <mergeCell ref="CQK105:CQN105"/>
    <mergeCell ref="CQO105:CQR105"/>
    <mergeCell ref="CQS105:CQV105"/>
    <mergeCell ref="COC105:COF105"/>
    <mergeCell ref="COG105:COJ105"/>
    <mergeCell ref="COK105:CON105"/>
    <mergeCell ref="COO105:COR105"/>
    <mergeCell ref="COS105:COV105"/>
    <mergeCell ref="COW105:COZ105"/>
    <mergeCell ref="CPA105:CPD105"/>
    <mergeCell ref="CPE105:CPH105"/>
    <mergeCell ref="CPI105:CPL105"/>
    <mergeCell ref="CMS105:CMV105"/>
    <mergeCell ref="CMW105:CMZ105"/>
    <mergeCell ref="CNA105:CND105"/>
    <mergeCell ref="CNE105:CNH105"/>
    <mergeCell ref="CNI105:CNL105"/>
    <mergeCell ref="CNM105:CNP105"/>
    <mergeCell ref="CNQ105:CNT105"/>
    <mergeCell ref="CNU105:CNX105"/>
    <mergeCell ref="CNY105:COB105"/>
    <mergeCell ref="CLI105:CLL105"/>
    <mergeCell ref="CLM105:CLP105"/>
    <mergeCell ref="CLQ105:CLT105"/>
    <mergeCell ref="CLU105:CLX105"/>
    <mergeCell ref="CLY105:CMB105"/>
    <mergeCell ref="CMC105:CMF105"/>
    <mergeCell ref="CMG105:CMJ105"/>
    <mergeCell ref="CMK105:CMN105"/>
    <mergeCell ref="CMO105:CMR105"/>
    <mergeCell ref="CJY105:CKB105"/>
    <mergeCell ref="CKC105:CKF105"/>
    <mergeCell ref="CKG105:CKJ105"/>
    <mergeCell ref="CKK105:CKN105"/>
    <mergeCell ref="CKO105:CKR105"/>
    <mergeCell ref="CKS105:CKV105"/>
    <mergeCell ref="CKW105:CKZ105"/>
    <mergeCell ref="CLA105:CLD105"/>
    <mergeCell ref="CLE105:CLH105"/>
    <mergeCell ref="CIO105:CIR105"/>
    <mergeCell ref="CIS105:CIV105"/>
    <mergeCell ref="CIW105:CIZ105"/>
    <mergeCell ref="CJA105:CJD105"/>
    <mergeCell ref="CJE105:CJH105"/>
    <mergeCell ref="CJI105:CJL105"/>
    <mergeCell ref="CJM105:CJP105"/>
    <mergeCell ref="CJQ105:CJT105"/>
    <mergeCell ref="CJU105:CJX105"/>
    <mergeCell ref="CHE105:CHH105"/>
    <mergeCell ref="CHI105:CHL105"/>
    <mergeCell ref="CHM105:CHP105"/>
    <mergeCell ref="CHQ105:CHT105"/>
    <mergeCell ref="CHU105:CHX105"/>
    <mergeCell ref="CHY105:CIB105"/>
    <mergeCell ref="CIC105:CIF105"/>
    <mergeCell ref="CIG105:CIJ105"/>
    <mergeCell ref="CIK105:CIN105"/>
    <mergeCell ref="CFU105:CFX105"/>
    <mergeCell ref="CFY105:CGB105"/>
    <mergeCell ref="CGC105:CGF105"/>
    <mergeCell ref="CGG105:CGJ105"/>
    <mergeCell ref="CGK105:CGN105"/>
    <mergeCell ref="CGO105:CGR105"/>
    <mergeCell ref="CGS105:CGV105"/>
    <mergeCell ref="CGW105:CGZ105"/>
    <mergeCell ref="CHA105:CHD105"/>
    <mergeCell ref="CEK105:CEN105"/>
    <mergeCell ref="CEO105:CER105"/>
    <mergeCell ref="CES105:CEV105"/>
    <mergeCell ref="CEW105:CEZ105"/>
    <mergeCell ref="CFA105:CFD105"/>
    <mergeCell ref="CFE105:CFH105"/>
    <mergeCell ref="CFI105:CFL105"/>
    <mergeCell ref="CFM105:CFP105"/>
    <mergeCell ref="CFQ105:CFT105"/>
    <mergeCell ref="CDA105:CDD105"/>
    <mergeCell ref="CDE105:CDH105"/>
    <mergeCell ref="CDI105:CDL105"/>
    <mergeCell ref="CDM105:CDP105"/>
    <mergeCell ref="CDQ105:CDT105"/>
    <mergeCell ref="CDU105:CDX105"/>
    <mergeCell ref="CDY105:CEB105"/>
    <mergeCell ref="CEC105:CEF105"/>
    <mergeCell ref="CEG105:CEJ105"/>
    <mergeCell ref="CBQ105:CBT105"/>
    <mergeCell ref="CBU105:CBX105"/>
    <mergeCell ref="CBY105:CCB105"/>
    <mergeCell ref="CCC105:CCF105"/>
    <mergeCell ref="CCG105:CCJ105"/>
    <mergeCell ref="CCK105:CCN105"/>
    <mergeCell ref="CCO105:CCR105"/>
    <mergeCell ref="CCS105:CCV105"/>
    <mergeCell ref="CCW105:CCZ105"/>
    <mergeCell ref="CAG105:CAJ105"/>
    <mergeCell ref="CAK105:CAN105"/>
    <mergeCell ref="CAO105:CAR105"/>
    <mergeCell ref="CAS105:CAV105"/>
    <mergeCell ref="CAW105:CAZ105"/>
    <mergeCell ref="CBA105:CBD105"/>
    <mergeCell ref="CBE105:CBH105"/>
    <mergeCell ref="CBI105:CBL105"/>
    <mergeCell ref="CBM105:CBP105"/>
    <mergeCell ref="BYW105:BYZ105"/>
    <mergeCell ref="BZA105:BZD105"/>
    <mergeCell ref="BZE105:BZH105"/>
    <mergeCell ref="BZI105:BZL105"/>
    <mergeCell ref="BZM105:BZP105"/>
    <mergeCell ref="BZQ105:BZT105"/>
    <mergeCell ref="BZU105:BZX105"/>
    <mergeCell ref="BZY105:CAB105"/>
    <mergeCell ref="CAC105:CAF105"/>
    <mergeCell ref="BXM105:BXP105"/>
    <mergeCell ref="BXQ105:BXT105"/>
    <mergeCell ref="BXU105:BXX105"/>
    <mergeCell ref="BXY105:BYB105"/>
    <mergeCell ref="BYC105:BYF105"/>
    <mergeCell ref="BYG105:BYJ105"/>
    <mergeCell ref="BYK105:BYN105"/>
    <mergeCell ref="BYO105:BYR105"/>
    <mergeCell ref="BYS105:BYV105"/>
    <mergeCell ref="BWC105:BWF105"/>
    <mergeCell ref="BWG105:BWJ105"/>
    <mergeCell ref="BWK105:BWN105"/>
    <mergeCell ref="BWO105:BWR105"/>
    <mergeCell ref="BWS105:BWV105"/>
    <mergeCell ref="BWW105:BWZ105"/>
    <mergeCell ref="BXA105:BXD105"/>
    <mergeCell ref="BXE105:BXH105"/>
    <mergeCell ref="BXI105:BXL105"/>
    <mergeCell ref="BUS105:BUV105"/>
    <mergeCell ref="BUW105:BUZ105"/>
    <mergeCell ref="BVA105:BVD105"/>
    <mergeCell ref="BVE105:BVH105"/>
    <mergeCell ref="BVI105:BVL105"/>
    <mergeCell ref="BVM105:BVP105"/>
    <mergeCell ref="BVQ105:BVT105"/>
    <mergeCell ref="BVU105:BVX105"/>
    <mergeCell ref="BVY105:BWB105"/>
    <mergeCell ref="BTI105:BTL105"/>
    <mergeCell ref="BTM105:BTP105"/>
    <mergeCell ref="BTQ105:BTT105"/>
    <mergeCell ref="BTU105:BTX105"/>
    <mergeCell ref="BTY105:BUB105"/>
    <mergeCell ref="BUC105:BUF105"/>
    <mergeCell ref="BUG105:BUJ105"/>
    <mergeCell ref="BUK105:BUN105"/>
    <mergeCell ref="BUO105:BUR105"/>
    <mergeCell ref="BRY105:BSB105"/>
    <mergeCell ref="BSC105:BSF105"/>
    <mergeCell ref="BSG105:BSJ105"/>
    <mergeCell ref="BSK105:BSN105"/>
    <mergeCell ref="BSO105:BSR105"/>
    <mergeCell ref="BSS105:BSV105"/>
    <mergeCell ref="BSW105:BSZ105"/>
    <mergeCell ref="BTA105:BTD105"/>
    <mergeCell ref="BTE105:BTH105"/>
    <mergeCell ref="BQO105:BQR105"/>
    <mergeCell ref="BQS105:BQV105"/>
    <mergeCell ref="BQW105:BQZ105"/>
    <mergeCell ref="BRA105:BRD105"/>
    <mergeCell ref="BRE105:BRH105"/>
    <mergeCell ref="BRI105:BRL105"/>
    <mergeCell ref="BRM105:BRP105"/>
    <mergeCell ref="BRQ105:BRT105"/>
    <mergeCell ref="BRU105:BRX105"/>
    <mergeCell ref="BPE105:BPH105"/>
    <mergeCell ref="BPI105:BPL105"/>
    <mergeCell ref="BPM105:BPP105"/>
    <mergeCell ref="BPQ105:BPT105"/>
    <mergeCell ref="BPU105:BPX105"/>
    <mergeCell ref="BPY105:BQB105"/>
    <mergeCell ref="BQC105:BQF105"/>
    <mergeCell ref="BQG105:BQJ105"/>
    <mergeCell ref="BQK105:BQN105"/>
    <mergeCell ref="BNU105:BNX105"/>
    <mergeCell ref="BNY105:BOB105"/>
    <mergeCell ref="BOC105:BOF105"/>
    <mergeCell ref="BOG105:BOJ105"/>
    <mergeCell ref="BOK105:BON105"/>
    <mergeCell ref="BOO105:BOR105"/>
    <mergeCell ref="BOS105:BOV105"/>
    <mergeCell ref="BOW105:BOZ105"/>
    <mergeCell ref="BPA105:BPD105"/>
    <mergeCell ref="BMK105:BMN105"/>
    <mergeCell ref="BMO105:BMR105"/>
    <mergeCell ref="BMS105:BMV105"/>
    <mergeCell ref="BMW105:BMZ105"/>
    <mergeCell ref="BNA105:BND105"/>
    <mergeCell ref="BNE105:BNH105"/>
    <mergeCell ref="BNI105:BNL105"/>
    <mergeCell ref="BNM105:BNP105"/>
    <mergeCell ref="BNQ105:BNT105"/>
    <mergeCell ref="BLA105:BLD105"/>
    <mergeCell ref="BLE105:BLH105"/>
    <mergeCell ref="BLI105:BLL105"/>
    <mergeCell ref="BLM105:BLP105"/>
    <mergeCell ref="BLQ105:BLT105"/>
    <mergeCell ref="BLU105:BLX105"/>
    <mergeCell ref="BLY105:BMB105"/>
    <mergeCell ref="BMC105:BMF105"/>
    <mergeCell ref="BMG105:BMJ105"/>
    <mergeCell ref="BJQ105:BJT105"/>
    <mergeCell ref="BJU105:BJX105"/>
    <mergeCell ref="BJY105:BKB105"/>
    <mergeCell ref="BKC105:BKF105"/>
    <mergeCell ref="BKG105:BKJ105"/>
    <mergeCell ref="BKK105:BKN105"/>
    <mergeCell ref="BKO105:BKR105"/>
    <mergeCell ref="BKS105:BKV105"/>
    <mergeCell ref="BKW105:BKZ105"/>
    <mergeCell ref="BIG105:BIJ105"/>
    <mergeCell ref="BIK105:BIN105"/>
    <mergeCell ref="BIO105:BIR105"/>
    <mergeCell ref="BIS105:BIV105"/>
    <mergeCell ref="BIW105:BIZ105"/>
    <mergeCell ref="BJA105:BJD105"/>
    <mergeCell ref="BJE105:BJH105"/>
    <mergeCell ref="BJI105:BJL105"/>
    <mergeCell ref="BJM105:BJP105"/>
    <mergeCell ref="BGW105:BGZ105"/>
    <mergeCell ref="BHA105:BHD105"/>
    <mergeCell ref="BHE105:BHH105"/>
    <mergeCell ref="BHI105:BHL105"/>
    <mergeCell ref="BHM105:BHP105"/>
    <mergeCell ref="BHQ105:BHT105"/>
    <mergeCell ref="BHU105:BHX105"/>
    <mergeCell ref="BHY105:BIB105"/>
    <mergeCell ref="BIC105:BIF105"/>
    <mergeCell ref="BFM105:BFP105"/>
    <mergeCell ref="BFQ105:BFT105"/>
    <mergeCell ref="BFU105:BFX105"/>
    <mergeCell ref="BFY105:BGB105"/>
    <mergeCell ref="BGC105:BGF105"/>
    <mergeCell ref="BGG105:BGJ105"/>
    <mergeCell ref="BGK105:BGN105"/>
    <mergeCell ref="BGO105:BGR105"/>
    <mergeCell ref="BGS105:BGV105"/>
    <mergeCell ref="BEC105:BEF105"/>
    <mergeCell ref="BEG105:BEJ105"/>
    <mergeCell ref="BEK105:BEN105"/>
    <mergeCell ref="BEO105:BER105"/>
    <mergeCell ref="BES105:BEV105"/>
    <mergeCell ref="BEW105:BEZ105"/>
    <mergeCell ref="BFA105:BFD105"/>
    <mergeCell ref="BFE105:BFH105"/>
    <mergeCell ref="BFI105:BFL105"/>
    <mergeCell ref="BCS105:BCV105"/>
    <mergeCell ref="BCW105:BCZ105"/>
    <mergeCell ref="BDA105:BDD105"/>
    <mergeCell ref="BDE105:BDH105"/>
    <mergeCell ref="BDI105:BDL105"/>
    <mergeCell ref="BDM105:BDP105"/>
    <mergeCell ref="BDQ105:BDT105"/>
    <mergeCell ref="BDU105:BDX105"/>
    <mergeCell ref="BDY105:BEB105"/>
    <mergeCell ref="BBI105:BBL105"/>
    <mergeCell ref="BBM105:BBP105"/>
    <mergeCell ref="BBQ105:BBT105"/>
    <mergeCell ref="BBU105:BBX105"/>
    <mergeCell ref="BBY105:BCB105"/>
    <mergeCell ref="BCC105:BCF105"/>
    <mergeCell ref="BCG105:BCJ105"/>
    <mergeCell ref="BCK105:BCN105"/>
    <mergeCell ref="BCO105:BCR105"/>
    <mergeCell ref="AZY105:BAB105"/>
    <mergeCell ref="BAC105:BAF105"/>
    <mergeCell ref="BAG105:BAJ105"/>
    <mergeCell ref="BAK105:BAN105"/>
    <mergeCell ref="BAO105:BAR105"/>
    <mergeCell ref="BAS105:BAV105"/>
    <mergeCell ref="BAW105:BAZ105"/>
    <mergeCell ref="BBA105:BBD105"/>
    <mergeCell ref="BBE105:BBH105"/>
    <mergeCell ref="AYO105:AYR105"/>
    <mergeCell ref="AYS105:AYV105"/>
    <mergeCell ref="AYW105:AYZ105"/>
    <mergeCell ref="AZA105:AZD105"/>
    <mergeCell ref="AZE105:AZH105"/>
    <mergeCell ref="AZI105:AZL105"/>
    <mergeCell ref="AZM105:AZP105"/>
    <mergeCell ref="AZQ105:AZT105"/>
    <mergeCell ref="AZU105:AZX105"/>
    <mergeCell ref="AXE105:AXH105"/>
    <mergeCell ref="AXI105:AXL105"/>
    <mergeCell ref="AXM105:AXP105"/>
    <mergeCell ref="AXQ105:AXT105"/>
    <mergeCell ref="AXU105:AXX105"/>
    <mergeCell ref="AXY105:AYB105"/>
    <mergeCell ref="AYC105:AYF105"/>
    <mergeCell ref="AYG105:AYJ105"/>
    <mergeCell ref="AYK105:AYN105"/>
    <mergeCell ref="AVU105:AVX105"/>
    <mergeCell ref="AVY105:AWB105"/>
    <mergeCell ref="AWC105:AWF105"/>
    <mergeCell ref="AWG105:AWJ105"/>
    <mergeCell ref="AWK105:AWN105"/>
    <mergeCell ref="AWO105:AWR105"/>
    <mergeCell ref="AWS105:AWV105"/>
    <mergeCell ref="AWW105:AWZ105"/>
    <mergeCell ref="AXA105:AXD105"/>
    <mergeCell ref="AUK105:AUN105"/>
    <mergeCell ref="AUO105:AUR105"/>
    <mergeCell ref="AUS105:AUV105"/>
    <mergeCell ref="AUW105:AUZ105"/>
    <mergeCell ref="AVA105:AVD105"/>
    <mergeCell ref="AVE105:AVH105"/>
    <mergeCell ref="AVI105:AVL105"/>
    <mergeCell ref="AVM105:AVP105"/>
    <mergeCell ref="AVQ105:AVT105"/>
    <mergeCell ref="ATA105:ATD105"/>
    <mergeCell ref="ATE105:ATH105"/>
    <mergeCell ref="ATI105:ATL105"/>
    <mergeCell ref="ATM105:ATP105"/>
    <mergeCell ref="ATQ105:ATT105"/>
    <mergeCell ref="ATU105:ATX105"/>
    <mergeCell ref="ATY105:AUB105"/>
    <mergeCell ref="AUC105:AUF105"/>
    <mergeCell ref="AUG105:AUJ105"/>
    <mergeCell ref="ARQ105:ART105"/>
    <mergeCell ref="ARU105:ARX105"/>
    <mergeCell ref="ARY105:ASB105"/>
    <mergeCell ref="ASC105:ASF105"/>
    <mergeCell ref="ASG105:ASJ105"/>
    <mergeCell ref="ASK105:ASN105"/>
    <mergeCell ref="ASO105:ASR105"/>
    <mergeCell ref="ASS105:ASV105"/>
    <mergeCell ref="ASW105:ASZ105"/>
    <mergeCell ref="AQG105:AQJ105"/>
    <mergeCell ref="AQK105:AQN105"/>
    <mergeCell ref="AQO105:AQR105"/>
    <mergeCell ref="AQS105:AQV105"/>
    <mergeCell ref="AQW105:AQZ105"/>
    <mergeCell ref="ARA105:ARD105"/>
    <mergeCell ref="ARE105:ARH105"/>
    <mergeCell ref="ARI105:ARL105"/>
    <mergeCell ref="ARM105:ARP105"/>
    <mergeCell ref="AOW105:AOZ105"/>
    <mergeCell ref="APA105:APD105"/>
    <mergeCell ref="APE105:APH105"/>
    <mergeCell ref="API105:APL105"/>
    <mergeCell ref="APM105:APP105"/>
    <mergeCell ref="APQ105:APT105"/>
    <mergeCell ref="APU105:APX105"/>
    <mergeCell ref="APY105:AQB105"/>
    <mergeCell ref="AQC105:AQF105"/>
    <mergeCell ref="ANM105:ANP105"/>
    <mergeCell ref="ANQ105:ANT105"/>
    <mergeCell ref="ANU105:ANX105"/>
    <mergeCell ref="ANY105:AOB105"/>
    <mergeCell ref="AOC105:AOF105"/>
    <mergeCell ref="AOG105:AOJ105"/>
    <mergeCell ref="AOK105:AON105"/>
    <mergeCell ref="AOO105:AOR105"/>
    <mergeCell ref="AOS105:AOV105"/>
    <mergeCell ref="AMC105:AMF105"/>
    <mergeCell ref="AMG105:AMJ105"/>
    <mergeCell ref="AMK105:AMN105"/>
    <mergeCell ref="AMO105:AMR105"/>
    <mergeCell ref="AMS105:AMV105"/>
    <mergeCell ref="AMW105:AMZ105"/>
    <mergeCell ref="ANA105:AND105"/>
    <mergeCell ref="ANE105:ANH105"/>
    <mergeCell ref="ANI105:ANL105"/>
    <mergeCell ref="AKS105:AKV105"/>
    <mergeCell ref="AKW105:AKZ105"/>
    <mergeCell ref="ALA105:ALD105"/>
    <mergeCell ref="ALE105:ALH105"/>
    <mergeCell ref="ALI105:ALL105"/>
    <mergeCell ref="ALM105:ALP105"/>
    <mergeCell ref="ALQ105:ALT105"/>
    <mergeCell ref="ALU105:ALX105"/>
    <mergeCell ref="ALY105:AMB105"/>
    <mergeCell ref="AJI105:AJL105"/>
    <mergeCell ref="AJM105:AJP105"/>
    <mergeCell ref="AJQ105:AJT105"/>
    <mergeCell ref="AJU105:AJX105"/>
    <mergeCell ref="AJY105:AKB105"/>
    <mergeCell ref="AKC105:AKF105"/>
    <mergeCell ref="AKG105:AKJ105"/>
    <mergeCell ref="AKK105:AKN105"/>
    <mergeCell ref="AKO105:AKR105"/>
    <mergeCell ref="AHY105:AIB105"/>
    <mergeCell ref="AIC105:AIF105"/>
    <mergeCell ref="AIG105:AIJ105"/>
    <mergeCell ref="AIK105:AIN105"/>
    <mergeCell ref="AIO105:AIR105"/>
    <mergeCell ref="AIS105:AIV105"/>
    <mergeCell ref="AIW105:AIZ105"/>
    <mergeCell ref="AJA105:AJD105"/>
    <mergeCell ref="AJE105:AJH105"/>
    <mergeCell ref="AGO105:AGR105"/>
    <mergeCell ref="AGS105:AGV105"/>
    <mergeCell ref="AGW105:AGZ105"/>
    <mergeCell ref="AHA105:AHD105"/>
    <mergeCell ref="AHE105:AHH105"/>
    <mergeCell ref="AHI105:AHL105"/>
    <mergeCell ref="AHM105:AHP105"/>
    <mergeCell ref="AHQ105:AHT105"/>
    <mergeCell ref="AHU105:AHX105"/>
    <mergeCell ref="AFE105:AFH105"/>
    <mergeCell ref="AFI105:AFL105"/>
    <mergeCell ref="AFM105:AFP105"/>
    <mergeCell ref="AFQ105:AFT105"/>
    <mergeCell ref="AFU105:AFX105"/>
    <mergeCell ref="AFY105:AGB105"/>
    <mergeCell ref="AGC105:AGF105"/>
    <mergeCell ref="AGG105:AGJ105"/>
    <mergeCell ref="AGK105:AGN105"/>
    <mergeCell ref="ADU105:ADX105"/>
    <mergeCell ref="ADY105:AEB105"/>
    <mergeCell ref="AEC105:AEF105"/>
    <mergeCell ref="AEG105:AEJ105"/>
    <mergeCell ref="AEK105:AEN105"/>
    <mergeCell ref="AEO105:AER105"/>
    <mergeCell ref="AES105:AEV105"/>
    <mergeCell ref="AEW105:AEZ105"/>
    <mergeCell ref="AFA105:AFD105"/>
    <mergeCell ref="ACK105:ACN105"/>
    <mergeCell ref="ACO105:ACR105"/>
    <mergeCell ref="ACS105:ACV105"/>
    <mergeCell ref="ACW105:ACZ105"/>
    <mergeCell ref="ADA105:ADD105"/>
    <mergeCell ref="ADE105:ADH105"/>
    <mergeCell ref="ADI105:ADL105"/>
    <mergeCell ref="ADM105:ADP105"/>
    <mergeCell ref="ADQ105:ADT105"/>
    <mergeCell ref="ABA105:ABD105"/>
    <mergeCell ref="ABE105:ABH105"/>
    <mergeCell ref="ABI105:ABL105"/>
    <mergeCell ref="ABM105:ABP105"/>
    <mergeCell ref="ABQ105:ABT105"/>
    <mergeCell ref="ABU105:ABX105"/>
    <mergeCell ref="ABY105:ACB105"/>
    <mergeCell ref="ACC105:ACF105"/>
    <mergeCell ref="ACG105:ACJ105"/>
    <mergeCell ref="ZQ105:ZT105"/>
    <mergeCell ref="ZU105:ZX105"/>
    <mergeCell ref="ZY105:AAB105"/>
    <mergeCell ref="AAC105:AAF105"/>
    <mergeCell ref="AAG105:AAJ105"/>
    <mergeCell ref="AAK105:AAN105"/>
    <mergeCell ref="AAO105:AAR105"/>
    <mergeCell ref="AAS105:AAV105"/>
    <mergeCell ref="AAW105:AAZ105"/>
    <mergeCell ref="YG105:YJ105"/>
    <mergeCell ref="YK105:YN105"/>
    <mergeCell ref="YO105:YR105"/>
    <mergeCell ref="YS105:YV105"/>
    <mergeCell ref="YW105:YZ105"/>
    <mergeCell ref="ZA105:ZD105"/>
    <mergeCell ref="ZE105:ZH105"/>
    <mergeCell ref="ZI105:ZL105"/>
    <mergeCell ref="ZM105:ZP105"/>
    <mergeCell ref="WW105:WZ105"/>
    <mergeCell ref="XA105:XD105"/>
    <mergeCell ref="XE105:XH105"/>
    <mergeCell ref="XI105:XL105"/>
    <mergeCell ref="XM105:XP105"/>
    <mergeCell ref="XQ105:XT105"/>
    <mergeCell ref="XU105:XX105"/>
    <mergeCell ref="XY105:YB105"/>
    <mergeCell ref="YC105:YF105"/>
    <mergeCell ref="VM105:VP105"/>
    <mergeCell ref="VQ105:VT105"/>
    <mergeCell ref="VU105:VX105"/>
    <mergeCell ref="VY105:WB105"/>
    <mergeCell ref="WC105:WF105"/>
    <mergeCell ref="WG105:WJ105"/>
    <mergeCell ref="WK105:WN105"/>
    <mergeCell ref="WO105:WR105"/>
    <mergeCell ref="WS105:WV105"/>
    <mergeCell ref="UC105:UF105"/>
    <mergeCell ref="UG105:UJ105"/>
    <mergeCell ref="UK105:UN105"/>
    <mergeCell ref="UO105:UR105"/>
    <mergeCell ref="US105:UV105"/>
    <mergeCell ref="UW105:UZ105"/>
    <mergeCell ref="VA105:VD105"/>
    <mergeCell ref="VE105:VH105"/>
    <mergeCell ref="VI105:VL105"/>
    <mergeCell ref="SS105:SV105"/>
    <mergeCell ref="SW105:SZ105"/>
    <mergeCell ref="TA105:TD105"/>
    <mergeCell ref="TE105:TH105"/>
    <mergeCell ref="TI105:TL105"/>
    <mergeCell ref="TM105:TP105"/>
    <mergeCell ref="TQ105:TT105"/>
    <mergeCell ref="TU105:TX105"/>
    <mergeCell ref="TY105:UB105"/>
    <mergeCell ref="RI105:RL105"/>
    <mergeCell ref="RM105:RP105"/>
    <mergeCell ref="RQ105:RT105"/>
    <mergeCell ref="RU105:RX105"/>
    <mergeCell ref="RY105:SB105"/>
    <mergeCell ref="SC105:SF105"/>
    <mergeCell ref="SG105:SJ105"/>
    <mergeCell ref="SK105:SN105"/>
    <mergeCell ref="SO105:SR105"/>
    <mergeCell ref="PY105:QB105"/>
    <mergeCell ref="QC105:QF105"/>
    <mergeCell ref="QG105:QJ105"/>
    <mergeCell ref="QK105:QN105"/>
    <mergeCell ref="QO105:QR105"/>
    <mergeCell ref="QS105:QV105"/>
    <mergeCell ref="QW105:QZ105"/>
    <mergeCell ref="RA105:RD105"/>
    <mergeCell ref="RE105:RH105"/>
    <mergeCell ref="OO105:OR105"/>
    <mergeCell ref="OS105:OV105"/>
    <mergeCell ref="OW105:OZ105"/>
    <mergeCell ref="PA105:PD105"/>
    <mergeCell ref="PE105:PH105"/>
    <mergeCell ref="PI105:PL105"/>
    <mergeCell ref="PM105:PP105"/>
    <mergeCell ref="PQ105:PT105"/>
    <mergeCell ref="PU105:PX105"/>
    <mergeCell ref="NE105:NH105"/>
    <mergeCell ref="NI105:NL105"/>
    <mergeCell ref="NM105:NP105"/>
    <mergeCell ref="NQ105:NT105"/>
    <mergeCell ref="NU105:NX105"/>
    <mergeCell ref="NY105:OB105"/>
    <mergeCell ref="OC105:OF105"/>
    <mergeCell ref="OG105:OJ105"/>
    <mergeCell ref="OK105:ON105"/>
    <mergeCell ref="LU105:LX105"/>
    <mergeCell ref="LY105:MB105"/>
    <mergeCell ref="MC105:MF105"/>
    <mergeCell ref="MG105:MJ105"/>
    <mergeCell ref="MK105:MN105"/>
    <mergeCell ref="MO105:MR105"/>
    <mergeCell ref="MS105:MV105"/>
    <mergeCell ref="MW105:MZ105"/>
    <mergeCell ref="NA105:ND105"/>
    <mergeCell ref="KK105:KN105"/>
    <mergeCell ref="KO105:KR105"/>
    <mergeCell ref="KS105:KV105"/>
    <mergeCell ref="KW105:KZ105"/>
    <mergeCell ref="LA105:LD105"/>
    <mergeCell ref="LE105:LH105"/>
    <mergeCell ref="LI105:LL105"/>
    <mergeCell ref="LM105:LP105"/>
    <mergeCell ref="LQ105:LT105"/>
    <mergeCell ref="JA105:JD105"/>
    <mergeCell ref="JE105:JH105"/>
    <mergeCell ref="JI105:JL105"/>
    <mergeCell ref="JM105:JP105"/>
    <mergeCell ref="JQ105:JT105"/>
    <mergeCell ref="JU105:JX105"/>
    <mergeCell ref="JY105:KB105"/>
    <mergeCell ref="KC105:KF105"/>
    <mergeCell ref="KG105:KJ105"/>
    <mergeCell ref="HQ105:HT105"/>
    <mergeCell ref="HU105:HX105"/>
    <mergeCell ref="HY105:IB105"/>
    <mergeCell ref="IC105:IF105"/>
    <mergeCell ref="IG105:IJ105"/>
    <mergeCell ref="IK105:IN105"/>
    <mergeCell ref="IO105:IR105"/>
    <mergeCell ref="IS105:IV105"/>
    <mergeCell ref="IW105:IZ105"/>
    <mergeCell ref="GG105:GJ105"/>
    <mergeCell ref="GK105:GN105"/>
    <mergeCell ref="GO105:GR105"/>
    <mergeCell ref="GS105:GV105"/>
    <mergeCell ref="GW105:GZ105"/>
    <mergeCell ref="HA105:HD105"/>
    <mergeCell ref="HE105:HH105"/>
    <mergeCell ref="HI105:HL105"/>
    <mergeCell ref="HM105:HP105"/>
    <mergeCell ref="EW105:EZ105"/>
    <mergeCell ref="FA105:FD105"/>
    <mergeCell ref="FE105:FH105"/>
    <mergeCell ref="FI105:FL105"/>
    <mergeCell ref="FM105:FP105"/>
    <mergeCell ref="FQ105:FT105"/>
    <mergeCell ref="FU105:FX105"/>
    <mergeCell ref="FY105:GB105"/>
    <mergeCell ref="GC105:GF105"/>
    <mergeCell ref="DM105:DP105"/>
    <mergeCell ref="DQ105:DT105"/>
    <mergeCell ref="DU105:DX105"/>
    <mergeCell ref="DY105:EB105"/>
    <mergeCell ref="EC105:EF105"/>
    <mergeCell ref="EG105:EJ105"/>
    <mergeCell ref="EK105:EN105"/>
    <mergeCell ref="EO105:ER105"/>
    <mergeCell ref="ES105:EV105"/>
    <mergeCell ref="CC105:CF105"/>
    <mergeCell ref="CG105:CJ105"/>
    <mergeCell ref="CK105:CN105"/>
    <mergeCell ref="CO105:CR105"/>
    <mergeCell ref="CS105:CV105"/>
    <mergeCell ref="CW105:CZ105"/>
    <mergeCell ref="DA105:DD105"/>
    <mergeCell ref="DE105:DH105"/>
    <mergeCell ref="DI105:DL105"/>
    <mergeCell ref="BA105:BD105"/>
    <mergeCell ref="BE105:BH105"/>
    <mergeCell ref="BI105:BL105"/>
    <mergeCell ref="BM105:BP105"/>
    <mergeCell ref="BQ105:BT105"/>
    <mergeCell ref="BU105:BX105"/>
    <mergeCell ref="BY105:CB105"/>
    <mergeCell ref="Q105:T105"/>
    <mergeCell ref="AG105:AJ105"/>
    <mergeCell ref="AK105:AN105"/>
    <mergeCell ref="AO105:AR105"/>
    <mergeCell ref="A13:B13"/>
    <mergeCell ref="C13:D13"/>
    <mergeCell ref="D108:E108"/>
    <mergeCell ref="D109:E109"/>
    <mergeCell ref="H36:I36"/>
    <mergeCell ref="B31:E31"/>
    <mergeCell ref="B90:C91"/>
    <mergeCell ref="B96:C97"/>
    <mergeCell ref="B102:C103"/>
    <mergeCell ref="L103:O103"/>
    <mergeCell ref="B87:C87"/>
    <mergeCell ref="D96:D97"/>
    <mergeCell ref="D102:D103"/>
    <mergeCell ref="H100:H101"/>
    <mergeCell ref="H94:H95"/>
    <mergeCell ref="H106:H108"/>
    <mergeCell ref="E41:E42"/>
    <mergeCell ref="L106:N106"/>
    <mergeCell ref="F86:G86"/>
    <mergeCell ref="M86:P86"/>
    <mergeCell ref="M105:P105"/>
    <mergeCell ref="AS105:AV105"/>
    <mergeCell ref="AW105:AZ105"/>
    <mergeCell ref="B125:B126"/>
    <mergeCell ref="B127:B128"/>
    <mergeCell ref="D125:D126"/>
    <mergeCell ref="D127:D128"/>
    <mergeCell ref="F125:F126"/>
    <mergeCell ref="F127:F128"/>
    <mergeCell ref="A134:B134"/>
    <mergeCell ref="C134:D134"/>
    <mergeCell ref="D69:E69"/>
    <mergeCell ref="B55:C56"/>
    <mergeCell ref="B60:C61"/>
    <mergeCell ref="B65:C66"/>
    <mergeCell ref="B47:C48"/>
    <mergeCell ref="D47:D48"/>
    <mergeCell ref="E47:E48"/>
    <mergeCell ref="F47:F48"/>
    <mergeCell ref="G47:G48"/>
    <mergeCell ref="A76:B76"/>
    <mergeCell ref="A81:B81"/>
    <mergeCell ref="D86:D87"/>
    <mergeCell ref="B53:H53"/>
    <mergeCell ref="B67:C67"/>
    <mergeCell ref="B62:C62"/>
    <mergeCell ref="B57:C57"/>
    <mergeCell ref="B71:C71"/>
    <mergeCell ref="D71:E71"/>
    <mergeCell ref="B110:C110"/>
    <mergeCell ref="D110:E110"/>
    <mergeCell ref="E93:H93"/>
    <mergeCell ref="E99:H99"/>
    <mergeCell ref="K2:P3"/>
    <mergeCell ref="A37:B37"/>
    <mergeCell ref="A38:B38"/>
    <mergeCell ref="A39:B39"/>
    <mergeCell ref="A40:B40"/>
    <mergeCell ref="A41:B41"/>
    <mergeCell ref="B92:C92"/>
    <mergeCell ref="B98:C98"/>
    <mergeCell ref="B104:C104"/>
    <mergeCell ref="A80:B80"/>
    <mergeCell ref="H78:I78"/>
    <mergeCell ref="L66:O66"/>
    <mergeCell ref="A11:B11"/>
    <mergeCell ref="L31:Q34"/>
    <mergeCell ref="A79:B79"/>
    <mergeCell ref="D70:E70"/>
    <mergeCell ref="A18:B18"/>
    <mergeCell ref="H47:H48"/>
    <mergeCell ref="L51:O51"/>
    <mergeCell ref="F46:G46"/>
    <mergeCell ref="F36:G36"/>
    <mergeCell ref="A34:B34"/>
    <mergeCell ref="A6:B6"/>
    <mergeCell ref="M24:N24"/>
    <mergeCell ref="B50:C52"/>
    <mergeCell ref="H24:I24"/>
    <mergeCell ref="H21:I21"/>
    <mergeCell ref="H23:I23"/>
    <mergeCell ref="G94:G95"/>
    <mergeCell ref="G100:G101"/>
    <mergeCell ref="G106:G108"/>
    <mergeCell ref="C11:D11"/>
    <mergeCell ref="B30:E30"/>
    <mergeCell ref="B145:C145"/>
    <mergeCell ref="E105:H105"/>
    <mergeCell ref="D90:D91"/>
    <mergeCell ref="L5:Q5"/>
    <mergeCell ref="A21:B21"/>
    <mergeCell ref="A22:B22"/>
    <mergeCell ref="A23:B23"/>
    <mergeCell ref="A24:B24"/>
    <mergeCell ref="A8:B8"/>
    <mergeCell ref="C8:D8"/>
    <mergeCell ref="A142:C142"/>
    <mergeCell ref="L124:O124"/>
    <mergeCell ref="A136:B136"/>
    <mergeCell ref="C136:D136"/>
    <mergeCell ref="A115:C115"/>
    <mergeCell ref="A118:B118"/>
    <mergeCell ref="C118:D118"/>
  </mergeCells>
  <conditionalFormatting sqref="N81:N83">
    <cfRule type="cellIs" dxfId="162" priority="54" operator="between">
      <formula>10.1</formula>
      <formula>"∞"</formula>
    </cfRule>
  </conditionalFormatting>
  <conditionalFormatting sqref="B28">
    <cfRule type="dataBar" priority="46">
      <dataBar showValue="0">
        <cfvo type="num" val="0"/>
        <cfvo type="num" val="100"/>
        <color rgb="FFF85656"/>
      </dataBar>
      <extLst>
        <ext xmlns:x14="http://schemas.microsoft.com/office/spreadsheetml/2009/9/main" uri="{B025F937-C7B1-47D3-B67F-A62EFF666E3E}">
          <x14:id>{4AA47FBB-D03B-412B-8752-CC7A3AE015A6}</x14:id>
        </ext>
      </extLst>
    </cfRule>
  </conditionalFormatting>
  <conditionalFormatting sqref="C28">
    <cfRule type="dataBar" priority="45">
      <dataBar showValue="0">
        <cfvo type="num" val="0"/>
        <cfvo type="num" val="100"/>
        <color rgb="FFF85656"/>
      </dataBar>
      <extLst>
        <ext xmlns:x14="http://schemas.microsoft.com/office/spreadsheetml/2009/9/main" uri="{B025F937-C7B1-47D3-B67F-A62EFF666E3E}">
          <x14:id>{F98AEC53-EF5B-46BA-864A-2DE1B62A9093}</x14:id>
        </ext>
      </extLst>
    </cfRule>
  </conditionalFormatting>
  <conditionalFormatting sqref="D28">
    <cfRule type="dataBar" priority="44">
      <dataBar showValue="0">
        <cfvo type="num" val="0"/>
        <cfvo type="num" val="100"/>
        <color rgb="FFF85656"/>
      </dataBar>
      <extLst>
        <ext xmlns:x14="http://schemas.microsoft.com/office/spreadsheetml/2009/9/main" uri="{B025F937-C7B1-47D3-B67F-A62EFF666E3E}">
          <x14:id>{753C5754-5556-4ADD-825A-4DD1FF523291}</x14:id>
        </ext>
      </extLst>
    </cfRule>
  </conditionalFormatting>
  <conditionalFormatting sqref="B27:C29">
    <cfRule type="expression" dxfId="161" priority="40">
      <formula>IF($B$28&lt;&gt;"",TRUE,FALSE)</formula>
    </cfRule>
  </conditionalFormatting>
  <conditionalFormatting sqref="B27">
    <cfRule type="expression" dxfId="133" priority="39">
      <formula>IF(AND(B$28&lt;100,B$28&gt;0),TRUE,FALSE)</formula>
    </cfRule>
  </conditionalFormatting>
  <conditionalFormatting sqref="C27">
    <cfRule type="expression" dxfId="160" priority="38">
      <formula>IF(AND(C$28&lt;100,C$28&gt;0),TRUE,FALSE)</formula>
    </cfRule>
  </conditionalFormatting>
  <conditionalFormatting sqref="D27">
    <cfRule type="expression" dxfId="159" priority="37">
      <formula>IF(AND(D$28&lt;100,D$28&gt;0),TRUE,FALSE)</formula>
    </cfRule>
  </conditionalFormatting>
  <conditionalFormatting sqref="B28:D28">
    <cfRule type="expression" dxfId="158" priority="36">
      <formula>IF($B$28&lt;&gt;"",TRUE,FALSE)</formula>
    </cfRule>
  </conditionalFormatting>
  <conditionalFormatting sqref="C8">
    <cfRule type="expression" dxfId="157" priority="33">
      <formula>IF($J$78="Nein Nicht Einblenden",TRUE,FALSE)</formula>
    </cfRule>
  </conditionalFormatting>
  <conditionalFormatting sqref="C11">
    <cfRule type="expression" dxfId="156" priority="32">
      <formula>IF($J$78="Nein Nicht Einblenden",TRUE,FALSE)</formula>
    </cfRule>
  </conditionalFormatting>
  <conditionalFormatting sqref="C13">
    <cfRule type="expression" dxfId="155" priority="31">
      <formula>IF($J$78="Nein Nicht Einblenden",TRUE,FALSE)</formula>
    </cfRule>
  </conditionalFormatting>
  <conditionalFormatting sqref="D52">
    <cfRule type="expression" dxfId="154" priority="84">
      <formula>IF($H$46="Nein Nicht Einblenden",TRUE,FALSE)</formula>
    </cfRule>
  </conditionalFormatting>
  <conditionalFormatting sqref="D62">
    <cfRule type="expression" dxfId="153" priority="85">
      <formula>IF($H$46="Nein Nicht Einblenden",TRUE,FALSE)</formula>
    </cfRule>
  </conditionalFormatting>
  <conditionalFormatting sqref="D57">
    <cfRule type="expression" dxfId="152" priority="87">
      <formula>IF($H$46="Nein Nicht Einblenden",TRUE,FALSE)</formula>
    </cfRule>
  </conditionalFormatting>
  <conditionalFormatting sqref="D67:D68">
    <cfRule type="expression" dxfId="151" priority="88">
      <formula>IF($H$46="Nein Nicht Einblenden",TRUE,FALSE)</formula>
    </cfRule>
  </conditionalFormatting>
  <conditionalFormatting sqref="H46">
    <cfRule type="expression" dxfId="150" priority="27">
      <formula>IF($J$78="Nein Nicht Einblenden",TRUE,FALSE)</formula>
    </cfRule>
  </conditionalFormatting>
  <conditionalFormatting sqref="D107">
    <cfRule type="expression" dxfId="149" priority="26">
      <formula>IF($H$46="Nein Nicht Einblenden",TRUE,FALSE)</formula>
    </cfRule>
  </conditionalFormatting>
  <conditionalFormatting sqref="B53:H53">
    <cfRule type="dataBar" priority="22">
      <dataBar>
        <cfvo type="num" val="0"/>
        <cfvo type="num" val="$D$51"/>
        <color rgb="FFD6007B"/>
      </dataBar>
      <extLst>
        <ext xmlns:x14="http://schemas.microsoft.com/office/spreadsheetml/2009/9/main" uri="{B025F937-C7B1-47D3-B67F-A62EFF666E3E}">
          <x14:id>{1CA5AE11-7256-44E3-9985-93B35AAC7794}</x14:id>
        </ext>
      </extLst>
    </cfRule>
  </conditionalFormatting>
  <conditionalFormatting sqref="E93:H93">
    <cfRule type="dataBar" priority="21">
      <dataBar showValue="0">
        <cfvo type="num" val="0"/>
        <cfvo type="num" val="10"/>
        <color rgb="FF008AEF"/>
      </dataBar>
      <extLst>
        <ext xmlns:x14="http://schemas.microsoft.com/office/spreadsheetml/2009/9/main" uri="{B025F937-C7B1-47D3-B67F-A62EFF666E3E}">
          <x14:id>{71F77569-CC12-4D7A-9000-B2207575CC72}</x14:id>
        </ext>
      </extLst>
    </cfRule>
  </conditionalFormatting>
  <conditionalFormatting sqref="E99:H99">
    <cfRule type="dataBar" priority="18">
      <dataBar showValue="0">
        <cfvo type="num" val="0"/>
        <cfvo type="num" val="10"/>
        <color rgb="FFFF0000"/>
      </dataBar>
      <extLst>
        <ext xmlns:x14="http://schemas.microsoft.com/office/spreadsheetml/2009/9/main" uri="{B025F937-C7B1-47D3-B67F-A62EFF666E3E}">
          <x14:id>{CF44394D-E10B-4CC1-8320-4543437F01B6}</x14:id>
        </ext>
      </extLst>
    </cfRule>
  </conditionalFormatting>
  <conditionalFormatting sqref="B105:H105 M105:T105 Z105:XFD105">
    <cfRule type="dataBar" priority="19">
      <dataBar showValue="0">
        <cfvo type="num" val="0"/>
        <cfvo type="num" val="10"/>
        <color rgb="FF00B050"/>
      </dataBar>
      <extLst>
        <ext xmlns:x14="http://schemas.microsoft.com/office/spreadsheetml/2009/9/main" uri="{B025F937-C7B1-47D3-B67F-A62EFF666E3E}">
          <x14:id>{28E932A5-4EB4-4553-90D3-4182E0191A75}</x14:id>
        </ext>
      </extLst>
    </cfRule>
  </conditionalFormatting>
  <conditionalFormatting sqref="E92">
    <cfRule type="expression" dxfId="148" priority="17">
      <formula>IF($H$86="Nein Nicht Einblenden",TRUE,FALSE)</formula>
    </cfRule>
  </conditionalFormatting>
  <conditionalFormatting sqref="E98">
    <cfRule type="expression" dxfId="147" priority="16">
      <formula>IF($H$86="Nein Nicht Einblenden",TRUE,FALSE)</formula>
    </cfRule>
  </conditionalFormatting>
  <conditionalFormatting sqref="E104">
    <cfRule type="expression" dxfId="146" priority="15">
      <formula>IF($H$86="Nein Nicht Einblenden",TRUE,FALSE)</formula>
    </cfRule>
  </conditionalFormatting>
  <conditionalFormatting sqref="C118">
    <cfRule type="expression" dxfId="145" priority="14">
      <formula>IF($J$78="Nein Nicht Einblenden",TRUE,FALSE)</formula>
    </cfRule>
  </conditionalFormatting>
  <conditionalFormatting sqref="C134">
    <cfRule type="expression" dxfId="144" priority="13">
      <formula>IF($J$78="Nein Nicht Einblenden",TRUE,FALSE)</formula>
    </cfRule>
  </conditionalFormatting>
  <conditionalFormatting sqref="E41:E42">
    <cfRule type="expression" dxfId="143" priority="12">
      <formula>IF($E$41&lt;&gt;"",TRUE,FALSE)</formula>
    </cfRule>
  </conditionalFormatting>
  <conditionalFormatting sqref="H86">
    <cfRule type="expression" dxfId="142" priority="11">
      <formula>IF($J$78="Nein Nicht Einblenden",TRUE,FALSE)</formula>
    </cfRule>
  </conditionalFormatting>
  <conditionalFormatting sqref="C136">
    <cfRule type="expression" dxfId="141" priority="10">
      <formula>IF($J$78="Nein Nicht Einblenden",TRUE,FALSE)</formula>
    </cfRule>
  </conditionalFormatting>
  <conditionalFormatting sqref="G148 G150 G152 G154 G156 G158 G160 G162">
    <cfRule type="expression" dxfId="140" priority="9">
      <formula>IF($G148&gt;10,TRUE,FALSE)</formula>
    </cfRule>
  </conditionalFormatting>
  <conditionalFormatting sqref="D21">
    <cfRule type="expression" dxfId="139" priority="7">
      <formula>IF($D$21&lt;&gt;"",TRUE,FALSE)</formula>
    </cfRule>
  </conditionalFormatting>
  <conditionalFormatting sqref="D22">
    <cfRule type="expression" dxfId="138" priority="6">
      <formula>IF($D$22&lt;&gt;"",TRUE,FALSE)</formula>
    </cfRule>
  </conditionalFormatting>
  <conditionalFormatting sqref="D23">
    <cfRule type="expression" dxfId="137" priority="5">
      <formula>IF($D$23&lt;&gt;"",TRUE,FALSE)</formula>
    </cfRule>
  </conditionalFormatting>
  <conditionalFormatting sqref="G94:H95">
    <cfRule type="expression" dxfId="136" priority="4">
      <formula>IF($H$94&lt;&gt;"",TRUE,FALSE)</formula>
    </cfRule>
  </conditionalFormatting>
  <conditionalFormatting sqref="G100:H101">
    <cfRule type="expression" dxfId="135" priority="3">
      <formula>IF($H$100&lt;&gt;"",TRUE,FALSE)</formula>
    </cfRule>
  </conditionalFormatting>
  <conditionalFormatting sqref="G106:H108">
    <cfRule type="expression" dxfId="134" priority="1">
      <formula>IF($H$106&lt;&gt;"",TRUE,FALSE)</formula>
    </cfRule>
  </conditionalFormatting>
  <dataValidations count="10">
    <dataValidation type="list" allowBlank="1" showInputMessage="1" showErrorMessage="1" sqref="C14" xr:uid="{D129FF21-4D32-4FDD-85CD-61E91B1C9E74}">
      <mc:AlternateContent xmlns:x12ac="http://schemas.microsoft.com/office/spreadsheetml/2011/1/ac" xmlns:mc="http://schemas.openxmlformats.org/markup-compatibility/2006">
        <mc:Choice Requires="x12ac">
          <x12ac:list>"0,1","0,5",1,"1,5",2,"2,5",3,"3,5",4,5,10</x12ac:list>
        </mc:Choice>
        <mc:Fallback>
          <formula1>"0,1,0,5,1,1,5,2,2,5,3,3,5,4,5,10"</formula1>
        </mc:Fallback>
      </mc:AlternateContent>
    </dataValidation>
    <dataValidation type="list" allowBlank="1" showInputMessage="1" showErrorMessage="1" sqref="C37" xr:uid="{8D6FEC0A-1C53-42E9-9E18-20A74073503C}">
      <formula1>"1.Übung,2.Übung,3.Übung,4.Übung,5.Übung"</formula1>
    </dataValidation>
    <dataValidation type="list" allowBlank="1" showInputMessage="1" showErrorMessage="1" sqref="C39 C79" xr:uid="{E2C399C5-F26B-4AD4-83D0-073B3E4CE4C1}">
      <formula1>"2 Sätze,3 Sätze,4 Sätze,5 Sätze,6 Sätze"</formula1>
    </dataValidation>
    <dataValidation type="list" allowBlank="1" showInputMessage="1" showErrorMessage="1" sqref="H46 J78 H86" xr:uid="{E005D4F2-0AD3-44AC-BEE3-261F92B47DCC}">
      <formula1>"Ja Einblenden,Nein Nicht Einblenden"</formula1>
    </dataValidation>
    <dataValidation allowBlank="1" showInputMessage="1" showErrorMessage="1" error="Steigerung " sqref="D67:D68 D107" xr:uid="{B6ED5D24-0F65-4FAC-8D60-3A13AEB61366}"/>
    <dataValidation type="list" allowBlank="1" showInputMessage="1" showErrorMessage="1" sqref="C11" xr:uid="{3CEB238D-043C-489C-92FA-AE6AB663795C}">
      <formula1>"Epley,Brzycki"</formula1>
    </dataValidation>
    <dataValidation type="list" allowBlank="1" showInputMessage="1" showErrorMessage="1" sqref="F69" xr:uid="{3087000E-7921-43B3-99DD-8B7B0940E79B}">
      <formula1>"Intensitätssteigerung,Volumensteigerung,Keine Steigerung"</formula1>
    </dataValidation>
    <dataValidation type="list" allowBlank="1" showInputMessage="1" showErrorMessage="1" sqref="C131:C132" xr:uid="{FD345D4C-1608-478F-83D8-623E87ACD08B}">
      <formula1>"Ja Übernehmen,Nein Nicht Übernehmen"</formula1>
    </dataValidation>
    <dataValidation type="list" allowBlank="1" showInputMessage="1" showErrorMessage="1" sqref="C118:D118" xr:uid="{2C466261-3B7E-4504-A1FD-FA8270DC55EB}">
      <formula1>"Individueller Rechner,Autonomer Rechner,"</formula1>
    </dataValidation>
    <dataValidation type="list" allowBlank="1" showInputMessage="1" showErrorMessage="1" sqref="C136:D136 C134:D134" xr:uid="{D0499F89-D977-4729-BB4B-84836C273FC3}">
      <formula1>"Ja Anzeigen,Nein nicht Anzeigen"</formula1>
    </dataValidation>
  </dataValidations>
  <hyperlinks>
    <hyperlink ref="L56" r:id="rId1" display="5 Wdh" xr:uid="{1E5ACB33-C30E-47E7-BB6D-9E05179F3947}"/>
    <hyperlink ref="L112" r:id="rId2" display="https://www.sjardfitness.de/maximalkraftrechner/" xr:uid="{E3DD4E37-9237-4DB2-B7FA-71A1F018ADBB}"/>
    <hyperlink ref="L72" r:id="rId3" display="5 Wdh" xr:uid="{FF4B66BB-AD36-4DFF-84AF-1FF785E742C4}"/>
    <hyperlink ref="O24" location="Maximalkraftwerte!D7" display="Maximalkraftwerte" xr:uid="{0C2A228C-8C7A-4B3E-BD8A-5364CCECDC6E}"/>
    <hyperlink ref="D42" location="'Gewichts- Calculator'!A142" display="Ergebnis Tabelle" xr:uid="{6BACE94C-6FE3-41DB-8EA1-AF96CF0099E9}"/>
    <hyperlink ref="G163" location="'Gewichts- Calculator'!A34" display="Zurück zum Rechner" xr:uid="{B135D162-8A8B-46D2-9BA9-EF6C188A6730}"/>
    <hyperlink ref="H24" location="Maximalkraftwerte!A1" display="Maximalkraftwerte!" xr:uid="{E92D9FA6-FD0A-43B8-91FF-DB85E799DC3E}"/>
  </hyperlinks>
  <pageMargins left="0.7" right="0.7" top="0.78740157499999996" bottom="0.78740157499999996" header="0.3" footer="0.3"/>
  <pageSetup paperSize="9" orientation="portrait" horizontalDpi="300" verticalDpi="300" r:id="rId4"/>
  <ignoredErrors>
    <ignoredError sqref="D39 D37" unlockedFormula="1"/>
    <ignoredError sqref="G37" formula="1"/>
    <ignoredError sqref="D52 E51" evalError="1"/>
  </ignoredErrors>
  <drawing r:id="rId5"/>
  <legacyDrawing r:id="rId6"/>
  <extLst>
    <ext xmlns:x14="http://schemas.microsoft.com/office/spreadsheetml/2009/9/main" uri="{78C0D931-6437-407d-A8EE-F0AAD7539E65}">
      <x14:conditionalFormattings>
        <x14:conditionalFormatting xmlns:xm="http://schemas.microsoft.com/office/excel/2006/main">
          <x14:cfRule type="dataBar" id="{4AA47FBB-D03B-412B-8752-CC7A3AE015A6}">
            <x14:dataBar minLength="0" maxLength="100" gradient="0" direction="leftToRight" negativeBarColorSameAsPositive="1" axisPosition="none">
              <x14:cfvo type="num">
                <xm:f>0</xm:f>
              </x14:cfvo>
              <x14:cfvo type="num">
                <xm:f>100</xm:f>
              </x14:cfvo>
            </x14:dataBar>
          </x14:cfRule>
          <xm:sqref>B28</xm:sqref>
        </x14:conditionalFormatting>
        <x14:conditionalFormatting xmlns:xm="http://schemas.microsoft.com/office/excel/2006/main">
          <x14:cfRule type="dataBar" id="{F98AEC53-EF5B-46BA-864A-2DE1B62A9093}">
            <x14:dataBar minLength="0" maxLength="100" gradient="0">
              <x14:cfvo type="num">
                <xm:f>0</xm:f>
              </x14:cfvo>
              <x14:cfvo type="num">
                <xm:f>100</xm:f>
              </x14:cfvo>
              <x14:negativeFillColor rgb="FFFF0000"/>
              <x14:axisColor rgb="FF000000"/>
            </x14:dataBar>
          </x14:cfRule>
          <xm:sqref>C28</xm:sqref>
        </x14:conditionalFormatting>
        <x14:conditionalFormatting xmlns:xm="http://schemas.microsoft.com/office/excel/2006/main">
          <x14:cfRule type="dataBar" id="{753C5754-5556-4ADD-825A-4DD1FF523291}">
            <x14:dataBar minLength="0" maxLength="100" gradient="0">
              <x14:cfvo type="num">
                <xm:f>0</xm:f>
              </x14:cfvo>
              <x14:cfvo type="num">
                <xm:f>100</xm:f>
              </x14:cfvo>
              <x14:negativeFillColor rgb="FFFF0000"/>
              <x14:axisColor rgb="FF000000"/>
            </x14:dataBar>
          </x14:cfRule>
          <xm:sqref>D28</xm:sqref>
        </x14:conditionalFormatting>
        <x14:conditionalFormatting xmlns:xm="http://schemas.microsoft.com/office/excel/2006/main">
          <x14:cfRule type="dataBar" id="{1CA5AE11-7256-44E3-9985-93B35AAC7794}">
            <x14:dataBar minLength="0" maxLength="100" gradient="0">
              <x14:cfvo type="num">
                <xm:f>0</xm:f>
              </x14:cfvo>
              <x14:cfvo type="num">
                <xm:f>$D$51</xm:f>
              </x14:cfvo>
              <x14:negativeFillColor rgb="FFFF0000"/>
              <x14:axisColor rgb="FF000000"/>
            </x14:dataBar>
          </x14:cfRule>
          <xm:sqref>B53:H53</xm:sqref>
        </x14:conditionalFormatting>
        <x14:conditionalFormatting xmlns:xm="http://schemas.microsoft.com/office/excel/2006/main">
          <x14:cfRule type="dataBar" id="{71F77569-CC12-4D7A-9000-B2207575CC72}">
            <x14:dataBar minLength="0" maxLength="100" gradient="0">
              <x14:cfvo type="num">
                <xm:f>0</xm:f>
              </x14:cfvo>
              <x14:cfvo type="num">
                <xm:f>10</xm:f>
              </x14:cfvo>
              <x14:negativeFillColor rgb="FFFF0000"/>
              <x14:axisColor rgb="FF000000"/>
            </x14:dataBar>
          </x14:cfRule>
          <xm:sqref>E93:H93</xm:sqref>
        </x14:conditionalFormatting>
        <x14:conditionalFormatting xmlns:xm="http://schemas.microsoft.com/office/excel/2006/main">
          <x14:cfRule type="dataBar" id="{CF44394D-E10B-4CC1-8320-4543437F01B6}">
            <x14:dataBar minLength="0" maxLength="100" gradient="0">
              <x14:cfvo type="num">
                <xm:f>0</xm:f>
              </x14:cfvo>
              <x14:cfvo type="num">
                <xm:f>10</xm:f>
              </x14:cfvo>
              <x14:negativeFillColor rgb="FFFF0000"/>
              <x14:axisColor rgb="FF000000"/>
            </x14:dataBar>
          </x14:cfRule>
          <xm:sqref>E99:H99</xm:sqref>
        </x14:conditionalFormatting>
        <x14:conditionalFormatting xmlns:xm="http://schemas.microsoft.com/office/excel/2006/main">
          <x14:cfRule type="dataBar" id="{28E932A5-4EB4-4553-90D3-4182E0191A75}">
            <x14:dataBar minLength="0" maxLength="100" gradient="0">
              <x14:cfvo type="num">
                <xm:f>0</xm:f>
              </x14:cfvo>
              <x14:cfvo type="num">
                <xm:f>10</xm:f>
              </x14:cfvo>
              <x14:negativeFillColor rgb="FFFF0000"/>
              <x14:axisColor rgb="FF000000"/>
            </x14:dataBar>
          </x14:cfRule>
          <xm:sqref>B105:H105 M105:T105 Z105:XFD105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FD88E22-E896-4C5F-AF9A-874E7125F04F}">
          <x14:formula1>
            <xm:f>'Funktions-Tabelle'!$A$11:$A$22</xm:f>
          </x14:formula1>
          <xm:sqref>C13:D13</xm:sqref>
        </x14:dataValidation>
        <x14:dataValidation type="list" allowBlank="1" showInputMessage="1" showErrorMessage="1" xr:uid="{38850E96-6B4A-464B-B0C4-5DD23C05E570}">
          <x14:formula1>
            <xm:f>'Funktions-Tabelle'!$M$5:$M$19</xm:f>
          </x14:formula1>
          <xm:sqref>C8 B148:B162</xm:sqref>
        </x14:dataValidation>
        <x14:dataValidation type="list" allowBlank="1" showInputMessage="1" showErrorMessage="1" xr:uid="{F74EE68C-FFDF-4927-AE10-87F142A7D1D7}">
          <x14:formula1>
            <xm:f>'Funktions-Tabelle'!$H$5:$H$9</xm:f>
          </x14:formula1>
          <xm:sqref>F70</xm:sqref>
        </x14:dataValidation>
        <x14:dataValidation type="list" allowBlank="1" showInputMessage="1" showErrorMessage="1" xr:uid="{74AE4675-8D1D-482E-B5BE-DE4D0EE0A668}">
          <x14:formula1>
            <xm:f>'Funktions-Tabelle'!$D$5:$D$9</xm:f>
          </x14:formula1>
          <xm:sqref>F108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97"/>
  <sheetViews>
    <sheetView showGridLines="0" zoomScale="86" zoomScaleNormal="86" workbookViewId="0">
      <selection activeCell="E84" sqref="E84"/>
    </sheetView>
  </sheetViews>
  <sheetFormatPr baseColWidth="10" defaultColWidth="9" defaultRowHeight="12.75"/>
  <cols>
    <col min="1" max="1" width="20.42578125" customWidth="1"/>
    <col min="2" max="2" width="24.28515625" customWidth="1"/>
    <col min="3" max="9" width="20.42578125" customWidth="1"/>
    <col min="10" max="10" width="21.140625" customWidth="1"/>
    <col min="11" max="11" width="21.42578125" customWidth="1"/>
    <col min="12" max="19" width="20.7109375" customWidth="1"/>
    <col min="20" max="255" width="10" customWidth="1"/>
  </cols>
  <sheetData>
    <row r="1" spans="1:19" ht="24.95" customHeight="1">
      <c r="A1" s="684"/>
      <c r="B1" s="684"/>
      <c r="C1" s="684"/>
      <c r="D1" s="684"/>
      <c r="E1" s="684"/>
      <c r="F1" s="684"/>
      <c r="G1" s="684"/>
      <c r="H1" s="684"/>
      <c r="I1" s="684"/>
      <c r="J1" s="684"/>
      <c r="K1" s="684"/>
      <c r="L1" s="684"/>
      <c r="M1" s="684"/>
      <c r="N1" s="684"/>
      <c r="O1" s="684"/>
      <c r="P1" s="684"/>
      <c r="Q1" s="682"/>
      <c r="R1" s="682"/>
      <c r="S1" s="682"/>
    </row>
    <row r="2" spans="1:19" ht="24.95" customHeight="1">
      <c r="A2" s="684"/>
      <c r="B2" s="684"/>
      <c r="C2" s="684"/>
      <c r="D2" s="684"/>
      <c r="E2" s="684"/>
      <c r="F2" s="684"/>
      <c r="G2" s="684"/>
      <c r="H2" s="684"/>
      <c r="I2" s="684"/>
      <c r="J2" s="684"/>
      <c r="K2" s="684"/>
      <c r="L2" s="684"/>
      <c r="M2" s="684"/>
      <c r="N2" s="684"/>
      <c r="O2" s="684"/>
      <c r="P2" s="684"/>
      <c r="Q2" s="682"/>
      <c r="R2" s="682"/>
      <c r="S2" s="682"/>
    </row>
    <row r="3" spans="1:19" ht="24.95" customHeight="1">
      <c r="A3" s="684"/>
      <c r="B3" s="684"/>
      <c r="C3" s="684"/>
      <c r="D3" s="684"/>
      <c r="E3" s="684"/>
      <c r="F3" s="684"/>
      <c r="G3" s="684"/>
      <c r="H3" s="684"/>
      <c r="I3" s="684"/>
      <c r="J3" s="684"/>
      <c r="K3" s="684"/>
      <c r="L3" s="684"/>
      <c r="M3" s="684"/>
      <c r="N3" s="684"/>
      <c r="O3" s="684"/>
      <c r="P3" s="684"/>
      <c r="Q3" s="682"/>
      <c r="R3" s="682"/>
      <c r="S3" s="682"/>
    </row>
    <row r="4" spans="1:19" ht="24.95" customHeight="1">
      <c r="A4" s="684"/>
      <c r="B4" s="684"/>
      <c r="C4" s="684"/>
      <c r="D4" s="684"/>
      <c r="E4" s="684"/>
      <c r="F4" s="684"/>
      <c r="G4" s="684"/>
      <c r="H4" s="684"/>
      <c r="I4" s="684"/>
      <c r="J4" s="684"/>
      <c r="K4" s="684"/>
      <c r="L4" s="684"/>
      <c r="M4" s="684"/>
      <c r="N4" s="684"/>
      <c r="O4" s="684"/>
      <c r="P4" s="684"/>
      <c r="Q4" s="682"/>
      <c r="R4" s="682"/>
      <c r="S4" s="682"/>
    </row>
    <row r="5" spans="1:19" ht="24.95" customHeight="1">
      <c r="A5" s="684"/>
      <c r="B5" s="684"/>
      <c r="C5" s="684"/>
      <c r="D5" s="684"/>
      <c r="E5" s="684"/>
      <c r="F5" s="684"/>
      <c r="G5" s="684"/>
      <c r="H5" s="684"/>
      <c r="I5" s="684"/>
      <c r="J5" s="684"/>
      <c r="K5" s="684"/>
      <c r="L5" s="684"/>
      <c r="M5" s="684"/>
      <c r="N5" s="684"/>
      <c r="O5" s="684"/>
      <c r="P5" s="684"/>
      <c r="Q5" s="682"/>
      <c r="R5" s="682"/>
      <c r="S5" s="682"/>
    </row>
    <row r="6" spans="1:19" ht="24.95" customHeight="1">
      <c r="A6" s="684"/>
      <c r="B6" s="684"/>
      <c r="C6" s="684"/>
      <c r="D6" s="402"/>
      <c r="E6" s="402"/>
      <c r="F6" s="684"/>
      <c r="G6" s="684"/>
      <c r="H6" s="684"/>
      <c r="I6" s="684"/>
      <c r="J6" s="684"/>
      <c r="K6" s="684"/>
      <c r="L6" s="684"/>
      <c r="M6" s="684"/>
      <c r="N6" s="684"/>
      <c r="O6" s="684"/>
      <c r="P6" s="684"/>
      <c r="Q6" s="682"/>
      <c r="R6" s="682"/>
      <c r="S6" s="682"/>
    </row>
    <row r="7" spans="1:19" ht="24.95" customHeight="1">
      <c r="A7" s="1191" t="s">
        <v>372</v>
      </c>
      <c r="B7" s="1191"/>
      <c r="C7" s="724"/>
      <c r="D7" s="724"/>
      <c r="E7" s="724"/>
      <c r="F7" s="684"/>
      <c r="G7" s="684"/>
      <c r="H7" s="684"/>
      <c r="I7" s="684"/>
      <c r="J7" s="684"/>
      <c r="K7" s="684"/>
      <c r="L7" s="684"/>
      <c r="M7" s="684"/>
      <c r="N7" s="684"/>
      <c r="O7" s="684"/>
      <c r="P7" s="684"/>
      <c r="Q7" s="682"/>
      <c r="R7" s="682"/>
      <c r="S7" s="682"/>
    </row>
    <row r="8" spans="1:19" ht="24.95" customHeight="1">
      <c r="A8" s="684"/>
      <c r="B8" s="684"/>
      <c r="C8" s="684"/>
      <c r="D8" s="684"/>
      <c r="E8" s="684"/>
      <c r="F8" s="684"/>
      <c r="G8" s="684"/>
      <c r="H8" s="684"/>
      <c r="I8" s="684"/>
      <c r="J8" s="684"/>
      <c r="K8" s="684"/>
      <c r="L8" s="684"/>
      <c r="M8" s="684"/>
      <c r="N8" s="684"/>
      <c r="O8" s="684"/>
      <c r="P8" s="684"/>
      <c r="Q8" s="682"/>
      <c r="R8" s="682"/>
      <c r="S8" s="682"/>
    </row>
    <row r="9" spans="1:19" ht="24.95" customHeight="1">
      <c r="A9" s="684"/>
      <c r="B9" s="684"/>
      <c r="C9" s="684"/>
      <c r="D9" s="684"/>
      <c r="E9" s="684"/>
      <c r="F9" s="684"/>
      <c r="G9" s="684"/>
      <c r="H9" s="684"/>
      <c r="I9" s="684"/>
      <c r="J9" s="684"/>
      <c r="K9" s="684"/>
      <c r="L9" s="684"/>
      <c r="M9" s="684"/>
      <c r="N9" s="684"/>
      <c r="O9" s="684"/>
      <c r="P9" s="684"/>
      <c r="Q9" s="682"/>
      <c r="R9" s="682"/>
      <c r="S9" s="682"/>
    </row>
    <row r="10" spans="1:19" ht="24.95" customHeight="1">
      <c r="A10" s="1175" t="s">
        <v>220</v>
      </c>
      <c r="B10" s="1220"/>
      <c r="C10" s="1221" t="s">
        <v>2</v>
      </c>
      <c r="D10" s="1176"/>
      <c r="E10" s="684"/>
      <c r="F10" s="684"/>
      <c r="G10" s="684"/>
      <c r="H10" s="684"/>
      <c r="I10" s="684"/>
      <c r="J10" s="684"/>
      <c r="K10" s="684"/>
      <c r="L10" s="684"/>
      <c r="M10" s="684"/>
      <c r="N10" s="684"/>
      <c r="O10" s="684"/>
      <c r="P10" s="684"/>
      <c r="Q10" s="682"/>
      <c r="R10" s="682"/>
      <c r="S10" s="682"/>
    </row>
    <row r="11" spans="1:19" ht="24.95" customHeight="1">
      <c r="A11" s="684"/>
      <c r="B11" s="684"/>
      <c r="C11" s="684"/>
      <c r="D11" s="684"/>
      <c r="E11" s="684"/>
      <c r="F11" s="684"/>
      <c r="G11" s="684" t="str">
        <f>IF(ISNA(VLOOKUP($C$8,Zyklus!$A$14:$U$65,5,FALSE)&amp;" "&amp;Dashboard!$C$24),"",VLOOKUP($C$8,Zyklus!$A$14:$U$65,5,FALSE)&amp;" "&amp;Dashboard!$C$24)</f>
        <v/>
      </c>
      <c r="H11" s="684"/>
      <c r="I11" s="684"/>
      <c r="J11" s="684"/>
      <c r="K11" s="684"/>
      <c r="L11" s="684"/>
      <c r="M11" s="684"/>
      <c r="N11" s="684"/>
      <c r="O11" s="684"/>
      <c r="P11" s="684"/>
      <c r="Q11" s="682"/>
      <c r="R11" s="682"/>
      <c r="S11" s="682"/>
    </row>
    <row r="12" spans="1:19" ht="24.95" customHeight="1">
      <c r="A12" s="684"/>
      <c r="B12" s="684"/>
      <c r="C12" s="684"/>
      <c r="D12" s="684"/>
      <c r="E12" s="684"/>
      <c r="F12" s="684"/>
      <c r="G12" s="684" t="str">
        <f>IF(ISNA(VLOOKUP($C$8,Zyklus!$A$14:$U$65,13,FALSE)&amp;" "&amp;Dashboard!$C$24),"",VLOOKUP($C$8,Zyklus!$A$14:$U$65,13,FALSE)&amp;" "&amp;Dashboard!$C$24)</f>
        <v/>
      </c>
      <c r="H12" s="684"/>
      <c r="I12" s="684"/>
      <c r="J12" s="684"/>
      <c r="K12" s="684"/>
      <c r="L12" s="684"/>
      <c r="M12" s="684"/>
      <c r="N12" s="684"/>
      <c r="O12" s="684"/>
      <c r="P12" s="684"/>
      <c r="Q12" s="682"/>
      <c r="R12" s="682"/>
      <c r="S12" s="682"/>
    </row>
    <row r="13" spans="1:19" ht="24.95" customHeight="1">
      <c r="A13" s="1195" t="s">
        <v>292</v>
      </c>
      <c r="B13" s="1196"/>
      <c r="C13" s="807" t="s">
        <v>293</v>
      </c>
      <c r="D13" s="684"/>
      <c r="E13" s="684"/>
      <c r="F13" s="684"/>
      <c r="G13" s="684" t="str">
        <f>IF(ISNA(VLOOKUP($C$8,Zyklus!$A$14:$U$65,17,FALSE)&amp;" "&amp;Dashboard!$C$24),"",VLOOKUP($C$8,Zyklus!$A$14:$U$65,17,FALSE)&amp;" "&amp;Dashboard!$C$24)</f>
        <v/>
      </c>
      <c r="H13" s="684"/>
      <c r="I13" s="684"/>
      <c r="J13" s="684"/>
      <c r="K13" s="684"/>
      <c r="L13" s="684"/>
      <c r="M13" s="684"/>
      <c r="N13" s="684"/>
      <c r="O13" s="684"/>
      <c r="P13" s="684"/>
      <c r="Q13" s="682"/>
      <c r="R13" s="682"/>
      <c r="S13" s="682"/>
    </row>
    <row r="14" spans="1:19" ht="25.5" customHeight="1">
      <c r="A14" s="684"/>
      <c r="B14" s="684"/>
      <c r="C14" s="684"/>
      <c r="D14" s="684"/>
      <c r="E14" s="684"/>
      <c r="F14" s="684"/>
      <c r="G14" s="684"/>
      <c r="H14" s="684"/>
      <c r="I14" s="684"/>
      <c r="J14" s="684"/>
      <c r="K14" s="684"/>
      <c r="L14" s="684"/>
      <c r="M14" s="684"/>
      <c r="N14" s="684"/>
      <c r="O14" s="684"/>
      <c r="P14" s="684"/>
      <c r="Q14" s="682"/>
      <c r="R14" s="682"/>
      <c r="S14" s="682"/>
    </row>
    <row r="15" spans="1:19" ht="25.5" customHeight="1">
      <c r="A15" s="1189" t="s">
        <v>249</v>
      </c>
      <c r="B15" s="1192"/>
      <c r="C15" s="236">
        <v>2.5</v>
      </c>
      <c r="D15" s="716" t="str">
        <f>"Empfohlen "&amp;VLOOKUP($C$10,Übungsübersicht!E10:J54,3,FALSE)&amp;" "&amp;Dashboard!$C$24</f>
        <v>Empfohlen 2,5 [Kg]</v>
      </c>
      <c r="E15" s="684"/>
      <c r="F15" s="684"/>
      <c r="G15" s="684"/>
      <c r="H15" s="684"/>
      <c r="I15" s="684"/>
      <c r="J15" s="684"/>
      <c r="K15" s="684"/>
      <c r="L15" s="684"/>
      <c r="M15" s="684"/>
      <c r="N15" s="684"/>
      <c r="O15" s="684"/>
      <c r="P15" s="684"/>
      <c r="Q15" s="682"/>
      <c r="R15" s="682"/>
      <c r="S15" s="682"/>
    </row>
    <row r="16" spans="1:19" ht="25.5" customHeight="1">
      <c r="A16" s="684"/>
      <c r="B16" s="684"/>
      <c r="C16" s="684"/>
      <c r="D16" s="684"/>
      <c r="E16" s="684"/>
      <c r="F16" s="684"/>
      <c r="G16" s="684"/>
      <c r="H16" s="684"/>
      <c r="I16" s="684"/>
      <c r="J16" s="684"/>
      <c r="K16" s="684"/>
      <c r="L16" s="684"/>
      <c r="M16" s="684"/>
      <c r="N16" s="684"/>
      <c r="O16" s="684"/>
      <c r="P16" s="684"/>
      <c r="Q16" s="682"/>
      <c r="R16" s="682"/>
      <c r="S16" s="682"/>
    </row>
    <row r="17" spans="1:19" ht="25.5" customHeight="1">
      <c r="A17" s="1189" t="s">
        <v>378</v>
      </c>
      <c r="B17" s="1190"/>
      <c r="C17" s="236" t="s">
        <v>379</v>
      </c>
      <c r="D17" s="684"/>
      <c r="E17" s="684"/>
      <c r="F17" s="684"/>
      <c r="G17" s="684"/>
      <c r="H17" s="684"/>
      <c r="I17" s="684"/>
      <c r="J17" s="684"/>
      <c r="K17" s="684"/>
      <c r="L17" s="684"/>
      <c r="M17" s="684"/>
      <c r="N17" s="684"/>
      <c r="O17" s="684"/>
      <c r="P17" s="684"/>
      <c r="Q17" s="682"/>
      <c r="R17" s="682"/>
      <c r="S17" s="682"/>
    </row>
    <row r="18" spans="1:19" ht="25.5" customHeight="1">
      <c r="A18" s="684"/>
      <c r="B18" s="684"/>
      <c r="C18" s="684"/>
      <c r="D18" s="684"/>
      <c r="E18" s="684"/>
      <c r="F18" s="684"/>
      <c r="G18" s="684"/>
      <c r="H18" s="684"/>
      <c r="I18" s="684"/>
      <c r="J18" s="684"/>
      <c r="K18" s="684"/>
      <c r="L18" s="684"/>
      <c r="M18" s="684"/>
      <c r="N18" s="684"/>
      <c r="O18" s="684"/>
      <c r="P18" s="684"/>
      <c r="Q18" s="682"/>
      <c r="R18" s="682"/>
      <c r="S18" s="682"/>
    </row>
    <row r="19" spans="1:19" ht="25.5" customHeight="1">
      <c r="A19" s="684"/>
      <c r="B19" s="684"/>
      <c r="C19" s="684"/>
      <c r="D19" s="684"/>
      <c r="E19" s="684"/>
      <c r="F19" s="684"/>
      <c r="G19" s="684"/>
      <c r="H19" s="684"/>
      <c r="I19" s="684"/>
      <c r="J19" s="684"/>
      <c r="K19" s="684"/>
      <c r="L19" s="684"/>
      <c r="M19" s="684"/>
      <c r="N19" s="684"/>
      <c r="O19" s="684"/>
      <c r="P19" s="684"/>
      <c r="Q19" s="682"/>
      <c r="R19" s="682"/>
      <c r="S19" s="682"/>
    </row>
    <row r="20" spans="1:19" ht="24.95" customHeight="1">
      <c r="A20" s="684"/>
      <c r="B20" s="684"/>
      <c r="C20" s="684"/>
      <c r="D20" s="684"/>
      <c r="E20" s="684"/>
      <c r="F20" s="684"/>
      <c r="G20" s="684"/>
      <c r="H20" s="684"/>
      <c r="I20" s="684"/>
      <c r="J20" s="684"/>
      <c r="K20" s="684"/>
      <c r="L20" s="684"/>
      <c r="M20" s="684"/>
      <c r="N20" s="684"/>
      <c r="O20" s="684"/>
      <c r="P20" s="684"/>
      <c r="Q20" s="682"/>
      <c r="R20" s="682"/>
      <c r="S20" s="682"/>
    </row>
    <row r="21" spans="1:19" ht="24.95" customHeight="1">
      <c r="A21" s="1167" t="s">
        <v>371</v>
      </c>
      <c r="B21" s="1167"/>
      <c r="C21" s="1167"/>
      <c r="D21" s="724"/>
      <c r="E21" s="724"/>
      <c r="F21" s="724"/>
      <c r="G21" s="684"/>
      <c r="H21" s="684"/>
      <c r="I21" s="684"/>
      <c r="J21" s="684"/>
      <c r="K21" s="684"/>
      <c r="L21" s="684"/>
      <c r="M21" s="684"/>
      <c r="N21" s="684"/>
      <c r="O21" s="684"/>
      <c r="P21" s="684"/>
      <c r="Q21" s="682"/>
      <c r="R21" s="682"/>
      <c r="S21" s="682"/>
    </row>
    <row r="22" spans="1:19" ht="24.95" customHeight="1" thickBot="1">
      <c r="A22" s="684"/>
      <c r="B22" s="684"/>
      <c r="C22" s="684"/>
      <c r="D22" s="684"/>
      <c r="E22" s="684"/>
      <c r="F22" s="684"/>
      <c r="G22" s="684"/>
      <c r="H22" s="684"/>
      <c r="I22" s="684"/>
      <c r="J22" s="684"/>
      <c r="K22" s="684"/>
      <c r="L22" s="684"/>
      <c r="M22" s="684"/>
      <c r="N22" s="684"/>
      <c r="O22" s="684"/>
      <c r="P22" s="684"/>
      <c r="Q22" s="682"/>
      <c r="R22" s="682"/>
      <c r="S22" s="682"/>
    </row>
    <row r="23" spans="1:19" ht="24.95" customHeight="1" thickBot="1">
      <c r="A23" s="684"/>
      <c r="B23" s="684"/>
      <c r="C23" s="505" t="s">
        <v>330</v>
      </c>
      <c r="D23" s="717"/>
      <c r="E23" s="684"/>
      <c r="F23" s="684"/>
      <c r="G23" s="684"/>
      <c r="H23" s="684"/>
      <c r="I23" s="684"/>
      <c r="J23" s="684"/>
      <c r="K23" s="684"/>
      <c r="L23" s="684"/>
      <c r="M23" s="684"/>
      <c r="N23" s="684"/>
      <c r="O23" s="684"/>
      <c r="P23" s="684"/>
      <c r="Q23" s="682"/>
      <c r="R23" s="682"/>
      <c r="S23" s="682"/>
    </row>
    <row r="24" spans="1:19" ht="24.95" customHeight="1">
      <c r="A24" s="1181" t="s">
        <v>57</v>
      </c>
      <c r="B24" s="1182"/>
      <c r="C24" s="719">
        <v>120</v>
      </c>
      <c r="D24" s="639" t="str">
        <f>IF(C24&lt;0,"ERROR",IF(C24=0,"EINGEBEN",""))</f>
        <v/>
      </c>
      <c r="E24" s="720"/>
      <c r="F24" s="684"/>
      <c r="G24" s="684"/>
      <c r="H24" s="1088" t="s">
        <v>376</v>
      </c>
      <c r="I24" s="1089"/>
      <c r="J24" s="684"/>
      <c r="K24" s="684"/>
      <c r="L24" s="684"/>
      <c r="M24" s="684"/>
      <c r="N24" s="684"/>
      <c r="O24" s="684"/>
      <c r="P24" s="684"/>
      <c r="Q24" s="682"/>
      <c r="R24" s="682"/>
      <c r="S24" s="682"/>
    </row>
    <row r="25" spans="1:19" ht="24.95" customHeight="1">
      <c r="A25" s="1187" t="s">
        <v>48</v>
      </c>
      <c r="B25" s="1174"/>
      <c r="C25" s="502">
        <v>5</v>
      </c>
      <c r="D25" s="641" t="str">
        <f>IF(C25&gt;20,"NUR WDH. 1-20",IF(C25&lt;0,"ERROR",IF(C25=0,"EINGEBEN","")))</f>
        <v/>
      </c>
      <c r="E25" s="779" t="s">
        <v>213</v>
      </c>
      <c r="F25" s="684"/>
      <c r="G25" s="684"/>
      <c r="H25" s="793" t="str">
        <f>IF(ISNA(MROUND(VLOOKUP($C$10,Maximalkraftwerte!$D$9:$I$23,2,FALSE),0.1)&amp;" "&amp;Dashboard!$C$24),"",MROUND(VLOOKUP($C$10,Maximalkraftwerte!$D$9:$I$23,2,FALSE),0.1)&amp;" "&amp;Dashboard!$C$24)</f>
        <v>116,1 [Kg]</v>
      </c>
      <c r="I25" s="794" t="str">
        <f>IF(ISNA("1 RM Formel "&amp;VLOOKUP($C$10,Maximalkraftwerte!D8:$I$24,6,FALSE)),"","1 RM Formel "&amp;VLOOKUP($C$10,Maximalkraftwerte!D8:$I$24,6,FALSE))</f>
        <v>1 RM Formel Br</v>
      </c>
      <c r="J25" s="684"/>
      <c r="K25" s="684"/>
      <c r="L25" s="684"/>
      <c r="M25" s="684"/>
      <c r="N25" s="684"/>
      <c r="O25" s="684"/>
      <c r="P25" s="684"/>
      <c r="Q25" s="682"/>
      <c r="R25" s="682"/>
      <c r="S25" s="682"/>
    </row>
    <row r="26" spans="1:19" ht="24.95" customHeight="1" thickBot="1">
      <c r="A26" s="1188" t="s">
        <v>212</v>
      </c>
      <c r="B26" s="1178"/>
      <c r="C26" s="504">
        <v>10</v>
      </c>
      <c r="D26" s="640" t="str">
        <f>IF(C26=0,"EINGEBEN",IF(C26&gt;10,"NUR RPE WERTE VON 1-10",IF(C26&lt;0,"NUR RPE WERTE VON 1-10","")))</f>
        <v/>
      </c>
      <c r="E26" s="780" t="s">
        <v>319</v>
      </c>
      <c r="F26" s="684"/>
      <c r="G26" s="684"/>
      <c r="H26" s="1104" t="s">
        <v>377</v>
      </c>
      <c r="I26" s="1105"/>
      <c r="J26" s="684"/>
      <c r="K26" s="684"/>
      <c r="L26" s="684"/>
      <c r="M26" s="684"/>
      <c r="N26" s="684"/>
      <c r="O26" s="684"/>
      <c r="P26" s="684"/>
      <c r="Q26" s="682"/>
      <c r="R26" s="682"/>
      <c r="S26" s="682"/>
    </row>
    <row r="27" spans="1:19" ht="24.95" customHeight="1" thickBot="1">
      <c r="A27" s="1193" t="s">
        <v>329</v>
      </c>
      <c r="B27" s="1194"/>
      <c r="C27" s="721">
        <f>IF(C25&lt;0,"ERROR",IF(C26&gt;10,"ERROR",IF(C26&lt;0,"ERROR",IF(C26=0,"",(10-C26)+C25))))</f>
        <v>5</v>
      </c>
      <c r="D27" s="722"/>
      <c r="E27" s="723"/>
      <c r="F27" s="684"/>
      <c r="G27" s="684"/>
      <c r="H27" s="1102" t="s">
        <v>375</v>
      </c>
      <c r="I27" s="1103"/>
      <c r="J27" s="684"/>
      <c r="K27" s="684"/>
      <c r="L27" s="684"/>
      <c r="M27" s="684"/>
      <c r="N27" s="684"/>
      <c r="O27" s="684"/>
      <c r="P27" s="684"/>
      <c r="Q27" s="682"/>
      <c r="R27" s="682"/>
      <c r="S27" s="682"/>
    </row>
    <row r="28" spans="1:19" ht="24.95" customHeight="1">
      <c r="A28" s="684"/>
      <c r="B28" s="781" t="s">
        <v>318</v>
      </c>
      <c r="C28" s="725" t="str">
        <f>IF(C25&lt;1,"",IF(C25&gt;20,"",IF(C25=0,"",IF(C24=0,"",IF(C26&gt;10,"ERROR",IF($C26&lt;0,"ERROR",IF(AND($C$13="Epley",C26=0),ROUNDDOWN(C24*(1+(C25/30)),0)&amp;" "&amp;Dashboard!$C$24,IF($C$13="Epley",ROUNDDOWN(C24*(1+((C25+(10-C26))/30)),0)&amp;" "&amp;Dashboard!$C$24,IF(C26=0,ROUNDDOWN(C24*36/(37-C25),0)&amp;" "&amp;Dashboard!$C$24,ROUNDDOWN(C24*36/(37-(C25+(10-C26))),0)&amp;" "&amp;Dashboard!$C$24)))))))))</f>
        <v>135 [Kg]</v>
      </c>
      <c r="D28" s="726">
        <f>IF(C25&lt;1,"",IF(C25&gt;20,"",IF(C25=0,"",IF(C24=0,"",IF(C26&gt;10,"ERROR",IF(C26&lt;0,"ERROR",IF(AND($C$13="Epley",C26=0),(C24*(1+(C25/30))),IF($C$13="Epley",(C24*(1+((C25+(10-C26))/30))),IF(C26=0,C24*36/(37-C25),(C24*36/(37-(C25+(10-C26)))))))))))))</f>
        <v>135</v>
      </c>
      <c r="E28" s="684"/>
      <c r="F28" s="684"/>
      <c r="G28" s="684"/>
      <c r="H28" s="684"/>
      <c r="I28" s="684"/>
      <c r="J28" s="684"/>
      <c r="K28" s="684"/>
      <c r="L28" s="684"/>
      <c r="M28" s="684"/>
      <c r="N28" s="684"/>
      <c r="O28" s="684"/>
      <c r="P28" s="684"/>
      <c r="Q28" s="682"/>
      <c r="R28" s="682"/>
      <c r="S28" s="682"/>
    </row>
    <row r="29" spans="1:19" ht="24.75" customHeight="1">
      <c r="A29" s="684"/>
      <c r="B29" s="684"/>
      <c r="C29" s="684"/>
      <c r="D29" s="684"/>
      <c r="E29" s="684"/>
      <c r="F29" s="684"/>
      <c r="G29" s="684"/>
      <c r="H29" s="684"/>
      <c r="I29" s="684"/>
      <c r="J29" s="684"/>
      <c r="K29" s="684"/>
      <c r="L29" s="684"/>
      <c r="M29" s="684"/>
      <c r="N29" s="684"/>
      <c r="O29" s="684"/>
      <c r="P29" s="684"/>
      <c r="Q29" s="682"/>
      <c r="R29" s="682"/>
      <c r="S29" s="682"/>
    </row>
    <row r="30" spans="1:19" ht="12.75" customHeight="1">
      <c r="A30" s="684"/>
      <c r="B30" s="392" t="str">
        <f>IF(Dashboard!$C$41="AUS","",IF(B31&lt;&gt;0,"Anfänger",""))</f>
        <v>Anfänger</v>
      </c>
      <c r="C30" s="392" t="str">
        <f>IF(Dashboard!$C$41="AUS","",IF(C31&lt;&gt;0,"Fortgeschritten",""))</f>
        <v>Fortgeschritten</v>
      </c>
      <c r="D30" s="392" t="str">
        <f>IF(Dashboard!$C$41="AUS","",IF(D31&lt;&gt;0,"Elite",""))</f>
        <v>Elite</v>
      </c>
      <c r="E30" s="814"/>
      <c r="F30" s="684"/>
      <c r="G30" s="684"/>
      <c r="H30" s="684"/>
      <c r="I30" s="684"/>
      <c r="J30" s="684"/>
      <c r="K30" s="684"/>
      <c r="L30" s="684"/>
      <c r="M30" s="684"/>
      <c r="N30" s="684"/>
      <c r="O30" s="684"/>
      <c r="P30" s="684"/>
      <c r="Q30" s="682"/>
      <c r="R30" s="682"/>
      <c r="S30" s="682"/>
    </row>
    <row r="31" spans="1:19" ht="24.95" customHeight="1">
      <c r="A31" s="684"/>
      <c r="B31" s="814">
        <f>IF(Dashboard!$C$41="AUS","",IF(ISERROR((('Funktions-Tabelle'!O42/Dashboard!C20)/VLOOKUP($C$10,'Funktions-Tabelle'!$O$34:$U$38,3,FALSE))*100),"",((('Funktions-Tabelle'!O42/Dashboard!C20)/VLOOKUP($C$10,'Funktions-Tabelle'!$O$34:$U$38,3,FALSE))*100)))</f>
        <v>170.94017094017096</v>
      </c>
      <c r="C31" s="814">
        <f>IF(Dashboard!$C$41="AUS","",IF(ISERROR(((('Funktions-Tabelle'!O42/Dashboard!C20)-VLOOKUP($C$10,'Funktions-Tabelle'!$O$34:$U$38,3,FALSE))/(VLOOKUP($C$10,'Funktions-Tabelle'!$O$34:$U$38,5,FALSE)-VLOOKUP($C$10,'Funktions-Tabelle'!$O$34:$U$38,3,FALSE)))*100),"",(((('Funktions-Tabelle'!O42/Dashboard!C20)-VLOOKUP($C$10,'Funktions-Tabelle'!$O$34:$U$38,3,FALSE))/(VLOOKUP($C$10,'Funktions-Tabelle'!$O$34:$U$38,5,FALSE)-VLOOKUP($C$10,'Funktions-Tabelle'!$O$34:$U$38,3,FALSE)))*100)))</f>
        <v>127.69230769230772</v>
      </c>
      <c r="D31" s="814">
        <f>IF(Dashboard!$C$41="AUS","",IF(ISERROR(((('Funktions-Tabelle'!O42/Dashboard!C20)-VLOOKUP($C$10,'Funktions-Tabelle'!$O$34:$U$38,5,FALSE))/(VLOOKUP($C$10,'Funktions-Tabelle'!$O$34:$U$38,7,FALSE)-VLOOKUP($C$10,'Funktions-Tabelle'!$O$34:$U$38,5,FALSE)))*100),"",(((('Funktions-Tabelle'!O42/Dashboard!C20)-VLOOKUP($C$10,'Funktions-Tabelle'!$O$34:$U$38,5,FALSE))/(VLOOKUP($C$10,'Funktions-Tabelle'!$O$34:$U$38,7,FALSE)-VLOOKUP($C$10,'Funktions-Tabelle'!$O$34:$U$38,5,FALSE)))*100)))</f>
        <v>23.076923076923102</v>
      </c>
      <c r="E31" s="814"/>
      <c r="F31" s="684"/>
      <c r="G31" s="684"/>
      <c r="H31" s="684"/>
      <c r="I31" s="684"/>
      <c r="J31" s="684"/>
      <c r="K31" s="684"/>
      <c r="L31" s="684"/>
      <c r="M31" s="684"/>
      <c r="N31" s="684"/>
      <c r="O31" s="684"/>
      <c r="P31" s="684"/>
      <c r="Q31" s="682"/>
      <c r="R31" s="682"/>
      <c r="S31" s="682"/>
    </row>
    <row r="32" spans="1:19" ht="9.75" customHeight="1">
      <c r="A32" s="814"/>
      <c r="B32" s="390"/>
      <c r="C32" s="390"/>
      <c r="D32" s="390"/>
      <c r="E32" s="814"/>
      <c r="F32" s="814"/>
      <c r="G32" s="814"/>
      <c r="H32" s="814"/>
      <c r="I32" s="814"/>
      <c r="J32" s="814"/>
      <c r="K32" s="814"/>
      <c r="L32" s="814"/>
      <c r="M32" s="814"/>
      <c r="N32" s="814"/>
      <c r="O32" s="814"/>
      <c r="P32" s="814"/>
      <c r="Q32" s="812"/>
      <c r="R32" s="812"/>
      <c r="S32" s="812"/>
    </row>
    <row r="33" spans="1:19" ht="24.95" customHeight="1">
      <c r="A33" s="814"/>
      <c r="B33" s="1054" t="str">
        <f>IF(Dashboard!$C$41="AUS","",IFERROR(IF(OR($C$10='Funktions-Tabelle'!$O$34,$C$10='Funktions-Tabelle'!$O$35,$C$10='Funktions-Tabelle'!$O$36,$C$10='Funktions-Tabelle'!$O$37,$C$10='Funktions-Tabelle'!$O$38),("Du "&amp;'Funktions-Tabelle'!$R$42&amp;" "&amp;ROUND('Funktions-Tabelle'!O42/Dashboard!$C$20,2)&amp;" x dein Körpergewicht "&amp;"("&amp;ROUND('Funktions-Tabelle'!$O$42,1)&amp;" "&amp;Dashboard!$C$24&amp;")"&amp;" "&amp;"für 5 Wiederholungen."),""),""))</f>
        <v>Du drückst 1,54 x dein Körpergewicht (120 [Kg]) für 5 Wiederholungen.</v>
      </c>
      <c r="C33" s="1054"/>
      <c r="D33" s="1054"/>
      <c r="E33" s="1054"/>
      <c r="F33" s="814"/>
      <c r="G33" s="814"/>
      <c r="H33" s="814"/>
      <c r="I33" s="814"/>
      <c r="J33" s="814"/>
      <c r="K33" s="814"/>
      <c r="L33" s="814"/>
      <c r="M33" s="814"/>
      <c r="N33" s="814"/>
      <c r="O33" s="814"/>
      <c r="P33" s="814"/>
      <c r="Q33" s="812"/>
      <c r="R33" s="812"/>
      <c r="S33" s="812"/>
    </row>
    <row r="34" spans="1:19" ht="24.95" customHeight="1">
      <c r="A34" s="684"/>
      <c r="B34" s="1142" t="str">
        <f>IF(Dashboard!$C$41="AUS","",IFERROR('Funktions-Tabelle'!$R$45,""))</f>
        <v/>
      </c>
      <c r="C34" s="1142"/>
      <c r="D34" s="1142"/>
      <c r="E34" s="1142"/>
      <c r="F34" s="684"/>
      <c r="G34" s="684"/>
      <c r="H34" s="684"/>
      <c r="I34" s="684"/>
      <c r="J34" s="684"/>
      <c r="K34" s="684"/>
      <c r="L34" s="684"/>
      <c r="M34" s="684"/>
      <c r="N34" s="684"/>
      <c r="O34" s="684"/>
      <c r="P34" s="684"/>
      <c r="Q34" s="682"/>
      <c r="R34" s="682"/>
      <c r="S34" s="682"/>
    </row>
    <row r="35" spans="1:19" ht="24.95" customHeight="1">
      <c r="A35" s="814"/>
      <c r="B35" s="813"/>
      <c r="C35" s="813"/>
      <c r="D35" s="813"/>
      <c r="E35" s="813"/>
      <c r="F35" s="814"/>
      <c r="G35" s="814"/>
      <c r="H35" s="814"/>
      <c r="I35" s="814"/>
      <c r="J35" s="814"/>
      <c r="K35" s="814"/>
      <c r="L35" s="814"/>
      <c r="M35" s="814"/>
      <c r="N35" s="814"/>
      <c r="O35" s="814"/>
      <c r="P35" s="814"/>
      <c r="Q35" s="812"/>
      <c r="R35" s="812"/>
      <c r="S35" s="812"/>
    </row>
    <row r="36" spans="1:19" ht="24.95" customHeight="1">
      <c r="A36" s="684"/>
      <c r="B36" s="684"/>
      <c r="C36" s="684"/>
      <c r="D36" s="684"/>
      <c r="E36" s="684"/>
      <c r="F36" s="684"/>
      <c r="G36" s="684"/>
      <c r="H36" s="684"/>
      <c r="I36" s="684"/>
      <c r="J36" s="684"/>
      <c r="K36" s="684"/>
      <c r="L36" s="684"/>
      <c r="M36" s="684"/>
      <c r="N36" s="684"/>
      <c r="O36" s="684"/>
      <c r="P36" s="684"/>
      <c r="Q36" s="682"/>
      <c r="R36" s="682"/>
      <c r="S36" s="682"/>
    </row>
    <row r="37" spans="1:19" ht="24.95" customHeight="1">
      <c r="A37" s="1160" t="s">
        <v>214</v>
      </c>
      <c r="B37" s="1161"/>
      <c r="C37" s="1161"/>
      <c r="D37" s="724"/>
      <c r="E37" s="724"/>
      <c r="F37" s="724"/>
      <c r="G37" s="684"/>
      <c r="H37" s="684"/>
      <c r="I37" s="684"/>
      <c r="J37" s="684"/>
      <c r="K37" s="684"/>
      <c r="L37" s="684"/>
      <c r="M37" s="684"/>
      <c r="N37" s="684"/>
      <c r="O37" s="684"/>
      <c r="P37" s="684"/>
      <c r="Q37" s="682"/>
      <c r="R37" s="682"/>
      <c r="S37" s="682"/>
    </row>
    <row r="38" spans="1:19" ht="24.95" customHeight="1">
      <c r="A38" s="684"/>
      <c r="B38" s="684"/>
      <c r="C38" s="684"/>
      <c r="D38" s="684"/>
      <c r="E38" s="684"/>
      <c r="F38" s="684"/>
      <c r="G38" s="684"/>
      <c r="H38" s="684"/>
      <c r="I38" s="684"/>
      <c r="J38" s="684"/>
      <c r="K38" s="684"/>
      <c r="L38" s="684"/>
      <c r="M38" s="684"/>
      <c r="N38" s="684"/>
      <c r="O38" s="684"/>
      <c r="P38" s="684"/>
      <c r="Q38" s="682"/>
      <c r="R38" s="682"/>
      <c r="S38" s="682"/>
    </row>
    <row r="39" spans="1:19" ht="24.95" customHeight="1" thickBot="1">
      <c r="A39" s="684"/>
      <c r="B39" s="684"/>
      <c r="C39" s="684"/>
      <c r="D39" s="684"/>
      <c r="E39" s="684"/>
      <c r="F39" s="684"/>
      <c r="G39" s="684"/>
      <c r="H39" s="684"/>
      <c r="I39" s="684"/>
      <c r="J39" s="684"/>
      <c r="K39" s="684"/>
      <c r="L39" s="684"/>
      <c r="M39" s="684"/>
      <c r="N39" s="684"/>
      <c r="O39" s="684"/>
      <c r="P39" s="684"/>
      <c r="Q39" s="682"/>
      <c r="R39" s="682"/>
      <c r="S39" s="682"/>
    </row>
    <row r="40" spans="1:19" ht="24.95" customHeight="1">
      <c r="A40" s="798" t="s">
        <v>0</v>
      </c>
      <c r="B40" s="799" t="s">
        <v>226</v>
      </c>
      <c r="C40" s="800" t="s">
        <v>227</v>
      </c>
      <c r="D40" s="684"/>
      <c r="E40" s="684"/>
      <c r="F40" s="684"/>
      <c r="G40" s="684"/>
      <c r="H40" s="683" t="s">
        <v>374</v>
      </c>
      <c r="I40" s="783" t="s">
        <v>194</v>
      </c>
      <c r="J40" s="782" t="s">
        <v>56</v>
      </c>
      <c r="K40" s="684"/>
      <c r="L40" s="684"/>
      <c r="M40" s="684"/>
      <c r="N40" s="684"/>
      <c r="O40" s="684"/>
      <c r="P40" s="684"/>
      <c r="Q40" s="682"/>
      <c r="R40" s="682"/>
      <c r="S40" s="682"/>
    </row>
    <row r="41" spans="1:19" ht="24.95" customHeight="1">
      <c r="A41" s="795" t="s">
        <v>2</v>
      </c>
      <c r="B41" s="801" t="s">
        <v>222</v>
      </c>
      <c r="C41" s="802">
        <v>5</v>
      </c>
      <c r="D41" s="684"/>
      <c r="E41" s="684"/>
      <c r="F41" s="684"/>
      <c r="G41" s="684"/>
      <c r="H41" s="790" t="s">
        <v>68</v>
      </c>
      <c r="I41" s="784" t="str">
        <f>IF(ISNA(VLOOKUP($C$10,Zyklus!$A$14:$U$65,3,FALSE)&amp;" Sätze"),"",VLOOKUP($C$10,Zyklus!$A$14:$U$65,3,FALSE)&amp;" Sätze")</f>
        <v>3 Sätze</v>
      </c>
      <c r="J41" s="787" t="str">
        <f>IF(ISNA(VLOOKUP($C$10,Zyklus!$A$14:$U$65,4,FALSE)&amp;" Wdh"),"",VLOOKUP($C$10,Zyklus!$A$14:$U$65,4,FALSE)&amp;" Wdh")</f>
        <v>5 Wdh</v>
      </c>
      <c r="K41" s="684"/>
      <c r="L41" s="684"/>
      <c r="M41" s="684"/>
      <c r="N41" s="684"/>
      <c r="O41" s="684"/>
      <c r="P41" s="684"/>
      <c r="Q41" s="682"/>
      <c r="R41" s="682"/>
      <c r="S41" s="682"/>
    </row>
    <row r="42" spans="1:19" ht="24.95" customHeight="1">
      <c r="A42" s="797" t="s">
        <v>19</v>
      </c>
      <c r="B42" s="803" t="s">
        <v>223</v>
      </c>
      <c r="C42" s="804">
        <v>7</v>
      </c>
      <c r="D42" s="684"/>
      <c r="E42" s="684"/>
      <c r="F42" s="684"/>
      <c r="G42" s="684"/>
      <c r="H42" s="791" t="str">
        <f>IF(Dashboard!$C$31="4 Wochen","Woche 2 ",IF(Dashboard!$C$31="5 Wochen","Woche 2-3",IF(Dashboard!$C$31="6 Wochen","Woche 2-4: ",IF(Dashboard!$C$31="7 Wochen","Woche 2-5",IF(Dashboard!$C$31="8 Wochen","Woche 2-6","Dauer des Meso-Zyklus?")))))</f>
        <v>Woche 2-3</v>
      </c>
      <c r="I42" s="785" t="str">
        <f>IF(ISNA(MAX(VLOOKUP($C$10,Zyklus!$A$14:$U$65,7,FALSE),VLOOKUP($C$10,Zyklus!$A$14:$U$65,11,FALSE))&amp;" Sätze"),"",MAX(VLOOKUP($C$10,Zyklus!$A$14:$U$65,7,FALSE),VLOOKUP($C$10,Zyklus!$A$14:$U$65,11,FALSE))&amp;" Sätze")</f>
        <v>4 Sätze</v>
      </c>
      <c r="J42" s="788" t="str">
        <f>IF(ISNA(MAX(VLOOKUP($C$10,Zyklus!$A$14:$U$65,8,FALSE),VLOOKUP($C$10,Zyklus!$A$14:$U$65,12,FALSE))&amp;" Wdh"),"",MAX(VLOOKUP($C$10,Zyklus!$A$14:$U$65,8,FALSE),VLOOKUP($C$10,Zyklus!$A$14:$U$65,12,FALSE))&amp;" Wdh")</f>
        <v>5 Wdh</v>
      </c>
      <c r="K42" s="684"/>
      <c r="L42" s="684"/>
      <c r="M42" s="684"/>
      <c r="N42" s="684"/>
      <c r="O42" s="684"/>
      <c r="P42" s="684"/>
      <c r="Q42" s="682"/>
      <c r="R42" s="682"/>
      <c r="S42" s="682"/>
    </row>
    <row r="43" spans="1:19" ht="24.95" customHeight="1" thickBot="1">
      <c r="A43" s="796" t="s">
        <v>225</v>
      </c>
      <c r="B43" s="805" t="s">
        <v>224</v>
      </c>
      <c r="C43" s="806">
        <v>8</v>
      </c>
      <c r="D43" s="684"/>
      <c r="E43" s="684"/>
      <c r="F43" s="684"/>
      <c r="G43" s="684"/>
      <c r="H43" s="792" t="str">
        <f>IF(Dashboard!$C$31="4 Wochen","Woche 3",IF(Dashboard!$C$31="5 Wochen","Woche 4",IF(Dashboard!$C$31="6 Wochen","Woche 5",IF(Dashboard!$C$31="7 Wochen","Woche 6 ",IF(Dashboard!$C$31="8 Wochen","Woche 7","Dauer des Meso-Zyklus?")))))</f>
        <v>Woche 4</v>
      </c>
      <c r="I43" s="786" t="str">
        <f>IF(ISNA(VLOOKUP($C$10,Zyklus!$A$14:$U$65,15,FALSE)&amp;" Sätze"),"",VLOOKUP($C$10,Zyklus!$A$14:$U$65,15,FALSE)&amp;" Sätze")</f>
        <v>5 Sätze</v>
      </c>
      <c r="J43" s="789" t="str">
        <f>IF(ISNA(VLOOKUP($C$10,Zyklus!$A$14:$U$65,16,FALSE)&amp;" Wdh"),"",VLOOKUP($C$10,Zyklus!$A$14:$U$65,16,FALSE)&amp;" Wdh")</f>
        <v>5 Wdh</v>
      </c>
      <c r="K43" s="684"/>
      <c r="L43" s="684"/>
      <c r="M43" s="684"/>
      <c r="N43" s="684"/>
      <c r="O43" s="684"/>
      <c r="P43" s="684"/>
      <c r="Q43" s="682"/>
      <c r="R43" s="682"/>
      <c r="S43" s="682"/>
    </row>
    <row r="44" spans="1:19" ht="24.95" customHeight="1">
      <c r="A44" s="684"/>
      <c r="B44" s="684"/>
      <c r="C44" s="684"/>
      <c r="D44" s="684"/>
      <c r="E44" s="684"/>
      <c r="F44" s="684"/>
      <c r="G44" s="684"/>
      <c r="H44" s="684"/>
      <c r="I44" s="684"/>
      <c r="J44" s="684"/>
      <c r="K44" s="684"/>
      <c r="L44" s="684"/>
      <c r="M44" s="684"/>
      <c r="N44" s="684"/>
      <c r="O44" s="684"/>
      <c r="P44" s="684"/>
      <c r="Q44" s="682"/>
      <c r="R44" s="682"/>
      <c r="S44" s="682"/>
    </row>
    <row r="45" spans="1:19" ht="24.95" customHeight="1">
      <c r="A45" s="684"/>
      <c r="B45" s="684"/>
      <c r="C45" s="684"/>
      <c r="D45" s="684"/>
      <c r="E45" s="684"/>
      <c r="F45" s="684"/>
      <c r="G45" s="684"/>
      <c r="H45" s="684"/>
      <c r="I45" s="684"/>
      <c r="J45" s="684"/>
      <c r="K45" s="684"/>
      <c r="L45" s="684"/>
      <c r="M45" s="684"/>
      <c r="N45" s="684"/>
      <c r="O45" s="684"/>
      <c r="P45" s="684"/>
      <c r="Q45" s="682"/>
      <c r="R45" s="682"/>
      <c r="S45" s="682"/>
    </row>
    <row r="46" spans="1:19" ht="24.95" customHeight="1" thickBot="1">
      <c r="A46" s="684"/>
      <c r="B46" s="684"/>
      <c r="C46" s="684"/>
      <c r="D46" s="684"/>
      <c r="E46" s="684"/>
      <c r="F46" s="684"/>
      <c r="G46" s="684"/>
      <c r="H46" s="684"/>
      <c r="I46" s="684"/>
      <c r="J46" s="684"/>
      <c r="K46" s="684"/>
      <c r="L46" s="684"/>
      <c r="M46" s="684"/>
      <c r="N46" s="684"/>
      <c r="O46" s="684"/>
      <c r="P46" s="684"/>
      <c r="Q46" s="682"/>
      <c r="R46" s="682"/>
      <c r="S46" s="682"/>
    </row>
    <row r="47" spans="1:19" ht="24.95" customHeight="1">
      <c r="A47" s="684"/>
      <c r="B47" s="684"/>
      <c r="C47" s="684"/>
      <c r="D47" s="684"/>
      <c r="E47" s="684"/>
      <c r="F47" s="684"/>
      <c r="G47" s="684"/>
      <c r="H47" s="684"/>
      <c r="I47" s="684"/>
      <c r="J47" s="684"/>
      <c r="K47" s="684"/>
      <c r="L47" s="1183" t="s">
        <v>370</v>
      </c>
      <c r="M47" s="1184"/>
      <c r="N47" s="760" t="s">
        <v>248</v>
      </c>
      <c r="O47" s="684"/>
      <c r="P47" s="684"/>
      <c r="Q47" s="682"/>
      <c r="R47" s="682"/>
      <c r="S47" s="682"/>
    </row>
    <row r="48" spans="1:19" ht="24.95" customHeight="1" thickBot="1">
      <c r="A48" s="684"/>
      <c r="B48" s="684"/>
      <c r="C48" s="684"/>
      <c r="D48" s="684"/>
      <c r="E48" s="684"/>
      <c r="F48" s="684"/>
      <c r="G48" s="684"/>
      <c r="H48" s="684"/>
      <c r="I48" s="684"/>
      <c r="J48" s="684"/>
      <c r="K48" s="684"/>
      <c r="L48" s="1185" t="s">
        <v>221</v>
      </c>
      <c r="M48" s="1186"/>
      <c r="N48" s="761" t="s">
        <v>248</v>
      </c>
      <c r="O48" s="684"/>
      <c r="P48" s="684"/>
      <c r="Q48" s="682"/>
      <c r="R48" s="682"/>
      <c r="S48" s="682"/>
    </row>
    <row r="49" spans="1:19" ht="24.95" customHeight="1">
      <c r="A49" s="727"/>
      <c r="B49" s="728"/>
      <c r="C49" s="729" t="s">
        <v>68</v>
      </c>
      <c r="D49" s="730" t="s">
        <v>215</v>
      </c>
      <c r="E49" s="731"/>
      <c r="F49" s="729" t="str">
        <f>IF(Dashboard!$C$31="4 Wochen","&gt;&gt;&gt;&gt;",IF(Dashboard!$C$31="5 Wochen","Woche 2",IF(Dashboard!$C$31="6 Wochen","Woche 2",IF(Dashboard!$C$31="7 Wochen","Woche 2-3",IF(Dashboard!$C$31="8 Wochen","Woche 2-3 ","Dauer des Meso-Zyklus?")))))</f>
        <v>Woche 2</v>
      </c>
      <c r="G49" s="730" t="s">
        <v>215</v>
      </c>
      <c r="H49" s="731"/>
      <c r="I49" s="729" t="str">
        <f>IF(Dashboard!$C$31="4 Wochen","Woche 2: ",IF(Dashboard!$C$31="5 Wochen","Woche 3",IF(Dashboard!$C$31="6 Wochen","Woche 3-4: ",IF(Dashboard!$C$31="7 Wochen","Woche 4-5",IF(Dashboard!$C$31="8 Wochen","Woche 4-6","Dauer des Meso-Zyklus?")))))</f>
        <v>Woche 3</v>
      </c>
      <c r="J49" s="730" t="s">
        <v>215</v>
      </c>
      <c r="K49" s="732"/>
      <c r="L49" s="750" t="str">
        <f>IF(Dashboard!$C$31="4 Wochen","Woche 3",IF(Dashboard!$C$31="5 Wochen","Woche 4",IF(Dashboard!$C$31="6 Wochen","Woche 5",IF(Dashboard!$C$31="7 Wochen","Woche 6 ",IF(Dashboard!$C$31="8 Wochen","Woche 7","Dauer des Meso-Zyklus?")))))</f>
        <v>Woche 4</v>
      </c>
      <c r="M49" s="751" t="s">
        <v>215</v>
      </c>
      <c r="N49" s="752"/>
      <c r="O49" s="684"/>
      <c r="P49" s="684"/>
      <c r="Q49" s="682"/>
      <c r="R49" s="682"/>
      <c r="S49" s="682"/>
    </row>
    <row r="50" spans="1:19" ht="24.95" customHeight="1">
      <c r="A50" s="733"/>
      <c r="B50" s="225"/>
      <c r="C50" s="233">
        <f>IF($C$17="Nur Back Off Sets","",IF($D$28="",(IF($N$48="Nein Nicht Einblenden","","EINGEBEN")),IF($N$48="Nein Nicht Einblenden","",D50*$D$28)))</f>
        <v>117.45</v>
      </c>
      <c r="D50" s="1171" t="str">
        <f>IF($C$17="Nur Back Off Sets","",IF($C$10="LH Bankdrücken","87%",IF($C$10="Kniebeuge","87%",IF($C$10="Kreuzheben","87%","Übung Auswählen!"))))</f>
        <v>87%</v>
      </c>
      <c r="E50" s="226" t="str">
        <f>IF($C$17="Nur Back Off Sets","",IF($C$10="LH Bankdrücken","á",IF($C$10="Kniebeuge","á",IF($C$10="Kreuzheben","á","Übung Auswählen!"))))</f>
        <v>á</v>
      </c>
      <c r="F50" s="233">
        <f>IF($C$17="Nur Back Off Sets","",IF($D$28="",(IF($N$48="Nein Nicht Einblenden","","EINGEBEN")),IF($N$48="Nein Nicht Einblenden","",G50*$D$28)))</f>
        <v>120.15</v>
      </c>
      <c r="G50" s="1171" t="str">
        <f>IF($C$17="Nur Back Off Sets","",IF($C$10="LH Bankdrücken","89%",IF($C$10="Kniebeuge","89%",IF($C$10="Kreuzheben","89%","Übung Auswählen!"))))</f>
        <v>89%</v>
      </c>
      <c r="H50" s="226" t="str">
        <f>IF($C$17="Nur Back Off Sets","",IF($C$10="LH Bankdrücken","á",IF($C$10="Kniebeuge","á",IF($C$10="Kreuzheben","á","Übung Auswählen!"))))</f>
        <v>á</v>
      </c>
      <c r="I50" s="233">
        <f>IF($C$17="Nur Back Off Sets","",IF($D$28="",(IF($N$48="Nein Nicht Einblenden","","EINGEBEN")),IF($N$48="Nein Nicht Einblenden","",J50*$D$28)))</f>
        <v>122.85000000000001</v>
      </c>
      <c r="J50" s="1171" t="str">
        <f>IF($C$17="Nur Back Off Sets","",IF($C$10="LH Bankdrücken","91%",IF($C$10="Kniebeuge","91%",IF($C$10="Kreuzheben","91%","Übung Auswählen!"))))</f>
        <v>91%</v>
      </c>
      <c r="K50" s="226" t="str">
        <f>IF($C$17="Nur Back Off Sets","",IF($C$10="LH Bankdrücken","á",IF($C$10="Kniebeuge","á",IF($C$10="Kreuzheben","á","Übung Auswählen!"))))</f>
        <v>á</v>
      </c>
      <c r="L50" s="233">
        <f>IF($C$17="Nur Back Off Sets","",IF($D$28="",(IF($N$48="Nein Nicht Einblenden","","EINGEBEN")),IF($N$48="Nein Nicht Einblenden","",M50*$D$28)))</f>
        <v>128.25</v>
      </c>
      <c r="M50" s="1171" t="str">
        <f>IF($C$17="Nur Back Off Sets","",IF($C$10="LH Bankdrücken","95%",IF($C$10="Kniebeuge","95%",IF($C$10="Kreuzheben","95%","Übung Auswählen!"))))</f>
        <v>95%</v>
      </c>
      <c r="N50" s="734" t="str">
        <f>IF($C$17="Nur Back Off Sets","",IF($C$10="LH Bankdrücken","á",IF($C$10="Kniebeuge","á",IF($C$10="Kreuzheben","á","Übung Auswählen!"))))</f>
        <v>á</v>
      </c>
      <c r="O50" s="684"/>
      <c r="P50" s="684"/>
      <c r="Q50" s="682"/>
      <c r="R50" s="682"/>
      <c r="S50" s="682"/>
    </row>
    <row r="51" spans="1:19" ht="18">
      <c r="A51" s="733"/>
      <c r="B51" s="225"/>
      <c r="C51" s="234">
        <f>IF($C$17="Nur Back Off Sets","",IF($D$28="","EINGEBEN",IF(($D$28*D50)&gt;((IF(MROUND($D$28*D50,$C$15)&gt;$D$28*D50,MROUND(($D$28*D50)-($C$15/2),$C$15),MROUND($D$28*D50,$C$15)))+($C$15*Dashboard!$C$37)),(IF(MROUND($D$28*D50,$C$15)&gt;$D$28*D50,MROUND(($D$28*D50)+($C$15/2),$C$15),MROUND($D$28*D50,$C$15))),(IF(MROUND($D$28*D50,$C$15)&gt;$D$28*D50,MROUND(($D$28*D50)-($C$15/2),$C$15),MROUND($D$28*D50,$C$15))))))</f>
        <v>117.5</v>
      </c>
      <c r="D51" s="1172"/>
      <c r="E51" s="227"/>
      <c r="F51" s="234">
        <f>IF($C$17="Nur Back Off Sets","",IF($D$28="","EINGEBEN",IF(($D$28*G50)&gt;((IF(MROUND($D$28*G50,$C$15)&gt;$D$28*G50,MROUND(($D$28*G50)-($C$15/2),$C$15),MROUND($D$28*G50,$C$15)))+($C$15*Dashboard!$C$37)),(IF(MROUND($D$28*G50,$C$15)&gt;$D$28*G50,MROUND(($D$28*G50)+($C$15/2),$C$15),MROUND($D$28*G50,$C$15))),(IF(MROUND($D$28*G50,$C$15)&gt;$D$28*G50,MROUND(($D$28*G50)-($C$15/2),$C$15),MROUND($D$28*G50,$C$15))))))</f>
        <v>120</v>
      </c>
      <c r="G51" s="1172"/>
      <c r="H51" s="227"/>
      <c r="I51" s="234">
        <f>IF($C$17="Nur Back Off Sets","",IF($D$28="","EINGEBEN",IF(($D$28*J50)&gt;((IF(MROUND($D$28*J50,$C$15)&gt;$D$28*J50,MROUND(($D$28*J50)-($C$15/2),$C$15),MROUND($D$28*J50,$C$15)))+($C$15*Dashboard!$C$37)),(IF(MROUND($D$28*J50,$C$15)&gt;$D$28*J50,MROUND(($D$28*J50)+($C$15/2),$C$15),MROUND($D$28*J50,$C$15))),(IF(MROUND($D$28*J50,$C$15)&gt;$D$28*J50,MROUND(($D$28*J50)-($C$15/2),$C$15),MROUND($D$28*J50,$C$15))))))</f>
        <v>122.5</v>
      </c>
      <c r="J51" s="1172"/>
      <c r="K51" s="227"/>
      <c r="L51" s="234">
        <f>IF($C$17="Nur Back Off Sets","",IF($D$28="","EINGEBEN",IF(($D$28*M50)&gt;((IF(MROUND($D$28*M50,$C$15)&gt;$D$28*M50,MROUND(($D$28*M50)-($C$15/2),$C$15),MROUND($D$28*M50,$C$15)))+($C$15*Dashboard!$C$37)),(IF(MROUND($D$28*M50,$C$15)&gt;$D$28*M50,MROUND(($D$28*M50)+($C$15/2),$C$15),MROUND($D$28*M50,$C$15))),(IF(MROUND($D$28*M50,$C$15)&gt;$D$28*M50,MROUND(($D$28*M50)-($C$15/2),$C$15),MROUND($D$28*M50,$C$15))))))</f>
        <v>127.5</v>
      </c>
      <c r="M51" s="1172"/>
      <c r="N51" s="735"/>
      <c r="O51" s="684"/>
      <c r="P51" s="684"/>
      <c r="Q51" s="682"/>
      <c r="R51" s="682"/>
      <c r="S51" s="682"/>
    </row>
    <row r="52" spans="1:19" ht="24.95" customHeight="1">
      <c r="A52" s="1168" t="s">
        <v>95</v>
      </c>
      <c r="B52" s="1169"/>
      <c r="C52" s="234"/>
      <c r="D52" s="1166"/>
      <c r="E52" s="228" t="str">
        <f>IF($C$17="Nur Back Off Sets","",IF($C$10="LH Bankdrücken","1 Satz",IF($C$10="Kniebeuge","1 Satz",IF($C$10="Kreuzheben","1 Satz","Übung Auswählen!"))))</f>
        <v>1 Satz</v>
      </c>
      <c r="F52" s="234"/>
      <c r="G52" s="1166"/>
      <c r="H52" s="228" t="str">
        <f>IF($C$17="Nur Back Off Sets","",IF($C$10="LH Bankdrücken","2 Sätze",IF($C$10="Kniebeuge","2 Sätze",IF($C$10="Kreuzheben","2 Sätze","Übung Auswählen!"))))</f>
        <v>2 Sätze</v>
      </c>
      <c r="I52" s="234"/>
      <c r="J52" s="1166"/>
      <c r="K52" s="228" t="str">
        <f>IF($C$17="Nur Back Off Sets","",IF($C$10="LH Bankdrücken","2 Sätze",IF($C$10="Kniebeuge","2 Sätze",IF($C$10="Kreuzheben","2 Sätze","Übung Auswählen!"))))</f>
        <v>2 Sätze</v>
      </c>
      <c r="L52" s="234"/>
      <c r="M52" s="1166"/>
      <c r="N52" s="736" t="str">
        <f>IF($C$17="Nur Back Off Sets","",IF($C$10="LH Bankdrücken","2 Sätze",IF($C$10="Kniebeuge","2 Sätze",IF($C$10="Kreuzheben","2 Sätze","Übung Auswählen!"))))</f>
        <v>2 Sätze</v>
      </c>
      <c r="O52" s="684"/>
      <c r="P52" s="684"/>
      <c r="Q52" s="682"/>
      <c r="R52" s="682"/>
      <c r="S52" s="682"/>
    </row>
    <row r="53" spans="1:19" ht="24.95" customHeight="1">
      <c r="A53" s="733"/>
      <c r="B53" s="225"/>
      <c r="C53" s="234"/>
      <c r="D53" s="1166"/>
      <c r="E53" s="228" t="str">
        <f>IF($C$17="Nur Back Off Sets","",IF($C$10="LH Bankdrücken","3 Wdh.",IF($C$10="Kniebeuge","3 Wdh",IF($C$10="Kreuzheben","3 Wdh.","Übung Auswählen!"))))</f>
        <v>3 Wdh.</v>
      </c>
      <c r="F53" s="234"/>
      <c r="G53" s="1166"/>
      <c r="H53" s="228" t="str">
        <f>IF($C$17="Nur Back Off Sets","",IF($C$10="LH Bankdrücken","3 Wdh. ",IF($C$10="Kniebeuge","3 Wdh.",IF($C$10="Kreuzheben","2 Wdh.","Übung Auswählen!"))))</f>
        <v xml:space="preserve">3 Wdh. </v>
      </c>
      <c r="I53" s="234"/>
      <c r="J53" s="1166"/>
      <c r="K53" s="228" t="str">
        <f>IF($C$17="Nur Back Off Sets","",IF($C$10="LH Bankdrücken","2 Wdh. ",IF($C$10="Kniebeuge","2 Wdh. ",IF($C$10="Kreuzheben","1 Wdh.","Übung Auswählen!"))))</f>
        <v xml:space="preserve">2 Wdh. </v>
      </c>
      <c r="L53" s="234"/>
      <c r="M53" s="1166"/>
      <c r="N53" s="736" t="str">
        <f>IF($C$17="Nur Back Off Sets","",IF($C$10="LH Bankdrücken","1 Wdh. ",IF($C$10="Kniebeuge","1 Wdh. ",IF($C$10="Kreuzheben","1 Wdh.","Übung Auswählen!"))))</f>
        <v xml:space="preserve">1 Wdh. </v>
      </c>
      <c r="O53" s="684"/>
      <c r="P53" s="684"/>
      <c r="Q53" s="682"/>
      <c r="R53" s="682"/>
      <c r="S53" s="682"/>
    </row>
    <row r="54" spans="1:19" ht="24.95" customHeight="1">
      <c r="A54" s="733"/>
      <c r="B54" s="225"/>
      <c r="C54" s="235"/>
      <c r="D54" s="1170"/>
      <c r="E54" s="283" t="str">
        <f>IF($C$17="Nur Back Off Sets","",IF($N$47="Ja Einblenden","RPE 7",""))</f>
        <v>RPE 7</v>
      </c>
      <c r="F54" s="235"/>
      <c r="G54" s="1166"/>
      <c r="H54" s="283" t="str">
        <f>IF($C$17="Nur Back Off Sets","",IF($N$47="Ja Einblenden","RPE 8",""))</f>
        <v>RPE 8</v>
      </c>
      <c r="I54" s="235"/>
      <c r="J54" s="1166"/>
      <c r="K54" s="283" t="str">
        <f>IF($C$17="Nur Back Off Sets","",IF($N$47="Ja Einblenden","RPE 8",""))</f>
        <v>RPE 8</v>
      </c>
      <c r="L54" s="235"/>
      <c r="M54" s="1170"/>
      <c r="N54" s="737" t="str">
        <f>IF($C$17="Nur Back Off Sets","",IF($N$47="Ja Einblenden","RIR 9",""))</f>
        <v>RIR 9</v>
      </c>
      <c r="O54" s="684"/>
      <c r="P54" s="684"/>
      <c r="Q54" s="682"/>
      <c r="R54" s="682"/>
      <c r="S54" s="682"/>
    </row>
    <row r="55" spans="1:19" ht="24.95" customHeight="1">
      <c r="A55" s="733"/>
      <c r="B55" s="229"/>
      <c r="C55" s="713">
        <f>IF($C$17="Nur Back Off Sets","",IF($C$10="LH Bankdrücken",(IF($C$13="Epley",IF($D$28="","EINGEBEN",(IF($C$41=0,"",IF(OR($C$41&lt;1,$C$41&gt;30),"Nur Wdh. von 1-30",IF($B$41="2 Sätze",($D$28/(1+(($C$41+2.5)/30))),IF($B$41="3 Sätze",($D$28/(1+(($C$41+3)/30))),IF($B$41="4 Sätze",($D$28/(1+(($C$41+3)/30))),IF($B$41="5 Sätze",($D$28/(1+(($C$41+3.5)/30))),IF($B$41="6 Sätze",($D$28/(1+(($C$41+4)/30))),"Geplante Sätze?"))))))))),(IF($D$28="","EINGEBEN",IF($C$41=0,"",IF(OR($C$41&lt;1,$C$41&gt;30),"Nur Wdh. von 1-30",IF($B$41="2 Sätze",$D$28/(36/(37-($C$41+2.5))),IF($B$41="3 Sätze",$D$28/(36/(37-($C$41+3))),IF($B$41="4 Sätze",$D$28/(36/(37-($C$41+3.5))),IF($B$41="5 Sätze",$D$28/(36/(37-($C$41+3.5))),IF($B$41="6 Sätze",$D$28/(36/(37-($C$41+4))),"Geplante Sätze?"))))))))))),IF($C$10="Kniebeuge",   (IF($C$13="Epley",IF($D$28="","EINGEBEN",(IF($C$42=0,"",IF(OR($C$42&lt;1,$C$42&gt;30),"Nur Wdh. von 1-30",IF($B$42="2 Sätze",($D$28/(1+(($C$42+2.5)/30))),IF($B$42="3 Sätze",($D$28/(1+(($C$42+3)/30))),IF($B$42="4 Sätze",($D$28/(1+(($C$42+3)/30))),IF($B$42="5 Sätze",($D$28/(1+(($C$42+3.5)/30))),IF($B$42="6 Sätze",($D$28/(1+(($C$42+4)/30))),"Geplante Sätze?"))))))))),(IF($D$28="","EINGEBEN",IF($C$42=0,"",IF(OR($C$42&lt;1,$C$42&gt;30),"Nur Wdh. von 1-30",IF($B$42="2 Sätze",$D$28/(36/(37-($C$42+2.5))),IF($B$42="3 Sätze",$D$28/(36/(37-($C$42+3))),IF($B$42="4 Sätze",$D$28/(36/(37-($C$42+3.5))),IF($B$42="5 Sätze",$D$28/(36/(37-($C$42+3.5))),IF($B$42="6 Sätze",$D$28/(36/(37-($C$42+4))),"Geplante Sätze?"))))))))))),     IF($C$10="Kreuzheben",   (IF($C$13="Epley",IF($D$28="","EINGEBEN",(IF($C$43=0,"",IF(OR($C$43&lt;1,$C$43&gt;30),"Nur Wdh. von 1-30",IF($B$43="2 Sätze",($D$28/(1+(($C$43+2.5)/30))),IF($B$43="3 Sätze",($D$28/(1+(($C$43+3)/30))),IF($B$43="4 Sätze",($D$28/(1+(($C$43+3)/30))),IF($B$43="5 Sätze",($D$28/(1+(($C$43+3.5)/30))),IF($B$43="6 Sätze",($D$28/(1+(($C$43+4)/30))),"Geplante Sätze?"))))))))),(IF($D$28="","EINGEBEN",IF($C$43=0,"",IF(OR($C$43&lt;1,$C$43&gt;30),"Nur Wdh. von 1-30",IF($B$43="2 Sätze",$D$28/(36/(37-($C$43+2.5))),IF($B$43="3 Sätze",$D$28/(36/(37-($C$43+3))),IF($B$43="4 Sätze",$D$28/(36/(37-($C$43+3.5))),IF($B$43="5 Sätze",$D$28/(36/(37-($C$43+3.5))),IF($B$43="6 Sätze",$D$28/(36/(37-($C$43+4))),"Geplante Sätze?"))))))))))),"Übung Auswählen!"))))</f>
        <v>110.62499999999999</v>
      </c>
      <c r="D55" s="710"/>
      <c r="E55" s="738" t="str">
        <f>IF($C$10="LH Bankdrücken","á",IF($C$10="Kniebeuge","á",IF($C$10="Kreuzheben","á","Übung Auswählen!")))</f>
        <v>á</v>
      </c>
      <c r="F55" s="713">
        <f>IF($C$17="Nur Back Off Sets","",IF($C$10="LH Bankdrücken",(IF($C$13="Epley",IF($D$28="","EINGEBEN",(IF($C$41=0,"",IF(OR($C$41&lt;1,$C$41&gt;30),"Nur Wdh. von 1-30",IF($B$41="2 Sätze",($D$28/(1+(($C$41+2)/30))),IF($B$41="3 Sätze",($D$28/(1+(($C$41+2)/30))),IF($B$41="4 Sätze",($D$28/(1+(($C$41+2.5)/30))),IF($B$41="5 Sätze",($D$28/(1+(($C$41+2.5)/30))),IF($B$41="6 Sätze",($D$28/(1+(($C$41+3)/30))),"Geplante Sätze?"))))))))),(IF($D$28="","EINGEBEN",IF($C$41=0,"",IF(OR($C$41&lt;1,$C$41&gt;30),"Nur Wdh. von 1-30",IF($B$41="2 Sätze",$D$28/(36/(37-($C$41+2))),IF($B$41="3 Sätze",$D$28/(36/(37-($C$41+2))),IF($B$41="4 Sätze",$D$28/(36/(37-($C$41+2.5))),IF($B$41="5 Sätze",$D$28/(36/(37-($C$41+2.5))),IF($B$41="6 Sätze",$D$28/(36/(37-($C$41+3))),"Geplante Sätze?"))))))))))),      IF($C$10="Kniebeuge",(IF($C$13="Epley",IF($D$28="","EINGEBEN",(IF($C$42=0,"",IF(OR($C$42&lt;1,$C$42&gt;30),"Nur Wdh. von 1-30",IF($B$42="2 Sätze",($D$28/(1+(($C$42+2)/30))),IF($B$42="3 Sätze",($D$28/(1+(($C$42+2)/30))),IF($B$42="4 Sätze",($D$28/(1+(($C$42+2.5)/30))),IF($B$42="5 Sätze",($D$28/(1+(($C$42+2.5)/30))),IF($B$42="6 Sätze",($D$28/(1+(($C$42+3)/30))),"Geplante Sätze?"))))))))),(IF($D$28="","EINGEBEN",IF($C$42=0,"",IF(OR($C$42&lt;1,$C$42&gt;30),"Nur Wdh. von 1-30",IF($B$42="2 Sätze",$D$28/(36/(37-($C$42+2))),IF($B$42="3 Sätze",$D$28/(36/(37-($C$42+2))),IF($B$42="4 Sätze",$D$28/(36/(37-($C$42+2.5))),IF($B$42="5 Sätze",$D$28/(36/(37-($C$42+2.5))),IF($B$42="6 Sätze",$D$28/(36/(37-($C$42+3))),"Geplante Sätze?"))))))))))),        IF($C$10="Kreuzheben",(IF($C$13="Epley",IF($D$28="","EINGEBEN",(IF($C$43=0,"",IF(OR($C$43&lt;1,$C$43&gt;30),"Nur Wdh. von 1-30",IF($B$43="2 Sätze",($D$28/(1+(($C$43+2)/30))),IF($B$43="3 Sätze",($D$28/(1+(($C$43+2)/30))),IF($B$43="4 Sätze",($D$28/(1+(($C$43+2.5)/30))),IF($B$43="5 Sätze",($D$28/(1+(($C$43+2.5)/30))),IF($B$43="6 Sätze",($D$28/(1+(($C$43+3)/30))),"Geplante Sätze?"))))))))),(IF($D$28="","EINGEBEN",IF($C$43=0,"",IF(OR($C$43&lt;1,$C$43&gt;30),"Nur Wdh. von 1-30",IF($B$43="2 Sätze",$D$28/(36/(37-($C$43+2))),IF($B$43="3 Sätze",$D$28/(36/(37-($C$43+2))),IF($B$43="4 Sätze",$D$28/(36/(37-($C$43+2.5))),IF($B$43="5 Sätze",$D$28/(36/(37-($C$43+2.5))),IF($B$43="6 Sätze",$D$28/(36/(37-($C$43+3))),"Geplante Sätze?"))))))))))),"Übung Auswählen!"))))</f>
        <v>112.5</v>
      </c>
      <c r="G55" s="739"/>
      <c r="H55" s="738" t="str">
        <f>IF($C$10="LH Bankdrücken","á",IF($C$10="Kniebeuge","á",IF($C$10="Kreuzheben","á","Übung Auswählen!")))</f>
        <v>á</v>
      </c>
      <c r="I55" s="707">
        <f>IF($C$17="Nur Back Off Sets","",IF($C$10="LH Bankdrücken",(IF($C$13="Epley",IF($D$28="","EINGEBEN",(IF($C$41=0,"",IF(OR($C$41&lt;1,$C$41&gt;30),"Nur Wdh. von 1-30",IF($B$41="2 Sätze",($D$28/(1+(($C$41+2)/30))),IF($B$41="3 Sätze",($D$28/(1+(($C$41+2)/30))),IF($B$41="4 Sätze",($D$28/(1+(($C$41+2.5)/30))),IF($B$41="5 Sätze",($D$28/(1+(($C$41+2.5)/30))),IF($B$41="6 Sätze",($D$28/(1+(($C$41+3)/30))),"Geplante Sätze?"))))))))),(IF($D$28="","EINGEBEN",IF($C$41=0,"",IF(OR($C$41&lt;1,$C$41&gt;30),"Nur Wdh. von 1-30",IF($B$41="2 Sätze",$D$28/(36/(37-($C$41+2))),IF($B$41="3 Sätze",$D$28/(36/(37-($C$41+2))),IF($B$41="4 Sätze",$D$28/(36/(37-($C$41+2.5))),IF($B$41="5 Sätze",$D$28/(36/(37-($C$41+2.5))),IF($B$41="6 Sätze",$D$28/(36/(37-($C$41+3))),"Geplante Sätze?"))))))))))),      IF($C$10="Kniebeuge",(IF($C$13="Epley",IF($D$28="","EINGEBEN",(IF($C$42=0,"",IF(OR($C$42&lt;1,$C$42&gt;30),"Nur Wdh. von 1-30",IF($B$42="2 Sätze",($D$28/(1+(($C$42+2)/30))),IF($B$42="3 Sätze",($D$28/(1+(($C$42+2)/30))),IF($B$42="4 Sätze",($D$28/(1+(($C$42+2.5)/30))),IF($B$42="5 Sätze",($D$28/(1+(($C$42+2.5)/30))),IF($B$42="6 Sätze",($D$28/(1+(($C$42+3)/30))),"Geplante Sätze?"))))))))),(IF($D$28="","EINGEBEN",IF($C$42=0,"",IF(OR($C$42&lt;1,$C$42&gt;30),"Nur Wdh. von 1-30",IF($B$42="2 Sätze",$D$28/(36/(37-($C$42+2))),IF($B$42="3 Sätze",$D$28/(36/(37-($C$42+2))),IF($B$42="4 Sätze",$D$28/(36/(37-($C$42+2.5))),IF($B$42="5 Sätze",$D$28/(36/(37-($C$42+2.5))),IF($B$42="6 Sätze",$D$28/(36/(37-($C$42+3))),"Geplante Sätze?"))))))))))),        IF($C$10="Kreuzheben",(IF($C$13="Epley",IF($D$28="","EINGEBEN",(IF($C$43=0,"",IF(OR($C$43&lt;1,$C$43&gt;30),"Nur Wdh. von 1-30",IF($B$43="2 Sätze",($D$28/(1+(($C$43+2)/30))),IF($B$43="3 Sätze",($D$28/(1+(($C$43+2)/30))),IF($B$43="4 Sätze",($D$28/(1+(($C$43+2.5)/30))),IF($B$43="5 Sätze",($D$28/(1+(($C$43+2.5)/30))),IF($B$43="6 Sätze",($D$28/(1+(($C$43+3)/30))),"Geplante Sätze?"))))))))),(IF($D$28="","EINGEBEN",IF($C$43=0,"",IF(OR($C$43&lt;1,$C$43&gt;30),"Nur Wdh. von 1-30",IF($B$43="2 Sätze",$D$28/(36/(37-($C$43+2))),IF($B$43="3 Sätze",$D$28/(36/(37-($C$43+2))),IF($B$43="4 Sätze",$D$28/(36/(37-($C$43+2.5))),IF($B$43="5 Sätze",$D$28/(36/(37-($C$43+2.5))),IF($B$43="6 Sätze",$D$28/(36/(37-($C$43+3))),"Geplante Sätze?"))))))))))),"Übung Auswählen!"))))</f>
        <v>112.5</v>
      </c>
      <c r="J55" s="739"/>
      <c r="K55" s="738" t="str">
        <f>IF($C$10="LH Bankdrücken","á",IF($C$10="Kniebeuge","á",IF($C$10="Kreuzheben","á","Übung Auswählen!")))</f>
        <v>á</v>
      </c>
      <c r="L55" s="707">
        <f>IF($C$17="Nur Back Off Sets","",IF($C$10="LH Bankdrücken",(IF($C$13="Epley",IF($D$28="","EINGEBEN",(IF($C$41=0,"",IF(OR($C$41&lt;1,$C$41&gt;30),"Nur Wdh. von 1-30",IF($B$41="2 Sätze",($D$28/(1+(($C$41+1)/30))),IF($B$41="3 Sätze",($D$28/(1+(($C$41+1)/30))),IF($B$41="4 Sätze",($D$28/(1+(($C$41+1.5)/30))),IF($B$41="5 Sätze",($D$28/(1+(($C$41+2)/30))),IF($B$41="6 Sätze",($D$28/(1+(($C$41+2)/30))),"Geplante Sätze?"))))))))),(IF($D$28="","EINGEBEN",IF($C$41=0,"",IF(OR($C$41&lt;1,$C$41&gt;30),"Nur Wdh. von 1-30",IF($B$41="2 Sätze",$D$28/(36/(37-($C$41+1))),IF($B$41="3 Sätze",$D$28/(36/(37-($C$41+1))),IF($B$41="4 Sätze",$D$28/(36/(37-($C$41+1.5))),IF($B$41="5 Sätze",$D$28/(36/(37-($C$41+2))),IF($B$41="6 Sätze",$D$28/(36/(37-($C$41+2))),"Geplante Sätze?"))))))))))),      IF($C$10="Kniebeuge",(IF($C$13="Epley",IF($D$28="","EINGEBEN",(IF($C$42=0,"",IF(OR($C$42&lt;1,$C$42&gt;30),"Nur Wdh. von 1-30",IF($B$42="2 Sätze",($D$28/(1+(($C$42+1)/30))),IF($B$42="3 Sätze",($D$28/(1+(($C$42+1)/30))),IF($B$42="4 Sätze",($D$28/(1+(($C$42+1.5)/30))),IF($B$42="5 Sätze",($D$28/(1+(($C$42+2)/30))),IF($B$42="6 Sätze",($D$28/(1+(($C$42+2)/30))),"Geplante Sätze?"))))))))),(IF($D$28="","EINGEBEN",IF($C$42=0,"",IF(OR($C$42&lt;1,$C$42&gt;30),"Nur Wdh. von 1-30",IF($B$42="2 Sätze",$D$28/(36/(37-($C$42+1))),IF($B$42="3 Sätze",$D$28/(36/(37-($C$42+1))),IF($B$42="4 Sätze",$D$28/(36/(37-($C$42+1.5))),IF($B$42="5 Sätze",$D$28/(36/(37-($C$42+2))),IF($B$42="6 Sätze",$D$28/(36/(37-($C$42+2))),"Geplante Sätze?"))))))))))),        IF($C$10="Kreuzheben",(IF($C$13="Epley",IF($D$28="","EINGEBEN",(IF($C$43=0,"",IF(OR($C$43&lt;1,$C$43&gt;30),"Nur Wdh. von 1-30",IF($B$43="2 Sätze",($D$28/(1+(($C$43+1)/30))),IF($B$43="3 Sätze",($D$28/(1+(($C$43+1)/30))),IF($B$43="4 Sätze",($D$28/(1+(($C$43+1.5)/30))),IF($B$43="5 Sätze",($D$28/(1+(($C$43+2)/30))),IF($B$43="6 Sätze",($D$28/(1+(($C$43+2)/30))),"Geplante Sätze?"))))))))),(IF($D$28="","EINGEBEN",IF($C$43=0,"",IF(OR($C$43&lt;1,$C$43&gt;30),"Nur Wdh. von 1-30",IF($B$43="2 Sätze",$D$28/(36/(37-($C$43+1))),IF($B$43="3 Sätze",$D$28/(36/(37-($C$43+1))),IF($B$43="4 Sätze",$D$28/(36/(37-($C$43+1.5))),IF($B$43="5 Sätze",$D$28/(36/(37-($C$43+2))),IF($B$43="6 Sätze",$D$28/(36/(37-($C$43+2))),"Geplante Sätze?"))))))))))),"Übung Auswählen!"))))</f>
        <v>116.24999999999999</v>
      </c>
      <c r="M55" s="710"/>
      <c r="N55" s="740" t="str">
        <f>IF($C$10="LH Bankdrücken","á",IF($C$10="Kniebeuge","á",IF($C$10="Kreuzheben","á","Übung Auswählen!")))</f>
        <v>á</v>
      </c>
      <c r="O55" s="684"/>
      <c r="P55" s="684"/>
      <c r="Q55" s="682"/>
      <c r="R55" s="682"/>
      <c r="S55" s="682"/>
    </row>
    <row r="56" spans="1:19" ht="22.9" customHeight="1">
      <c r="A56" s="733"/>
      <c r="B56" s="225"/>
      <c r="C56" s="703">
        <f>IF($C$17="Nur Back Off Sets",IF($D$28="","EINGEBEN",IF($C$57&gt;((IF(MROUND($C$57,$C$15)&gt;$C$57,MROUND($C$57-($C$15/2),$C$15),MROUND($C$57,$C$15)))+($C$15*Dashboard!$C$37)),(IF(MROUND($C$57,$C$15)&gt;$C$57,MROUND($C$57+($C$15/2),$C$15),MROUND($C$57,$C$15))),(IF(MROUND($C$57,$C$15)&gt;$C$57,MROUND($C$57-($C$15/2),$C$15),MROUND($C$57,$C$15))))),IF($D$28="","EINGEBEN",IF($C$55&gt;((IF(MROUND($C$55,$C$15)&gt;$C$55,MROUND($C$55-($C$15/2),$C$15),MROUND($C$55,$C$15)))+($C$15*Dashboard!$C$37)),(IF(MROUND($C$55,$C$15)&gt;$C$55,MROUND($C$55+($C$15/2),$C$15),MROUND($C$55,$C$15))),(IF(MROUND($C$55,$C$15)&gt;$C$55,MROUND($C$55-($C$15/2),$C$15),MROUND($C$55,$C$15))))))</f>
        <v>110</v>
      </c>
      <c r="D56" s="711">
        <f>IF($C$17="Nur Back Off Sets",IF($D$28="","",MROUND(PRODUCT($C$57/$D$28),0.005)),IF($D$28="","",MROUND(PRODUCT($C$55/$D$28),0.005)))</f>
        <v>0.82000000000000006</v>
      </c>
      <c r="E56" s="704"/>
      <c r="F56" s="705">
        <f>IF($C$17="Nur Back Off Sets",IF($D$28="","EINGEBEN",IF($F$57&gt;((IF(MROUND($F$57,$C$15)&gt;$F$57,MROUND($F$57-($C$15/2),$C$15),MROUND($F$57,$C$15)))+($C$15*Dashboard!$C$37)),(IF(MROUND($F$57,$C$15)&gt;$F$57,MROUND($F$57+($C$15/2),$C$15),MROUND($F$3,$C$15))),(IF(MROUND($F$57,$C$15)&gt;$F$57,MROUND($F$57-($C$15/2),$C$15),MROUND($F$57,$C$15))))),IF($D$28="","EINGEBEN",IF($F$55&gt;((IF(MROUND($F$55,$C$15)&gt;$F$55,MROUND($F$55-($C$15/2),$C$15),MROUND($F$55,$C$15)))+($C$15*Dashboard!$C$37)),(IF(MROUND($F$55,$C$15)&gt;$F$55,MROUND($F$55+($C$15/2),$C$15),MROUND($F$55,$C$15))),(IF(MROUND($F$55,$C$15)&gt;$F$55,MROUND($F$55-($C$15/2),$C$15),MROUND($F$55,$C$15))))))</f>
        <v>112.5</v>
      </c>
      <c r="G56" s="701">
        <f>IF($C$17="Nur Back Off Sets",IF($D$28="","",MROUND(PRODUCT($F$57/$D$28),0.005)),IF($D$28="","",MROUND(PRODUCT($F$55/$D$28),0.005)))</f>
        <v>0.83499999999999996</v>
      </c>
      <c r="H56" s="704"/>
      <c r="I56" s="706">
        <f>IF($C$17="Nur Back Off Sets",IF($D$28="","EINGEBEN",IF($I$57&gt;((IF(MROUND($I$57,$C$15)&gt;$I$55,MROUND($I$57-($C$15/2),$C$15),MROUND($I$57,$C$15)))+($C$15*Dashboard!$C$37)),(IF(MROUND($I$57,$C$15)&gt;$I$57,MROUND($I$57+($C$15/2),$C$15),MROUND($I$57,$C$15))),(IF(MROUND($I$57,$C$15)&gt;$I$57,MROUND($I$57-($C$15/2),$C$15),MROUND($I$57,$C$15))))),IF($D$28="","EINGEBEN",IF($I$55&gt;((IF(MROUND($I$55,$C$15)&gt;$I$55,MROUND($I$55-($C$15/2),$C$15),MROUND($I$55,$C$15)))+($C$15*Dashboard!$C$37)),(IF(MROUND($I$55,$C$15)&gt;$I$55,MROUND($I$55+($C$15/2),$C$15),MROUND($I$55,$C$15))),(IF(MROUND($I$55,$C$15)&gt;$I$55,MROUND($I$55-($C$15/2),$C$15),MROUND($I$55,$C$15))))))</f>
        <v>112.5</v>
      </c>
      <c r="J56" s="701">
        <f>IF($C$17="Nur Back Off Sets",IF($D$28="","",MROUND(PRODUCT($I$57/$D$28),0.005)),IF($D$28="","",MROUND(PRODUCT($I$55/$D$28),0.005)))</f>
        <v>0.83499999999999996</v>
      </c>
      <c r="K56" s="704"/>
      <c r="L56" s="706">
        <f>IF($C$17="Nur Back Off Sets",IF($D$28="","EINGEBEN",IF($L$57&gt;((IF(MROUND($L$57,$C$15)&gt;$L$57,MROUND($L$57-($C$15/2),$C$15),MROUND($L$57,$C$15)))+($C$15*Dashboard!$C$37)),(IF(MROUND($L$57,$C$15)&gt;$L$57,MROUND($L$57+($C$15/2),$C$15),MROUND($L$57,$C$15))),(IF(MROUND($L$57,$C$15)&gt;$L$57,MROUND($L$57-($C$15/2),$C$15),MROUND($L$57,$C$15))))),IF($D$28="","EINGEBEN",IF($L$55&gt;((IF(MROUND($L$55,$C$15)&gt;$L$55,MROUND($L$55-($C$15/2),$C$15),MROUND($L$55,$C$15)))+($C$15*Dashboard!$C$37)),(IF(MROUND($L$55,$C$15)&gt;$L$55,MROUND($L$55+($C$15/2),$C$15),MROUND($L$55,$C$15))),(IF(MROUND($L$55,$C$15)&gt;$L$55,MROUND($L$55-($C$15/2),$C$15),MROUND($L$55,$C$15))))))</f>
        <v>115</v>
      </c>
      <c r="M56" s="711">
        <f>IF($C$17="Nur Back Off Sets",IF($D$28="","",MROUND(PRODUCT($L$57/$D$28),0.005)),IF($D$28="","",MROUND(PRODUCT($L$55/$D$28),0.005)))</f>
        <v>0.86</v>
      </c>
      <c r="N56" s="741"/>
      <c r="O56" s="684"/>
      <c r="P56" s="684"/>
      <c r="Q56" s="682"/>
      <c r="R56" s="682"/>
      <c r="S56" s="682"/>
    </row>
    <row r="57" spans="1:19" ht="24.95" customHeight="1">
      <c r="A57" s="1168" t="s">
        <v>216</v>
      </c>
      <c r="B57" s="1169"/>
      <c r="C57" s="715" t="str">
        <f>IF($C$17="Mit Top Sets","",IF($C$10="LH Bankdrücken",(IF($C$13="Epley",IF($D$28="","EINGEBEN",(IF($C$41=0,"",IF(OR($C$41&lt;1,$C$41&gt;30),"Nur Wdh. von 1-30",IF($B$41="2 Sätze",($D$28/(1+(($C$41+2.5)/30))),IF($B$41="3 Sätze",($D$28/(1+(($C$41+3)/30))),IF($B$41="4 Sätze",($D$28/(1+(($C$41+3)/30))),IF($B$41="5 Sätze",($D$28/(1+(($C$41+3.5)/30))),IF($B$41="6 Sätze",($D$28/(1+(($C$41+3.5)/30))),"Geplante Sätze?"))))))))),(IF($D$28="","EINGEBEN",IF($C$41=0,"",IF(OR($C$41&lt;1,$C$41&gt;30),"Nur Wdh. von 1-30",IF($B$41="2 Sätze",$D$28/(36/(37-($C$41+2.5))),IF($B$41="3 Sätze",$D$28/(36/(37-($C$41+3))),IF($B$41="4 Sätze",$D$28/(36/(37-($C$41+3))),IF($B$41="5 Sätze",$D$28/(36/(37-($C$41+3.5))),IF($B$41="6 Sätze",$D$28/(36/(37-($C$41+3.5))),"Geplante Sätze?"))))))))))),IF($C$10="Kniebeuge",   (IF($C$13="Epley",IF($D$28="","EINGEBEN",(IF($C$42=0,"",IF(OR($C$42&lt;1,$C$42&gt;30),"Nur Wdh. von 1-30",IF($B$42="2 Sätze",($D$28/(1+(($C$42+2.5)/30))),IF($B$42="3 Sätze",($D$28/(1+(($C$42+3)/30))),IF($B$42="4 Sätze",($D$28/(1+(($C$42+3)/30))),IF($B$42="5 Sätze",($D$28/(1+(($C$42+3.5)/30))),IF($B$42="6 Sätze",($D$28/(1+(($C$42+3.5)/30))),"Geplante Sätze?"))))))))),(IF($D$28="","EINGEBEN",IF($C$42=0,"",IF(OR($C$42&lt;1,$C$42&gt;30),"Nur Wdh. von 1-30",IF($B$42="2 Sätze",$D$28/(36/(37-($C$42+2.5))),IF($B$42="3 Sätze",$D$28/(36/(37-($C$42+3))),IF($B$42="4 Sätze",$D$28/(36/(37-($C$42+3))),IF($B$42="5 Sätze",$D$28/(36/(37-($C$42+3.5))),IF($B$42="6 Sätze",$D$28/(36/(37-($C$42+3.5))),"Geplante Sätze?"))))))))))),     IF($C$10="Kreuzheben",   (IF($C$13="Epley",IF($D$28="","EINGEBEN",(IF($C$43=0,"",IF(OR($C$43&lt;1,$C$43&gt;30),"Nur Wdh. von 1-30",IF($B$43="2 Sätze",($D$28/(1+(($C$43+2.5)/30))),IF($B$43="3 Sätze",($D$28/(1+(($C$43+3)/30))),IF($B$43="4 Sätze",($D$28/(1+(($C$43+3)/30))),IF($B$43="5 Sätze",($D$28/(1+(($C$43+3.5)/30))),IF($B$43="6 Sätze",($D$28/(1+(($C$43+3.5)/30))),"Geplante Sätze?"))))))))),(IF($D$28="","EINGEBEN",IF($C$43=0,"",IF(OR($C$43&lt;1,$C$43&gt;30),"Nur Wdh. von 1-30",IF($B$43="2 Sätze",$D$28/(36/(37-($C$43+2.5))),IF($B$43="3 Sätze",$D$28/(36/(37-($C$43+3))),IF($B$43="4 Sätze",$D$28/(36/(37-($C$43+3))),IF($B$43="5 Sätze",$D$28/(36/(37-($C$43+3.5))),IF($B$43="6 Sätze",$D$28/(36/(37-($C$43+3.5))),"Geplante Sätze?"))))))))))),"Übung Auswählen!"))))</f>
        <v/>
      </c>
      <c r="D57" s="711"/>
      <c r="E57" s="228" t="str">
        <f>VLOOKUP($C$10,$A$40:$C$43,2,FALSE)</f>
        <v>2 Sätze</v>
      </c>
      <c r="F57" s="715" t="str">
        <f>IF($C$17="Mit Top Sets","",IF($C$10="LH Bankdrücken",(IF($C$13="Epley",IF($D$28="","EINGEBEN",(IF($C$41=0,"",IF(OR($C$41&lt;1,$C$41&gt;30),"Nur Wdh. von 1-30",IF($B$41="2 Sätze",($D$28/(1+(($C$41+1.5)/30))),IF($B$41="3 Sätze",($D$28/(1+(($C$41+2)/30))),IF($B$41="4 Sätze",($D$28/(1+(($C$41+2)/30))),IF($B$41="5 Sätze",($D$28/(1+(($C$41+2.5)/30))),IF($B$41="6 Sätze",($D$28/(1+(($C$41+3)/30))),"Geplante Sätze?"))))))))),(IF($D$28="","EINGEBEN",IF($C$41=0,"",IF(OR($C$41&lt;1,$C$41&gt;30),"Nur Wdh. von 1-30",IF($B$41="2 Sätze",$D$28/(36/(37-($C$41+1.5))),IF($B$41="3 Sätze",$D$28/(36/(37-($C$41+2))),IF($B$41="4 Sätze",$D$28/(36/(37-($C$41+2))),IF($B$41="5 Sätze",$D$28/(36/(37-($C$41+2.5))),IF($B$41="6 Sätze",$D$28/(36/(37-($C$41+3))),"Geplante Sätze?"))))))))))),      IF($C$10="Kniebeuge",(IF($C$13="Epley",IF($D$28="","EINGEBEN",(IF($C$42=0,"",IF(OR($C$42&lt;1,$C$42&gt;30),"Nur Wdh. von 1-30",IF($B$42="2 Sätze",($D$28/(1+(($C$42+1.5)/30))),IF($B$42="3 Sätze",($D$28/(1+(($C$42+2)/30))),IF($B$42="4 Sätze",($D$28/(1+(($C$42+2)/30))),IF($B$42="5 Sätze",($D$28/(1+(($C$42+2.5)/30))),IF($B$42="6 Sätze",($D$28/(1+(($C$42+3)/30))),"Geplante Sätze?"))))))))),(IF($D$28="","EINGEBEN",IF($C$42=0,"",IF(OR($C$42&lt;1,$C$42&gt;30),"Nur Wdh. von 1-30",IF($B$42="2 Sätze",$D$28/(36/(37-($C$42+1.5))),IF($B$42="3 Sätze",$D$28/(36/(37-($C$42+2))),IF($B$42="4 Sätze",$D$28/(36/(37-($C$42+2))),IF($B$42="5 Sätze",$D$28/(36/(37-($C$42+2.5))),IF($B$42="6 Sätze",$D$28/(36/(37-($C$42+3))),"Geplante Sätze?"))))))))))),        IF($C$10="Kreuzheben",(IF($C$13="Epley",IF($D$28="","EINGEBEN",(IF($C$43=0,"",IF(OR($C$43&lt;1,$C$43&gt;30),"Nur Wdh. von 1-30",IF($B$43="2 Sätze",($D$28/(1+(($C$43+1.5)/30))),IF($B$43="3 Sätze",($D$28/(1+(($C$43+2)/30))),IF($B$43="4 Sätze",($D$28/(1+(($C$43+2)/30))),IF($B$43="5 Sätze",($D$28/(1+(($C$43+2.5)/30))),IF($B$43="6 Sätze",($D$28/(1+(($C$43+3)/30))),"Geplante Sätze?"))))))))),(IF($D$28="","EINGEBEN",IF($C$43=0,"",IF(OR($C$43&lt;1,$C$43&gt;30),"Nur Wdh. von 1-30",IF($B$43="2 Sätze",$D$28/(36/(37-($C$43+1.5))),IF($B$43="3 Sätze",$D$28/(36/(37-($C$43+2))),IF($B$43="4 Sätze",$D$28/(36/(37-($C$43+2))),IF($B$43="5 Sätze",$D$28/(36/(37-($C$43+2.5))),IF($B$43="6 Sätze",$D$28/(36/(37-($C$43+3))),"Geplante Sätze?"))))))))))),"Übung Auswählen!"))))</f>
        <v/>
      </c>
      <c r="G57" s="714"/>
      <c r="H57" s="228" t="str">
        <f>VLOOKUP($C$10,$A$40:$C$43,2,FALSE)</f>
        <v>2 Sätze</v>
      </c>
      <c r="I57" s="715" t="str">
        <f>IF($C$17="Mit Top Sets","",IF($C$10="LH Bankdrücken",(IF($C$13="Epley",IF($D$28="","EINGEBEN",(IF($C$41=0,"",IF(OR($C$41&lt;1,$C$41&gt;30),"Nur Wdh. von 1-30",IF($B$41="2 Sätze",($D$28/(1+(($C$41+1.5)/30))),IF($B$41="3 Sätze",($D$28/(1+(($C$41+2)/30))),IF($B$41="4 Sätze",($D$28/(1+(($C$41+2)/30))),IF($B$41="5 Sätze",($D$28/(1+(($C$41+2.5)/30))),IF($B$41="6 Sätze",($D$28/(1+(($C$41+3)/30))),"Geplante Sätze?"))))))))),(IF($D$28="","EINGEBEN",IF($C$41=0,"",IF(OR($C$41&lt;1,$C$41&gt;30),"Nur Wdh. von 1-30",IF($B$41="2 Sätze",$D$28/(36/(37-($C$41+1.5))),IF($B$41="3 Sätze",$D$28/(36/(37-($C$41+2))),IF($B$41="4 Sätze",$D$28/(36/(37-($C$41+2))),IF($B$41="5 Sätze",$D$28/(36/(37-($C$41+2.5))),IF($B$41="6 Sätze",$D$28/(36/(37-($C$41+3))),"Geplante Sätze?"))))))))))),      IF($C$10="Kniebeuge",(IF($C$13="Epley",IF($D$28="","EINGEBEN",(IF($C$42=0,"",IF(OR($C$42&lt;1,$C$42&gt;30),"Nur Wdh. von 1-30",IF($B$42="2 Sätze",($D$28/(1+(($C$42+1.5)/30))),IF($B$42="3 Sätze",($D$28/(1+(($C$42+2)/30))),IF($B$42="4 Sätze",($D$28/(1+(($C$42+2)/30))),IF($B$42="5 Sätze",($D$28/(1+(($C$42+2.5)/30))),IF($B$42="6 Sätze",($D$28/(1+(($C$42+3)/30))),"Geplante Sätze?"))))))))),(IF($D$28="","EINGEBEN",IF($C$42=0,"",IF(OR($C$42&lt;1,$C$42&gt;30),"Nur Wdh. von 1-30",IF($B$42="2 Sätze",$D$28/(36/(37-($C$42+1.5))),IF($B$42="3 Sätze",$D$28/(36/(37-($C$42+2))),IF($B$42="4 Sätze",$D$28/(36/(37-($C$42+2))),IF($B$42="5 Sätze",$D$28/(36/(37-($C$42+2.5))),IF($B$42="6 Sätze",$D$28/(36/(37-($C$42+3))),"Geplante Sätze?"))))))))))),        IF($C$10="Kreuzheben",(IF($C$13="Epley",IF($D$28="","EINGEBEN",(IF($C$43=0,"",IF(OR($C$43&lt;1,$C$43&gt;30),"Nur Wdh. von 1-30",IF($B$43="2 Sätze",($D$28/(1+(($C$43+1.5)/30))),IF($B$43="3 Sätze",($D$28/(1+(($C$43+2)/30))),IF($B$43="4 Sätze",($D$28/(1+(($C$43+2)/30))),IF($B$43="5 Sätze",($D$28/(1+(($C$43+2.5)/30))),IF($B$43="6 Sätze",($D$28/(1+(($C$43+3)/30))),"Geplante Sätze?"))))))))),(IF($D$28="","EINGEBEN",IF($C$43=0,"",IF(OR($C$43&lt;1,$C$43&gt;30),"Nur Wdh. von 1-30",IF($B$43="2 Sätze",$D$28/(36/(37-($C$43+1.5))),IF($B$43="3 Sätze",$D$28/(36/(37-($C$43+2))),IF($B$43="4 Sätze",$D$28/(36/(37-($C$43+2))),IF($B$43="5 Sätze",$D$28/(36/(37-($C$43+2.5))),IF($B$43="6 Sätze",$D$28/(36/(37-($C$43+3))),"Geplante Sätze?"))))))))))),"Übung Auswählen!"))))</f>
        <v/>
      </c>
      <c r="J57" s="701"/>
      <c r="K57" s="228" t="str">
        <f>VLOOKUP($C$10,$A$40:$C$43,2,FALSE)</f>
        <v>2 Sätze</v>
      </c>
      <c r="L57" s="715" t="str">
        <f>IF($C$17="Mit Top Sets","",IF($C$10="LH Bankdrücken",(IF($C$13="Epley",IF($D$28="","EINGEBEN",(IF($C$41=0,"",IF(OR($C$41&lt;1,$C$41&gt;30),"Nur Wdh. von 1-30",IF($B$41="2 Sätze",($D$28/(1+(($C$41+0.5)/30))),IF($B$41="3 Sätze",($D$28/(1+(($C$41+1)/30))),IF($B$41="4 Sätze",($D$28/(1+(($C$41+1)/30))),IF($B$41="5 Sätze",($D$28/(1+(($C$41+1.5)/30))),IF($B$41="6 Sätze",($D$28/(1+(($C$41+2)/30))),"Geplante Sätze?"))))))))),(IF($D$28="","EINGEBEN",IF($C$41=0,"",IF(OR($C$41&lt;1,$C$41&gt;30),"Nur Wdh. von 1-30",IF($B$41="2 Sätze",$D$28/(36/(37-($C$41+0.5))),IF($B$41="3 Sätze",$D$28/(36/(37-($C$41+1))),IF($B$41="4 Sätze",$D$28/(36/(37-($C$41+1))),IF($B$41="5 Sätze",$D$28/(36/(37-($C$41+1.5))),IF($B$41="6 Sätze",$D$28/(36/(37-($C$41+2))),"Geplante Sätze?"))))))))))),       IF($C$10="Kniebeuge",(IF($C$13="Epley",IF($D$28="","EINGEBEN",(IF($C$42=0,"",IF(OR($C$42&lt;1,$C$42&gt;30),"Nur Wdh. von 1-30",IF($B$42="2 Sätze",($D$28/(1+(($C$42+0.5)/30))),IF($B$42="3 Sätze",($D$28/(1+(($C$42+1)/30))),IF($B$42="4 Sätze",($D$28/(1+(($C$42+1)/30))),IF($B$42="5 Sätze",($D$28/(1+(($C$42+1.5)/30))),IF($B$42="6 Sätze",($D$28/(1+(($C$42+2)/30))),"Geplante Sätze?"))))))))),(IF($D$28="","EINGEBEN",IF($C$42=0,"",IF(OR($C$42&lt;1,$C$42&gt;30),"Nur Wdh. von 1-30",IF($B$42="2 Sätze",$D$28/(36/(37-($C$42+0.5))),IF($B$42="3 Sätze",$D$28/(36/(37-($C$42+1))),IF($B$42="4 Sätze",$D$28/(36/(37-($C$42+1))),IF($B$42="5 Sätze",$D$28/(36/(37-($C$42+1.5))),IF($B$42="6 Sätze",$D$28/(36/(37-($C$42+2))),"Geplante Sätze?"))))))))))),         IF($C$10="Kreuzheben",(IF($C$13="Epley",IF($D$28="","EINGEBEN",(IF($C$43=0,"",IF(OR($C$43&lt;1,$C$43&gt;30),"Nur Wdh. von 1-30",IF($B$43="2 Sätze",($D$28/(1+(($C$43+0.5)/30))),IF($B$43="3 Sätze",($D$28/(1+(($C$43+1)/30))),IF($B$43="4 Sätze",($D$28/(1+(($C$43+1)/30))),IF($B$43="5 Sätze",($D$28/(1+(($C$43+1.5)/30))),IF($B$43="6 Sätze",($D$28/(1+(($C$43+2)/30))),"Geplante Sätze?"))))))))),(IF($D$28="","EINGEBEN",IF($C$43=0,"",IF(OR($C$43&lt;1,$C$43&gt;30),"Nur Wdh. von 1-30",IF($B$43="2 Sätze",$D$28/(36/(37-($C$43+0.5))),IF($B$43="3 Sätze",$D$28/(36/(37-($C$43+1))),IF($B$43="4 Sätze",$D$28/(36/(37-($C$43+1))),IF($B$43="5 Sätze",$D$28/(36/(37-($C$43+1.5))),IF($B$43="6 Sätze",$D$28/(36/(37-($C$43+2))),"Geplante Sätze?"))))))))))),"Übung Auswählen!"))))</f>
        <v/>
      </c>
      <c r="M57" s="711"/>
      <c r="N57" s="736" t="str">
        <f>LEFT(VLOOKUP($C$10,$A$40:$C$43,2,FALSE),1)+1&amp;" Sätze"</f>
        <v>3 Sätze</v>
      </c>
      <c r="O57" s="684"/>
      <c r="P57" s="684"/>
      <c r="Q57" s="682"/>
      <c r="R57" s="682"/>
      <c r="S57" s="682"/>
    </row>
    <row r="58" spans="1:19" ht="24.75" customHeight="1">
      <c r="A58" s="733"/>
      <c r="B58" s="225"/>
      <c r="C58" s="709"/>
      <c r="D58" s="711"/>
      <c r="E58" s="708">
        <f>VLOOKUP($C$10,$A$40:$C$43,3,FALSE)</f>
        <v>5</v>
      </c>
      <c r="F58" s="709"/>
      <c r="G58" s="701"/>
      <c r="H58" s="708">
        <f>VLOOKUP($C$10,$A$40:$C$43,3,FALSE)</f>
        <v>5</v>
      </c>
      <c r="I58" s="709"/>
      <c r="J58" s="702"/>
      <c r="K58" s="708">
        <f>VLOOKUP($C$10,$A$40:$C$43,3,FALSE)</f>
        <v>5</v>
      </c>
      <c r="L58" s="709"/>
      <c r="M58" s="712"/>
      <c r="N58" s="742">
        <f>VLOOKUP($C$10,$A$40:$C$43,3,FALSE)</f>
        <v>5</v>
      </c>
      <c r="O58" s="684"/>
      <c r="P58" s="684"/>
      <c r="Q58" s="682"/>
      <c r="R58" s="682"/>
      <c r="S58" s="682"/>
    </row>
    <row r="59" spans="1:19" ht="24.95" customHeight="1" thickBot="1">
      <c r="A59" s="743"/>
      <c r="B59" s="744"/>
      <c r="C59" s="745" t="str">
        <f>IF($C$74="","","Neu: "&amp;PRODUCT($C$74))</f>
        <v/>
      </c>
      <c r="D59" s="746"/>
      <c r="E59" s="747" t="str">
        <f>IF($N$47="Nein Nicht Einblenden","",IF(AND($C$10="LH Bankdrücken",$B$41="2 Sätze"),"RPE 7,5",IF(AND($C$10="LH Bankdrücken",$B$41="3 Sätze"),"RPE 7",IF(AND($C$10="LH Bankdrücken",$B$41="4 Sätze"),"RPE 6,5",(IF(AND($C$10="Kniebeuge",$B$42="2 Sätze"),"RPE 7,5",IF(AND($C$10="Kniebeuge",$B$42="3 Sätze"),"RPE 7",IF(AND($C$10="Kniebeuge",$B$42="4 Sätze"),"RPE 6,5",(IF(AND($C$10="Kreuzheben",$B$43="2 Sätze"), "RPE 7,5",IF(AND($C$10="Kreuzheben",$B$43="3 Sätze"),"RPE 7",IF(AND($C$10="Kreuzheben",$B$43="4 Sätze"),"RPE 6,5","Sätze?"))))))))))))</f>
        <v>RPE 7,5</v>
      </c>
      <c r="F59" s="745" t="str">
        <f>IF($C$75="","","Neu: "&amp;PRODUCT($C$75))</f>
        <v/>
      </c>
      <c r="G59" s="748"/>
      <c r="H59" s="747" t="str">
        <f>IF($N$47="Nein Nicht Einblenden","",IF(AND($C$10="LH Bankdrücken",$B$41="2 Sätze"),"RPE 7,5",IF(AND($C$10="LH Bankdrücken",$B$41="3 Sätze"),"RPE 7",IF(AND($C$10="LH Bankdrücken",$B$41="4 Sätze"),"RPE 6,5",(IF(AND($C$10="Kniebeuge",$B$42="2 Sätze"),"RPE 7,5",IF(AND($C$10="Kniebeuge",$B$42="3 Sätze"),"RPE 7",IF(AND($C$10="Kniebeuge",$B$42="4 Sätze"),"RPE 6,5",(IF(AND($C$10="Kreuzheben",$B$43="2 Sätze"), "RPE 7,5",IF(AND($C$10="Kreuzheben",$B$43="3 Sätze"),"RPE 7",IF(AND($C$10="Kreuzheben",$B$43="4 Sätze"),"RPE 6,5","Sätze?"))))))))))))</f>
        <v>RPE 7,5</v>
      </c>
      <c r="I59" s="745" t="str">
        <f>IF($C$76="","","Neu: "&amp;PRODUCT($C$76))</f>
        <v/>
      </c>
      <c r="J59" s="748"/>
      <c r="K59" s="747" t="str">
        <f>IF($N$47="Nein Nicht Einblenden","",IF(AND($C$10="LH Bankdrücken",$B$41="2 Sätze"),"RPE 7,5",IF(AND($C$10="LH Bankdrücken",$B$41="3 Sätze"),"RPE 7",IF(AND($C$10="LH Bankdrücken",$B$41="4 Sätze"),"RPE 6,5",(IF(AND($C$10="Kniebeuge",$B$42="2 Sätze"),"RPE 7,5",IF(AND($C$10="Kniebeuge",$B$42="3 Sätze"),"RPE 7",IF(AND($C$10="Kniebeuge",$B$42="4 Sätze"),"RPE 6,5",(IF(AND($C$10="Kreuzheben",$B$43="2 Sätze"), "RPE 7,5",IF(AND($C$10="Kreuzheben",$B$43="3 Sätze"),"RPE 7",IF(AND($C$10="Kreuzheben",$B$43="4 Sätze"),"RPE 6,5","Sätze?"))))))))))))</f>
        <v>RPE 7,5</v>
      </c>
      <c r="L59" s="745" t="str">
        <f>IF($C$77="","","Neu: "&amp;PRODUCT($C$77))</f>
        <v/>
      </c>
      <c r="M59" s="746"/>
      <c r="N59" s="749" t="str">
        <f>IF($N$47="Nein Nicht Einblenden","",IF(AND($C$10="LH Bankdrücken",$B$41="2 Sätze"),"RPE 7,5",IF(AND($C$10="LH Bankdrücken",$B$41="3 Sätze"),"RPE 7",IF(AND($C$10="LH Bankdrücken",$B$41="4 Sätze"),"RPE 6,5",(IF(AND($C$10="Kniebeuge",$B$42="2 Sätze"),"RPE 7,5",IF(AND($C$10="Kniebeuge",$B$42="3 Sätze"),"RPE 7",IF(AND($C$10="Kniebeuge",$B$42="4 Sätze"),"RPE 6,5",(IF(AND($C$10="Kreuzheben",$B$43="2 Sätze"), "RPE 7,5",IF(AND($C$10="Kreuzheben",$B$43="3 Sätze"),"RPE 7",IF(AND($C$10="Kreuzheben",$B$43="4 Sätze"),"RPE 6,5","Sätze?"))))))))))))</f>
        <v>RPE 7,5</v>
      </c>
      <c r="O59" s="684"/>
      <c r="P59" s="684"/>
      <c r="Q59" s="682"/>
      <c r="R59" s="682"/>
      <c r="S59" s="682"/>
    </row>
    <row r="60" spans="1:19" ht="24.95" customHeight="1">
      <c r="A60" s="684"/>
      <c r="B60" s="684"/>
      <c r="C60" s="684"/>
      <c r="D60" s="684"/>
      <c r="E60" s="684"/>
      <c r="F60" s="684"/>
      <c r="G60" s="684"/>
      <c r="H60" s="684"/>
      <c r="I60" s="684"/>
      <c r="J60" s="684"/>
      <c r="K60" s="684"/>
      <c r="L60" s="684"/>
      <c r="M60" s="684"/>
      <c r="N60" s="684"/>
      <c r="O60" s="684"/>
      <c r="P60" s="684"/>
      <c r="Q60" s="682"/>
      <c r="R60" s="682"/>
      <c r="S60" s="682"/>
    </row>
    <row r="61" spans="1:19" ht="25.9" customHeight="1">
      <c r="A61" s="684"/>
      <c r="B61" s="684"/>
      <c r="C61" s="684"/>
      <c r="D61" s="684"/>
      <c r="E61" s="684"/>
      <c r="F61" s="684"/>
      <c r="G61" s="684"/>
      <c r="H61" s="684"/>
      <c r="I61" s="684"/>
      <c r="J61" s="684"/>
      <c r="K61" s="684"/>
      <c r="L61" s="684"/>
      <c r="M61" s="684"/>
      <c r="N61" s="684"/>
      <c r="O61" s="684"/>
      <c r="P61" s="684"/>
      <c r="Q61" s="682"/>
      <c r="R61" s="682"/>
      <c r="S61" s="682"/>
    </row>
    <row r="62" spans="1:19" ht="24.95" customHeight="1">
      <c r="A62" s="684"/>
      <c r="B62" s="684"/>
      <c r="C62" s="684"/>
      <c r="D62" s="684"/>
      <c r="E62" s="684"/>
      <c r="F62" s="684"/>
      <c r="G62" s="684"/>
      <c r="H62" s="684"/>
      <c r="I62" s="684"/>
      <c r="J62" s="684"/>
      <c r="K62" s="684"/>
      <c r="L62" s="684"/>
      <c r="M62" s="684"/>
      <c r="N62" s="684"/>
      <c r="O62" s="684"/>
      <c r="P62" s="684"/>
      <c r="Q62" s="682"/>
      <c r="R62" s="682"/>
      <c r="S62" s="682"/>
    </row>
    <row r="63" spans="1:19" ht="28.5" customHeight="1">
      <c r="A63" s="684"/>
      <c r="B63" s="684"/>
      <c r="C63" s="684"/>
      <c r="D63" s="684"/>
      <c r="E63" s="684"/>
      <c r="F63" s="684"/>
      <c r="G63" s="684"/>
      <c r="H63" s="684"/>
      <c r="I63" s="684"/>
      <c r="J63" s="684"/>
      <c r="K63" s="684"/>
      <c r="L63" s="684"/>
      <c r="M63" s="684"/>
      <c r="N63" s="684"/>
      <c r="O63" s="684"/>
      <c r="P63" s="684"/>
      <c r="Q63" s="682"/>
      <c r="R63" s="682"/>
      <c r="S63" s="682"/>
    </row>
    <row r="64" spans="1:19" ht="24.95" customHeight="1">
      <c r="A64" s="684"/>
      <c r="B64" s="684"/>
      <c r="C64" s="684"/>
      <c r="D64" s="684"/>
      <c r="E64" s="684"/>
      <c r="F64" s="684"/>
      <c r="G64" s="684"/>
      <c r="H64" s="684"/>
      <c r="I64" s="684"/>
      <c r="J64" s="684"/>
      <c r="K64" s="684"/>
      <c r="L64" s="684"/>
      <c r="M64" s="684"/>
      <c r="N64" s="684"/>
      <c r="O64" s="684"/>
      <c r="P64" s="684"/>
      <c r="Q64" s="682"/>
      <c r="R64" s="682"/>
      <c r="S64" s="682"/>
    </row>
    <row r="65" spans="1:19" ht="24.95" customHeight="1">
      <c r="A65" s="1167" t="s">
        <v>373</v>
      </c>
      <c r="B65" s="1167"/>
      <c r="C65" s="1167"/>
      <c r="D65" s="724"/>
      <c r="E65" s="724"/>
      <c r="F65" s="724"/>
      <c r="G65" s="684"/>
      <c r="H65" s="684"/>
      <c r="I65" s="684"/>
      <c r="J65" s="684"/>
      <c r="K65" s="684"/>
      <c r="L65" s="684"/>
      <c r="M65" s="684"/>
      <c r="N65" s="684"/>
      <c r="O65" s="684"/>
      <c r="P65" s="684"/>
      <c r="Q65" s="682"/>
      <c r="R65" s="682"/>
      <c r="S65" s="682"/>
    </row>
    <row r="66" spans="1:19" ht="24.95" customHeight="1" thickBot="1">
      <c r="A66" s="684"/>
      <c r="B66" s="684"/>
      <c r="C66" s="684"/>
      <c r="D66" s="684"/>
      <c r="E66" s="684"/>
      <c r="F66" s="684"/>
      <c r="G66" s="684"/>
      <c r="H66" s="684"/>
      <c r="I66" s="684"/>
      <c r="J66" s="684"/>
      <c r="K66" s="684"/>
      <c r="L66" s="684"/>
      <c r="M66" s="684"/>
      <c r="N66" s="684"/>
      <c r="O66" s="684"/>
      <c r="P66" s="684"/>
      <c r="Q66" s="682"/>
      <c r="R66" s="682"/>
      <c r="S66" s="682"/>
    </row>
    <row r="67" spans="1:19" ht="24.95" customHeight="1" thickBot="1">
      <c r="A67" s="684"/>
      <c r="B67" s="684"/>
      <c r="C67" s="505" t="s">
        <v>330</v>
      </c>
      <c r="D67" s="717"/>
      <c r="E67" s="684"/>
      <c r="F67" s="684"/>
      <c r="G67" s="684"/>
      <c r="H67" s="684"/>
      <c r="I67" s="684"/>
      <c r="J67" s="684"/>
      <c r="K67" s="684"/>
      <c r="L67" s="684"/>
      <c r="M67" s="684"/>
      <c r="N67" s="684"/>
      <c r="O67" s="684"/>
      <c r="P67" s="684"/>
      <c r="Q67" s="682"/>
      <c r="R67" s="682"/>
      <c r="S67" s="682"/>
    </row>
    <row r="68" spans="1:19" ht="24.95" customHeight="1">
      <c r="A68" s="1179" t="s">
        <v>217</v>
      </c>
      <c r="B68" s="1180"/>
      <c r="C68" s="755"/>
      <c r="D68" s="756" t="str">
        <f>IF(C68&lt;0,"ERROR",IF(C68=0,"EINGEBEN",""))</f>
        <v>EINGEBEN</v>
      </c>
      <c r="E68" s="757"/>
      <c r="F68" s="684"/>
      <c r="G68" s="684"/>
      <c r="H68" s="684"/>
      <c r="I68" s="684"/>
      <c r="J68" s="684"/>
      <c r="K68" s="684"/>
      <c r="L68" s="684"/>
      <c r="M68" s="684"/>
      <c r="N68" s="684"/>
      <c r="O68" s="684"/>
      <c r="P68" s="684"/>
      <c r="Q68" s="682"/>
      <c r="R68" s="682"/>
      <c r="S68" s="682"/>
    </row>
    <row r="69" spans="1:19" ht="24.95" customHeight="1">
      <c r="A69" s="1173" t="s">
        <v>48</v>
      </c>
      <c r="B69" s="1174"/>
      <c r="C69" s="502"/>
      <c r="D69" s="641" t="str">
        <f>IF(C69&gt;20,"Nur Wdh. 1-20",IF(C69&lt;0,"ERROR",IF(C69=0,"EINGEBEN","")))</f>
        <v>EINGEBEN</v>
      </c>
      <c r="E69" s="777" t="s">
        <v>213</v>
      </c>
      <c r="F69" s="684"/>
      <c r="G69" s="684"/>
      <c r="H69" s="684"/>
      <c r="I69" s="684"/>
      <c r="J69" s="684"/>
      <c r="K69" s="684"/>
      <c r="L69" s="684"/>
      <c r="M69" s="684"/>
      <c r="N69" s="684"/>
      <c r="O69" s="684"/>
      <c r="P69" s="684"/>
      <c r="Q69" s="682"/>
      <c r="R69" s="682"/>
      <c r="S69" s="682"/>
    </row>
    <row r="70" spans="1:19" ht="24.95" customHeight="1" thickBot="1">
      <c r="A70" s="1177" t="s">
        <v>212</v>
      </c>
      <c r="B70" s="1178"/>
      <c r="C70" s="504"/>
      <c r="D70" s="640" t="str">
        <f>IF(C70=0,"EINGEBEN",IF(C70&gt;10,"NUR RPE WERTE VON 1-10",IF(C70&lt;0,"NUR RPE WERTE VON 1-10","")))</f>
        <v>EINGEBEN</v>
      </c>
      <c r="E70" s="778" t="s">
        <v>319</v>
      </c>
      <c r="F70" s="684"/>
      <c r="G70" s="684"/>
      <c r="H70" s="684"/>
      <c r="I70" s="684"/>
      <c r="J70" s="684"/>
      <c r="K70" s="684"/>
      <c r="L70" s="684"/>
      <c r="M70" s="684"/>
      <c r="N70" s="684"/>
      <c r="O70" s="684"/>
      <c r="P70" s="684"/>
      <c r="Q70" s="682"/>
      <c r="R70" s="682"/>
      <c r="S70" s="682"/>
    </row>
    <row r="71" spans="1:19" ht="24.95" customHeight="1">
      <c r="A71" s="1173" t="s">
        <v>329</v>
      </c>
      <c r="B71" s="1174"/>
      <c r="C71" s="758" t="str">
        <f>IF(C69&lt;0,"ERROR",IF(C70&gt;10,"ERROR",IF(C70&lt;0,"ERROR",IF(C70=0,"",(10-C70)+C69))))</f>
        <v/>
      </c>
      <c r="D71" s="641"/>
      <c r="E71" s="759"/>
      <c r="F71" s="684"/>
      <c r="G71" s="684"/>
      <c r="H71" s="684"/>
      <c r="I71" s="684"/>
      <c r="J71" s="684"/>
      <c r="K71" s="684"/>
      <c r="L71" s="684"/>
      <c r="M71" s="684"/>
      <c r="N71" s="684"/>
      <c r="O71" s="684"/>
      <c r="P71" s="684"/>
      <c r="Q71" s="682"/>
      <c r="R71" s="682"/>
      <c r="S71" s="682"/>
    </row>
    <row r="72" spans="1:19" ht="24.95" customHeight="1">
      <c r="A72" s="1164" t="s">
        <v>318</v>
      </c>
      <c r="B72" s="1165"/>
      <c r="C72" s="771" t="str">
        <f>IF(C69&lt;1,"",IF(C69&gt;20,"",IF(C69=0,"",IF(C68=0,"",IF(C70&gt;10,"ERROR",IF($B70&lt;0,"ERROR",IF(AND($B$11="Epley",C70=0),ROUNDDOWN(C68*(1+(C69/30)),0)&amp;" "&amp;Dashboard!$C$24,IF($B$11="Epley",ROUNDDOWN(C68*(1+((C69+(10-C70))/30)),0)&amp;" "&amp;Dashboard!$C$24,IF(C70=0,ROUNDDOWN(C68*36/(37-C69),0)&amp;" "&amp;Dashboard!$C$24,ROUNDDOWN(C68*36/(37-(C69+(10-C70))),0)&amp;" "&amp;Dashboard!$C$24)))))))))</f>
        <v/>
      </c>
      <c r="D72" s="808" t="str">
        <f>IF(C69&lt;1,"",IF(C69&gt;20,"",IF(C69=0,"",IF(C68=0,"",IF(C70&gt;10,"ERROR",IF(C70&lt;0,"ERROR",IF(AND($B$11="Epley",C70=0),(C68*(1+(C69/30))),IF($B$11="Epley",(C68*(1+((C69+(10-C70))/30))),IF(C70=0,C68*36/(37-C69),(C68*36/(37-(C69+(10-C70)))))))))))))</f>
        <v/>
      </c>
      <c r="E72" s="762"/>
      <c r="F72" s="684"/>
      <c r="G72" s="684"/>
      <c r="H72" s="684"/>
      <c r="I72" s="684"/>
      <c r="J72" s="684"/>
      <c r="K72" s="684"/>
      <c r="L72" s="684"/>
      <c r="M72" s="684"/>
      <c r="N72" s="684"/>
      <c r="O72" s="684"/>
      <c r="P72" s="684"/>
      <c r="Q72" s="682"/>
      <c r="R72" s="682"/>
      <c r="S72" s="682"/>
    </row>
    <row r="73" spans="1:19" ht="24.95" customHeight="1">
      <c r="A73" s="1162"/>
      <c r="B73" s="1163"/>
      <c r="C73" s="763"/>
      <c r="D73" s="763"/>
      <c r="E73" s="764"/>
      <c r="F73" s="684"/>
      <c r="G73" s="684"/>
      <c r="H73" s="684"/>
      <c r="I73" s="684"/>
      <c r="J73" s="684"/>
      <c r="K73" s="684"/>
      <c r="L73" s="684"/>
      <c r="M73" s="684"/>
      <c r="N73" s="684"/>
      <c r="O73" s="684"/>
      <c r="P73" s="684"/>
      <c r="Q73" s="682"/>
      <c r="R73" s="682"/>
      <c r="S73" s="682"/>
    </row>
    <row r="74" spans="1:19" ht="24.95" customHeight="1">
      <c r="A74" s="1158" t="s">
        <v>218</v>
      </c>
      <c r="B74" s="1159"/>
      <c r="C74" s="772" t="str">
        <f>IF($D74="","",IF($C$70="ERROR","",IF($C$68=0,"",IF($C$67=0,"",IF($D74&gt;((IF(MROUND($D74,$C$15)&gt;$D74,MROUND($D74-($C$15/2),$C$15),MROUND($D74,$C$15)))+($C$15*Dashboard!$C$37)),(IF(MROUND($D74,$C$15)&gt;$D74,MROUND($D74+($C$15/2),$C$15),MROUND($D74,$C$15))),(IF(MROUND($D74,$C$15)&gt;$D74,MROUND($D74-($C$15/2),$C$15),MROUND($D74,$C$15))))))))</f>
        <v/>
      </c>
      <c r="D74" s="753" t="str">
        <f>IF($D$72="","",IF($D$72="ERROR","",IF($C$10="LH Bankdrücken",(IF($C$13="Epley",(IF($C$41=0,"",IF(OR($C$41&lt;1,$C$41&gt;30),"Nur Wdh. von 1-30",IF($B$41="2 Sätze",($D$72/(1+(($C$41+2.5)/30))),IF($B$41="3 Sätze",($D$72/(1+(($C$41+3)/30))),IF($B$41="4 Sätze",($D$72/(1+(($C$41+3)/30))),IF($B$41="5 Sätze",($D$72/(1+(($C$41+3.5)/30))),IF($B$41="6 Sätze",($D$72/(1+(($C$41+4)/30))),"Geplante Sätze?")))))))),(IF($D$72="","EINGEBEN",IF($C$41=0,"",IF(OR($C$41&lt;1,$C$41&gt;30),"Nur Wdh. von 1-30",IF($B$41="2 Sätze",$D$72/(36/(37-($C$41+2.5))),IF($B$41="3 Sätze",$D$72/(36/(37-($C$41+3))),IF($B$41="4 Sätze",$D$72/(36/(37-($C$41+3.5))),IF($B$41="5 Sätze",$D$72/(36/(37-($C$41+3.5))),IF($B$41="6 Sätze",$D$72/(36/(37-($C$41+4))),"Geplante Sätze?"))))))))))),IF($C$10="Kniebeuge",   (IF($C$13="Epley",IF($D$72="","EINGEBEN",(IF($C$42=0,"",IF(OR($C$42&lt;1,$C$42&gt;30),"Nur Wdh. von 1-30",IF($B$42="2 Sätze",($D$72/(1+(($C$42+2.5)/30))),IF($B$42="3 Sätze",($D$72/(1+(($C$42+3)/30))),IF($B$42="4 Sätze",($D$72/(1+(($C$42+3)/30))),IF($B$42="5 Sätze",($D$72/(1+(($C$42+3.5)/30))),IF($B$42="6 Sätze",($D$72/(1+(($C$42+4)/30))),"Geplante Sätze?"))))))))),(IF($D$72="","EINGEBEN",IF($C$42=0,"",IF(OR($C$42&lt;1,$C$42&gt;30),"Nur Wdh. von 1-30",IF($B$42="2 Sätze",$D$72/(36/(37-($C$42+2.5))),IF($B$42="3 Sätze",$D$72/(36/(37-($C$42+3))),IF($B$42="4 Sätze",$D$72/(36/(37-($C$42+3.5))),IF($B$42="5 Sätze",$D$72/(36/(37-($C$42+3.5))),IF($B$42="6 Sätze",$D$72/(36/(37-($C$42+4))),"Geplante Sätze?"))))))))))),     IF($C$10="Kreuzheben",   (IF($C$13="Epley",IF($D$72="","EINGEBEN",(IF($C$43=0,"",IF(OR($C$43&lt;1,$C$43&gt;30),"Nur Wdh. von 1-30",IF($B$43="2 Sätze",($D$72/(1+(($C$43+2.5)/30))),IF($B$43="3 Sätze",($D$72/(1+(($C$43+3)/30))),IF($B$43="4 Sätze",($D$72/(1+(($C$43+3)/30))),IF($B$43="5 Sätze",($D$72/(1+(($C$43+3.5)/30))),IF($B$43="6 Sätze",($D$72/(1+(($C$43+4)/30))),"Geplante Sätze?"))))))))),(IF($D$72="","EINGEBEN",IF($C$43=0,"",IF(OR($C$43&lt;1,$C$43&gt;30),"Nur Wdh. von 1-30",IF($B$43="2 Sätze",$D$72/(36/(37-($C$43+2.5))),IF($B$43="3 Sätze",$D$72/(36/(37-($C$43+3))),IF($B$43="4 Sätze",$D$72/(36/(37-($C$43+3.5))),IF($B$43="5 Sätze",$D$72/(36/(37-($C$43+3.5))),IF($B$43="6 Sätze",$D$72/(36/(37-($C$43+4))),"Geplante Sätze?"))))))))))),"Übung Auswählen!")))))</f>
        <v/>
      </c>
      <c r="E74" s="774" t="str">
        <f>IF($C$72="","",IF($C$72="ERROR","","Woche 1"))</f>
        <v/>
      </c>
      <c r="F74" s="684"/>
      <c r="G74" s="684"/>
      <c r="H74" s="684"/>
      <c r="I74" s="684"/>
      <c r="J74" s="684"/>
      <c r="K74" s="684"/>
      <c r="L74" s="684"/>
      <c r="M74" s="684"/>
      <c r="N74" s="684"/>
      <c r="O74" s="684"/>
      <c r="P74" s="684"/>
      <c r="Q74" s="682"/>
      <c r="R74" s="682"/>
      <c r="S74" s="682"/>
    </row>
    <row r="75" spans="1:19" ht="24.95" customHeight="1">
      <c r="A75" s="767"/>
      <c r="B75" s="763"/>
      <c r="C75" s="772" t="str">
        <f>IF($D75="","",IF($C$70="ERROR","",IF($C$68=0,"",IF($C$67=0,"",IF($D75&gt;((IF(MROUND($D75,$C$15)&gt;$D75,MROUND($D75-($C$15/2),$C$15),MROUND($D75,$C$15)))+($C$15*Dashboard!$C$37)),(IF(MROUND($D75,$C$15)&gt;$D75,MROUND($D75+($C$15/2),$C$15),MROUND($D75,$C$15))),(IF(MROUND($D75,$C$15)&gt;$D75,MROUND($D75-($C$15/2),$C$15),MROUND($D75,$C$15))))))))</f>
        <v/>
      </c>
      <c r="D75" s="754" t="str">
        <f>IF($D$72="","",IF($D$72="ERROR","",IF($C$10="LH Bankdrücken",(IF($C$13="Epley",IF($D$72="","EINGEBEN",(IF($C$41=0,"",IF(OR($C$41&lt;1,$C$41&gt;30),"Nur Wdh. von 1-30",IF($B$41="2 Sätze",($D$72/(1+(($C$41+2)/30))),IF($B$41="3 Sätze",($D$72/(1+(($C$41+2)/30))),IF($B$41="4 Sätze",($D$72/(1+(($C$41+2.5)/30))),IF($B$41="5 Sätze",($D$72/(1+(($C$41+2.5)/30))),IF($B$41="6 Sätze",($D$72/(1+(($C$41+3)/30))),"Geplante Sätze?"))))))))),(IF($D$72="","EINGEBEN",IF($C$41=0,"",IF(OR($C$41&lt;1,$C$41&gt;30),"Nur Wdh. von 1-30",IF($B$41="2 Sätze",$D$72/(36/(37-($C$41+2))),IF($B$41="3 Sätze",$D$72/(36/(37-($C$41+2))),IF($B$41="4 Sätze",$D$72/(36/(37-($C$41+2.5))),IF($B$41="5 Sätze",$D$72/(36/(37-($C$41+2.5))),IF($B$41="6 Sätze",$D$72/(36/(37-($C$41+3))),"Geplante Sätze?"))))))))))),      IF($C$10="Kniebeuge",(IF($C$13="Epley",IF($D$72="","EINGEBEN",(IF($C$42=0,"",IF(OR($C$42&lt;1,$C$42&gt;30),"Nur Wdh. von 1-30",IF($B$42="2 Sätze",($D$72/(1+(($C$42+2)/30))),IF($B$42="3 Sätze",($D$72/(1+(($C$42+2)/30))),IF($B$42="4 Sätze",($D$72/(1+(($C$42+2.5)/30))),IF($B$42="5 Sätze",($D$72/(1+(($C$42+2.5)/30))),IF($B$42="6 Sätze",($D$72/(1+(($C$42+3)/30))),"Geplante Sätze?"))))))))),(IF($D$72="","EINGEBEN",IF($C$42=0,"",IF(OR($C$42&lt;1,$C$42&gt;30),"Nur Wdh. von 1-30",IF($B$42="2 Sätze",$D$72/(36/(37-($C$42+2))),IF($B$42="3 Sätze",$D$72/(36/(37-($C$42+2))),IF($B$42="4 Sätze",$D$72/(36/(37-($C$42+2.5))),IF($B$42="5 Sätze",$D$72/(36/(37-($C$42+2.5))),IF($B$42="6 Sätze",$D$72/(36/(37-($C$42+3))),"Geplante Sätze?"))))))))))),        IF($C$10="Kreuzheben",(IF($C$13="Epley",IF($D$72="","EINGEBEN",(IF($C$43=0,"",IF(OR($C$43&lt;1,$C$43&gt;30),"Nur Wdh. von 1-30",IF($B$43="2 Sätze",($D$72/(1+(($C$43+2)/30))),IF($B$43="3 Sätze",($D$72/(1+(($C$43+2)/30))),IF($B$43="4 Sätze",($D$72/(1+(($C$43+2.5)/30))),IF($B$43="5 Sätze",($D$72/(1+(($C$43+2.5)/30))),IF($B$43="6 Sätze",($D$72/(1+(($C$43+3)/30))),"Geplante Sätze?"))))))))),(IF($D$72="","EINGEBEN",IF($C$43=0,"",IF(OR($C$43&lt;1,$C$43&gt;30),"Nur Wdh. von 1-30",IF($B$43="2 Sätze",$D$72/(36/(37-($C$43+2))),IF($B$43="3 Sätze",$D$72/(36/(37-($C$43+2))),IF($B$43="4 Sätze",$D$72/(36/(37-($C$43+2.5))),IF($B$43="5 Sätze",$D$72/(36/(37-($C$43+2.5))),IF($B$43="6 Sätze",$D$72/(36/(37-($C$43+3))),"Geplante Sätze?"))))))))))),"Übung Auswählen!")))))</f>
        <v/>
      </c>
      <c r="E75" s="775" t="str">
        <f>IF($C$72="","",IF($C$72="ERROR","",IF(Dashboard!$C$31="4 Wochen","&gt;&gt;&gt;&gt;",IF(Dashboard!$C$31="5 Wochen","Woche 2",IF(Dashboard!$C$31="6 Wochen","Woche 2",IF(Dashboard!$C$31="7 Wochen","Woche 2-3",IF(Dashboard!$C$31="8 Wochen","Woche 2-3 ","Dauer des Meso-Zyklus?")))))))</f>
        <v/>
      </c>
      <c r="F75" s="684"/>
      <c r="G75" s="684"/>
      <c r="H75" s="684"/>
      <c r="I75" s="684"/>
      <c r="J75" s="684"/>
      <c r="K75" s="684"/>
      <c r="L75" s="684"/>
      <c r="M75" s="684"/>
      <c r="N75" s="684"/>
      <c r="O75" s="684"/>
      <c r="P75" s="684"/>
      <c r="Q75" s="682"/>
      <c r="R75" s="682"/>
      <c r="S75" s="682"/>
    </row>
    <row r="76" spans="1:19" ht="24.95" customHeight="1">
      <c r="A76" s="765"/>
      <c r="B76" s="766"/>
      <c r="C76" s="772" t="str">
        <f>IF($D76="","",IF($C$70="ERROR","",IF($C$68=0,"",IF($C$67=0,"",IF($D76&gt;((IF(MROUND($D76,$C$15)&gt;$D76,MROUND($D76-($C$15/2),$C$15),MROUND($D76,$C$15)))+($C$15*Dashboard!$C$37)),(IF(MROUND($D76,$C$15)&gt;$D76,MROUND($D76+($C$15/2),$C$15),MROUND($D76,$C$15))),(IF(MROUND($D76,$C$15)&gt;$D76,MROUND($D76-($C$15/2),$C$15),MROUND($D76,$C$15))))))))</f>
        <v/>
      </c>
      <c r="D76" s="753" t="str">
        <f>IF($D$72="","",IF($D$72="ERROR","",IF($C$10="LH Bankdrücken",(IF($C$13="Epley",IF($D$72="","EINGEBEN",(IF($C$41=0,"",IF(OR($C$41&lt;1,$C$41&gt;30),"Nur Wdh. von 1-30",IF($B$41="2 Sätze",($D$72/(1+(($C$41+2)/30))),IF($B$41="3 Sätze",($D$72/(1+(($C$41+2)/30))),IF($B$41="4 Sätze",($D$72/(1+(($C$41+2.5)/30))),IF($B$41="5 Sätze",($D$72/(1+(($C$41+2.5)/30))),IF($B$41="6 Sätze",($D$72/(1+(($C$41+3)/30))),"Geplante Sätze?"))))))))),(IF($D$72="","EINGEBEN",IF($C$41=0,"",IF(OR($C$41&lt;1,$C$41&gt;30),"Nur Wdh. von 1-30",IF($B$41="2 Sätze",$D$72/(36/(37-($C$41+2))),IF($B$41="3 Sätze",$D$72/(36/(37-($C$41+2))),IF($B$41="4 Sätze",$D$72/(36/(37-($C$41+2.5))),IF($B$41="5 Sätze",$D$72/(36/(37-($C$41+2.5))),IF($B$41="6 Sätze",$D$72/(36/(37-($C$41+3))),"Geplante Sätze?"))))))))))),      IF($C$10="Kniebeuge",(IF($C$13="Epley",IF($D$72="","EINGEBEN",(IF($C$42=0,"",IF(OR($C$42&lt;1,$C$42&gt;30),"Nur Wdh. von 1-30",IF($B$42="2 Sätze",($D$72/(1+(($C$42+2)/30))),IF($B$42="3 Sätze",($D$72/(1+(($C$42+2)/30))),IF($B$42="4 Sätze",($D$72/(1+(($C$42+2.5)/30))),IF($B$42="5 Sätze",($D$72/(1+(($C$42+2.5)/30))),IF($B$42="6 Sätze",($D$72/(1+(($C$42+3)/30))),"Geplante Sätze?"))))))))),(IF($D$72="","EINGEBEN",IF($C$42=0,"",IF(OR($C$42&lt;1,$C$42&gt;30),"Nur Wdh. von 1-30",IF($B$42="2 Sätze",$D$72/(36/(37-($C$42+2))),IF($B$42="3 Sätze",$D$72/(36/(37-($C$42+2))),IF($B$42="4 Sätze",$D$72/(36/(37-($C$42+2.5))),IF($B$42="5 Sätze",$D$72/(36/(37-($C$42+2.5))),IF($B$42="6 Sätze",$D$72/(36/(37-($C$42+3))),"Geplante Sätze?"))))))))))),        IF($C$10="Kreuzheben",(IF($C$13="Epley",IF($D$72="","EINGEBEN",(IF($C$43=0,"",IF(OR($C$43&lt;1,$C$43&gt;30),"Nur Wdh. von 1-30",IF($B$43="2 Sätze",($D$72/(1+(($C$43+2)/30))),IF($B$43="3 Sätze",($D$72/(1+(($C$43+2)/30))),IF($B$43="4 Sätze",($D$72/(1+(($C$43+2.5)/30))),IF($B$43="5 Sätze",($D$72/(1+(($C$43+2.5)/30))),IF($B$43="6 Sätze",($D$72/(1+(($C$43+3)/30))),"Geplante Sätze?"))))))))),(IF($D$72="","EINGEBEN",IF($C$43=0,"",IF(OR($C$43&lt;1,$C$43&gt;30),"Nur Wdh. von 1-30",IF($B$43="2 Sätze",$D$72/(36/(37-($C$43+2))),IF($B$43="3 Sätze",$D$72/(36/(37-($C$43+2))),IF($B$43="4 Sätze",$D$72/(36/(37-($C$43+2.5))),IF($B$43="5 Sätze",$D$72/(36/(37-($C$43+2.5))),IF($B$43="6 Sätze",$D$72/(36/(37-($C$43+3))),"Geplante Sätze?"))))))))))),"Übung Auswählen!")))))</f>
        <v/>
      </c>
      <c r="E76" s="774" t="str">
        <f>IF($C$72="","",IF($C$72="ERROR","",IF(Dashboard!$C$31="4 Wochen","Woche 2: ",IF(Dashboard!$C$31="5 Wochen","Woche 3",IF(Dashboard!$C$31="6 Wochen","Woche 3-4: ",IF(Dashboard!$C$31="7 Wochen","Woche 4-5",IF(Dashboard!$C$31="8 Wochen","Woche 4-6","Dauer des Meso-Zyklus?")))))))</f>
        <v/>
      </c>
      <c r="F76" s="684"/>
      <c r="G76" s="684"/>
      <c r="H76" s="684"/>
      <c r="I76" s="684"/>
      <c r="J76" s="684"/>
      <c r="K76" s="684"/>
      <c r="L76" s="684"/>
      <c r="M76" s="684"/>
      <c r="N76" s="684"/>
      <c r="O76" s="684"/>
      <c r="P76" s="684"/>
      <c r="Q76" s="682"/>
      <c r="R76" s="682"/>
      <c r="S76" s="682"/>
    </row>
    <row r="77" spans="1:19" ht="24.95" customHeight="1" thickBot="1">
      <c r="A77" s="768"/>
      <c r="B77" s="769"/>
      <c r="C77" s="773" t="str">
        <f>IF($D77="","",IF($C$70="ERROR","",IF($C$68=0,"",IF($C$67=0,"",IF($D77&gt;((IF(MROUND($D77,$C$15)&gt;$D77,MROUND($D77-($C$15/2),$C$15),MROUND($D77,$C$15)))+($C$15*Dashboard!$C$37)),(IF(MROUND($D77,$C$15)&gt;$D77,MROUND($D77+($C$15/2),$C$15),MROUND($D77,$C$15))),(IF(MROUND($D77,$C$15)&gt;$D77,MROUND($D77-($C$15/2),$C$15),MROUND($D77,$C$15))))))))</f>
        <v/>
      </c>
      <c r="D77" s="770" t="str">
        <f>IF($D$72="","",IF($D$72="ERROR","",IF($C$10="LH Bankdrücken",(IF($C$13="Epley",IF($D$72="","EINGEBEN",(IF($C$41=0,"",IF(OR($C$41&lt;1,$C$41&gt;30),"Nur Wdh. von 1-30",IF($B$41="2 Sätze",($D$72/(1+(($C$41+1)/30))),IF($B$41="3 Sätze",($D$72/(1+(($C$41+1)/30))),IF($B$41="4 Sätze",($D$72/(1+(($C$41+1.5)/30))),IF($B$41="5 Sätze",($D$72/(1+(($C$41+2)/30))),IF($B$41="6 Sätze",($D$72/(1+(($C$41+2)/30))),"Geplante Sätze?"))))))))),(IF($D$72="","EINGEBEN",IF($C$41=0,"",IF(OR($C$41&lt;1,$C$41&gt;30),"Nur Wdh. von 1-30",IF($B$41="2 Sätze",$D$72/(36/(37-($C$41+1))),IF($B$41="3 Sätze",$D$72/(36/(37-($C$41+1))),IF($B$41="4 Sätze",$D$72/(36/(37-($C$41+1.5))),IF($B$41="5 Sätze",$D$72/(36/(37-($C$41+2))),IF($B$41="6 Sätze",$D$72/(36/(37-($C$41+2))),"Geplante Sätze?"))))))))))),      IF($C$10="Kniebeuge",(IF($C$13="Epley",IF($D$72="","EINGEBEN",(IF($C$42=0,"",IF(OR($C$42&lt;1,$C$42&gt;30),"Nur Wdh. von 1-30",IF($B$42="2 Sätze",($D$72/(1+(($C$42+1)/30))),IF($B$42="3 Sätze",($D$72/(1+(($C$42+1)/30))),IF($B$42="4 Sätze",($D$72/(1+(($C$42+1.5)/30))),IF($B$42="5 Sätze",($D$72/(1+(($C$42+2)/30))),IF($B$42="6 Sätze",($D$72/(1+(($C$42+2)/30))),"Geplante Sätze?"))))))))),(IF($D$72="","EINGEBEN",IF($C$42=0,"",IF(OR($C$42&lt;1,$C$42&gt;30),"Nur Wdh. von 1-30",IF($B$42="2 Sätze",$D$72/(36/(37-($C$42+1))),IF($B$42="3 Sätze",$D$72/(36/(37-($C$42+1))),IF($B$42="4 Sätze",$D$72/(36/(37-($C$42+1.5))),IF($B$42="5 Sätze",$D$72/(36/(37-($C$42+2))),IF($B$42="6 Sätze",$D$72/(36/(37-($C$42+2))),"Geplante Sätze?"))))))))))),        IF($C$10="Kreuzheben",(IF($C$13="Epley",IF($D$72="","EINGEBEN",(IF($C$43=0,"",IF(OR($C$43&lt;1,$C$43&gt;30),"Nur Wdh. von 1-30",IF($B$43="2 Sätze",($D$72/(1+(($C$43+1)/30))),IF($B$43="3 Sätze",($D$72/(1+(($C$43+1)/30))),IF($B$43="4 Sätze",($D$72/(1+(($C$43+1.5)/30))),IF($B$43="5 Sätze",($D$72/(1+(($C$43+2)/30))),IF($B$43="6 Sätze",($D$72/(1+(($C$43+2)/30))),"Geplante Sätze?"))))))))),(IF($D$72="","EINGEBEN",IF($C$43=0,"",IF(OR($C$43&lt;1,$C$43&gt;30),"Nur Wdh. von 1-30",IF($B$43="2 Sätze",$D$72/(36/(37-($C$43+1))),IF($B$43="3 Sätze",$D$72/(36/(37-($C$43+1))),IF($B$43="4 Sätze",$D$72/(36/(37-($C$43+1.5))),IF($B$43="5 Sätze",$D$72/(36/(37-($C$43+2))),IF($B$43="6 Sätze",$D$72/(36/(37-($C$43+2))),"Geplante Sätze?"))))))))))),"Übung Auswählen!")))))</f>
        <v/>
      </c>
      <c r="E77" s="776" t="str">
        <f>IF($C$72="","",IF($C$72="ERROR","",IF(Dashboard!$C$31="4 Wochen","Woche 3",IF(Dashboard!$C$31="5 Wochen","Woche 4",IF(Dashboard!$C$31="6 Wochen","Woche 5",IF(Dashboard!$C$31="7 Wochen","Woche 6 ",IF(Dashboard!$C$31="8 Wochen","Woche 7","Dauer des Meso-Zyklus?")))))))</f>
        <v/>
      </c>
      <c r="F77" s="684"/>
      <c r="G77" s="684"/>
      <c r="H77" s="684"/>
      <c r="I77" s="684"/>
      <c r="J77" s="684"/>
      <c r="K77" s="684"/>
      <c r="L77" s="684"/>
      <c r="M77" s="684"/>
      <c r="N77" s="684"/>
      <c r="O77" s="684"/>
      <c r="P77" s="684"/>
      <c r="Q77" s="682"/>
      <c r="R77" s="682"/>
      <c r="S77" s="682"/>
    </row>
    <row r="78" spans="1:19" ht="24.95" customHeight="1">
      <c r="A78" s="684"/>
      <c r="B78" s="684"/>
      <c r="C78" s="684"/>
      <c r="D78" s="684"/>
      <c r="E78" s="684"/>
      <c r="F78" s="684"/>
      <c r="G78" s="684"/>
      <c r="H78" s="684"/>
      <c r="I78" s="684"/>
      <c r="J78" s="684"/>
      <c r="K78" s="684"/>
      <c r="L78" s="684"/>
      <c r="M78" s="684"/>
      <c r="N78" s="684"/>
      <c r="O78" s="684"/>
      <c r="P78" s="684"/>
      <c r="Q78" s="682"/>
      <c r="R78" s="682"/>
      <c r="S78" s="682"/>
    </row>
    <row r="79" spans="1:19" ht="24.95" customHeight="1">
      <c r="A79" s="684"/>
      <c r="B79" s="684"/>
      <c r="C79" s="684"/>
      <c r="D79" s="684"/>
      <c r="E79" s="684"/>
      <c r="F79" s="684"/>
      <c r="G79" s="684"/>
      <c r="H79" s="684"/>
      <c r="I79" s="684"/>
      <c r="J79" s="684"/>
      <c r="K79" s="684"/>
      <c r="L79" s="684"/>
      <c r="M79" s="684"/>
      <c r="N79" s="684"/>
      <c r="O79" s="684"/>
      <c r="P79" s="684"/>
      <c r="Q79" s="682"/>
      <c r="R79" s="682"/>
      <c r="S79" s="682"/>
    </row>
    <row r="80" spans="1:19" ht="24.95" customHeight="1">
      <c r="A80" s="684"/>
      <c r="B80" s="684"/>
      <c r="C80" s="684"/>
      <c r="D80" s="684"/>
      <c r="E80" s="684"/>
      <c r="F80" s="684"/>
      <c r="G80" s="684"/>
      <c r="H80" s="684"/>
      <c r="I80" s="684"/>
      <c r="J80" s="684"/>
      <c r="K80" s="684"/>
      <c r="L80" s="684"/>
      <c r="M80" s="684"/>
      <c r="N80" s="684"/>
      <c r="O80" s="684"/>
      <c r="P80" s="684"/>
      <c r="Q80" s="682"/>
      <c r="R80" s="682"/>
      <c r="S80" s="682"/>
    </row>
    <row r="81" spans="1:19" ht="24.95" customHeight="1">
      <c r="A81" s="684"/>
      <c r="B81" s="684"/>
      <c r="C81" s="684"/>
      <c r="D81" s="684"/>
      <c r="E81" s="684"/>
      <c r="F81" s="684"/>
      <c r="G81" s="684"/>
      <c r="H81" s="684"/>
      <c r="I81" s="684"/>
      <c r="J81" s="684"/>
      <c r="K81" s="684"/>
      <c r="L81" s="684"/>
      <c r="M81" s="684"/>
      <c r="N81" s="684"/>
      <c r="O81" s="684"/>
      <c r="P81" s="684"/>
      <c r="Q81" s="682"/>
      <c r="R81" s="682"/>
      <c r="S81" s="682"/>
    </row>
    <row r="82" spans="1:19" ht="24.95" customHeight="1">
      <c r="A82" s="684"/>
      <c r="B82" s="684"/>
      <c r="C82" s="684"/>
      <c r="D82" s="684"/>
      <c r="E82" s="684"/>
      <c r="F82" s="684"/>
      <c r="G82" s="684"/>
      <c r="H82" s="684"/>
      <c r="I82" s="684"/>
      <c r="J82" s="684"/>
      <c r="K82" s="684"/>
      <c r="L82" s="684"/>
      <c r="M82" s="684"/>
      <c r="N82" s="684"/>
      <c r="O82" s="684"/>
      <c r="P82" s="684"/>
      <c r="Q82" s="682"/>
      <c r="R82" s="682"/>
      <c r="S82" s="682"/>
    </row>
    <row r="83" spans="1:19" ht="24.95" customHeight="1">
      <c r="A83" s="684"/>
      <c r="B83" s="684"/>
      <c r="C83" s="684"/>
      <c r="D83" s="684"/>
      <c r="E83" s="684"/>
      <c r="F83" s="684"/>
      <c r="G83" s="684"/>
      <c r="H83" s="684"/>
      <c r="I83" s="684"/>
      <c r="J83" s="684"/>
      <c r="K83" s="684"/>
      <c r="L83" s="684"/>
      <c r="M83" s="684"/>
      <c r="N83" s="684"/>
      <c r="O83" s="684"/>
      <c r="P83" s="684"/>
      <c r="Q83" s="682"/>
      <c r="R83" s="682"/>
      <c r="S83" s="682"/>
    </row>
    <row r="84" spans="1:19" ht="24.95" customHeight="1">
      <c r="A84" s="684"/>
      <c r="B84" s="684"/>
      <c r="C84" s="684"/>
      <c r="D84" s="684"/>
      <c r="E84" s="684"/>
      <c r="F84" s="684"/>
      <c r="G84" s="684"/>
      <c r="H84" s="684"/>
      <c r="I84" s="684"/>
      <c r="J84" s="684"/>
      <c r="K84" s="684"/>
      <c r="L84" s="684"/>
      <c r="M84" s="684"/>
      <c r="N84" s="684"/>
      <c r="O84" s="684"/>
      <c r="P84" s="684"/>
      <c r="Q84" s="682"/>
      <c r="R84" s="682"/>
      <c r="S84" s="682"/>
    </row>
    <row r="85" spans="1:19" ht="24.95" customHeight="1">
      <c r="A85" s="684"/>
      <c r="B85" s="684"/>
      <c r="C85" s="684"/>
      <c r="D85" s="684"/>
      <c r="E85" s="684"/>
      <c r="F85" s="684"/>
      <c r="G85" s="684"/>
      <c r="H85" s="684"/>
      <c r="I85" s="684"/>
      <c r="J85" s="684"/>
      <c r="K85" s="684"/>
      <c r="L85" s="684"/>
      <c r="M85" s="684"/>
      <c r="N85" s="684"/>
      <c r="O85" s="684"/>
      <c r="P85" s="684"/>
      <c r="Q85" s="682"/>
      <c r="R85" s="682"/>
      <c r="S85" s="682"/>
    </row>
    <row r="86" spans="1:19" ht="24.95" customHeight="1">
      <c r="A86" s="684"/>
      <c r="B86" s="684"/>
      <c r="C86" s="684"/>
      <c r="D86" s="684"/>
      <c r="E86" s="684"/>
      <c r="F86" s="684"/>
      <c r="G86" s="684"/>
      <c r="H86" s="684"/>
      <c r="I86" s="684"/>
      <c r="J86" s="684"/>
      <c r="K86" s="684"/>
      <c r="L86" s="684"/>
      <c r="M86" s="684"/>
      <c r="N86" s="684"/>
      <c r="O86" s="684"/>
      <c r="P86" s="684"/>
      <c r="Q86" s="682"/>
      <c r="R86" s="682"/>
      <c r="S86" s="682"/>
    </row>
    <row r="87" spans="1:19" ht="24.95" customHeight="1">
      <c r="A87" s="684"/>
      <c r="B87" s="684"/>
      <c r="C87" s="684"/>
      <c r="D87" s="684"/>
      <c r="E87" s="684"/>
      <c r="F87" s="684"/>
      <c r="G87" s="684"/>
      <c r="H87" s="684"/>
      <c r="I87" s="684"/>
      <c r="J87" s="684"/>
      <c r="K87" s="684"/>
      <c r="L87" s="684"/>
      <c r="M87" s="684"/>
      <c r="N87" s="684"/>
      <c r="O87" s="684"/>
      <c r="P87" s="684"/>
      <c r="Q87" s="682"/>
      <c r="R87" s="682"/>
      <c r="S87" s="682"/>
    </row>
    <row r="88" spans="1:19" ht="21.95" customHeight="1"/>
    <row r="89" spans="1:19" ht="21.95" customHeight="1"/>
    <row r="90" spans="1:19" ht="21.95" customHeight="1"/>
    <row r="91" spans="1:19" ht="21.95" customHeight="1"/>
    <row r="92" spans="1:19" ht="21.95" customHeight="1"/>
    <row r="93" spans="1:19" ht="21.95" customHeight="1"/>
    <row r="94" spans="1:19" ht="21.95" customHeight="1"/>
    <row r="95" spans="1:19" ht="21.95" customHeight="1"/>
    <row r="96" spans="1:19" ht="21.95" customHeight="1"/>
    <row r="97" ht="21.95" customHeight="1"/>
  </sheetData>
  <mergeCells count="37">
    <mergeCell ref="A7:B7"/>
    <mergeCell ref="A15:B15"/>
    <mergeCell ref="A27:B27"/>
    <mergeCell ref="H24:I24"/>
    <mergeCell ref="H26:I26"/>
    <mergeCell ref="H27:I27"/>
    <mergeCell ref="A13:B13"/>
    <mergeCell ref="L48:M48"/>
    <mergeCell ref="M50:M51"/>
    <mergeCell ref="A25:B25"/>
    <mergeCell ref="A26:B26"/>
    <mergeCell ref="A17:B17"/>
    <mergeCell ref="B33:E33"/>
    <mergeCell ref="B34:E34"/>
    <mergeCell ref="M52:M54"/>
    <mergeCell ref="D50:D51"/>
    <mergeCell ref="A71:B71"/>
    <mergeCell ref="G50:G51"/>
    <mergeCell ref="A10:B10"/>
    <mergeCell ref="D52:D54"/>
    <mergeCell ref="A21:C21"/>
    <mergeCell ref="C10:D10"/>
    <mergeCell ref="A70:B70"/>
    <mergeCell ref="J50:J51"/>
    <mergeCell ref="A69:B69"/>
    <mergeCell ref="A57:B57"/>
    <mergeCell ref="A68:B68"/>
    <mergeCell ref="A24:B24"/>
    <mergeCell ref="J52:J54"/>
    <mergeCell ref="L47:M47"/>
    <mergeCell ref="A74:B74"/>
    <mergeCell ref="A37:C37"/>
    <mergeCell ref="A73:B73"/>
    <mergeCell ref="A72:B72"/>
    <mergeCell ref="G52:G54"/>
    <mergeCell ref="A65:C65"/>
    <mergeCell ref="A52:B52"/>
  </mergeCells>
  <conditionalFormatting sqref="C56 F56 I56 L56">
    <cfRule type="expression" dxfId="252" priority="29">
      <formula>IF(LEFT(C$59,3)="Neu",TRUE,FALSE)</formula>
    </cfRule>
  </conditionalFormatting>
  <conditionalFormatting sqref="C13">
    <cfRule type="expression" dxfId="251" priority="28">
      <formula>IF($I$95="Nein Nicht Einblenden",TRUE,FALSE)</formula>
    </cfRule>
  </conditionalFormatting>
  <conditionalFormatting sqref="C57">
    <cfRule type="expression" dxfId="250" priority="26">
      <formula>"WENN($K$24=""Nein Nicht Einblenden"";WAHR;FALSCH)"</formula>
    </cfRule>
  </conditionalFormatting>
  <conditionalFormatting sqref="C55 F55 F57 I55 I57 L55 L57">
    <cfRule type="expression" dxfId="249" priority="101">
      <formula>IF($N$48="Nein Nicht Einblenden",TRUE,FALSE)</formula>
    </cfRule>
  </conditionalFormatting>
  <conditionalFormatting sqref="D24">
    <cfRule type="expression" dxfId="248" priority="14">
      <formula>IF($D24&lt;&gt;"",TRUE,FALSE)</formula>
    </cfRule>
  </conditionalFormatting>
  <conditionalFormatting sqref="D25">
    <cfRule type="expression" dxfId="247" priority="13">
      <formula>IF($D25&lt;&gt;"",TRUE,FALSE)</formula>
    </cfRule>
  </conditionalFormatting>
  <conditionalFormatting sqref="D26">
    <cfRule type="expression" dxfId="246" priority="12">
      <formula>IF($D26&lt;&gt;"",TRUE,FALSE)</formula>
    </cfRule>
  </conditionalFormatting>
  <conditionalFormatting sqref="D68">
    <cfRule type="expression" dxfId="245" priority="11">
      <formula>IF($D$68&lt;&gt;"",TRUE,FALSE)</formula>
    </cfRule>
  </conditionalFormatting>
  <conditionalFormatting sqref="D69">
    <cfRule type="expression" dxfId="244" priority="10">
      <formula>IF($D$69&lt;&gt;"",TRUE,FALSE)</formula>
    </cfRule>
  </conditionalFormatting>
  <conditionalFormatting sqref="D70">
    <cfRule type="expression" dxfId="243" priority="9">
      <formula>IF($D$70&lt;&gt;"",TRUE,FALSE)</formula>
    </cfRule>
  </conditionalFormatting>
  <conditionalFormatting sqref="B31">
    <cfRule type="dataBar" priority="8">
      <dataBar showValue="0">
        <cfvo type="num" val="0"/>
        <cfvo type="num" val="100"/>
        <color rgb="FFF85656"/>
      </dataBar>
      <extLst>
        <ext xmlns:x14="http://schemas.microsoft.com/office/spreadsheetml/2009/9/main" uri="{B025F937-C7B1-47D3-B67F-A62EFF666E3E}">
          <x14:id>{2786CF6C-BAF4-448F-B14D-D83C414AD4BA}</x14:id>
        </ext>
      </extLst>
    </cfRule>
  </conditionalFormatting>
  <conditionalFormatting sqref="C31">
    <cfRule type="dataBar" priority="7">
      <dataBar showValue="0">
        <cfvo type="num" val="0"/>
        <cfvo type="num" val="100"/>
        <color rgb="FFF85656"/>
      </dataBar>
      <extLst>
        <ext xmlns:x14="http://schemas.microsoft.com/office/spreadsheetml/2009/9/main" uri="{B025F937-C7B1-47D3-B67F-A62EFF666E3E}">
          <x14:id>{96BE51DE-44D1-49C1-A738-8419E65FB97F}</x14:id>
        </ext>
      </extLst>
    </cfRule>
  </conditionalFormatting>
  <conditionalFormatting sqref="D31">
    <cfRule type="dataBar" priority="6">
      <dataBar showValue="0">
        <cfvo type="num" val="0"/>
        <cfvo type="num" val="100"/>
        <color rgb="FFF85656"/>
      </dataBar>
      <extLst>
        <ext xmlns:x14="http://schemas.microsoft.com/office/spreadsheetml/2009/9/main" uri="{B025F937-C7B1-47D3-B67F-A62EFF666E3E}">
          <x14:id>{B706378E-4FEF-4714-87F6-C0EFA58DD5F6}</x14:id>
        </ext>
      </extLst>
    </cfRule>
  </conditionalFormatting>
  <conditionalFormatting sqref="B30:C32">
    <cfRule type="expression" dxfId="242" priority="5">
      <formula>IF($B$31&lt;&gt;"",TRUE,FALSE)</formula>
    </cfRule>
  </conditionalFormatting>
  <conditionalFormatting sqref="B30">
    <cfRule type="expression" dxfId="241" priority="4">
      <formula>IF(AND(B$31&lt;100,B$31&gt;0),TRUE,FALSE)</formula>
    </cfRule>
  </conditionalFormatting>
  <conditionalFormatting sqref="C30">
    <cfRule type="expression" dxfId="240" priority="3">
      <formula>IF(AND(C$31&lt;100,C$31&gt;0),TRUE,FALSE)</formula>
    </cfRule>
  </conditionalFormatting>
  <conditionalFormatting sqref="D30">
    <cfRule type="expression" dxfId="239" priority="2">
      <formula>IF(AND(D$31&lt;100,D$31&gt;0),TRUE,FALSE)</formula>
    </cfRule>
  </conditionalFormatting>
  <conditionalFormatting sqref="B31:D31">
    <cfRule type="expression" dxfId="238" priority="1">
      <formula>IF($B$31&lt;&gt;"",TRUE,FALSE)</formula>
    </cfRule>
  </conditionalFormatting>
  <dataValidations count="5">
    <dataValidation type="list" allowBlank="1" showInputMessage="1" showErrorMessage="1" sqref="C11 C10:D10" xr:uid="{00000000-0002-0000-0900-000000000000}">
      <formula1>"LH Bankdrücken,Kniebeuge,Kreuzheben"</formula1>
    </dataValidation>
    <dataValidation type="list" allowBlank="1" showInputMessage="1" showErrorMessage="1" sqref="J47 N38:N48" xr:uid="{00000000-0002-0000-0900-000001000000}">
      <formula1>"Ja Einblenden,Nein Nicht Einblenden"</formula1>
    </dataValidation>
    <dataValidation type="list" allowBlank="1" showInputMessage="1" showErrorMessage="1" sqref="C13" xr:uid="{71A7F5C5-4B4E-4764-B10D-32A3376E9A42}">
      <formula1>"Epley,Brzycki"</formula1>
    </dataValidation>
    <dataValidation type="list" allowBlank="1" showInputMessage="1" showErrorMessage="1" sqref="C17" xr:uid="{6728E6CD-F9B8-4011-B7A4-B174220CAA85}">
      <formula1>"Mit Top Sets,Nur Back Off Sets"</formula1>
    </dataValidation>
    <dataValidation type="list" allowBlank="1" showInputMessage="1" showErrorMessage="1" sqref="C44:C46 B41:B43" xr:uid="{1355D485-1582-4DCB-9972-450977FCAE66}">
      <formula1>"2 Sätze,3 Sätze,4 Sätze"</formula1>
    </dataValidation>
  </dataValidations>
  <hyperlinks>
    <hyperlink ref="H27" location="Maximalkraftwerte!A1" display="Maximalkraftwerte!" xr:uid="{4FAB9313-1EB1-4026-ABE5-1FF9ABC984B2}"/>
  </hyperlinks>
  <pageMargins left="0.7" right="0.7" top="0.75" bottom="0.75" header="0.3" footer="0.3"/>
  <pageSetup paperSize="9" orientation="portrait" horizontalDpi="300" verticalDpi="300" r:id="rId1"/>
  <drawing r:id="rId2"/>
  <extLst>
    <ext xmlns:x14="http://schemas.microsoft.com/office/spreadsheetml/2009/9/main" uri="{78C0D931-6437-407d-A8EE-F0AAD7539E65}">
      <x14:conditionalFormattings>
        <x14:conditionalFormatting xmlns:xm="http://schemas.microsoft.com/office/excel/2006/main">
          <x14:cfRule type="dataBar" id="{2786CF6C-BAF4-448F-B14D-D83C414AD4BA}">
            <x14:dataBar minLength="0" maxLength="100" gradient="0" direction="leftToRight" negativeBarColorSameAsPositive="1" axisPosition="none">
              <x14:cfvo type="num">
                <xm:f>0</xm:f>
              </x14:cfvo>
              <x14:cfvo type="num">
                <xm:f>100</xm:f>
              </x14:cfvo>
            </x14:dataBar>
          </x14:cfRule>
          <xm:sqref>B31</xm:sqref>
        </x14:conditionalFormatting>
        <x14:conditionalFormatting xmlns:xm="http://schemas.microsoft.com/office/excel/2006/main">
          <x14:cfRule type="dataBar" id="{96BE51DE-44D1-49C1-A738-8419E65FB97F}">
            <x14:dataBar minLength="0" maxLength="100" gradient="0">
              <x14:cfvo type="num">
                <xm:f>0</xm:f>
              </x14:cfvo>
              <x14:cfvo type="num">
                <xm:f>100</xm:f>
              </x14:cfvo>
              <x14:negativeFillColor rgb="FFFF0000"/>
              <x14:axisColor rgb="FF000000"/>
            </x14:dataBar>
          </x14:cfRule>
          <xm:sqref>C31</xm:sqref>
        </x14:conditionalFormatting>
        <x14:conditionalFormatting xmlns:xm="http://schemas.microsoft.com/office/excel/2006/main">
          <x14:cfRule type="dataBar" id="{B706378E-4FEF-4714-87F6-C0EFA58DD5F6}">
            <x14:dataBar minLength="0" maxLength="100" gradient="0">
              <x14:cfvo type="num">
                <xm:f>0</xm:f>
              </x14:cfvo>
              <x14:cfvo type="num">
                <xm:f>100</xm:f>
              </x14:cfvo>
              <x14:negativeFillColor rgb="FFFF0000"/>
              <x14:axisColor rgb="FF000000"/>
            </x14:dataBar>
          </x14:cfRule>
          <xm:sqref>D31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AE2E8E85-94E4-41CC-AC24-A520BE65FD9D}">
          <x14:formula1>
            <xm:f>'Funktions-Tabelle'!$A$11:$A$22</xm:f>
          </x14:formula1>
          <xm:sqref>C15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X914"/>
  <sheetViews>
    <sheetView showGridLines="0" zoomScale="71" zoomScaleNormal="71" workbookViewId="0">
      <selection activeCell="P12" sqref="P12"/>
    </sheetView>
  </sheetViews>
  <sheetFormatPr baseColWidth="10" defaultColWidth="9" defaultRowHeight="15" customHeight="1"/>
  <cols>
    <col min="3" max="3" width="16.28515625" style="16" customWidth="1"/>
    <col min="4" max="4" width="31.28515625" style="16" customWidth="1"/>
    <col min="5" max="5" width="24.7109375" style="16" customWidth="1"/>
    <col min="6" max="6" width="18.140625" style="16" hidden="1" customWidth="1"/>
    <col min="7" max="7" width="32.28515625" style="16" customWidth="1"/>
    <col min="8" max="8" width="26.42578125" style="16" customWidth="1"/>
    <col min="9" max="9" width="5.5703125" style="16" hidden="1" customWidth="1"/>
    <col min="10" max="10" width="18" style="16" customWidth="1"/>
    <col min="11" max="11" width="17.42578125" style="16" customWidth="1"/>
    <col min="12" max="12" width="17.140625" style="16" customWidth="1"/>
    <col min="13" max="15" width="19.85546875" style="16" customWidth="1"/>
    <col min="16" max="16" width="17.28515625" style="16" customWidth="1"/>
    <col min="17" max="17" width="16.28515625" style="16" customWidth="1"/>
    <col min="18" max="18" width="17.42578125" style="16" customWidth="1"/>
    <col min="19" max="19" width="17.85546875" style="16" customWidth="1"/>
    <col min="20" max="20" width="14.140625" style="16" customWidth="1"/>
    <col min="21" max="25" width="16.28515625" style="16" customWidth="1"/>
    <col min="26" max="26" width="15.5703125" style="16" customWidth="1"/>
    <col min="27" max="254" width="14" style="16" customWidth="1"/>
    <col min="255" max="258" width="9" style="16" customWidth="1"/>
  </cols>
  <sheetData>
    <row r="1" spans="1:258" ht="35.25" customHeight="1">
      <c r="C1" s="385"/>
      <c r="D1" s="385"/>
      <c r="E1" s="385"/>
      <c r="F1" s="385"/>
      <c r="G1" s="385"/>
      <c r="H1" s="385"/>
      <c r="I1" s="385"/>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c r="AU1" s="385"/>
      <c r="AV1" s="385"/>
      <c r="AW1" s="385"/>
      <c r="AX1" s="385"/>
      <c r="AY1" s="385"/>
      <c r="AZ1" s="385"/>
      <c r="BA1" s="385"/>
      <c r="BB1" s="385"/>
      <c r="BC1" s="385"/>
      <c r="BD1" s="385"/>
      <c r="BE1" s="385"/>
      <c r="BF1" s="385"/>
      <c r="BG1" s="385"/>
      <c r="BH1" s="385"/>
      <c r="BI1" s="385"/>
      <c r="BJ1" s="385"/>
      <c r="BK1" s="385"/>
      <c r="BL1" s="385"/>
      <c r="BM1" s="385"/>
      <c r="BN1" s="385"/>
      <c r="BO1" s="385"/>
      <c r="BP1" s="385"/>
      <c r="BQ1" s="385"/>
      <c r="BR1" s="385"/>
      <c r="BS1" s="385"/>
      <c r="BT1" s="385"/>
      <c r="BU1" s="385"/>
      <c r="BV1" s="385"/>
      <c r="BW1" s="385"/>
      <c r="BX1" s="385"/>
      <c r="BY1" s="385"/>
      <c r="BZ1" s="385"/>
      <c r="CA1" s="385"/>
      <c r="CB1" s="385"/>
      <c r="CC1" s="385"/>
      <c r="CD1" s="385"/>
      <c r="CE1" s="385"/>
      <c r="CF1" s="385"/>
      <c r="CG1" s="385"/>
      <c r="CH1" s="385"/>
      <c r="CI1" s="385"/>
      <c r="CJ1" s="385"/>
      <c r="CK1" s="385"/>
      <c r="CL1" s="385"/>
      <c r="CM1" s="385"/>
      <c r="CN1" s="385"/>
      <c r="CO1" s="385"/>
      <c r="CP1" s="385"/>
      <c r="CQ1" s="385"/>
      <c r="CR1" s="385"/>
      <c r="CS1" s="385"/>
      <c r="CT1" s="385"/>
      <c r="CU1" s="385"/>
      <c r="CV1" s="385"/>
      <c r="CW1" s="385"/>
      <c r="CX1" s="385"/>
      <c r="CY1" s="385"/>
      <c r="CZ1" s="385"/>
      <c r="DA1" s="385"/>
      <c r="DB1" s="385"/>
      <c r="DC1" s="385"/>
      <c r="DD1" s="385"/>
      <c r="DE1" s="385"/>
      <c r="DF1" s="385"/>
      <c r="DG1" s="385"/>
      <c r="DH1" s="385"/>
      <c r="DI1" s="385"/>
      <c r="DJ1" s="385"/>
      <c r="DK1" s="385"/>
      <c r="DL1" s="385"/>
      <c r="DM1" s="385"/>
      <c r="DN1" s="385"/>
      <c r="DO1" s="385"/>
      <c r="DP1" s="385"/>
      <c r="DQ1" s="385"/>
      <c r="DR1" s="385"/>
      <c r="DS1" s="385"/>
      <c r="DT1" s="385"/>
      <c r="DU1" s="385"/>
      <c r="DV1" s="385"/>
      <c r="DW1" s="385"/>
      <c r="DX1" s="385"/>
      <c r="DY1" s="385"/>
      <c r="DZ1" s="385"/>
      <c r="EA1" s="385"/>
      <c r="EB1" s="385"/>
      <c r="EC1" s="385"/>
      <c r="ED1" s="385"/>
      <c r="EE1" s="385"/>
      <c r="EF1" s="385"/>
      <c r="EG1" s="385"/>
      <c r="EH1" s="385"/>
      <c r="EI1" s="385"/>
      <c r="EJ1" s="385"/>
      <c r="EK1" s="385"/>
      <c r="EL1" s="385"/>
      <c r="EM1" s="385"/>
      <c r="EN1" s="385"/>
      <c r="EO1" s="385"/>
      <c r="EP1" s="385"/>
      <c r="EQ1" s="385"/>
      <c r="ER1" s="385"/>
      <c r="ES1" s="385"/>
      <c r="ET1" s="385"/>
      <c r="EU1" s="385"/>
      <c r="EV1" s="385"/>
      <c r="EW1" s="385"/>
      <c r="EX1" s="385"/>
      <c r="EY1" s="385"/>
      <c r="EZ1" s="385"/>
      <c r="FA1" s="385"/>
      <c r="FB1" s="385"/>
      <c r="FC1" s="385"/>
      <c r="FD1" s="385"/>
      <c r="FE1" s="385"/>
      <c r="FF1" s="385"/>
      <c r="FG1" s="385"/>
      <c r="FH1" s="385"/>
      <c r="FI1" s="385"/>
      <c r="FJ1" s="385"/>
      <c r="FK1" s="385"/>
      <c r="FL1" s="385"/>
      <c r="FM1" s="385"/>
      <c r="FN1" s="385"/>
      <c r="FO1" s="385"/>
      <c r="FP1" s="385"/>
      <c r="FQ1" s="385"/>
      <c r="FR1" s="385"/>
      <c r="FS1" s="385"/>
      <c r="FT1" s="385"/>
      <c r="FU1" s="385"/>
      <c r="FV1" s="385"/>
      <c r="FW1" s="385"/>
      <c r="FX1" s="385"/>
      <c r="FY1" s="385"/>
      <c r="FZ1" s="385"/>
      <c r="GA1" s="385"/>
      <c r="GB1" s="385"/>
      <c r="GC1" s="385"/>
      <c r="GD1" s="385"/>
      <c r="GE1" s="385"/>
      <c r="GF1" s="385"/>
      <c r="GG1" s="385"/>
      <c r="GH1" s="385"/>
      <c r="GI1" s="385"/>
      <c r="GJ1" s="385"/>
      <c r="GK1" s="385"/>
      <c r="GL1" s="385"/>
      <c r="GM1" s="385"/>
      <c r="GN1" s="385"/>
      <c r="GO1" s="385"/>
      <c r="GP1" s="385"/>
      <c r="GQ1" s="385"/>
      <c r="GR1" s="385"/>
      <c r="GS1" s="385"/>
      <c r="GT1" s="385"/>
      <c r="GU1" s="385"/>
      <c r="GV1" s="385"/>
      <c r="GW1" s="385"/>
      <c r="GX1" s="385"/>
      <c r="GY1" s="385"/>
      <c r="GZ1" s="385"/>
      <c r="HA1" s="385"/>
      <c r="HB1" s="385"/>
      <c r="HC1" s="385"/>
      <c r="HD1" s="385"/>
      <c r="HE1" s="385"/>
      <c r="HF1" s="385"/>
      <c r="HG1" s="385"/>
      <c r="HH1" s="385"/>
      <c r="HI1" s="385"/>
      <c r="HJ1" s="385"/>
      <c r="HK1" s="385"/>
      <c r="HL1" s="385"/>
      <c r="HM1" s="385"/>
      <c r="HN1" s="385"/>
      <c r="HO1" s="385"/>
      <c r="HP1" s="385"/>
      <c r="HQ1" s="385"/>
      <c r="HR1" s="385"/>
      <c r="HS1" s="385"/>
      <c r="HT1" s="385"/>
      <c r="HU1" s="385"/>
      <c r="HV1" s="385"/>
      <c r="HW1" s="385"/>
      <c r="HX1" s="385"/>
      <c r="HY1" s="385"/>
      <c r="HZ1" s="385"/>
      <c r="IA1" s="385"/>
      <c r="IB1" s="385"/>
      <c r="IC1" s="385"/>
      <c r="ID1" s="385"/>
      <c r="IE1" s="385"/>
      <c r="IF1" s="385"/>
      <c r="IG1" s="385"/>
      <c r="IH1" s="385"/>
      <c r="II1" s="385"/>
      <c r="IJ1" s="385"/>
      <c r="IK1" s="385"/>
      <c r="IL1" s="385"/>
      <c r="IM1" s="385"/>
      <c r="IN1" s="385"/>
      <c r="IO1" s="385"/>
      <c r="IP1" s="385"/>
      <c r="IQ1" s="385"/>
      <c r="IR1" s="385"/>
      <c r="IS1" s="385"/>
      <c r="IT1" s="385"/>
      <c r="IU1" s="385"/>
      <c r="IV1" s="385"/>
      <c r="IW1" s="385"/>
      <c r="IX1" s="385"/>
    </row>
    <row r="2" spans="1:258" ht="32.1" customHeight="1">
      <c r="C2" s="7"/>
      <c r="E2" s="244"/>
      <c r="F2" s="244"/>
      <c r="G2" s="244"/>
      <c r="H2" s="7"/>
      <c r="I2" s="7"/>
      <c r="J2" s="7"/>
      <c r="K2" s="7"/>
      <c r="L2" s="1197"/>
      <c r="M2" s="1197"/>
      <c r="N2" s="1197"/>
    </row>
    <row r="3" spans="1:258" ht="21" customHeight="1">
      <c r="A3" s="245"/>
      <c r="B3" s="1049"/>
      <c r="C3" s="1049"/>
      <c r="D3" s="1049"/>
      <c r="E3" s="1049"/>
      <c r="F3" s="256"/>
      <c r="G3" s="198"/>
      <c r="H3" s="7"/>
      <c r="I3" s="7"/>
      <c r="J3" s="7"/>
      <c r="K3" s="7"/>
      <c r="L3" s="66"/>
      <c r="M3" s="66"/>
      <c r="N3" s="66"/>
    </row>
    <row r="4" spans="1:258" ht="24" customHeight="1">
      <c r="A4" s="245"/>
      <c r="B4" s="1049"/>
      <c r="C4" s="1049"/>
      <c r="D4" s="1049"/>
      <c r="E4" s="1049"/>
      <c r="F4" s="198"/>
      <c r="G4" s="198"/>
      <c r="H4" s="7"/>
      <c r="I4" s="7"/>
      <c r="J4" s="7"/>
      <c r="K4" s="7"/>
      <c r="L4" s="66"/>
      <c r="M4" s="66"/>
      <c r="N4" s="66"/>
    </row>
    <row r="5" spans="1:258" s="245" customFormat="1" ht="24" customHeight="1">
      <c r="B5" s="329"/>
      <c r="C5" s="329"/>
      <c r="D5" s="329"/>
      <c r="E5" s="329"/>
      <c r="F5" s="247"/>
      <c r="G5" s="247"/>
      <c r="H5" s="246"/>
      <c r="I5" s="246"/>
      <c r="J5" s="246"/>
      <c r="K5" s="246"/>
      <c r="L5" s="330"/>
      <c r="M5" s="330"/>
      <c r="N5" s="330"/>
      <c r="O5" s="239"/>
      <c r="P5" s="239"/>
      <c r="Q5" s="239"/>
      <c r="R5" s="239"/>
      <c r="S5" s="239"/>
      <c r="T5" s="239"/>
      <c r="U5" s="239"/>
      <c r="V5" s="239"/>
      <c r="W5" s="239"/>
      <c r="X5" s="239"/>
      <c r="Y5" s="239"/>
      <c r="Z5" s="23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c r="BQ5" s="239"/>
      <c r="BR5" s="239"/>
      <c r="BS5" s="239"/>
      <c r="BT5" s="239"/>
      <c r="BU5" s="239"/>
      <c r="BV5" s="239"/>
      <c r="BW5" s="239"/>
      <c r="BX5" s="239"/>
      <c r="BY5" s="239"/>
      <c r="BZ5" s="239"/>
      <c r="CA5" s="239"/>
      <c r="CB5" s="239"/>
      <c r="CC5" s="239"/>
      <c r="CD5" s="239"/>
      <c r="CE5" s="239"/>
      <c r="CF5" s="239"/>
      <c r="CG5" s="239"/>
      <c r="CH5" s="239"/>
      <c r="CI5" s="239"/>
      <c r="CJ5" s="239"/>
      <c r="CK5" s="239"/>
      <c r="CL5" s="239"/>
      <c r="CM5" s="239"/>
      <c r="CN5" s="239"/>
      <c r="CO5" s="239"/>
      <c r="CP5" s="239"/>
      <c r="CQ5" s="239"/>
      <c r="CR5" s="239"/>
      <c r="CS5" s="239"/>
      <c r="CT5" s="239"/>
      <c r="CU5" s="239"/>
      <c r="CV5" s="239"/>
      <c r="CW5" s="239"/>
      <c r="CX5" s="239"/>
      <c r="CY5" s="239"/>
      <c r="CZ5" s="239"/>
      <c r="DA5" s="239"/>
      <c r="DB5" s="239"/>
      <c r="DC5" s="239"/>
      <c r="DD5" s="239"/>
      <c r="DE5" s="239"/>
      <c r="DF5" s="239"/>
      <c r="DG5" s="239"/>
      <c r="DH5" s="239"/>
      <c r="DI5" s="239"/>
      <c r="DJ5" s="239"/>
      <c r="DK5" s="239"/>
      <c r="DL5" s="239"/>
      <c r="DM5" s="239"/>
      <c r="DN5" s="239"/>
      <c r="DO5" s="239"/>
      <c r="DP5" s="239"/>
      <c r="DQ5" s="239"/>
      <c r="DR5" s="239"/>
      <c r="DS5" s="239"/>
      <c r="DT5" s="239"/>
      <c r="DU5" s="239"/>
      <c r="DV5" s="239"/>
      <c r="DW5" s="239"/>
      <c r="DX5" s="239"/>
      <c r="DY5" s="239"/>
      <c r="DZ5" s="239"/>
      <c r="EA5" s="239"/>
      <c r="EB5" s="239"/>
      <c r="EC5" s="239"/>
      <c r="ED5" s="239"/>
      <c r="EE5" s="239"/>
      <c r="EF5" s="239"/>
      <c r="EG5" s="239"/>
      <c r="EH5" s="239"/>
      <c r="EI5" s="239"/>
      <c r="EJ5" s="239"/>
      <c r="EK5" s="239"/>
      <c r="EL5" s="239"/>
      <c r="EM5" s="239"/>
      <c r="EN5" s="239"/>
      <c r="EO5" s="239"/>
      <c r="EP5" s="239"/>
      <c r="EQ5" s="239"/>
      <c r="ER5" s="239"/>
      <c r="ES5" s="239"/>
      <c r="ET5" s="239"/>
      <c r="EU5" s="239"/>
      <c r="EV5" s="239"/>
      <c r="EW5" s="239"/>
      <c r="EX5" s="239"/>
      <c r="EY5" s="239"/>
      <c r="EZ5" s="239"/>
      <c r="FA5" s="239"/>
      <c r="FB5" s="239"/>
      <c r="FC5" s="239"/>
      <c r="FD5" s="239"/>
      <c r="FE5" s="239"/>
      <c r="FF5" s="239"/>
      <c r="FG5" s="239"/>
      <c r="FH5" s="239"/>
      <c r="FI5" s="239"/>
      <c r="FJ5" s="239"/>
      <c r="FK5" s="239"/>
      <c r="FL5" s="239"/>
      <c r="FM5" s="239"/>
      <c r="FN5" s="239"/>
      <c r="FO5" s="239"/>
      <c r="FP5" s="239"/>
      <c r="FQ5" s="239"/>
      <c r="FR5" s="239"/>
      <c r="FS5" s="239"/>
      <c r="FT5" s="239"/>
      <c r="FU5" s="239"/>
      <c r="FV5" s="239"/>
      <c r="FW5" s="239"/>
      <c r="FX5" s="239"/>
      <c r="FY5" s="239"/>
      <c r="FZ5" s="239"/>
      <c r="GA5" s="239"/>
      <c r="GB5" s="239"/>
      <c r="GC5" s="239"/>
      <c r="GD5" s="239"/>
      <c r="GE5" s="239"/>
      <c r="GF5" s="239"/>
      <c r="GG5" s="239"/>
      <c r="GH5" s="239"/>
      <c r="GI5" s="239"/>
      <c r="GJ5" s="239"/>
      <c r="GK5" s="239"/>
      <c r="GL5" s="239"/>
      <c r="GM5" s="239"/>
      <c r="GN5" s="239"/>
      <c r="GO5" s="239"/>
      <c r="GP5" s="239"/>
      <c r="GQ5" s="239"/>
      <c r="GR5" s="239"/>
      <c r="GS5" s="239"/>
      <c r="GT5" s="239"/>
      <c r="GU5" s="239"/>
      <c r="GV5" s="239"/>
      <c r="GW5" s="239"/>
      <c r="GX5" s="239"/>
      <c r="GY5" s="239"/>
      <c r="GZ5" s="239"/>
      <c r="HA5" s="239"/>
      <c r="HB5" s="239"/>
      <c r="HC5" s="239"/>
      <c r="HD5" s="239"/>
      <c r="HE5" s="239"/>
      <c r="HF5" s="239"/>
      <c r="HG5" s="239"/>
      <c r="HH5" s="239"/>
      <c r="HI5" s="239"/>
      <c r="HJ5" s="239"/>
      <c r="HK5" s="239"/>
      <c r="HL5" s="239"/>
      <c r="HM5" s="239"/>
      <c r="HN5" s="239"/>
      <c r="HO5" s="239"/>
      <c r="HP5" s="239"/>
      <c r="HQ5" s="239"/>
      <c r="HR5" s="239"/>
      <c r="HS5" s="239"/>
      <c r="HT5" s="239"/>
      <c r="HU5" s="239"/>
      <c r="HV5" s="239"/>
      <c r="HW5" s="239"/>
      <c r="HX5" s="239"/>
      <c r="HY5" s="239"/>
      <c r="HZ5" s="239"/>
      <c r="IA5" s="239"/>
      <c r="IB5" s="239"/>
      <c r="IC5" s="239"/>
      <c r="ID5" s="239"/>
      <c r="IE5" s="239"/>
      <c r="IF5" s="239"/>
      <c r="IG5" s="239"/>
      <c r="IH5" s="239"/>
      <c r="II5" s="239"/>
      <c r="IJ5" s="239"/>
      <c r="IK5" s="239"/>
      <c r="IL5" s="239"/>
      <c r="IM5" s="239"/>
      <c r="IN5" s="239"/>
      <c r="IO5" s="239"/>
      <c r="IP5" s="239"/>
      <c r="IQ5" s="239"/>
      <c r="IR5" s="239"/>
      <c r="IS5" s="239"/>
      <c r="IT5" s="239"/>
      <c r="IU5" s="239"/>
      <c r="IV5" s="239"/>
      <c r="IW5" s="239"/>
      <c r="IX5" s="239"/>
    </row>
    <row r="6" spans="1:258" s="245" customFormat="1" ht="24" customHeight="1">
      <c r="B6" s="329"/>
      <c r="C6" s="329"/>
      <c r="D6" s="329"/>
      <c r="E6" s="329"/>
      <c r="F6" s="247"/>
      <c r="G6" s="247"/>
      <c r="H6" s="246"/>
      <c r="I6" s="246"/>
      <c r="J6" s="246"/>
      <c r="K6" s="246"/>
      <c r="L6" s="330"/>
      <c r="M6" s="330"/>
      <c r="N6" s="330"/>
      <c r="O6" s="239"/>
      <c r="P6" s="239"/>
      <c r="Q6" s="239"/>
      <c r="R6" s="239"/>
      <c r="S6" s="239"/>
      <c r="T6" s="239"/>
      <c r="U6" s="239"/>
      <c r="V6" s="239"/>
      <c r="W6" s="239"/>
      <c r="X6" s="239"/>
      <c r="Y6" s="239"/>
      <c r="Z6" s="23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c r="BQ6" s="239"/>
      <c r="BR6" s="239"/>
      <c r="BS6" s="239"/>
      <c r="BT6" s="239"/>
      <c r="BU6" s="239"/>
      <c r="BV6" s="239"/>
      <c r="BW6" s="239"/>
      <c r="BX6" s="239"/>
      <c r="BY6" s="239"/>
      <c r="BZ6" s="239"/>
      <c r="CA6" s="239"/>
      <c r="CB6" s="239"/>
      <c r="CC6" s="239"/>
      <c r="CD6" s="239"/>
      <c r="CE6" s="239"/>
      <c r="CF6" s="239"/>
      <c r="CG6" s="239"/>
      <c r="CH6" s="239"/>
      <c r="CI6" s="239"/>
      <c r="CJ6" s="239"/>
      <c r="CK6" s="239"/>
      <c r="CL6" s="239"/>
      <c r="CM6" s="239"/>
      <c r="CN6" s="239"/>
      <c r="CO6" s="239"/>
      <c r="CP6" s="239"/>
      <c r="CQ6" s="239"/>
      <c r="CR6" s="239"/>
      <c r="CS6" s="239"/>
      <c r="CT6" s="239"/>
      <c r="CU6" s="239"/>
      <c r="CV6" s="239"/>
      <c r="CW6" s="239"/>
      <c r="CX6" s="239"/>
      <c r="CY6" s="239"/>
      <c r="CZ6" s="239"/>
      <c r="DA6" s="239"/>
      <c r="DB6" s="239"/>
      <c r="DC6" s="239"/>
      <c r="DD6" s="239"/>
      <c r="DE6" s="239"/>
      <c r="DF6" s="239"/>
      <c r="DG6" s="239"/>
      <c r="DH6" s="239"/>
      <c r="DI6" s="239"/>
      <c r="DJ6" s="239"/>
      <c r="DK6" s="239"/>
      <c r="DL6" s="239"/>
      <c r="DM6" s="239"/>
      <c r="DN6" s="239"/>
      <c r="DO6" s="239"/>
      <c r="DP6" s="239"/>
      <c r="DQ6" s="239"/>
      <c r="DR6" s="239"/>
      <c r="DS6" s="239"/>
      <c r="DT6" s="239"/>
      <c r="DU6" s="239"/>
      <c r="DV6" s="239"/>
      <c r="DW6" s="239"/>
      <c r="DX6" s="239"/>
      <c r="DY6" s="239"/>
      <c r="DZ6" s="239"/>
      <c r="EA6" s="239"/>
      <c r="EB6" s="239"/>
      <c r="EC6" s="239"/>
      <c r="ED6" s="239"/>
      <c r="EE6" s="239"/>
      <c r="EF6" s="239"/>
      <c r="EG6" s="239"/>
      <c r="EH6" s="239"/>
      <c r="EI6" s="239"/>
      <c r="EJ6" s="239"/>
      <c r="EK6" s="239"/>
      <c r="EL6" s="239"/>
      <c r="EM6" s="239"/>
      <c r="EN6" s="239"/>
      <c r="EO6" s="239"/>
      <c r="EP6" s="239"/>
      <c r="EQ6" s="239"/>
      <c r="ER6" s="239"/>
      <c r="ES6" s="239"/>
      <c r="ET6" s="239"/>
      <c r="EU6" s="239"/>
      <c r="EV6" s="239"/>
      <c r="EW6" s="239"/>
      <c r="EX6" s="239"/>
      <c r="EY6" s="239"/>
      <c r="EZ6" s="239"/>
      <c r="FA6" s="239"/>
      <c r="FB6" s="239"/>
      <c r="FC6" s="239"/>
      <c r="FD6" s="239"/>
      <c r="FE6" s="239"/>
      <c r="FF6" s="239"/>
      <c r="FG6" s="239"/>
      <c r="FH6" s="239"/>
      <c r="FI6" s="239"/>
      <c r="FJ6" s="239"/>
      <c r="FK6" s="239"/>
      <c r="FL6" s="239"/>
      <c r="FM6" s="239"/>
      <c r="FN6" s="239"/>
      <c r="FO6" s="239"/>
      <c r="FP6" s="239"/>
      <c r="FQ6" s="239"/>
      <c r="FR6" s="239"/>
      <c r="FS6" s="239"/>
      <c r="FT6" s="239"/>
      <c r="FU6" s="239"/>
      <c r="FV6" s="239"/>
      <c r="FW6" s="239"/>
      <c r="FX6" s="239"/>
      <c r="FY6" s="239"/>
      <c r="FZ6" s="239"/>
      <c r="GA6" s="239"/>
      <c r="GB6" s="239"/>
      <c r="GC6" s="239"/>
      <c r="GD6" s="239"/>
      <c r="GE6" s="239"/>
      <c r="GF6" s="239"/>
      <c r="GG6" s="239"/>
      <c r="GH6" s="239"/>
      <c r="GI6" s="239"/>
      <c r="GJ6" s="239"/>
      <c r="GK6" s="239"/>
      <c r="GL6" s="239"/>
      <c r="GM6" s="239"/>
      <c r="GN6" s="239"/>
      <c r="GO6" s="239"/>
      <c r="GP6" s="239"/>
      <c r="GQ6" s="239"/>
      <c r="GR6" s="239"/>
      <c r="GS6" s="239"/>
      <c r="GT6" s="239"/>
      <c r="GU6" s="239"/>
      <c r="GV6" s="239"/>
      <c r="GW6" s="239"/>
      <c r="GX6" s="239"/>
      <c r="GY6" s="239"/>
      <c r="GZ6" s="239"/>
      <c r="HA6" s="239"/>
      <c r="HB6" s="239"/>
      <c r="HC6" s="239"/>
      <c r="HD6" s="239"/>
      <c r="HE6" s="239"/>
      <c r="HF6" s="239"/>
      <c r="HG6" s="239"/>
      <c r="HH6" s="239"/>
      <c r="HI6" s="239"/>
      <c r="HJ6" s="239"/>
      <c r="HK6" s="239"/>
      <c r="HL6" s="239"/>
      <c r="HM6" s="239"/>
      <c r="HN6" s="239"/>
      <c r="HO6" s="239"/>
      <c r="HP6" s="239"/>
      <c r="HQ6" s="239"/>
      <c r="HR6" s="239"/>
      <c r="HS6" s="239"/>
      <c r="HT6" s="239"/>
      <c r="HU6" s="239"/>
      <c r="HV6" s="239"/>
      <c r="HW6" s="239"/>
      <c r="HX6" s="239"/>
      <c r="HY6" s="239"/>
      <c r="HZ6" s="239"/>
      <c r="IA6" s="239"/>
      <c r="IB6" s="239"/>
      <c r="IC6" s="239"/>
      <c r="ID6" s="239"/>
      <c r="IE6" s="239"/>
      <c r="IF6" s="239"/>
      <c r="IG6" s="239"/>
      <c r="IH6" s="239"/>
      <c r="II6" s="239"/>
      <c r="IJ6" s="239"/>
      <c r="IK6" s="239"/>
      <c r="IL6" s="239"/>
      <c r="IM6" s="239"/>
      <c r="IN6" s="239"/>
      <c r="IO6" s="239"/>
      <c r="IP6" s="239"/>
      <c r="IQ6" s="239"/>
      <c r="IR6" s="239"/>
      <c r="IS6" s="239"/>
      <c r="IT6" s="239"/>
      <c r="IU6" s="239"/>
      <c r="IV6" s="239"/>
      <c r="IW6" s="239"/>
      <c r="IX6" s="239"/>
    </row>
    <row r="7" spans="1:258" s="245" customFormat="1" ht="24" customHeight="1">
      <c r="B7" s="329"/>
      <c r="C7" s="329"/>
      <c r="D7" s="329"/>
      <c r="E7" s="329"/>
      <c r="F7" s="247"/>
      <c r="G7" s="247"/>
      <c r="H7" s="246"/>
      <c r="I7" s="246"/>
      <c r="J7" s="246"/>
      <c r="K7" s="246"/>
      <c r="L7" s="330"/>
      <c r="M7" s="330"/>
      <c r="N7" s="330"/>
      <c r="O7" s="239"/>
      <c r="P7" s="239"/>
      <c r="Q7" s="239"/>
      <c r="R7" s="239"/>
      <c r="S7" s="239"/>
      <c r="T7" s="239"/>
      <c r="U7" s="239"/>
      <c r="V7" s="239"/>
      <c r="W7" s="239"/>
      <c r="X7" s="239"/>
      <c r="Y7" s="239"/>
      <c r="Z7" s="23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c r="BQ7" s="239"/>
      <c r="BR7" s="239"/>
      <c r="BS7" s="239"/>
      <c r="BT7" s="239"/>
      <c r="BU7" s="239"/>
      <c r="BV7" s="239"/>
      <c r="BW7" s="239"/>
      <c r="BX7" s="239"/>
      <c r="BY7" s="239"/>
      <c r="BZ7" s="239"/>
      <c r="CA7" s="239"/>
      <c r="CB7" s="239"/>
      <c r="CC7" s="239"/>
      <c r="CD7" s="239"/>
      <c r="CE7" s="239"/>
      <c r="CF7" s="239"/>
      <c r="CG7" s="239"/>
      <c r="CH7" s="239"/>
      <c r="CI7" s="239"/>
      <c r="CJ7" s="239"/>
      <c r="CK7" s="239"/>
      <c r="CL7" s="239"/>
      <c r="CM7" s="239"/>
      <c r="CN7" s="239"/>
      <c r="CO7" s="239"/>
      <c r="CP7" s="239"/>
      <c r="CQ7" s="239"/>
      <c r="CR7" s="239"/>
      <c r="CS7" s="239"/>
      <c r="CT7" s="239"/>
      <c r="CU7" s="239"/>
      <c r="CV7" s="239"/>
      <c r="CW7" s="239"/>
      <c r="CX7" s="239"/>
      <c r="CY7" s="239"/>
      <c r="CZ7" s="239"/>
      <c r="DA7" s="239"/>
      <c r="DB7" s="239"/>
      <c r="DC7" s="239"/>
      <c r="DD7" s="239"/>
      <c r="DE7" s="239"/>
      <c r="DF7" s="239"/>
      <c r="DG7" s="239"/>
      <c r="DH7" s="239"/>
      <c r="DI7" s="239"/>
      <c r="DJ7" s="239"/>
      <c r="DK7" s="239"/>
      <c r="DL7" s="239"/>
      <c r="DM7" s="239"/>
      <c r="DN7" s="239"/>
      <c r="DO7" s="239"/>
      <c r="DP7" s="239"/>
      <c r="DQ7" s="239"/>
      <c r="DR7" s="239"/>
      <c r="DS7" s="239"/>
      <c r="DT7" s="239"/>
      <c r="DU7" s="239"/>
      <c r="DV7" s="239"/>
      <c r="DW7" s="239"/>
      <c r="DX7" s="239"/>
      <c r="DY7" s="239"/>
      <c r="DZ7" s="239"/>
      <c r="EA7" s="239"/>
      <c r="EB7" s="239"/>
      <c r="EC7" s="239"/>
      <c r="ED7" s="239"/>
      <c r="EE7" s="239"/>
      <c r="EF7" s="239"/>
      <c r="EG7" s="239"/>
      <c r="EH7" s="239"/>
      <c r="EI7" s="239"/>
      <c r="EJ7" s="239"/>
      <c r="EK7" s="239"/>
      <c r="EL7" s="239"/>
      <c r="EM7" s="239"/>
      <c r="EN7" s="239"/>
      <c r="EO7" s="239"/>
      <c r="EP7" s="239"/>
      <c r="EQ7" s="239"/>
      <c r="ER7" s="239"/>
      <c r="ES7" s="239"/>
      <c r="ET7" s="239"/>
      <c r="EU7" s="239"/>
      <c r="EV7" s="239"/>
      <c r="EW7" s="239"/>
      <c r="EX7" s="239"/>
      <c r="EY7" s="239"/>
      <c r="EZ7" s="239"/>
      <c r="FA7" s="239"/>
      <c r="FB7" s="239"/>
      <c r="FC7" s="239"/>
      <c r="FD7" s="239"/>
      <c r="FE7" s="239"/>
      <c r="FF7" s="239"/>
      <c r="FG7" s="239"/>
      <c r="FH7" s="239"/>
      <c r="FI7" s="239"/>
      <c r="FJ7" s="239"/>
      <c r="FK7" s="239"/>
      <c r="FL7" s="239"/>
      <c r="FM7" s="239"/>
      <c r="FN7" s="239"/>
      <c r="FO7" s="239"/>
      <c r="FP7" s="239"/>
      <c r="FQ7" s="239"/>
      <c r="FR7" s="239"/>
      <c r="FS7" s="239"/>
      <c r="FT7" s="239"/>
      <c r="FU7" s="239"/>
      <c r="FV7" s="239"/>
      <c r="FW7" s="239"/>
      <c r="FX7" s="239"/>
      <c r="FY7" s="239"/>
      <c r="FZ7" s="239"/>
      <c r="GA7" s="239"/>
      <c r="GB7" s="239"/>
      <c r="GC7" s="239"/>
      <c r="GD7" s="239"/>
      <c r="GE7" s="239"/>
      <c r="GF7" s="239"/>
      <c r="GG7" s="239"/>
      <c r="GH7" s="239"/>
      <c r="GI7" s="239"/>
      <c r="GJ7" s="239"/>
      <c r="GK7" s="239"/>
      <c r="GL7" s="239"/>
      <c r="GM7" s="239"/>
      <c r="GN7" s="239"/>
      <c r="GO7" s="239"/>
      <c r="GP7" s="239"/>
      <c r="GQ7" s="239"/>
      <c r="GR7" s="239"/>
      <c r="GS7" s="239"/>
      <c r="GT7" s="239"/>
      <c r="GU7" s="239"/>
      <c r="GV7" s="239"/>
      <c r="GW7" s="239"/>
      <c r="GX7" s="239"/>
      <c r="GY7" s="239"/>
      <c r="GZ7" s="239"/>
      <c r="HA7" s="239"/>
      <c r="HB7" s="239"/>
      <c r="HC7" s="239"/>
      <c r="HD7" s="239"/>
      <c r="HE7" s="239"/>
      <c r="HF7" s="239"/>
      <c r="HG7" s="239"/>
      <c r="HH7" s="239"/>
      <c r="HI7" s="239"/>
      <c r="HJ7" s="239"/>
      <c r="HK7" s="239"/>
      <c r="HL7" s="239"/>
      <c r="HM7" s="239"/>
      <c r="HN7" s="239"/>
      <c r="HO7" s="239"/>
      <c r="HP7" s="239"/>
      <c r="HQ7" s="239"/>
      <c r="HR7" s="239"/>
      <c r="HS7" s="239"/>
      <c r="HT7" s="239"/>
      <c r="HU7" s="239"/>
      <c r="HV7" s="239"/>
      <c r="HW7" s="239"/>
      <c r="HX7" s="239"/>
      <c r="HY7" s="239"/>
      <c r="HZ7" s="239"/>
      <c r="IA7" s="239"/>
      <c r="IB7" s="239"/>
      <c r="IC7" s="239"/>
      <c r="ID7" s="239"/>
      <c r="IE7" s="239"/>
      <c r="IF7" s="239"/>
      <c r="IG7" s="239"/>
      <c r="IH7" s="239"/>
      <c r="II7" s="239"/>
      <c r="IJ7" s="239"/>
      <c r="IK7" s="239"/>
      <c r="IL7" s="239"/>
      <c r="IM7" s="239"/>
      <c r="IN7" s="239"/>
      <c r="IO7" s="239"/>
      <c r="IP7" s="239"/>
      <c r="IQ7" s="239"/>
      <c r="IR7" s="239"/>
      <c r="IS7" s="239"/>
      <c r="IT7" s="239"/>
      <c r="IU7" s="239"/>
      <c r="IV7" s="239"/>
      <c r="IW7" s="239"/>
      <c r="IX7" s="239"/>
    </row>
    <row r="8" spans="1:258" ht="32.1" customHeight="1">
      <c r="C8" s="8"/>
      <c r="D8" s="199"/>
      <c r="E8" s="199"/>
      <c r="F8" s="199"/>
      <c r="G8" s="199"/>
      <c r="H8" s="8"/>
      <c r="I8" s="8"/>
      <c r="J8" s="7"/>
      <c r="K8" s="7"/>
    </row>
    <row r="9" spans="1:258" ht="31.5" customHeight="1">
      <c r="C9" s="878" t="s">
        <v>190</v>
      </c>
      <c r="D9" s="879" t="s">
        <v>133</v>
      </c>
      <c r="E9" s="72" t="s">
        <v>197</v>
      </c>
      <c r="F9" s="72" t="s">
        <v>191</v>
      </c>
      <c r="G9" s="72" t="s">
        <v>134</v>
      </c>
      <c r="H9" s="72" t="s">
        <v>197</v>
      </c>
      <c r="I9" s="200" t="s">
        <v>192</v>
      </c>
      <c r="J9" s="8"/>
      <c r="K9" s="7"/>
      <c r="L9" s="7"/>
      <c r="M9" s="7"/>
      <c r="N9" s="7"/>
      <c r="O9" s="7"/>
      <c r="P9" s="7"/>
      <c r="Q9" s="7"/>
      <c r="R9" s="7"/>
      <c r="S9" s="7"/>
      <c r="T9" s="7"/>
      <c r="U9" s="7"/>
      <c r="V9" s="7"/>
      <c r="W9" s="7"/>
      <c r="X9" s="7"/>
      <c r="Y9" s="7"/>
    </row>
    <row r="10" spans="1:258" ht="32.1" customHeight="1">
      <c r="C10" s="881" t="s">
        <v>49</v>
      </c>
      <c r="D10" s="882" t="s">
        <v>135</v>
      </c>
      <c r="E10" s="877">
        <v>97.5</v>
      </c>
      <c r="F10" s="202" t="str">
        <f>IF(ISNA(VLOOKUP(D10,Zyklus!$A$15:$A$65,1,FALSE)),"Neutral",IF(E10=0,"Neutral",IF(MAX((VLOOKUP(D10,Zyklus!$A$15:$U$65,9,FALSE)),(VLOOKUP(D10,Zyklus!$A$15:$U$65,13,FALSE)),(VLOOKUP(D10,Zyklus!$A$15:$U$65,17,FALSE)))&lt;E10,"rot","grün")))</f>
        <v>rot</v>
      </c>
      <c r="G10" s="319" t="s">
        <v>5</v>
      </c>
      <c r="H10" s="318">
        <v>44</v>
      </c>
      <c r="I10" s="202" t="str">
        <f>IF(ISNA(VLOOKUP(G10,Zyklus!$A$15:$A$65,1,FALSE)),"Neutral",IF(H10=0,"Neutral",IF(MAX((VLOOKUP(G10,Zyklus!$A$15:$U$65,9,FALSE)),(VLOOKUP(G10,Zyklus!$A$15:$U$65,13,FALSE)),(VLOOKUP(G10,Zyklus!$A$15:$U$65,17,FALSE)))&lt;H10,"rot","grün")))</f>
        <v>grün</v>
      </c>
      <c r="J10" s="8"/>
      <c r="L10" s="7"/>
      <c r="M10" s="1222"/>
      <c r="N10" s="7"/>
      <c r="O10" s="7"/>
      <c r="P10" s="7"/>
      <c r="Q10" s="7"/>
      <c r="R10" s="7"/>
      <c r="S10" s="7"/>
      <c r="T10" s="7"/>
      <c r="U10" s="7"/>
      <c r="V10" s="7"/>
      <c r="W10" s="7"/>
    </row>
    <row r="11" spans="1:258" ht="32.1" customHeight="1">
      <c r="C11" s="881" t="s">
        <v>49</v>
      </c>
      <c r="D11" s="880" t="s">
        <v>2</v>
      </c>
      <c r="E11" s="318">
        <v>102.5</v>
      </c>
      <c r="F11" s="202" t="str">
        <f>IF(ISNA(VLOOKUP(D11,Zyklus!$A$15:$A$65,1,FALSE)),"Neutral",IF(E11=0,"Neutral",IF(MAX((VLOOKUP(D11,Zyklus!$A$15:$U$65,9,FALSE)),(VLOOKUP(D11,Zyklus!$A$15:$U$65,13,FALSE)),(VLOOKUP(D11,Zyklus!$A$15:$U$65,17,FALSE)))&lt;E11,"rot","grün")))</f>
        <v>rot</v>
      </c>
      <c r="G11" s="320" t="s">
        <v>14</v>
      </c>
      <c r="H11" s="318">
        <v>87.5</v>
      </c>
      <c r="I11" s="202" t="str">
        <f>IF(ISNA(VLOOKUP(G11,Zyklus!$A$15:$A$65,1,FALSE)),"Neutral",IF(H11=0,"Neutral",IF(MAX((VLOOKUP(G11,Zyklus!$A$15:$U$65,9,FALSE)),(VLOOKUP(G11,Zyklus!$A$15:$U$65,13,FALSE)),(VLOOKUP(G11,Zyklus!$A$15:$U$65,17,FALSE)))&lt;H11,"rot","grün")))</f>
        <v>grün</v>
      </c>
      <c r="J11" s="8"/>
      <c r="K11" s="7"/>
      <c r="L11" s="7"/>
      <c r="M11" s="7"/>
      <c r="N11" s="7"/>
      <c r="O11" s="7"/>
      <c r="P11" s="7"/>
      <c r="Q11" s="7"/>
      <c r="R11" s="7"/>
      <c r="S11" s="7"/>
      <c r="T11" s="7"/>
      <c r="U11" s="7"/>
      <c r="V11" s="7"/>
      <c r="W11" s="7"/>
    </row>
    <row r="12" spans="1:258" ht="32.1" customHeight="1">
      <c r="C12" s="881" t="s">
        <v>58</v>
      </c>
      <c r="D12" s="201" t="s">
        <v>177</v>
      </c>
      <c r="E12" s="318">
        <v>117.5</v>
      </c>
      <c r="F12" s="202" t="str">
        <f>IF(ISNA(VLOOKUP(D12,Zyklus!$A$15:$A$65,1,FALSE)),"Neutral",IF(E12=0,"Neutral",IF(MAX((VLOOKUP(D12,Zyklus!$A$15:$U$65,9,FALSE)),(VLOOKUP(D12,Zyklus!$A$15:$U$65,13,FALSE)),(VLOOKUP(D12,Zyklus!$A$15:$U$65,17,FALSE)))&lt;E12,"rot","grün")))</f>
        <v>grün</v>
      </c>
      <c r="G12" s="319"/>
      <c r="H12" s="318"/>
      <c r="I12" s="202" t="str">
        <f>IF(ISNA(VLOOKUP(G12,Zyklus!$A$15:$A$65,1,FALSE)),"Neutral",IF(H12=0,"Neutral",IF(MAX((VLOOKUP(G12,Zyklus!$A$15:$U$65,9,FALSE)),(VLOOKUP(G12,Zyklus!$A$15:$U$65,13,FALSE)),(VLOOKUP(G12,Zyklus!$A$15:$U$65,17,FALSE)))&lt;H12,"rot","grün")))</f>
        <v>Neutral</v>
      </c>
      <c r="J12" s="8"/>
      <c r="K12" s="7"/>
      <c r="L12" s="7"/>
      <c r="M12" s="1222"/>
      <c r="N12" s="7"/>
      <c r="O12" s="7"/>
      <c r="P12" s="7"/>
      <c r="Q12" s="7"/>
      <c r="R12" s="7"/>
      <c r="S12" s="204"/>
      <c r="T12" s="7"/>
      <c r="U12" s="7"/>
      <c r="V12" s="7"/>
      <c r="W12" s="7"/>
      <c r="X12" s="7"/>
    </row>
    <row r="13" spans="1:258" ht="32.1" customHeight="1">
      <c r="C13" s="881" t="s">
        <v>65</v>
      </c>
      <c r="D13" s="203" t="s">
        <v>27</v>
      </c>
      <c r="E13" s="318">
        <v>110</v>
      </c>
      <c r="F13" s="202" t="str">
        <f>IF(ISNA(VLOOKUP(D13,Zyklus!$A$15:$A$65,1,FALSE)),"Neutral",IF(E13=0,"Neutral",IF(MAX((VLOOKUP(D13,Zyklus!$A$15:$U$65,9,FALSE)),(VLOOKUP(D13,Zyklus!$A$15:$U$65,13,FALSE)),(VLOOKUP(D13,Zyklus!$A$15:$U$65,17,FALSE)))&lt;E13,"rot","grün")))</f>
        <v>grün</v>
      </c>
      <c r="G13" s="320"/>
      <c r="H13" s="318"/>
      <c r="I13" s="202" t="str">
        <f>IF(ISNA(VLOOKUP(G13,Zyklus!$A$15:$A$65,1,FALSE)),"Neutral",IF(H13=0,"Neutral",IF(MAX((VLOOKUP(G13,Zyklus!$A$15:$U$65,9,FALSE)),(VLOOKUP(G13,Zyklus!$A$15:$U$65,13,FALSE)),(VLOOKUP(G13,Zyklus!$A$15:$U$65,17,FALSE)))&lt;H13,"rot","grün")))</f>
        <v>Neutral</v>
      </c>
      <c r="J13" s="8"/>
      <c r="K13" s="7"/>
      <c r="L13" s="7"/>
      <c r="M13" s="7"/>
      <c r="N13" s="7"/>
      <c r="O13" s="7"/>
      <c r="P13" s="7"/>
      <c r="Q13" s="7"/>
      <c r="R13" s="7"/>
      <c r="S13" s="7"/>
      <c r="T13" s="7"/>
      <c r="U13" s="7"/>
      <c r="V13" s="7"/>
      <c r="W13" s="7"/>
      <c r="X13" s="7"/>
      <c r="Y13" s="7"/>
    </row>
    <row r="14" spans="1:258" ht="32.1" customHeight="1">
      <c r="C14" s="881" t="s">
        <v>75</v>
      </c>
      <c r="D14" s="201" t="s">
        <v>153</v>
      </c>
      <c r="E14" s="318">
        <v>77.5</v>
      </c>
      <c r="F14" s="202" t="str">
        <f>IF(ISNA(VLOOKUP(D14,Zyklus!$A$15:$A$65,1,FALSE)),"Neutral",IF(E14=0,"Neutral",IF(MAX((VLOOKUP(D14,Zyklus!$A$15:$U$65,9,FALSE)),(VLOOKUP(D14,Zyklus!$A$15:$U$65,13,FALSE)),(VLOOKUP(D14,Zyklus!$A$15:$U$65,17,FALSE)))&lt;E14,"rot","grün")))</f>
        <v>rot</v>
      </c>
      <c r="G14" s="319" t="s">
        <v>40</v>
      </c>
      <c r="H14" s="318">
        <v>40</v>
      </c>
      <c r="I14" s="202" t="str">
        <f>IF(ISNA(VLOOKUP(G14,Zyklus!$A$15:$A$65,1,FALSE)),"Neutral",IF(H14=0,"Neutral",IF(MAX((VLOOKUP(G14,Zyklus!$A$15:$U$65,9,FALSE)),(VLOOKUP(G14,Zyklus!$A$15:$U$65,13,FALSE)),(VLOOKUP(G14,Zyklus!$A$15:$U$65,17,FALSE)))&lt;H14,"rot","grün")))</f>
        <v>rot</v>
      </c>
      <c r="J14" s="8"/>
      <c r="K14" s="7"/>
      <c r="L14" s="7"/>
      <c r="M14" s="1222"/>
      <c r="N14" s="7"/>
      <c r="O14" s="7"/>
      <c r="P14" s="7"/>
      <c r="Q14" s="7"/>
      <c r="R14" s="7"/>
      <c r="S14" s="7"/>
      <c r="T14" s="7"/>
      <c r="U14" s="7"/>
      <c r="V14" s="7"/>
      <c r="W14" s="7"/>
      <c r="X14" s="7"/>
    </row>
    <row r="15" spans="1:258" ht="32.1" customHeight="1">
      <c r="C15" s="881" t="s">
        <v>75</v>
      </c>
      <c r="D15" s="205" t="s">
        <v>137</v>
      </c>
      <c r="E15" s="318">
        <v>45</v>
      </c>
      <c r="F15" s="202" t="str">
        <f>IF(ISNA(VLOOKUP(D15,Zyklus!$A$15:$A$65,1,FALSE)),"Neutral",IF(E15=0,"Neutral",IF(MAX((VLOOKUP(D15,Zyklus!$A$15:$U$65,9,FALSE)),(VLOOKUP(D15,Zyklus!$A$15:$U$65,13,FALSE)),(VLOOKUP(D15,Zyklus!$A$15:$U$65,17,FALSE)))&lt;E15,"rot","grün")))</f>
        <v>grün</v>
      </c>
      <c r="G15" s="321"/>
      <c r="H15" s="318"/>
      <c r="I15" s="202" t="str">
        <f>IF(ISNA(VLOOKUP(G15,Zyklus!$A$15:$A$65,1,FALSE)),"Neutral",IF(H15=0,"Neutral",IF(MAX((VLOOKUP(G15,Zyklus!$A$15:$U$65,9,FALSE)),(VLOOKUP(G15,Zyklus!$A$15:$U$65,13,FALSE)),(VLOOKUP(G15,Zyklus!$A$15:$U$65,17,FALSE)))&lt;H15,"rot","grün")))</f>
        <v>Neutral</v>
      </c>
      <c r="J15" s="8"/>
      <c r="K15" s="7"/>
      <c r="L15" s="7"/>
      <c r="M15" s="7"/>
      <c r="N15" s="7"/>
      <c r="O15" s="7"/>
      <c r="P15" s="7"/>
      <c r="Q15" s="7"/>
      <c r="R15" s="7"/>
      <c r="S15" s="7"/>
      <c r="T15" s="7"/>
      <c r="U15" s="7"/>
      <c r="V15" s="7"/>
      <c r="W15" s="7"/>
      <c r="X15" s="7"/>
      <c r="Y15" s="7"/>
    </row>
    <row r="16" spans="1:258" ht="32.1" customHeight="1">
      <c r="C16" s="8"/>
      <c r="D16" s="8"/>
      <c r="E16" s="8"/>
      <c r="F16" s="8"/>
      <c r="G16" s="8"/>
      <c r="H16" s="8"/>
      <c r="I16" s="8"/>
      <c r="J16" s="7"/>
      <c r="K16" s="7"/>
      <c r="L16" s="7"/>
      <c r="M16" s="7"/>
      <c r="N16" s="7"/>
      <c r="O16" s="7"/>
      <c r="P16" s="7"/>
      <c r="Q16" s="7"/>
      <c r="R16" s="7"/>
      <c r="S16" s="7"/>
      <c r="T16" s="7"/>
      <c r="U16" s="7"/>
      <c r="V16" s="7"/>
      <c r="W16" s="7"/>
      <c r="X16" s="7"/>
      <c r="Y16" s="7"/>
    </row>
    <row r="17" spans="3:25" ht="32.1" customHeight="1">
      <c r="C17" s="206"/>
      <c r="D17" s="207"/>
      <c r="E17" s="7"/>
      <c r="F17" s="7"/>
      <c r="G17" s="7"/>
      <c r="H17" s="7"/>
      <c r="I17" s="7"/>
      <c r="J17" s="7"/>
      <c r="K17" s="7"/>
      <c r="L17" s="7"/>
      <c r="M17" s="7"/>
      <c r="N17" s="7"/>
      <c r="O17" s="7"/>
      <c r="P17" s="7"/>
      <c r="Q17" s="7"/>
      <c r="R17" s="7"/>
      <c r="S17" s="7"/>
      <c r="T17" s="7"/>
      <c r="U17" s="7"/>
      <c r="V17" s="7"/>
      <c r="W17" s="7"/>
      <c r="X17" s="7"/>
      <c r="Y17" s="7"/>
    </row>
    <row r="18" spans="3:25" ht="32.1" customHeight="1">
      <c r="C18" s="8"/>
      <c r="D18" s="8"/>
      <c r="E18" s="8"/>
      <c r="F18" s="8"/>
      <c r="G18" s="208"/>
      <c r="H18" s="8"/>
      <c r="I18" s="7"/>
      <c r="J18" s="7"/>
      <c r="K18" s="7"/>
      <c r="L18" s="7"/>
      <c r="M18" s="7"/>
      <c r="N18" s="7"/>
      <c r="O18" s="7"/>
      <c r="P18" s="7"/>
      <c r="Q18" s="7"/>
      <c r="R18" s="7"/>
      <c r="S18" s="7"/>
    </row>
    <row r="19" spans="3:25" ht="32.1" customHeight="1">
      <c r="C19" s="7"/>
      <c r="D19" s="7"/>
      <c r="E19" s="7"/>
      <c r="F19" s="7"/>
      <c r="G19" s="7"/>
      <c r="H19" s="7"/>
      <c r="I19" s="7"/>
      <c r="J19" s="7"/>
      <c r="K19" s="7"/>
      <c r="L19" s="7"/>
      <c r="M19" s="7"/>
      <c r="N19" s="7"/>
      <c r="O19" s="7"/>
      <c r="P19" s="7"/>
      <c r="Q19" s="7"/>
      <c r="R19" s="7"/>
      <c r="S19" s="7"/>
    </row>
    <row r="20" spans="3:25" ht="32.1" customHeight="1">
      <c r="C20" s="7"/>
      <c r="D20" s="7"/>
      <c r="E20" s="7"/>
      <c r="F20" s="7"/>
      <c r="G20" s="7"/>
      <c r="H20" s="7"/>
      <c r="I20" s="7"/>
      <c r="J20" s="7"/>
      <c r="K20" s="7"/>
      <c r="L20" s="7"/>
      <c r="M20" s="7"/>
      <c r="N20" s="7"/>
      <c r="O20" s="7"/>
      <c r="P20" s="7"/>
      <c r="Q20" s="7"/>
      <c r="R20" s="7"/>
      <c r="S20" s="7"/>
      <c r="T20" s="7"/>
      <c r="U20" s="7"/>
    </row>
    <row r="21" spans="3:25" ht="32.1" customHeight="1">
      <c r="C21" s="7"/>
      <c r="D21" s="7"/>
      <c r="E21" s="7"/>
      <c r="F21" s="7"/>
      <c r="G21" s="209"/>
      <c r="H21" s="7"/>
      <c r="I21" s="7"/>
      <c r="J21" s="7"/>
      <c r="K21" s="7"/>
      <c r="L21" s="7"/>
      <c r="M21" s="7"/>
      <c r="N21" s="7"/>
      <c r="O21" s="7"/>
      <c r="P21" s="7"/>
      <c r="Q21" s="7"/>
      <c r="R21" s="7"/>
      <c r="S21" s="7"/>
      <c r="T21" s="7"/>
      <c r="U21" s="7"/>
    </row>
    <row r="22" spans="3:25" ht="32.1" customHeight="1">
      <c r="C22" s="7"/>
      <c r="D22" s="7"/>
      <c r="E22" s="7"/>
      <c r="F22" s="7"/>
      <c r="G22" s="985"/>
      <c r="H22" s="7"/>
      <c r="I22" s="7"/>
      <c r="J22" s="7"/>
      <c r="K22" s="7"/>
      <c r="L22" s="7"/>
      <c r="M22" s="7"/>
      <c r="N22" s="7"/>
      <c r="O22" s="7"/>
      <c r="P22" s="7"/>
      <c r="Q22" s="7"/>
      <c r="R22" s="7"/>
      <c r="S22" s="7"/>
      <c r="T22" s="7"/>
      <c r="U22" s="7"/>
    </row>
    <row r="23" spans="3:25" ht="32.1" customHeight="1">
      <c r="C23" s="7"/>
      <c r="D23" s="7"/>
      <c r="E23" s="8"/>
      <c r="F23" s="8"/>
      <c r="G23" s="1198"/>
      <c r="H23" s="7"/>
      <c r="I23" s="7"/>
      <c r="J23" s="7"/>
      <c r="K23" s="7"/>
      <c r="L23" s="7"/>
      <c r="M23" s="7"/>
      <c r="N23" s="7"/>
      <c r="O23" s="7"/>
      <c r="P23" s="7"/>
      <c r="Q23" s="7"/>
      <c r="R23" s="7"/>
      <c r="S23" s="7"/>
      <c r="T23" s="7"/>
      <c r="U23" s="7"/>
    </row>
    <row r="24" spans="3:25" ht="32.1" customHeight="1">
      <c r="C24" s="7"/>
      <c r="D24" s="8"/>
      <c r="E24" s="210"/>
      <c r="F24" s="210"/>
      <c r="G24" s="210"/>
      <c r="H24" s="8"/>
      <c r="I24" s="7"/>
      <c r="J24" s="7"/>
      <c r="K24" s="7"/>
      <c r="L24" s="7"/>
      <c r="M24" s="7"/>
      <c r="N24" s="7"/>
      <c r="O24" s="7"/>
      <c r="P24" s="7"/>
      <c r="Q24" s="7"/>
      <c r="R24" s="7"/>
      <c r="S24" s="7"/>
      <c r="T24" s="7"/>
      <c r="U24" s="7"/>
      <c r="V24" s="7"/>
      <c r="W24" s="7"/>
      <c r="X24" s="7"/>
      <c r="Y24" s="7"/>
    </row>
    <row r="25" spans="3:25" ht="32.1" customHeight="1">
      <c r="C25" s="7"/>
      <c r="D25" s="8"/>
      <c r="E25" s="210"/>
      <c r="F25" s="210"/>
      <c r="G25" s="210"/>
      <c r="H25" s="8"/>
      <c r="I25" s="7"/>
      <c r="J25" s="7"/>
      <c r="K25" s="7"/>
      <c r="L25" s="7"/>
      <c r="M25" s="7"/>
      <c r="N25" s="7"/>
      <c r="O25" s="7"/>
      <c r="P25" s="7"/>
      <c r="Q25" s="7"/>
      <c r="R25" s="7"/>
      <c r="S25" s="7"/>
      <c r="T25" s="7"/>
      <c r="U25" s="7"/>
      <c r="V25" s="7"/>
      <c r="W25" s="7"/>
      <c r="X25" s="7"/>
      <c r="Y25" s="7"/>
    </row>
    <row r="26" spans="3:25" ht="32.1" customHeight="1">
      <c r="C26" s="7"/>
      <c r="D26" s="8"/>
      <c r="E26" s="210"/>
      <c r="F26" s="210"/>
      <c r="G26" s="210"/>
      <c r="H26" s="8"/>
      <c r="I26" s="7"/>
      <c r="J26" s="7"/>
      <c r="K26" s="7"/>
      <c r="L26" s="7"/>
      <c r="M26" s="7"/>
      <c r="N26" s="7"/>
      <c r="O26" s="7"/>
      <c r="P26" s="7"/>
      <c r="Q26" s="7"/>
      <c r="R26" s="7"/>
      <c r="S26" s="7"/>
      <c r="T26" s="7"/>
      <c r="U26" s="7"/>
      <c r="V26" s="7"/>
      <c r="W26" s="7"/>
      <c r="X26" s="7"/>
      <c r="Y26" s="7"/>
    </row>
    <row r="27" spans="3:25" ht="32.1" customHeight="1">
      <c r="C27" s="7"/>
      <c r="D27" s="8"/>
      <c r="E27" s="210"/>
      <c r="F27" s="210"/>
      <c r="G27" s="210"/>
      <c r="H27" s="8"/>
      <c r="I27" s="7"/>
      <c r="J27" s="7"/>
      <c r="K27" s="7"/>
      <c r="L27" s="7"/>
      <c r="M27" s="7"/>
      <c r="N27" s="7"/>
      <c r="O27" s="7"/>
      <c r="P27" s="7"/>
      <c r="Q27" s="7"/>
      <c r="R27" s="7"/>
      <c r="S27" s="7"/>
      <c r="T27" s="7"/>
      <c r="U27" s="7"/>
      <c r="V27" s="7"/>
      <c r="W27" s="7"/>
      <c r="X27" s="7"/>
      <c r="Y27" s="7"/>
    </row>
    <row r="28" spans="3:25" ht="32.1" customHeight="1">
      <c r="C28" s="7"/>
      <c r="D28" s="8"/>
      <c r="E28" s="210"/>
      <c r="F28" s="210"/>
      <c r="G28" s="210"/>
      <c r="H28" s="8"/>
      <c r="I28" s="7"/>
      <c r="J28" s="7"/>
      <c r="K28" s="7"/>
      <c r="L28" s="7"/>
      <c r="M28" s="7"/>
      <c r="N28" s="7"/>
      <c r="O28" s="7"/>
      <c r="P28" s="7"/>
      <c r="Q28" s="7"/>
      <c r="R28" s="7"/>
      <c r="S28" s="7"/>
      <c r="T28" s="7"/>
      <c r="U28" s="7"/>
      <c r="V28" s="7"/>
      <c r="W28" s="7"/>
      <c r="X28" s="7"/>
      <c r="Y28" s="7"/>
    </row>
    <row r="29" spans="3:25" ht="32.1" customHeight="1">
      <c r="C29" s="7"/>
      <c r="D29" s="8"/>
      <c r="E29" s="210"/>
      <c r="F29" s="210"/>
      <c r="G29" s="210"/>
      <c r="H29" s="8"/>
      <c r="I29" s="7"/>
      <c r="J29" s="7"/>
      <c r="K29" s="7"/>
      <c r="L29" s="7"/>
      <c r="M29" s="7"/>
      <c r="N29" s="7"/>
      <c r="O29" s="7"/>
      <c r="P29" s="7"/>
      <c r="Q29" s="7"/>
      <c r="R29" s="7"/>
      <c r="S29" s="7"/>
      <c r="T29" s="7"/>
      <c r="U29" s="7"/>
      <c r="V29" s="7"/>
      <c r="W29" s="7"/>
      <c r="X29" s="7"/>
      <c r="Y29" s="7"/>
    </row>
    <row r="30" spans="3:25" ht="32.1" customHeight="1">
      <c r="C30" s="7"/>
      <c r="D30" s="8"/>
      <c r="E30" s="210"/>
      <c r="F30" s="210"/>
      <c r="G30" s="210"/>
      <c r="H30" s="8"/>
      <c r="I30" s="7"/>
      <c r="J30" s="7"/>
      <c r="K30" s="7"/>
      <c r="L30" s="7"/>
      <c r="M30" s="7"/>
      <c r="N30" s="7"/>
      <c r="O30" s="7"/>
      <c r="P30" s="7"/>
      <c r="Q30" s="7"/>
      <c r="R30" s="7"/>
      <c r="S30" s="7"/>
      <c r="T30" s="7"/>
      <c r="U30" s="7"/>
      <c r="V30" s="7"/>
      <c r="W30" s="7"/>
      <c r="X30" s="7"/>
      <c r="Y30" s="7"/>
    </row>
    <row r="31" spans="3:25" ht="32.1" customHeight="1">
      <c r="C31" s="7"/>
      <c r="D31" s="8"/>
      <c r="E31" s="210"/>
      <c r="F31" s="210"/>
      <c r="G31" s="210"/>
      <c r="H31" s="8"/>
      <c r="I31" s="7"/>
      <c r="J31" s="7"/>
      <c r="K31" s="7"/>
      <c r="L31" s="7"/>
      <c r="M31" s="7"/>
      <c r="N31" s="7"/>
      <c r="O31" s="7"/>
      <c r="P31" s="7"/>
      <c r="Q31" s="7"/>
      <c r="R31" s="7"/>
      <c r="S31" s="7"/>
      <c r="T31" s="7"/>
      <c r="U31" s="7"/>
      <c r="V31" s="7"/>
      <c r="W31" s="7"/>
      <c r="X31" s="7"/>
      <c r="Y31" s="7"/>
    </row>
    <row r="32" spans="3:25" ht="32.1" customHeight="1">
      <c r="C32" s="7"/>
      <c r="D32" s="7"/>
      <c r="E32" s="8"/>
      <c r="F32" s="8"/>
      <c r="G32" s="8"/>
      <c r="H32" s="7"/>
      <c r="I32" s="7"/>
      <c r="J32" s="7"/>
      <c r="K32" s="7"/>
      <c r="L32" s="7"/>
      <c r="M32" s="7"/>
      <c r="N32" s="7"/>
      <c r="O32" s="7"/>
      <c r="P32" s="7"/>
      <c r="Q32" s="7"/>
      <c r="R32" s="7"/>
      <c r="S32" s="7"/>
      <c r="T32" s="7"/>
      <c r="U32" s="7"/>
      <c r="V32" s="7"/>
      <c r="W32" s="7"/>
      <c r="X32" s="7"/>
      <c r="Y32" s="7"/>
    </row>
    <row r="33" spans="3:25" ht="32.1" customHeight="1">
      <c r="C33" s="7"/>
      <c r="D33" s="7"/>
      <c r="E33" s="7"/>
      <c r="F33" s="7"/>
      <c r="G33" s="7"/>
      <c r="H33" s="7"/>
      <c r="I33" s="7"/>
      <c r="J33" s="7"/>
      <c r="K33" s="7"/>
      <c r="L33" s="7"/>
      <c r="M33" s="7"/>
      <c r="N33" s="7"/>
      <c r="O33" s="7"/>
      <c r="P33" s="7"/>
      <c r="Q33" s="7"/>
      <c r="R33" s="7"/>
      <c r="S33" s="7"/>
      <c r="T33" s="7"/>
      <c r="U33" s="7"/>
      <c r="V33" s="7"/>
      <c r="W33" s="7"/>
      <c r="X33" s="7"/>
      <c r="Y33" s="7"/>
    </row>
    <row r="34" spans="3:25" ht="32.1" customHeight="1">
      <c r="C34" s="7"/>
      <c r="D34" s="7"/>
      <c r="E34" s="7"/>
      <c r="F34" s="7"/>
      <c r="G34" s="7"/>
      <c r="H34" s="7"/>
      <c r="I34" s="7"/>
      <c r="J34" s="7"/>
      <c r="K34" s="7"/>
      <c r="L34" s="7"/>
      <c r="M34" s="7"/>
      <c r="N34" s="7"/>
      <c r="O34" s="7"/>
      <c r="P34" s="7"/>
      <c r="Q34" s="7"/>
      <c r="R34" s="7"/>
      <c r="S34" s="7"/>
      <c r="T34" s="7"/>
      <c r="U34" s="7"/>
      <c r="V34" s="7"/>
      <c r="W34" s="7"/>
      <c r="X34" s="7"/>
      <c r="Y34" s="7"/>
    </row>
    <row r="35" spans="3:25" ht="32.1" customHeight="1">
      <c r="C35" s="7"/>
      <c r="D35" s="7"/>
      <c r="E35" s="7"/>
      <c r="F35" s="7"/>
      <c r="G35" s="7"/>
      <c r="H35" s="7"/>
      <c r="I35" s="7"/>
      <c r="J35" s="7"/>
      <c r="K35" s="7"/>
      <c r="L35" s="7"/>
      <c r="M35" s="7"/>
      <c r="N35" s="7"/>
      <c r="O35" s="7"/>
      <c r="P35" s="7"/>
      <c r="Q35" s="7"/>
      <c r="R35" s="7"/>
      <c r="S35" s="7"/>
      <c r="T35" s="7"/>
      <c r="U35" s="7"/>
      <c r="V35" s="7"/>
      <c r="W35" s="7"/>
      <c r="X35" s="7"/>
      <c r="Y35" s="7"/>
    </row>
    <row r="36" spans="3:25" ht="32.1" customHeight="1">
      <c r="C36" s="7"/>
      <c r="D36" s="7"/>
      <c r="E36" s="7"/>
      <c r="F36" s="7"/>
      <c r="G36" s="7"/>
      <c r="H36" s="7"/>
      <c r="I36" s="7"/>
      <c r="J36" s="7"/>
      <c r="K36" s="7"/>
      <c r="L36" s="7"/>
      <c r="M36" s="7"/>
      <c r="N36" s="7"/>
      <c r="O36" s="7"/>
      <c r="P36" s="7"/>
      <c r="Q36" s="7"/>
      <c r="R36" s="7"/>
      <c r="S36" s="7"/>
      <c r="T36" s="7"/>
      <c r="U36" s="7"/>
      <c r="V36" s="7"/>
      <c r="W36" s="7"/>
      <c r="X36" s="7"/>
      <c r="Y36" s="7"/>
    </row>
    <row r="37" spans="3:25" ht="32.1" customHeight="1">
      <c r="C37" s="7"/>
      <c r="D37" s="7"/>
      <c r="E37" s="7"/>
      <c r="F37" s="7"/>
      <c r="G37" s="7"/>
      <c r="H37" s="7"/>
      <c r="I37" s="7"/>
      <c r="J37" s="7"/>
      <c r="K37" s="7"/>
      <c r="L37" s="7"/>
      <c r="M37" s="7"/>
      <c r="N37" s="7"/>
      <c r="O37" s="7"/>
      <c r="P37" s="7"/>
      <c r="Q37" s="7"/>
      <c r="R37" s="7"/>
      <c r="S37" s="7"/>
      <c r="T37" s="7"/>
      <c r="U37" s="7"/>
      <c r="V37" s="7"/>
      <c r="W37" s="7"/>
      <c r="X37" s="7"/>
      <c r="Y37" s="7"/>
    </row>
    <row r="38" spans="3:25" ht="32.1" customHeight="1">
      <c r="C38" s="7"/>
      <c r="D38" s="7"/>
      <c r="E38" s="7"/>
      <c r="F38" s="7"/>
      <c r="G38" s="7"/>
      <c r="H38" s="7"/>
      <c r="I38" s="7"/>
      <c r="J38" s="7"/>
      <c r="K38" s="7"/>
      <c r="L38" s="7"/>
      <c r="M38" s="7"/>
      <c r="N38" s="7"/>
      <c r="O38" s="7"/>
      <c r="P38" s="7"/>
      <c r="Q38" s="7"/>
      <c r="R38" s="7"/>
      <c r="S38" s="7"/>
      <c r="T38" s="7"/>
      <c r="U38" s="7"/>
      <c r="V38" s="7"/>
      <c r="W38" s="7"/>
      <c r="X38" s="7"/>
      <c r="Y38" s="7"/>
    </row>
    <row r="39" spans="3:25" ht="32.1" customHeight="1">
      <c r="C39" s="7"/>
      <c r="D39" s="7"/>
      <c r="E39" s="7"/>
      <c r="F39" s="7"/>
      <c r="G39" s="7"/>
      <c r="H39" s="7"/>
      <c r="I39" s="7"/>
      <c r="J39" s="7"/>
      <c r="K39" s="7"/>
      <c r="L39" s="7"/>
      <c r="M39" s="7"/>
      <c r="N39" s="7"/>
      <c r="O39" s="7"/>
      <c r="P39" s="7"/>
      <c r="Q39" s="7"/>
      <c r="R39" s="7"/>
      <c r="S39" s="7"/>
      <c r="T39" s="7"/>
      <c r="U39" s="7"/>
      <c r="V39" s="7"/>
      <c r="W39" s="7"/>
      <c r="X39" s="7"/>
      <c r="Y39" s="7"/>
    </row>
    <row r="40" spans="3:25" ht="19.5" customHeight="1">
      <c r="C40" s="7"/>
      <c r="D40" s="7"/>
      <c r="E40" s="7"/>
      <c r="F40" s="7"/>
      <c r="G40" s="7"/>
      <c r="H40" s="7"/>
      <c r="I40" s="7"/>
      <c r="J40" s="7"/>
      <c r="K40" s="7"/>
      <c r="L40" s="7"/>
      <c r="M40" s="7"/>
      <c r="N40" s="7"/>
      <c r="O40" s="7"/>
      <c r="P40" s="7"/>
      <c r="Q40" s="7"/>
      <c r="R40" s="7"/>
      <c r="S40" s="7"/>
      <c r="T40" s="7"/>
      <c r="U40" s="7"/>
      <c r="V40" s="7"/>
      <c r="W40" s="7"/>
      <c r="X40" s="7"/>
      <c r="Y40" s="7"/>
    </row>
    <row r="41" spans="3:25" ht="19.5" customHeight="1">
      <c r="C41" s="7"/>
      <c r="D41" s="7"/>
      <c r="E41" s="7"/>
      <c r="F41" s="7"/>
      <c r="G41" s="7"/>
      <c r="H41" s="7"/>
      <c r="I41" s="7"/>
      <c r="J41" s="7"/>
      <c r="K41" s="7"/>
      <c r="L41" s="7"/>
      <c r="M41" s="7"/>
      <c r="N41" s="7"/>
      <c r="O41" s="7"/>
      <c r="P41" s="7"/>
      <c r="Q41" s="7"/>
      <c r="R41" s="7"/>
      <c r="S41" s="7"/>
      <c r="T41" s="7"/>
      <c r="U41" s="7"/>
      <c r="V41" s="7"/>
      <c r="W41" s="7"/>
      <c r="X41" s="7"/>
      <c r="Y41" s="7"/>
    </row>
    <row r="42" spans="3:25" ht="19.5" customHeight="1">
      <c r="C42" s="7"/>
      <c r="D42" s="7"/>
      <c r="E42" s="7"/>
      <c r="F42" s="7"/>
      <c r="G42" s="7"/>
      <c r="H42" s="7"/>
      <c r="I42" s="7"/>
      <c r="J42" s="7"/>
      <c r="K42" s="7"/>
      <c r="L42" s="7"/>
      <c r="M42" s="7"/>
      <c r="N42" s="7"/>
      <c r="O42" s="7"/>
      <c r="P42" s="7"/>
      <c r="Q42" s="7"/>
      <c r="R42" s="7"/>
      <c r="S42" s="7"/>
      <c r="T42" s="7"/>
      <c r="U42" s="7"/>
      <c r="V42" s="7"/>
      <c r="W42" s="7"/>
      <c r="X42" s="7"/>
      <c r="Y42" s="7"/>
    </row>
    <row r="43" spans="3:25" ht="19.5" customHeight="1">
      <c r="C43" s="7"/>
      <c r="D43" s="7"/>
      <c r="E43" s="7"/>
      <c r="F43" s="7"/>
      <c r="G43" s="7"/>
      <c r="H43" s="7"/>
      <c r="I43" s="7"/>
      <c r="J43" s="7"/>
      <c r="K43" s="7"/>
      <c r="L43" s="7"/>
      <c r="M43" s="7"/>
      <c r="N43" s="7"/>
      <c r="O43" s="7"/>
      <c r="P43" s="7"/>
      <c r="Q43" s="7"/>
      <c r="R43" s="7"/>
      <c r="S43" s="7"/>
      <c r="T43" s="7"/>
      <c r="U43" s="7"/>
      <c r="V43" s="7"/>
      <c r="W43" s="7"/>
      <c r="X43" s="7"/>
      <c r="Y43" s="7"/>
    </row>
    <row r="44" spans="3:25" ht="19.5" customHeight="1">
      <c r="C44" s="7"/>
      <c r="D44" s="7"/>
      <c r="E44" s="7"/>
      <c r="F44" s="7"/>
      <c r="G44" s="7"/>
      <c r="H44" s="7"/>
      <c r="I44" s="7"/>
      <c r="J44" s="7"/>
      <c r="K44" s="7"/>
      <c r="L44" s="7"/>
      <c r="M44" s="7"/>
      <c r="N44" s="7"/>
      <c r="O44" s="7"/>
      <c r="P44" s="7"/>
      <c r="Q44" s="7"/>
      <c r="R44" s="7"/>
      <c r="S44" s="7"/>
      <c r="T44" s="7"/>
      <c r="U44" s="7"/>
      <c r="V44" s="7"/>
      <c r="W44" s="7"/>
      <c r="X44" s="7"/>
      <c r="Y44" s="7"/>
    </row>
    <row r="45" spans="3:25" ht="19.5" customHeight="1">
      <c r="C45" s="7"/>
      <c r="D45" s="7"/>
      <c r="E45" s="7"/>
      <c r="F45" s="7"/>
      <c r="G45" s="7"/>
      <c r="H45" s="7"/>
      <c r="I45" s="7"/>
      <c r="J45" s="7"/>
      <c r="K45" s="7"/>
      <c r="L45" s="7"/>
      <c r="M45" s="7"/>
      <c r="N45" s="7"/>
      <c r="O45" s="7"/>
      <c r="P45" s="7"/>
      <c r="Q45" s="7"/>
      <c r="R45" s="7"/>
      <c r="S45" s="7"/>
      <c r="T45" s="7"/>
      <c r="U45" s="7"/>
      <c r="V45" s="7"/>
      <c r="W45" s="7"/>
      <c r="X45" s="7"/>
      <c r="Y45" s="7"/>
    </row>
    <row r="46" spans="3:25" ht="19.5" customHeight="1">
      <c r="C46" s="7"/>
      <c r="D46" s="7"/>
      <c r="E46" s="7"/>
      <c r="F46" s="7"/>
      <c r="G46" s="7"/>
      <c r="H46" s="7"/>
      <c r="I46" s="7"/>
      <c r="J46" s="7"/>
      <c r="K46" s="7"/>
      <c r="L46" s="7"/>
      <c r="M46" s="7"/>
      <c r="N46" s="7"/>
      <c r="O46" s="7"/>
      <c r="P46" s="7"/>
      <c r="Q46" s="7"/>
      <c r="R46" s="7"/>
      <c r="S46" s="7"/>
      <c r="T46" s="7"/>
      <c r="U46" s="7"/>
      <c r="V46" s="7"/>
      <c r="W46" s="7"/>
      <c r="X46" s="7"/>
      <c r="Y46" s="7"/>
    </row>
    <row r="47" spans="3:25" ht="19.5" customHeight="1">
      <c r="C47" s="7"/>
      <c r="D47" s="7"/>
      <c r="E47" s="7"/>
      <c r="F47" s="7"/>
      <c r="G47" s="7"/>
      <c r="H47" s="7"/>
      <c r="I47" s="7"/>
      <c r="J47" s="7"/>
      <c r="K47" s="7"/>
      <c r="L47" s="7"/>
      <c r="M47" s="7"/>
      <c r="N47" s="7"/>
      <c r="O47" s="7"/>
      <c r="P47" s="7"/>
      <c r="Q47" s="7"/>
      <c r="R47" s="7"/>
      <c r="S47" s="7"/>
      <c r="T47" s="7"/>
      <c r="U47" s="7"/>
      <c r="V47" s="7"/>
      <c r="W47" s="7"/>
      <c r="X47" s="7"/>
      <c r="Y47" s="7"/>
    </row>
    <row r="48" spans="3:25" ht="19.5" customHeight="1">
      <c r="C48" s="7"/>
      <c r="D48" s="7"/>
      <c r="E48" s="7"/>
      <c r="F48" s="7"/>
      <c r="G48" s="7"/>
      <c r="H48" s="7"/>
      <c r="I48" s="7"/>
      <c r="J48" s="7"/>
      <c r="K48" s="7"/>
      <c r="L48" s="7"/>
      <c r="M48" s="7"/>
      <c r="N48" s="7"/>
      <c r="O48" s="7"/>
      <c r="P48" s="7"/>
      <c r="Q48" s="7"/>
      <c r="R48" s="7"/>
      <c r="S48" s="7"/>
      <c r="T48" s="7"/>
      <c r="U48" s="7"/>
      <c r="V48" s="7"/>
      <c r="W48" s="7"/>
      <c r="X48" s="7"/>
      <c r="Y48" s="7"/>
    </row>
    <row r="49" spans="3:25" ht="19.5" customHeight="1">
      <c r="C49" s="7"/>
      <c r="D49" s="7"/>
      <c r="E49" s="7"/>
      <c r="F49" s="7"/>
      <c r="G49" s="7"/>
      <c r="H49" s="7"/>
      <c r="I49" s="7"/>
      <c r="J49" s="7"/>
      <c r="K49" s="7"/>
      <c r="L49" s="7"/>
      <c r="M49" s="7"/>
      <c r="N49" s="7"/>
      <c r="O49" s="7"/>
      <c r="P49" s="7"/>
      <c r="Q49" s="7"/>
      <c r="R49" s="7"/>
      <c r="S49" s="7"/>
      <c r="T49" s="7"/>
      <c r="U49" s="7"/>
      <c r="V49" s="7"/>
      <c r="W49" s="7"/>
      <c r="X49" s="7"/>
      <c r="Y49" s="7"/>
    </row>
    <row r="50" spans="3:25" ht="19.5" customHeight="1">
      <c r="C50" s="7"/>
      <c r="D50" s="7"/>
      <c r="E50" s="7"/>
      <c r="F50" s="7"/>
      <c r="G50" s="7"/>
      <c r="H50" s="7"/>
      <c r="I50" s="7"/>
      <c r="J50" s="7"/>
      <c r="K50" s="7"/>
      <c r="L50" s="7"/>
      <c r="M50" s="7"/>
      <c r="N50" s="7"/>
      <c r="O50" s="7"/>
      <c r="P50" s="7"/>
      <c r="Q50" s="7"/>
      <c r="R50" s="7"/>
      <c r="S50" s="7"/>
      <c r="T50" s="7"/>
      <c r="U50" s="7"/>
      <c r="V50" s="7"/>
      <c r="W50" s="7"/>
      <c r="X50" s="7"/>
      <c r="Y50" s="7"/>
    </row>
    <row r="51" spans="3:25" ht="19.5" customHeight="1">
      <c r="C51" s="7"/>
      <c r="D51" s="7"/>
      <c r="E51" s="7"/>
      <c r="F51" s="7"/>
      <c r="G51" s="7"/>
      <c r="H51" s="7"/>
      <c r="I51" s="7"/>
      <c r="J51" s="7"/>
      <c r="K51" s="7"/>
      <c r="L51" s="7"/>
      <c r="M51" s="7"/>
      <c r="N51" s="7"/>
      <c r="O51" s="7"/>
      <c r="P51" s="7"/>
      <c r="Q51" s="7"/>
      <c r="R51" s="7"/>
      <c r="S51" s="7"/>
      <c r="T51" s="7"/>
      <c r="U51" s="7"/>
      <c r="V51" s="7"/>
      <c r="W51" s="7"/>
      <c r="X51" s="7"/>
      <c r="Y51" s="7"/>
    </row>
    <row r="52" spans="3:25" ht="19.5" customHeight="1">
      <c r="C52" s="7"/>
      <c r="D52" s="7"/>
      <c r="E52" s="7"/>
      <c r="F52" s="7"/>
      <c r="G52" s="7"/>
      <c r="H52" s="7"/>
      <c r="I52" s="7"/>
      <c r="J52" s="7"/>
      <c r="K52" s="7"/>
      <c r="L52" s="7"/>
      <c r="M52" s="7"/>
      <c r="N52" s="7"/>
      <c r="O52" s="7"/>
      <c r="P52" s="7"/>
      <c r="Q52" s="7"/>
      <c r="R52" s="7"/>
      <c r="S52" s="7"/>
      <c r="T52" s="7"/>
      <c r="U52" s="7"/>
      <c r="V52" s="7"/>
      <c r="W52" s="7"/>
      <c r="X52" s="7"/>
      <c r="Y52" s="7"/>
    </row>
    <row r="53" spans="3:25" ht="19.5" customHeight="1">
      <c r="C53" s="7"/>
      <c r="D53" s="7"/>
      <c r="E53" s="7"/>
      <c r="F53" s="7"/>
      <c r="G53" s="7"/>
      <c r="H53" s="7"/>
      <c r="I53" s="7"/>
      <c r="J53" s="7"/>
      <c r="K53" s="7"/>
      <c r="L53" s="7"/>
      <c r="M53" s="7"/>
      <c r="N53" s="7"/>
      <c r="O53" s="7"/>
      <c r="P53" s="7"/>
      <c r="Q53" s="7"/>
      <c r="R53" s="7"/>
      <c r="S53" s="7"/>
      <c r="T53" s="7"/>
      <c r="U53" s="7"/>
      <c r="V53" s="7"/>
      <c r="W53" s="7"/>
      <c r="X53" s="7"/>
      <c r="Y53" s="7"/>
    </row>
    <row r="54" spans="3:25" ht="19.5" customHeight="1">
      <c r="C54" s="7"/>
      <c r="D54" s="7"/>
      <c r="E54" s="7"/>
      <c r="F54" s="7"/>
      <c r="G54" s="7"/>
      <c r="H54" s="7"/>
      <c r="I54" s="7"/>
      <c r="J54" s="7"/>
      <c r="K54" s="7"/>
      <c r="L54" s="7"/>
      <c r="M54" s="7"/>
      <c r="N54" s="7"/>
      <c r="O54" s="7"/>
      <c r="P54" s="7"/>
      <c r="Q54" s="7"/>
      <c r="R54" s="7"/>
      <c r="S54" s="7"/>
      <c r="T54" s="7"/>
      <c r="U54" s="7"/>
      <c r="V54" s="7"/>
      <c r="W54" s="7"/>
      <c r="X54" s="7"/>
      <c r="Y54" s="7"/>
    </row>
    <row r="55" spans="3:25" ht="19.5" customHeight="1">
      <c r="C55" s="7"/>
      <c r="D55" s="7"/>
      <c r="E55" s="7"/>
      <c r="F55" s="7"/>
      <c r="G55" s="7"/>
      <c r="H55" s="7"/>
      <c r="I55" s="7"/>
      <c r="J55" s="7"/>
      <c r="K55" s="7"/>
      <c r="L55" s="7"/>
      <c r="M55" s="7"/>
      <c r="N55" s="7"/>
      <c r="O55" s="7"/>
      <c r="P55" s="7"/>
      <c r="Q55" s="7"/>
      <c r="R55" s="7"/>
      <c r="S55" s="7"/>
      <c r="T55" s="7"/>
      <c r="U55" s="7"/>
      <c r="V55" s="7"/>
      <c r="W55" s="7"/>
      <c r="X55" s="7"/>
      <c r="Y55" s="7"/>
    </row>
    <row r="56" spans="3:25" ht="19.5" customHeight="1">
      <c r="C56" s="7"/>
      <c r="D56" s="7"/>
      <c r="E56" s="7"/>
      <c r="F56" s="7"/>
      <c r="G56" s="7"/>
      <c r="H56" s="7"/>
      <c r="I56" s="7"/>
      <c r="J56" s="7"/>
      <c r="K56" s="7"/>
      <c r="L56" s="7"/>
      <c r="M56" s="7"/>
      <c r="N56" s="7"/>
      <c r="O56" s="7"/>
      <c r="P56" s="7"/>
      <c r="Q56" s="7"/>
      <c r="R56" s="7"/>
      <c r="S56" s="7"/>
      <c r="T56" s="7"/>
      <c r="U56" s="7"/>
      <c r="V56" s="7"/>
      <c r="W56" s="7"/>
      <c r="X56" s="7"/>
      <c r="Y56" s="7"/>
    </row>
    <row r="57" spans="3:25" ht="19.5" customHeight="1">
      <c r="C57" s="7"/>
      <c r="D57" s="7"/>
      <c r="E57" s="7"/>
      <c r="F57" s="7"/>
      <c r="G57" s="7"/>
      <c r="H57" s="7"/>
      <c r="I57" s="7"/>
      <c r="J57" s="7"/>
      <c r="K57" s="7"/>
      <c r="L57" s="7"/>
      <c r="M57" s="7"/>
      <c r="N57" s="7"/>
      <c r="O57" s="7"/>
      <c r="P57" s="7"/>
      <c r="Q57" s="7"/>
      <c r="R57" s="7"/>
      <c r="S57" s="7"/>
      <c r="T57" s="7"/>
      <c r="U57" s="7"/>
      <c r="V57" s="7"/>
      <c r="W57" s="7"/>
      <c r="X57" s="7"/>
      <c r="Y57" s="7"/>
    </row>
    <row r="58" spans="3:25" ht="19.5" customHeight="1">
      <c r="C58" s="7"/>
      <c r="D58" s="7"/>
      <c r="E58" s="7"/>
      <c r="F58" s="7"/>
      <c r="G58" s="7"/>
      <c r="H58" s="7"/>
      <c r="I58" s="7"/>
      <c r="J58" s="7"/>
      <c r="K58" s="7"/>
      <c r="L58" s="7"/>
      <c r="M58" s="7"/>
      <c r="N58" s="7"/>
      <c r="O58" s="7"/>
      <c r="P58" s="7"/>
      <c r="Q58" s="7"/>
      <c r="R58" s="7"/>
      <c r="S58" s="7"/>
      <c r="T58" s="7"/>
      <c r="U58" s="7"/>
      <c r="V58" s="7"/>
      <c r="W58" s="7"/>
      <c r="X58" s="7"/>
      <c r="Y58" s="7"/>
    </row>
    <row r="59" spans="3:25" ht="19.5" customHeight="1">
      <c r="C59" s="7"/>
      <c r="D59" s="7"/>
      <c r="E59" s="7"/>
      <c r="F59" s="7"/>
      <c r="G59" s="7"/>
      <c r="H59" s="7"/>
      <c r="I59" s="7"/>
      <c r="J59" s="7"/>
      <c r="K59" s="7"/>
      <c r="L59" s="7"/>
      <c r="M59" s="7"/>
      <c r="N59" s="7"/>
      <c r="O59" s="7"/>
      <c r="P59" s="7"/>
      <c r="Q59" s="7"/>
      <c r="R59" s="7"/>
      <c r="S59" s="7"/>
      <c r="T59" s="7"/>
      <c r="U59" s="7"/>
      <c r="V59" s="7"/>
      <c r="W59" s="7"/>
      <c r="X59" s="7"/>
      <c r="Y59" s="7"/>
    </row>
    <row r="60" spans="3:25" ht="19.5" customHeight="1">
      <c r="C60" s="7"/>
      <c r="D60" s="7"/>
      <c r="E60" s="7"/>
      <c r="F60" s="7"/>
      <c r="G60" s="7"/>
      <c r="H60" s="7"/>
      <c r="I60" s="7"/>
      <c r="J60" s="7"/>
      <c r="K60" s="7"/>
      <c r="L60" s="7"/>
      <c r="M60" s="7"/>
      <c r="N60" s="7"/>
      <c r="O60" s="7"/>
      <c r="P60" s="7"/>
      <c r="Q60" s="7"/>
      <c r="R60" s="7"/>
      <c r="S60" s="7"/>
      <c r="T60" s="7"/>
      <c r="U60" s="7"/>
      <c r="V60" s="7"/>
      <c r="W60" s="7"/>
      <c r="X60" s="7"/>
      <c r="Y60" s="7"/>
    </row>
    <row r="61" spans="3:25" ht="19.5" customHeight="1">
      <c r="C61" s="7"/>
      <c r="D61" s="7"/>
      <c r="E61" s="7"/>
      <c r="F61" s="7"/>
      <c r="G61" s="7"/>
      <c r="H61" s="7"/>
      <c r="I61" s="7"/>
      <c r="J61" s="7"/>
      <c r="K61" s="7"/>
      <c r="L61" s="7"/>
      <c r="M61" s="7"/>
      <c r="N61" s="7"/>
      <c r="O61" s="7"/>
      <c r="P61" s="7"/>
      <c r="Q61" s="7"/>
      <c r="R61" s="7"/>
      <c r="S61" s="7"/>
      <c r="T61" s="7"/>
      <c r="U61" s="7"/>
      <c r="V61" s="7"/>
      <c r="W61" s="7"/>
      <c r="X61" s="7"/>
      <c r="Y61" s="7"/>
    </row>
    <row r="62" spans="3:25" ht="19.5" customHeight="1">
      <c r="C62" s="7"/>
      <c r="D62" s="7"/>
      <c r="E62" s="7"/>
      <c r="F62" s="7"/>
      <c r="G62" s="7"/>
      <c r="H62" s="7"/>
      <c r="I62" s="7"/>
      <c r="J62" s="7"/>
      <c r="K62" s="7"/>
      <c r="L62" s="7"/>
      <c r="M62" s="7"/>
      <c r="N62" s="7"/>
      <c r="O62" s="7"/>
      <c r="P62" s="7"/>
      <c r="Q62" s="7"/>
      <c r="R62" s="7"/>
      <c r="S62" s="7"/>
      <c r="T62" s="7"/>
      <c r="U62" s="7"/>
      <c r="V62" s="7"/>
      <c r="W62" s="7"/>
      <c r="X62" s="7"/>
      <c r="Y62" s="7"/>
    </row>
    <row r="63" spans="3:25" ht="19.5" customHeight="1">
      <c r="C63" s="7"/>
      <c r="D63" s="7"/>
      <c r="E63" s="7"/>
      <c r="F63" s="7"/>
      <c r="G63" s="7"/>
      <c r="H63" s="7"/>
      <c r="I63" s="7"/>
      <c r="J63" s="7"/>
      <c r="K63" s="7"/>
      <c r="L63" s="7"/>
      <c r="M63" s="7"/>
      <c r="N63" s="7"/>
      <c r="O63" s="7"/>
      <c r="P63" s="7"/>
      <c r="Q63" s="7"/>
      <c r="R63" s="7"/>
      <c r="S63" s="7"/>
      <c r="T63" s="7"/>
      <c r="U63" s="7"/>
      <c r="V63" s="7"/>
      <c r="W63" s="7"/>
      <c r="X63" s="7"/>
      <c r="Y63" s="7"/>
    </row>
    <row r="64" spans="3:25" ht="19.5" customHeight="1">
      <c r="C64" s="7"/>
      <c r="D64" s="7"/>
      <c r="E64" s="7"/>
      <c r="F64" s="7"/>
      <c r="G64" s="7"/>
      <c r="H64" s="7"/>
      <c r="I64" s="7"/>
      <c r="J64" s="7"/>
      <c r="K64" s="7"/>
      <c r="L64" s="7"/>
      <c r="M64" s="7"/>
      <c r="N64" s="7"/>
      <c r="O64" s="7"/>
      <c r="P64" s="7"/>
      <c r="Q64" s="7"/>
      <c r="R64" s="7"/>
      <c r="S64" s="7"/>
      <c r="T64" s="7"/>
      <c r="U64" s="7"/>
      <c r="V64" s="7"/>
      <c r="W64" s="7"/>
      <c r="X64" s="7"/>
      <c r="Y64" s="7"/>
    </row>
    <row r="65" spans="3:25" ht="19.5" customHeight="1">
      <c r="C65" s="7"/>
      <c r="D65" s="7"/>
      <c r="E65" s="7"/>
      <c r="F65" s="7"/>
      <c r="G65" s="7"/>
      <c r="H65" s="7"/>
      <c r="I65" s="7"/>
      <c r="J65" s="7"/>
      <c r="K65" s="7"/>
      <c r="L65" s="7"/>
      <c r="M65" s="7"/>
      <c r="N65" s="7"/>
      <c r="O65" s="7"/>
      <c r="P65" s="7"/>
      <c r="Q65" s="7"/>
      <c r="R65" s="7"/>
      <c r="S65" s="7"/>
      <c r="T65" s="7"/>
      <c r="U65" s="7"/>
      <c r="V65" s="7"/>
      <c r="W65" s="7"/>
      <c r="X65" s="7"/>
      <c r="Y65" s="7"/>
    </row>
    <row r="66" spans="3:25" ht="19.5" customHeight="1">
      <c r="C66" s="7"/>
      <c r="D66" s="7"/>
      <c r="E66" s="7"/>
      <c r="F66" s="7"/>
      <c r="G66" s="7"/>
      <c r="H66" s="7"/>
      <c r="I66" s="7"/>
      <c r="J66" s="7"/>
      <c r="K66" s="7"/>
      <c r="L66" s="7"/>
      <c r="M66" s="7"/>
      <c r="N66" s="7"/>
      <c r="O66" s="7"/>
      <c r="P66" s="7"/>
      <c r="Q66" s="7"/>
      <c r="R66" s="7"/>
      <c r="S66" s="7"/>
      <c r="T66" s="7"/>
      <c r="U66" s="7"/>
      <c r="V66" s="7"/>
      <c r="W66" s="7"/>
      <c r="X66" s="7"/>
      <c r="Y66" s="7"/>
    </row>
    <row r="67" spans="3:25" ht="19.5" customHeight="1">
      <c r="C67" s="7"/>
      <c r="D67" s="7"/>
      <c r="E67" s="7"/>
      <c r="F67" s="7"/>
      <c r="G67" s="7"/>
      <c r="H67" s="7"/>
      <c r="I67" s="7"/>
      <c r="J67" s="7"/>
      <c r="K67" s="7"/>
      <c r="L67" s="7"/>
      <c r="M67" s="7"/>
      <c r="N67" s="7"/>
      <c r="O67" s="7"/>
      <c r="P67" s="7"/>
      <c r="Q67" s="7"/>
      <c r="R67" s="7"/>
      <c r="S67" s="7"/>
      <c r="T67" s="7"/>
      <c r="U67" s="7"/>
      <c r="V67" s="7"/>
      <c r="W67" s="7"/>
      <c r="X67" s="7"/>
      <c r="Y67" s="7"/>
    </row>
    <row r="68" spans="3:25" ht="19.5" customHeight="1">
      <c r="C68" s="7"/>
      <c r="D68" s="7"/>
      <c r="E68" s="7"/>
      <c r="F68" s="7"/>
      <c r="G68" s="7"/>
      <c r="H68" s="7"/>
      <c r="I68" s="7"/>
      <c r="J68" s="7"/>
      <c r="K68" s="7"/>
      <c r="L68" s="7"/>
      <c r="M68" s="7"/>
      <c r="N68" s="7"/>
      <c r="O68" s="7"/>
      <c r="P68" s="7"/>
      <c r="Q68" s="7"/>
      <c r="R68" s="7"/>
      <c r="S68" s="7"/>
      <c r="T68" s="7"/>
      <c r="U68" s="7"/>
      <c r="V68" s="7"/>
      <c r="W68" s="7"/>
      <c r="X68" s="7"/>
      <c r="Y68" s="7"/>
    </row>
    <row r="69" spans="3:25" ht="19.5" customHeight="1">
      <c r="C69" s="7"/>
      <c r="D69" s="7"/>
      <c r="E69" s="7"/>
      <c r="F69" s="7"/>
      <c r="G69" s="7"/>
      <c r="H69" s="7"/>
      <c r="I69" s="7"/>
      <c r="J69" s="7"/>
      <c r="K69" s="7"/>
      <c r="L69" s="7"/>
      <c r="M69" s="7"/>
      <c r="N69" s="7"/>
      <c r="O69" s="7"/>
      <c r="P69" s="7"/>
      <c r="Q69" s="7"/>
      <c r="R69" s="7"/>
      <c r="S69" s="7"/>
      <c r="T69" s="7"/>
      <c r="U69" s="7"/>
      <c r="V69" s="7"/>
      <c r="W69" s="7"/>
      <c r="X69" s="7"/>
      <c r="Y69" s="7"/>
    </row>
    <row r="70" spans="3:25" ht="19.5" customHeight="1">
      <c r="C70" s="7"/>
      <c r="D70" s="7"/>
      <c r="E70" s="7"/>
      <c r="F70" s="7"/>
      <c r="G70" s="7"/>
      <c r="H70" s="7"/>
      <c r="I70" s="7"/>
      <c r="J70" s="7"/>
      <c r="K70" s="7"/>
      <c r="L70" s="7"/>
      <c r="M70" s="7"/>
      <c r="N70" s="7"/>
      <c r="O70" s="7"/>
      <c r="P70" s="7"/>
      <c r="Q70" s="7"/>
      <c r="R70" s="7"/>
      <c r="S70" s="7"/>
      <c r="T70" s="7"/>
      <c r="U70" s="7"/>
      <c r="V70" s="7"/>
      <c r="W70" s="7"/>
      <c r="X70" s="7"/>
      <c r="Y70" s="7"/>
    </row>
    <row r="71" spans="3:25" ht="19.5" customHeight="1">
      <c r="C71" s="7"/>
      <c r="D71" s="7"/>
      <c r="E71" s="7"/>
      <c r="F71" s="7"/>
      <c r="G71" s="7"/>
      <c r="H71" s="7"/>
      <c r="I71" s="7"/>
      <c r="J71" s="7"/>
      <c r="K71" s="7"/>
      <c r="L71" s="7"/>
      <c r="M71" s="7"/>
      <c r="N71" s="7"/>
      <c r="O71" s="7"/>
      <c r="P71" s="7"/>
      <c r="Q71" s="7"/>
      <c r="R71" s="7"/>
      <c r="S71" s="7"/>
      <c r="T71" s="7"/>
      <c r="U71" s="7"/>
      <c r="V71" s="7"/>
      <c r="W71" s="7"/>
      <c r="X71" s="7"/>
      <c r="Y71" s="7"/>
    </row>
    <row r="72" spans="3:25" ht="19.5" customHeight="1">
      <c r="C72" s="7"/>
      <c r="D72" s="7"/>
      <c r="E72" s="7"/>
      <c r="F72" s="7"/>
      <c r="G72" s="7"/>
      <c r="H72" s="7"/>
      <c r="I72" s="7"/>
      <c r="J72" s="7"/>
      <c r="K72" s="7"/>
      <c r="L72" s="7"/>
      <c r="M72" s="7"/>
      <c r="N72" s="7"/>
      <c r="O72" s="7"/>
      <c r="P72" s="7"/>
      <c r="Q72" s="7"/>
      <c r="R72" s="7"/>
      <c r="S72" s="7"/>
      <c r="T72" s="7"/>
      <c r="U72" s="7"/>
      <c r="V72" s="7"/>
      <c r="W72" s="7"/>
      <c r="X72" s="7"/>
      <c r="Y72" s="7"/>
    </row>
    <row r="73" spans="3:25" ht="19.5" customHeight="1">
      <c r="C73" s="7"/>
      <c r="D73" s="7"/>
      <c r="E73" s="7"/>
      <c r="F73" s="7"/>
      <c r="G73" s="7"/>
      <c r="H73" s="7"/>
      <c r="I73" s="7"/>
      <c r="J73" s="7"/>
      <c r="K73" s="7"/>
      <c r="L73" s="7"/>
      <c r="M73" s="7"/>
      <c r="N73" s="7"/>
      <c r="O73" s="7"/>
      <c r="P73" s="7"/>
      <c r="Q73" s="7"/>
      <c r="R73" s="7"/>
      <c r="S73" s="7"/>
      <c r="T73" s="7"/>
      <c r="U73" s="7"/>
      <c r="V73" s="7"/>
      <c r="W73" s="7"/>
      <c r="X73" s="7"/>
      <c r="Y73" s="7"/>
    </row>
    <row r="74" spans="3:25" ht="19.5" customHeight="1">
      <c r="C74" s="7">
        <v>5</v>
      </c>
      <c r="D74" s="7"/>
      <c r="E74" s="7"/>
      <c r="F74" s="7"/>
      <c r="G74" s="7"/>
      <c r="H74" s="7"/>
      <c r="I74" s="7"/>
      <c r="J74" s="7"/>
      <c r="K74" s="7"/>
      <c r="L74" s="7"/>
      <c r="M74" s="7"/>
      <c r="N74" s="7"/>
      <c r="O74" s="7"/>
      <c r="P74" s="7"/>
      <c r="Q74" s="7"/>
      <c r="R74" s="7"/>
      <c r="S74" s="7"/>
      <c r="T74" s="7"/>
      <c r="U74" s="7"/>
      <c r="V74" s="7"/>
      <c r="W74" s="7"/>
      <c r="X74" s="7"/>
      <c r="Y74" s="7"/>
    </row>
    <row r="75" spans="3:25" ht="19.5" customHeight="1">
      <c r="C75" s="7"/>
      <c r="D75" s="7"/>
      <c r="E75" s="7"/>
      <c r="F75" s="7"/>
      <c r="G75" s="7"/>
      <c r="H75" s="7"/>
      <c r="I75" s="7"/>
      <c r="J75" s="7"/>
      <c r="K75" s="7"/>
      <c r="L75" s="7"/>
      <c r="M75" s="7"/>
      <c r="N75" s="7"/>
      <c r="O75" s="7"/>
      <c r="P75" s="7"/>
      <c r="Q75" s="7"/>
      <c r="R75" s="7"/>
      <c r="S75" s="7"/>
      <c r="T75" s="7"/>
      <c r="U75" s="7"/>
      <c r="V75" s="7"/>
      <c r="W75" s="7"/>
      <c r="X75" s="7"/>
      <c r="Y75" s="7"/>
    </row>
    <row r="76" spans="3:25" ht="19.5" customHeight="1">
      <c r="C76" s="7"/>
      <c r="D76" s="7"/>
      <c r="E76" s="7"/>
      <c r="F76" s="7"/>
      <c r="G76" s="7"/>
      <c r="H76" s="7"/>
      <c r="I76" s="7"/>
      <c r="J76" s="7"/>
      <c r="K76" s="7"/>
      <c r="L76" s="7"/>
      <c r="M76" s="7"/>
      <c r="N76" s="7"/>
      <c r="O76" s="7"/>
      <c r="P76" s="7"/>
      <c r="Q76" s="7"/>
      <c r="R76" s="7"/>
      <c r="S76" s="7"/>
      <c r="T76" s="7"/>
      <c r="U76" s="7"/>
      <c r="V76" s="7"/>
      <c r="W76" s="7"/>
      <c r="X76" s="7"/>
      <c r="Y76" s="7"/>
    </row>
    <row r="77" spans="3:25" ht="19.5" customHeight="1">
      <c r="C77" s="7"/>
      <c r="D77" s="7"/>
      <c r="E77" s="7"/>
      <c r="F77" s="7"/>
      <c r="G77" s="7"/>
      <c r="H77" s="7"/>
      <c r="I77" s="7"/>
      <c r="J77" s="7"/>
      <c r="K77" s="7"/>
      <c r="L77" s="7"/>
      <c r="M77" s="7"/>
      <c r="N77" s="7"/>
      <c r="O77" s="7"/>
      <c r="P77" s="7"/>
      <c r="Q77" s="7"/>
      <c r="R77" s="7"/>
      <c r="S77" s="7"/>
      <c r="T77" s="7"/>
      <c r="U77" s="7"/>
      <c r="V77" s="7"/>
      <c r="W77" s="7"/>
      <c r="X77" s="7"/>
      <c r="Y77" s="7"/>
    </row>
    <row r="78" spans="3:25" ht="19.5" customHeight="1">
      <c r="C78" s="7"/>
      <c r="D78" s="7"/>
      <c r="E78" s="7"/>
      <c r="F78" s="7"/>
      <c r="G78" s="7"/>
      <c r="H78" s="7"/>
      <c r="I78" s="7"/>
      <c r="J78" s="7"/>
      <c r="K78" s="7"/>
      <c r="L78" s="7"/>
      <c r="M78" s="7"/>
      <c r="N78" s="7"/>
      <c r="O78" s="7"/>
      <c r="P78" s="7"/>
      <c r="Q78" s="7"/>
      <c r="R78" s="7"/>
      <c r="S78" s="7"/>
      <c r="T78" s="7"/>
      <c r="U78" s="7"/>
      <c r="V78" s="7"/>
      <c r="W78" s="7"/>
      <c r="X78" s="7"/>
      <c r="Y78" s="7"/>
    </row>
    <row r="79" spans="3:25" ht="19.5" customHeight="1">
      <c r="C79" s="7"/>
      <c r="D79" s="7"/>
      <c r="E79" s="7"/>
      <c r="F79" s="7"/>
      <c r="G79" s="7">
        <v>9</v>
      </c>
      <c r="H79" s="7"/>
      <c r="I79" s="7"/>
      <c r="J79" s="7"/>
      <c r="K79" s="7"/>
      <c r="L79" s="7"/>
      <c r="M79" s="7"/>
      <c r="N79" s="7"/>
      <c r="O79" s="7"/>
      <c r="P79" s="7"/>
      <c r="Q79" s="7"/>
      <c r="R79" s="7"/>
      <c r="S79" s="7"/>
      <c r="T79" s="7"/>
      <c r="U79" s="7"/>
      <c r="V79" s="7"/>
      <c r="W79" s="7"/>
      <c r="X79" s="7"/>
      <c r="Y79" s="7"/>
    </row>
    <row r="80" spans="3:25" ht="19.5" customHeight="1">
      <c r="C80" s="7"/>
      <c r="D80" s="7"/>
      <c r="E80" s="7"/>
      <c r="F80" s="7"/>
      <c r="G80" s="7"/>
      <c r="H80" s="7"/>
      <c r="I80" s="7"/>
      <c r="J80" s="7"/>
      <c r="K80" s="7"/>
      <c r="L80" s="7"/>
      <c r="M80" s="7"/>
      <c r="N80" s="7"/>
      <c r="O80" s="7"/>
      <c r="P80" s="7"/>
      <c r="Q80" s="7"/>
      <c r="R80" s="7"/>
      <c r="S80" s="7"/>
      <c r="T80" s="7"/>
      <c r="U80" s="7"/>
      <c r="V80" s="7"/>
      <c r="W80" s="7"/>
      <c r="X80" s="7"/>
      <c r="Y80" s="7"/>
    </row>
    <row r="81" spans="3:25" ht="19.5" customHeight="1">
      <c r="C81" s="7"/>
      <c r="D81" s="7"/>
      <c r="E81" s="7"/>
      <c r="F81" s="7"/>
      <c r="G81" s="7"/>
      <c r="H81" s="7"/>
      <c r="I81" s="7"/>
      <c r="J81" s="7"/>
      <c r="K81" s="7"/>
      <c r="L81" s="7"/>
      <c r="M81" s="7"/>
      <c r="N81" s="7"/>
      <c r="O81" s="7"/>
      <c r="P81" s="7"/>
      <c r="Q81" s="7"/>
      <c r="R81" s="7"/>
      <c r="S81" s="7"/>
      <c r="T81" s="7"/>
      <c r="U81" s="7"/>
      <c r="V81" s="7"/>
      <c r="W81" s="7"/>
      <c r="X81" s="7"/>
      <c r="Y81" s="7"/>
    </row>
    <row r="82" spans="3:25" ht="19.5" customHeight="1">
      <c r="C82" s="7" t="str">
        <f>IF($D$25="","EINGEBEN",IF($C$74=0,"",IF(OR($C$74&lt;1,$C$74&gt;20),"",IF(C79=0,"",IF(C79&gt;10,"",IF(C79&lt;0,"",IF(C79=0,"",$D$25/(36/(37-(($C$74+(10-C$79))))))))))))</f>
        <v>EINGEBEN</v>
      </c>
      <c r="D82" s="7"/>
      <c r="E82" s="7" t="str">
        <f>IF($D$25="","EINGEBEN",IF($C$74=0,"",IF(OR($C$74&lt;1,$C$74&gt;20),"",IF(E79=0,"",IF(E79&gt;10,"",IF(E79&lt;0,"",IF(E79=0,"",$D$25/(36/(37-(($C$74+(10-E$79))))))))))))</f>
        <v>EINGEBEN</v>
      </c>
      <c r="F82" s="7"/>
      <c r="G82" s="7" t="str">
        <f>IF($D$25="","EINGEBEN",IF($I$85=0,"",IF(OR($I$85&lt;1,$I$85&gt;20),"",IF(G79=0,"",IF(G79&gt;10,"",IF(G79&lt;0,"",IF(G79=0,"",$D$25/(36/(37-(($I$85+(10-G$79))))))))))))</f>
        <v>EINGEBEN</v>
      </c>
      <c r="H82" s="7"/>
      <c r="I82" s="7"/>
      <c r="J82" s="7"/>
      <c r="K82" s="7"/>
      <c r="L82" s="7"/>
      <c r="M82" s="7"/>
      <c r="N82" s="7"/>
      <c r="O82" s="7"/>
      <c r="P82" s="7"/>
      <c r="Q82" s="7"/>
      <c r="R82" s="7"/>
      <c r="S82" s="7"/>
      <c r="T82" s="7"/>
      <c r="U82" s="7"/>
      <c r="V82" s="7"/>
      <c r="W82" s="7"/>
      <c r="X82" s="7"/>
      <c r="Y82" s="7"/>
    </row>
    <row r="83" spans="3:25" ht="19.5" customHeight="1">
      <c r="C83" s="7"/>
      <c r="D83" s="7"/>
      <c r="E83" s="7"/>
      <c r="F83" s="7"/>
      <c r="G83" s="7"/>
      <c r="H83" s="7"/>
      <c r="I83" s="7"/>
      <c r="J83" s="7"/>
      <c r="K83" s="7"/>
      <c r="L83" s="7"/>
      <c r="M83" s="7"/>
      <c r="N83" s="7"/>
      <c r="O83" s="7"/>
      <c r="P83" s="7"/>
      <c r="Q83" s="7"/>
      <c r="R83" s="7"/>
      <c r="S83" s="7"/>
      <c r="T83" s="7"/>
      <c r="U83" s="7"/>
      <c r="V83" s="7"/>
      <c r="W83" s="7"/>
      <c r="X83" s="7"/>
      <c r="Y83" s="7"/>
    </row>
    <row r="84" spans="3:25" ht="19.5" customHeight="1">
      <c r="C84" s="7"/>
      <c r="D84" s="7"/>
      <c r="E84" s="7"/>
      <c r="F84" s="7"/>
      <c r="G84" s="7"/>
      <c r="H84" s="7"/>
      <c r="I84" s="7"/>
      <c r="J84" s="7"/>
      <c r="K84" s="7"/>
      <c r="L84" s="7"/>
      <c r="M84" s="7"/>
      <c r="N84" s="7"/>
      <c r="O84" s="7"/>
      <c r="P84" s="7"/>
      <c r="Q84" s="7"/>
      <c r="R84" s="7"/>
      <c r="S84" s="7"/>
      <c r="T84" s="7"/>
      <c r="U84" s="7"/>
      <c r="V84" s="7"/>
      <c r="W84" s="7"/>
      <c r="X84" s="7"/>
      <c r="Y84" s="7"/>
    </row>
    <row r="85" spans="3:25" ht="19.5" customHeight="1">
      <c r="C85" s="7"/>
      <c r="D85" s="7"/>
      <c r="E85" s="7"/>
      <c r="F85" s="7"/>
      <c r="G85" s="7"/>
      <c r="H85" s="7"/>
      <c r="I85" s="7">
        <v>5</v>
      </c>
      <c r="J85" s="7"/>
      <c r="K85" s="7"/>
      <c r="L85" s="7"/>
      <c r="M85" s="7"/>
      <c r="N85" s="7"/>
      <c r="O85" s="7"/>
      <c r="P85" s="7"/>
      <c r="Q85" s="7"/>
      <c r="R85" s="7"/>
      <c r="S85" s="7"/>
      <c r="T85" s="7"/>
      <c r="U85" s="7"/>
      <c r="V85" s="7"/>
      <c r="W85" s="7"/>
      <c r="X85" s="7"/>
      <c r="Y85" s="7"/>
    </row>
    <row r="86" spans="3:25" ht="19.5" customHeight="1">
      <c r="C86" s="7"/>
      <c r="D86" s="7"/>
      <c r="E86" s="7"/>
      <c r="F86" s="7"/>
      <c r="G86" s="7"/>
      <c r="H86" s="7"/>
      <c r="I86" s="7"/>
      <c r="J86" s="7"/>
      <c r="K86" s="7"/>
      <c r="L86" s="7"/>
      <c r="M86" s="7"/>
      <c r="N86" s="7"/>
      <c r="O86" s="7"/>
      <c r="P86" s="7"/>
      <c r="Q86" s="7"/>
      <c r="R86" s="7"/>
      <c r="S86" s="7"/>
      <c r="T86" s="7"/>
      <c r="U86" s="7"/>
      <c r="V86" s="7"/>
      <c r="W86" s="7"/>
      <c r="X86" s="7"/>
      <c r="Y86" s="7"/>
    </row>
    <row r="87" spans="3:25" ht="19.5" customHeight="1">
      <c r="C87" s="7"/>
      <c r="D87" s="7"/>
      <c r="E87" s="7"/>
      <c r="F87" s="7"/>
      <c r="G87" s="7"/>
      <c r="H87" s="7"/>
      <c r="I87" s="7"/>
      <c r="J87" s="7"/>
      <c r="K87" s="7"/>
      <c r="L87" s="7"/>
      <c r="M87" s="7"/>
      <c r="N87" s="7"/>
      <c r="O87" s="7"/>
      <c r="P87" s="7"/>
      <c r="Q87" s="7"/>
      <c r="R87" s="7"/>
      <c r="S87" s="7"/>
      <c r="T87" s="7"/>
      <c r="U87" s="7"/>
      <c r="V87" s="7"/>
      <c r="W87" s="7"/>
      <c r="X87" s="7"/>
      <c r="Y87" s="7"/>
    </row>
    <row r="88" spans="3:25" ht="19.5" customHeight="1">
      <c r="C88" s="7"/>
      <c r="D88" s="7"/>
      <c r="E88" s="7"/>
      <c r="F88" s="7"/>
      <c r="G88" s="7"/>
      <c r="H88" s="7"/>
      <c r="I88" s="7"/>
      <c r="J88" s="7"/>
      <c r="K88" s="7"/>
      <c r="L88" s="7"/>
      <c r="M88" s="7"/>
      <c r="N88" s="7"/>
      <c r="O88" s="7"/>
      <c r="P88" s="7"/>
      <c r="Q88" s="7"/>
      <c r="R88" s="7"/>
      <c r="S88" s="7"/>
      <c r="T88" s="7"/>
      <c r="U88" s="7"/>
      <c r="V88" s="7"/>
      <c r="W88" s="7"/>
      <c r="X88" s="7"/>
      <c r="Y88" s="7"/>
    </row>
    <row r="89" spans="3:25" ht="19.5" customHeight="1">
      <c r="C89" s="7"/>
      <c r="D89" s="7"/>
      <c r="E89" s="7"/>
      <c r="F89" s="7"/>
      <c r="G89" s="7"/>
      <c r="H89" s="7"/>
      <c r="I89" s="7"/>
      <c r="J89" s="7"/>
      <c r="K89" s="7"/>
      <c r="L89" s="7"/>
      <c r="M89" s="7"/>
      <c r="N89" s="7"/>
      <c r="O89" s="7"/>
      <c r="P89" s="7"/>
      <c r="Q89" s="7"/>
      <c r="R89" s="7"/>
      <c r="S89" s="7"/>
      <c r="T89" s="7"/>
      <c r="U89" s="7"/>
      <c r="V89" s="7"/>
      <c r="W89" s="7"/>
      <c r="X89" s="7"/>
      <c r="Y89" s="7"/>
    </row>
    <row r="90" spans="3:25" ht="19.5" customHeight="1">
      <c r="C90" s="7"/>
      <c r="D90" s="7"/>
      <c r="E90" s="7"/>
      <c r="F90" s="7"/>
      <c r="G90" s="7"/>
      <c r="H90" s="7"/>
      <c r="I90" s="7"/>
      <c r="J90" s="7"/>
      <c r="K90" s="7"/>
      <c r="L90" s="7"/>
      <c r="M90" s="7"/>
      <c r="N90" s="7"/>
      <c r="O90" s="7"/>
      <c r="P90" s="7"/>
      <c r="Q90" s="7"/>
      <c r="R90" s="7"/>
      <c r="S90" s="7"/>
      <c r="T90" s="7"/>
      <c r="U90" s="7"/>
      <c r="V90" s="7"/>
      <c r="W90" s="7"/>
      <c r="X90" s="7"/>
      <c r="Y90" s="7"/>
    </row>
    <row r="91" spans="3:25" ht="19.5" customHeight="1">
      <c r="C91" s="7"/>
      <c r="D91" s="7"/>
      <c r="E91" s="7"/>
      <c r="F91" s="7"/>
      <c r="G91" s="7"/>
      <c r="H91" s="7"/>
      <c r="I91" s="7"/>
      <c r="J91" s="7"/>
      <c r="K91" s="7"/>
      <c r="L91" s="7"/>
      <c r="M91" s="7"/>
      <c r="N91" s="7"/>
      <c r="O91" s="7"/>
      <c r="P91" s="7"/>
      <c r="Q91" s="7"/>
      <c r="R91" s="7"/>
      <c r="S91" s="7"/>
      <c r="T91" s="7"/>
      <c r="U91" s="7"/>
      <c r="V91" s="7"/>
      <c r="W91" s="7"/>
      <c r="X91" s="7"/>
      <c r="Y91" s="7"/>
    </row>
    <row r="92" spans="3:25" ht="19.5" customHeight="1">
      <c r="C92" s="7"/>
      <c r="D92" s="7"/>
      <c r="E92" s="7"/>
      <c r="F92" s="7"/>
      <c r="G92" s="7"/>
      <c r="H92" s="7"/>
      <c r="I92" s="7"/>
      <c r="J92" s="7"/>
      <c r="K92" s="7"/>
      <c r="L92" s="7"/>
      <c r="M92" s="7"/>
      <c r="N92" s="7"/>
      <c r="O92" s="7"/>
      <c r="P92" s="7"/>
      <c r="Q92" s="7"/>
      <c r="R92" s="7"/>
      <c r="S92" s="7"/>
      <c r="T92" s="7"/>
      <c r="U92" s="7"/>
      <c r="V92" s="7"/>
      <c r="W92" s="7"/>
      <c r="X92" s="7"/>
      <c r="Y92" s="7"/>
    </row>
    <row r="93" spans="3:25" ht="19.5" customHeight="1">
      <c r="C93" s="7"/>
      <c r="D93" s="7"/>
      <c r="E93" s="7"/>
      <c r="F93" s="7"/>
      <c r="G93" s="7"/>
      <c r="H93" s="7"/>
      <c r="I93" s="7"/>
      <c r="J93" s="7"/>
      <c r="K93" s="7"/>
      <c r="L93" s="7"/>
      <c r="M93" s="7"/>
      <c r="N93" s="7"/>
      <c r="O93" s="7"/>
      <c r="P93" s="7"/>
      <c r="Q93" s="7"/>
      <c r="R93" s="7"/>
      <c r="S93" s="7"/>
      <c r="T93" s="7"/>
      <c r="U93" s="7"/>
      <c r="V93" s="7"/>
      <c r="W93" s="7"/>
      <c r="X93" s="7"/>
      <c r="Y93" s="7"/>
    </row>
    <row r="94" spans="3:25" ht="19.5" customHeight="1">
      <c r="C94" s="7"/>
      <c r="D94" s="7"/>
      <c r="E94" s="7"/>
      <c r="F94" s="7"/>
      <c r="G94" s="7"/>
      <c r="H94" s="7"/>
      <c r="I94" s="7"/>
      <c r="J94" s="7"/>
      <c r="K94" s="7"/>
      <c r="L94" s="7"/>
      <c r="M94" s="7"/>
      <c r="N94" s="7"/>
      <c r="O94" s="7"/>
      <c r="P94" s="7"/>
      <c r="Q94" s="7"/>
      <c r="R94" s="7"/>
      <c r="S94" s="7"/>
      <c r="T94" s="7"/>
      <c r="U94" s="7"/>
      <c r="V94" s="7"/>
      <c r="W94" s="7"/>
      <c r="X94" s="7"/>
      <c r="Y94" s="7"/>
    </row>
    <row r="95" spans="3:25" ht="19.5" customHeight="1">
      <c r="C95" s="7"/>
      <c r="D95" s="7"/>
      <c r="E95" s="7"/>
      <c r="F95" s="7"/>
      <c r="G95" s="7"/>
      <c r="H95" s="7"/>
      <c r="I95" s="7"/>
      <c r="J95" s="7"/>
      <c r="K95" s="7"/>
      <c r="L95" s="7"/>
      <c r="M95" s="7"/>
      <c r="N95" s="7"/>
      <c r="O95" s="7"/>
      <c r="P95" s="7"/>
      <c r="Q95" s="7"/>
      <c r="R95" s="7"/>
      <c r="S95" s="7"/>
      <c r="T95" s="7"/>
      <c r="U95" s="7"/>
      <c r="V95" s="7"/>
      <c r="W95" s="7"/>
      <c r="X95" s="7"/>
      <c r="Y95" s="7"/>
    </row>
    <row r="96" spans="3:25" ht="19.5" customHeight="1">
      <c r="C96" s="7"/>
      <c r="D96" s="7"/>
      <c r="E96" s="7"/>
      <c r="F96" s="7"/>
      <c r="G96" s="7"/>
      <c r="H96" s="7"/>
      <c r="I96" s="7"/>
      <c r="J96" s="7"/>
      <c r="K96" s="7"/>
      <c r="L96" s="7"/>
      <c r="M96" s="7"/>
      <c r="N96" s="7"/>
      <c r="O96" s="7"/>
      <c r="P96" s="7"/>
      <c r="Q96" s="7"/>
      <c r="R96" s="7"/>
      <c r="S96" s="7"/>
      <c r="T96" s="7"/>
      <c r="U96" s="7"/>
      <c r="V96" s="7"/>
      <c r="W96" s="7"/>
      <c r="X96" s="7"/>
      <c r="Y96" s="7"/>
    </row>
    <row r="97" spans="3:25" ht="19.5" customHeight="1">
      <c r="C97" s="7"/>
      <c r="D97" s="7"/>
      <c r="E97" s="7"/>
      <c r="F97" s="7"/>
      <c r="G97" s="7"/>
      <c r="H97" s="7"/>
      <c r="I97" s="7"/>
      <c r="J97" s="7"/>
      <c r="K97" s="7"/>
      <c r="L97" s="7"/>
      <c r="M97" s="7"/>
      <c r="N97" s="7"/>
      <c r="O97" s="7"/>
      <c r="P97" s="7"/>
      <c r="Q97" s="7"/>
      <c r="R97" s="7"/>
      <c r="S97" s="7"/>
      <c r="T97" s="7"/>
      <c r="U97" s="7"/>
      <c r="V97" s="7"/>
      <c r="W97" s="7"/>
      <c r="X97" s="7"/>
      <c r="Y97" s="7"/>
    </row>
    <row r="98" spans="3:25" ht="19.5" customHeight="1">
      <c r="C98" s="7"/>
      <c r="D98" s="7"/>
      <c r="E98" s="7"/>
      <c r="F98" s="7"/>
      <c r="G98" s="7"/>
      <c r="H98" s="7"/>
      <c r="I98" s="7"/>
      <c r="J98" s="7"/>
      <c r="K98" s="7"/>
      <c r="L98" s="7"/>
      <c r="M98" s="7"/>
      <c r="N98" s="7"/>
      <c r="O98" s="7"/>
      <c r="P98" s="7"/>
      <c r="Q98" s="7"/>
      <c r="R98" s="7"/>
      <c r="S98" s="7"/>
      <c r="T98" s="7"/>
      <c r="U98" s="7"/>
      <c r="V98" s="7"/>
      <c r="W98" s="7"/>
      <c r="X98" s="7"/>
      <c r="Y98" s="7"/>
    </row>
    <row r="99" spans="3:25" ht="19.5" customHeight="1">
      <c r="C99" s="7"/>
      <c r="D99" s="7"/>
      <c r="E99" s="7"/>
      <c r="F99" s="7"/>
      <c r="G99" s="7"/>
      <c r="H99" s="7"/>
      <c r="I99" s="7"/>
      <c r="J99" s="7"/>
      <c r="K99" s="7"/>
      <c r="L99" s="7"/>
      <c r="M99" s="7"/>
      <c r="N99" s="7"/>
      <c r="O99" s="7"/>
      <c r="P99" s="7"/>
      <c r="Q99" s="7"/>
      <c r="R99" s="7"/>
      <c r="S99" s="7"/>
      <c r="T99" s="7"/>
      <c r="U99" s="7"/>
      <c r="V99" s="7"/>
      <c r="W99" s="7"/>
      <c r="X99" s="7"/>
      <c r="Y99" s="7"/>
    </row>
    <row r="100" spans="3:25" ht="19.5" customHeight="1">
      <c r="C100" s="7"/>
      <c r="D100" s="7"/>
      <c r="E100" s="7"/>
      <c r="F100" s="7"/>
      <c r="G100" s="7"/>
      <c r="H100" s="7"/>
      <c r="I100" s="7"/>
      <c r="J100" s="7"/>
      <c r="K100" s="7"/>
      <c r="L100" s="7"/>
      <c r="M100" s="7"/>
      <c r="N100" s="7"/>
      <c r="O100" s="7"/>
      <c r="P100" s="7"/>
      <c r="Q100" s="7"/>
      <c r="R100" s="7"/>
      <c r="S100" s="7"/>
      <c r="T100" s="7"/>
      <c r="U100" s="7"/>
      <c r="V100" s="7"/>
      <c r="W100" s="7"/>
      <c r="X100" s="7"/>
      <c r="Y100" s="7"/>
    </row>
    <row r="101" spans="3:25" ht="19.5" customHeight="1">
      <c r="C101" s="7"/>
      <c r="D101" s="7"/>
      <c r="E101" s="7"/>
      <c r="F101" s="7"/>
      <c r="G101" s="7"/>
      <c r="H101" s="7"/>
      <c r="I101" s="7"/>
      <c r="J101" s="7"/>
      <c r="K101" s="7"/>
      <c r="L101" s="7"/>
      <c r="M101" s="7"/>
      <c r="N101" s="7"/>
      <c r="O101" s="7"/>
      <c r="P101" s="7"/>
      <c r="Q101" s="7"/>
      <c r="R101" s="7"/>
      <c r="S101" s="7"/>
      <c r="T101" s="7"/>
      <c r="U101" s="7"/>
      <c r="V101" s="7"/>
      <c r="W101" s="7"/>
      <c r="X101" s="7"/>
      <c r="Y101" s="7"/>
    </row>
    <row r="102" spans="3:25" ht="19.5" customHeight="1">
      <c r="C102" s="7"/>
      <c r="D102" s="7"/>
      <c r="E102" s="7"/>
      <c r="F102" s="7"/>
      <c r="G102" s="7"/>
      <c r="H102" s="7"/>
      <c r="I102" s="7"/>
      <c r="J102" s="7"/>
      <c r="K102" s="7"/>
      <c r="L102" s="7"/>
      <c r="M102" s="7"/>
      <c r="N102" s="7"/>
      <c r="O102" s="7"/>
      <c r="P102" s="7"/>
      <c r="Q102" s="7"/>
      <c r="R102" s="7"/>
      <c r="S102" s="7"/>
      <c r="T102" s="7"/>
      <c r="U102" s="7"/>
      <c r="V102" s="7"/>
      <c r="W102" s="7"/>
      <c r="X102" s="7"/>
      <c r="Y102" s="7"/>
    </row>
    <row r="103" spans="3:25" ht="19.5" customHeight="1">
      <c r="C103" s="7"/>
      <c r="D103" s="7"/>
      <c r="E103" s="7"/>
      <c r="F103" s="7"/>
      <c r="G103" s="7"/>
      <c r="H103" s="7"/>
      <c r="I103" s="7"/>
      <c r="J103" s="7"/>
      <c r="K103" s="7"/>
      <c r="L103" s="7"/>
      <c r="M103" s="7"/>
      <c r="N103" s="7"/>
      <c r="O103" s="7"/>
      <c r="P103" s="7"/>
      <c r="Q103" s="7"/>
      <c r="R103" s="7"/>
      <c r="S103" s="7"/>
      <c r="T103" s="7"/>
      <c r="U103" s="7"/>
      <c r="V103" s="7"/>
      <c r="W103" s="7"/>
      <c r="X103" s="7"/>
      <c r="Y103" s="7"/>
    </row>
    <row r="104" spans="3:25" ht="19.5" customHeight="1">
      <c r="C104" s="7"/>
      <c r="D104" s="7"/>
      <c r="E104" s="7"/>
      <c r="F104" s="7"/>
      <c r="G104" s="7"/>
      <c r="H104" s="7"/>
      <c r="I104" s="7"/>
      <c r="J104" s="7"/>
      <c r="K104" s="7"/>
      <c r="L104" s="7"/>
      <c r="M104" s="7"/>
      <c r="N104" s="7"/>
      <c r="O104" s="7"/>
      <c r="P104" s="7"/>
      <c r="Q104" s="7"/>
      <c r="R104" s="7"/>
      <c r="S104" s="7"/>
      <c r="T104" s="7"/>
      <c r="U104" s="7"/>
      <c r="V104" s="7"/>
      <c r="W104" s="7"/>
      <c r="X104" s="7"/>
      <c r="Y104" s="7"/>
    </row>
    <row r="105" spans="3:25" ht="19.5" customHeight="1">
      <c r="C105" s="7"/>
      <c r="D105" s="7"/>
      <c r="E105" s="7"/>
      <c r="F105" s="7"/>
      <c r="G105" s="7"/>
      <c r="H105" s="7"/>
      <c r="I105" s="7"/>
      <c r="J105" s="7"/>
      <c r="K105" s="7"/>
      <c r="L105" s="7"/>
      <c r="M105" s="7"/>
      <c r="N105" s="7"/>
      <c r="O105" s="7"/>
      <c r="P105" s="7"/>
      <c r="Q105" s="7"/>
      <c r="R105" s="7"/>
      <c r="S105" s="7"/>
      <c r="T105" s="7"/>
      <c r="U105" s="7"/>
      <c r="V105" s="7"/>
      <c r="W105" s="7"/>
      <c r="X105" s="7"/>
      <c r="Y105" s="7"/>
    </row>
    <row r="106" spans="3:25" ht="19.5" customHeight="1">
      <c r="C106" s="7"/>
      <c r="D106" s="7"/>
      <c r="E106" s="7"/>
      <c r="F106" s="7"/>
      <c r="G106" s="7"/>
      <c r="H106" s="7"/>
      <c r="I106" s="7"/>
      <c r="J106" s="7"/>
      <c r="K106" s="7"/>
      <c r="L106" s="7"/>
      <c r="M106" s="7"/>
      <c r="N106" s="7"/>
      <c r="O106" s="7"/>
      <c r="P106" s="7"/>
      <c r="Q106" s="7"/>
      <c r="R106" s="7"/>
      <c r="S106" s="7"/>
      <c r="T106" s="7"/>
      <c r="U106" s="7"/>
      <c r="V106" s="7"/>
      <c r="W106" s="7"/>
      <c r="X106" s="7"/>
      <c r="Y106" s="7"/>
    </row>
    <row r="107" spans="3:25" ht="19.5" customHeight="1">
      <c r="C107" s="7"/>
      <c r="D107" s="7"/>
      <c r="E107" s="7"/>
      <c r="F107" s="7"/>
      <c r="G107" s="7"/>
      <c r="H107" s="7"/>
      <c r="I107" s="7"/>
      <c r="J107" s="7"/>
      <c r="K107" s="7"/>
      <c r="L107" s="7"/>
      <c r="M107" s="7"/>
      <c r="N107" s="7"/>
      <c r="O107" s="7"/>
      <c r="P107" s="7"/>
      <c r="Q107" s="7"/>
      <c r="R107" s="7"/>
      <c r="S107" s="7"/>
      <c r="T107" s="7"/>
      <c r="U107" s="7"/>
      <c r="V107" s="7"/>
      <c r="W107" s="7"/>
      <c r="X107" s="7"/>
      <c r="Y107" s="7"/>
    </row>
    <row r="108" spans="3:25" ht="19.5" customHeight="1">
      <c r="C108" s="7"/>
      <c r="D108" s="7"/>
      <c r="E108" s="7"/>
      <c r="F108" s="7"/>
      <c r="G108" s="7"/>
      <c r="H108" s="7"/>
      <c r="I108" s="7"/>
      <c r="J108" s="7"/>
      <c r="K108" s="7"/>
      <c r="L108" s="7"/>
      <c r="M108" s="7"/>
      <c r="N108" s="7"/>
      <c r="O108" s="7"/>
      <c r="P108" s="7"/>
      <c r="Q108" s="7"/>
      <c r="R108" s="7"/>
      <c r="S108" s="7"/>
      <c r="T108" s="7"/>
      <c r="U108" s="7"/>
      <c r="V108" s="7"/>
      <c r="W108" s="7"/>
      <c r="X108" s="7"/>
      <c r="Y108" s="7"/>
    </row>
    <row r="109" spans="3:25" ht="19.5" customHeight="1">
      <c r="C109" s="7"/>
      <c r="D109" s="7"/>
      <c r="E109" s="7"/>
      <c r="F109" s="7"/>
      <c r="G109" s="7"/>
      <c r="H109" s="7"/>
      <c r="I109" s="7"/>
      <c r="J109" s="7"/>
      <c r="K109" s="7"/>
      <c r="L109" s="7"/>
      <c r="M109" s="7"/>
      <c r="N109" s="7"/>
      <c r="O109" s="7"/>
      <c r="P109" s="7"/>
      <c r="Q109" s="7"/>
      <c r="R109" s="7"/>
      <c r="S109" s="7"/>
      <c r="T109" s="7"/>
      <c r="U109" s="7"/>
      <c r="V109" s="7"/>
      <c r="W109" s="7"/>
      <c r="X109" s="7"/>
      <c r="Y109" s="7"/>
    </row>
    <row r="110" spans="3:25" ht="19.5" customHeight="1">
      <c r="C110" s="7"/>
      <c r="D110" s="7"/>
      <c r="E110" s="7"/>
      <c r="F110" s="7"/>
      <c r="G110" s="7"/>
      <c r="H110" s="7"/>
      <c r="I110" s="7"/>
      <c r="J110" s="7"/>
      <c r="K110" s="7"/>
      <c r="L110" s="7"/>
      <c r="M110" s="7"/>
      <c r="N110" s="7"/>
      <c r="O110" s="7"/>
      <c r="P110" s="7"/>
      <c r="Q110" s="7"/>
      <c r="R110" s="7"/>
      <c r="S110" s="7"/>
      <c r="T110" s="7"/>
      <c r="U110" s="7"/>
      <c r="V110" s="7"/>
      <c r="W110" s="7"/>
      <c r="X110" s="7"/>
      <c r="Y110" s="7"/>
    </row>
    <row r="111" spans="3:25" ht="19.5" customHeight="1">
      <c r="C111" s="7"/>
      <c r="D111" s="7"/>
      <c r="E111" s="7"/>
      <c r="F111" s="7"/>
      <c r="G111" s="7"/>
      <c r="H111" s="7"/>
      <c r="I111" s="7"/>
      <c r="J111" s="7"/>
      <c r="K111" s="7"/>
      <c r="L111" s="7"/>
      <c r="M111" s="7"/>
      <c r="N111" s="7"/>
      <c r="O111" s="7"/>
      <c r="P111" s="7"/>
      <c r="Q111" s="7"/>
      <c r="R111" s="7"/>
      <c r="S111" s="7"/>
      <c r="T111" s="7"/>
      <c r="U111" s="7"/>
      <c r="V111" s="7"/>
      <c r="W111" s="7"/>
      <c r="X111" s="7"/>
      <c r="Y111" s="7"/>
    </row>
    <row r="112" spans="3:25" ht="19.5" customHeight="1">
      <c r="C112" s="7"/>
      <c r="D112" s="7"/>
      <c r="E112" s="7"/>
      <c r="F112" s="7"/>
      <c r="G112" s="7"/>
      <c r="H112" s="7"/>
      <c r="I112" s="7"/>
      <c r="J112" s="7"/>
      <c r="K112" s="7"/>
      <c r="L112" s="7"/>
      <c r="M112" s="7"/>
      <c r="N112" s="7"/>
      <c r="O112" s="7"/>
      <c r="P112" s="7"/>
      <c r="Q112" s="7"/>
      <c r="R112" s="7"/>
      <c r="S112" s="7"/>
      <c r="T112" s="7"/>
      <c r="U112" s="7"/>
      <c r="V112" s="7"/>
      <c r="W112" s="7"/>
      <c r="X112" s="7"/>
      <c r="Y112" s="7"/>
    </row>
    <row r="113" spans="3:25" ht="19.5" customHeight="1">
      <c r="C113" s="7"/>
      <c r="D113" s="7"/>
      <c r="E113" s="7"/>
      <c r="F113" s="7"/>
      <c r="G113" s="7"/>
      <c r="H113" s="7"/>
      <c r="I113" s="7"/>
      <c r="J113" s="7"/>
      <c r="K113" s="7"/>
      <c r="L113" s="7"/>
      <c r="M113" s="7"/>
      <c r="N113" s="7"/>
      <c r="O113" s="7"/>
      <c r="P113" s="7"/>
      <c r="Q113" s="7"/>
      <c r="R113" s="7"/>
      <c r="S113" s="7"/>
      <c r="T113" s="7"/>
      <c r="U113" s="7"/>
      <c r="V113" s="7"/>
      <c r="W113" s="7"/>
      <c r="X113" s="7"/>
      <c r="Y113" s="7"/>
    </row>
    <row r="114" spans="3:25" ht="19.5" customHeight="1">
      <c r="C114" s="7"/>
      <c r="D114" s="7"/>
      <c r="E114" s="7"/>
      <c r="F114" s="7"/>
      <c r="G114" s="7"/>
      <c r="H114" s="7"/>
      <c r="I114" s="7"/>
      <c r="J114" s="7"/>
      <c r="K114" s="7"/>
      <c r="L114" s="7"/>
      <c r="M114" s="7"/>
      <c r="N114" s="7"/>
      <c r="O114" s="7"/>
      <c r="P114" s="7"/>
      <c r="Q114" s="7"/>
      <c r="R114" s="7"/>
      <c r="S114" s="7"/>
      <c r="T114" s="7"/>
      <c r="U114" s="7"/>
      <c r="V114" s="7"/>
      <c r="W114" s="7"/>
      <c r="X114" s="7"/>
      <c r="Y114" s="7"/>
    </row>
    <row r="115" spans="3:25" ht="19.5" customHeight="1">
      <c r="C115" s="7"/>
      <c r="D115" s="7"/>
      <c r="E115" s="7"/>
      <c r="F115" s="7"/>
      <c r="G115" s="7"/>
      <c r="H115" s="7"/>
      <c r="I115" s="7"/>
      <c r="J115" s="7"/>
      <c r="K115" s="7"/>
      <c r="L115" s="7"/>
      <c r="M115" s="7"/>
      <c r="N115" s="7"/>
      <c r="O115" s="7"/>
      <c r="P115" s="7"/>
      <c r="Q115" s="7"/>
      <c r="R115" s="7"/>
      <c r="S115" s="7"/>
      <c r="T115" s="7"/>
      <c r="U115" s="7"/>
      <c r="V115" s="7"/>
      <c r="W115" s="7"/>
      <c r="X115" s="7"/>
      <c r="Y115" s="7"/>
    </row>
    <row r="116" spans="3:25" ht="19.5" customHeight="1">
      <c r="C116" s="7"/>
      <c r="D116" s="7"/>
      <c r="E116" s="7"/>
      <c r="F116" s="7"/>
      <c r="G116" s="7"/>
      <c r="H116" s="7"/>
      <c r="I116" s="7"/>
      <c r="J116" s="7"/>
      <c r="K116" s="7"/>
      <c r="L116" s="7"/>
      <c r="M116" s="7"/>
      <c r="N116" s="7"/>
      <c r="O116" s="7"/>
      <c r="P116" s="7"/>
      <c r="Q116" s="7"/>
      <c r="R116" s="7"/>
      <c r="S116" s="7"/>
      <c r="T116" s="7"/>
      <c r="U116" s="7"/>
      <c r="V116" s="7"/>
      <c r="W116" s="7"/>
      <c r="X116" s="7"/>
      <c r="Y116" s="7"/>
    </row>
    <row r="117" spans="3:25" ht="19.5" customHeight="1">
      <c r="C117" s="7"/>
      <c r="D117" s="7"/>
      <c r="E117" s="7"/>
      <c r="F117" s="7"/>
      <c r="G117" s="7"/>
      <c r="H117" s="7"/>
      <c r="I117" s="7"/>
      <c r="J117" s="7"/>
      <c r="K117" s="7"/>
      <c r="L117" s="7"/>
      <c r="M117" s="7"/>
      <c r="N117" s="7"/>
      <c r="O117" s="7"/>
      <c r="P117" s="7"/>
      <c r="Q117" s="7"/>
      <c r="R117" s="7"/>
      <c r="S117" s="7"/>
      <c r="T117" s="7"/>
      <c r="U117" s="7"/>
      <c r="V117" s="7"/>
      <c r="W117" s="7"/>
      <c r="X117" s="7"/>
      <c r="Y117" s="7"/>
    </row>
    <row r="118" spans="3:25" ht="19.5" customHeight="1">
      <c r="C118" s="7"/>
      <c r="D118" s="7"/>
      <c r="E118" s="7"/>
      <c r="F118" s="7"/>
      <c r="G118" s="7"/>
      <c r="H118" s="7"/>
      <c r="I118" s="7"/>
      <c r="J118" s="7"/>
      <c r="K118" s="7"/>
      <c r="L118" s="7"/>
      <c r="M118" s="7"/>
      <c r="N118" s="7"/>
      <c r="O118" s="7"/>
      <c r="P118" s="7"/>
      <c r="Q118" s="7"/>
      <c r="R118" s="7"/>
      <c r="S118" s="7"/>
      <c r="T118" s="7"/>
      <c r="U118" s="7"/>
      <c r="V118" s="7"/>
      <c r="W118" s="7"/>
      <c r="X118" s="7"/>
      <c r="Y118" s="7"/>
    </row>
    <row r="119" spans="3:25" ht="19.5" customHeight="1">
      <c r="C119" s="7"/>
      <c r="D119" s="7"/>
      <c r="E119" s="7"/>
      <c r="F119" s="7"/>
      <c r="G119" s="7"/>
      <c r="H119" s="7"/>
      <c r="I119" s="7"/>
      <c r="J119" s="7"/>
      <c r="K119" s="7"/>
      <c r="L119" s="7"/>
      <c r="M119" s="7"/>
      <c r="N119" s="7"/>
      <c r="O119" s="7"/>
      <c r="P119" s="7"/>
      <c r="Q119" s="7"/>
      <c r="R119" s="7"/>
      <c r="S119" s="7"/>
      <c r="T119" s="7"/>
      <c r="U119" s="7"/>
      <c r="V119" s="7"/>
      <c r="W119" s="7"/>
      <c r="X119" s="7"/>
      <c r="Y119" s="7"/>
    </row>
    <row r="120" spans="3:25" ht="19.5" customHeight="1">
      <c r="C120" s="7"/>
      <c r="D120" s="7"/>
      <c r="E120" s="7"/>
      <c r="F120" s="7"/>
      <c r="G120" s="7"/>
      <c r="H120" s="7"/>
      <c r="I120" s="7"/>
      <c r="J120" s="7"/>
      <c r="K120" s="7"/>
      <c r="L120" s="7"/>
      <c r="M120" s="7"/>
      <c r="N120" s="7"/>
      <c r="O120" s="7"/>
      <c r="P120" s="7"/>
      <c r="Q120" s="7"/>
      <c r="R120" s="7"/>
      <c r="S120" s="7"/>
      <c r="T120" s="7"/>
      <c r="U120" s="7"/>
      <c r="V120" s="7"/>
      <c r="W120" s="7"/>
      <c r="X120" s="7"/>
      <c r="Y120" s="7"/>
    </row>
    <row r="121" spans="3:25" ht="19.5" customHeight="1">
      <c r="C121" s="7"/>
      <c r="D121" s="7"/>
      <c r="E121" s="7"/>
      <c r="F121" s="7"/>
      <c r="G121" s="7"/>
      <c r="H121" s="7"/>
      <c r="I121" s="7"/>
      <c r="J121" s="7"/>
      <c r="K121" s="7"/>
      <c r="L121" s="7"/>
      <c r="M121" s="7"/>
      <c r="N121" s="7"/>
      <c r="O121" s="7"/>
      <c r="P121" s="7"/>
      <c r="Q121" s="7"/>
      <c r="R121" s="7"/>
      <c r="S121" s="7"/>
      <c r="T121" s="7"/>
      <c r="U121" s="7"/>
      <c r="V121" s="7"/>
      <c r="W121" s="7"/>
      <c r="X121" s="7"/>
      <c r="Y121" s="7"/>
    </row>
    <row r="122" spans="3:25" ht="19.5" customHeight="1">
      <c r="C122" s="7"/>
      <c r="D122" s="7"/>
      <c r="E122" s="7"/>
      <c r="F122" s="7"/>
      <c r="G122" s="7"/>
      <c r="H122" s="7"/>
      <c r="I122" s="7"/>
      <c r="J122" s="7"/>
      <c r="K122" s="7"/>
      <c r="L122" s="7"/>
      <c r="M122" s="7"/>
      <c r="N122" s="7"/>
      <c r="O122" s="7"/>
      <c r="P122" s="7"/>
      <c r="Q122" s="7"/>
      <c r="R122" s="7"/>
      <c r="S122" s="7"/>
      <c r="T122" s="7"/>
      <c r="U122" s="7"/>
      <c r="V122" s="7"/>
      <c r="W122" s="7"/>
      <c r="X122" s="7"/>
      <c r="Y122" s="7"/>
    </row>
    <row r="123" spans="3:25" ht="19.5" customHeight="1">
      <c r="C123" s="7"/>
      <c r="D123" s="7"/>
      <c r="E123" s="7"/>
      <c r="F123" s="7"/>
      <c r="G123" s="7"/>
      <c r="H123" s="7"/>
      <c r="I123" s="7"/>
      <c r="J123" s="7"/>
      <c r="K123" s="7"/>
      <c r="L123" s="7"/>
      <c r="M123" s="7"/>
      <c r="N123" s="7"/>
      <c r="O123" s="7"/>
      <c r="P123" s="7"/>
      <c r="Q123" s="7"/>
      <c r="R123" s="7"/>
      <c r="S123" s="7"/>
      <c r="T123" s="7"/>
      <c r="U123" s="7"/>
      <c r="V123" s="7"/>
      <c r="W123" s="7"/>
      <c r="X123" s="7"/>
      <c r="Y123" s="7"/>
    </row>
    <row r="124" spans="3:25" ht="19.5" customHeight="1">
      <c r="C124" s="7"/>
      <c r="D124" s="7"/>
      <c r="E124" s="7"/>
      <c r="F124" s="7"/>
      <c r="G124" s="7"/>
      <c r="H124" s="7"/>
      <c r="I124" s="7"/>
      <c r="J124" s="7"/>
      <c r="K124" s="7"/>
      <c r="L124" s="7"/>
      <c r="M124" s="7"/>
      <c r="N124" s="7"/>
      <c r="O124" s="7"/>
      <c r="P124" s="7"/>
      <c r="Q124" s="7"/>
      <c r="R124" s="7"/>
      <c r="S124" s="7"/>
      <c r="T124" s="7"/>
      <c r="U124" s="7"/>
      <c r="V124" s="7"/>
      <c r="W124" s="7"/>
      <c r="X124" s="7"/>
      <c r="Y124" s="7"/>
    </row>
    <row r="125" spans="3:25" ht="19.5" customHeight="1">
      <c r="C125" s="7"/>
      <c r="D125" s="7"/>
      <c r="E125" s="7"/>
      <c r="F125" s="7"/>
      <c r="G125" s="7"/>
      <c r="H125" s="7"/>
      <c r="I125" s="7"/>
      <c r="J125" s="7"/>
      <c r="K125" s="7"/>
      <c r="L125" s="7"/>
      <c r="M125" s="7"/>
      <c r="N125" s="7"/>
      <c r="O125" s="7"/>
      <c r="P125" s="7"/>
      <c r="Q125" s="7"/>
      <c r="R125" s="7"/>
      <c r="S125" s="7"/>
      <c r="T125" s="7"/>
      <c r="U125" s="7"/>
      <c r="V125" s="7"/>
      <c r="W125" s="7"/>
      <c r="X125" s="7"/>
      <c r="Y125" s="7"/>
    </row>
    <row r="126" spans="3:25" ht="19.5" customHeight="1">
      <c r="C126" s="7"/>
      <c r="D126" s="7"/>
      <c r="E126" s="7"/>
      <c r="F126" s="7"/>
      <c r="G126" s="7"/>
      <c r="H126" s="7"/>
      <c r="I126" s="7"/>
      <c r="J126" s="7"/>
      <c r="K126" s="7"/>
      <c r="L126" s="7"/>
      <c r="M126" s="7"/>
      <c r="N126" s="7"/>
      <c r="O126" s="7"/>
      <c r="P126" s="7"/>
      <c r="Q126" s="7"/>
      <c r="R126" s="7"/>
      <c r="S126" s="7"/>
      <c r="T126" s="7"/>
      <c r="U126" s="7"/>
      <c r="V126" s="7"/>
      <c r="W126" s="7"/>
      <c r="X126" s="7"/>
      <c r="Y126" s="7"/>
    </row>
    <row r="127" spans="3:25" ht="19.5" customHeight="1">
      <c r="C127" s="7"/>
      <c r="D127" s="7"/>
      <c r="E127" s="7"/>
      <c r="F127" s="7"/>
      <c r="G127" s="7"/>
      <c r="H127" s="7"/>
      <c r="I127" s="7"/>
      <c r="J127" s="7"/>
      <c r="K127" s="7"/>
      <c r="L127" s="7"/>
      <c r="M127" s="7"/>
      <c r="N127" s="7"/>
      <c r="O127" s="7"/>
      <c r="P127" s="7"/>
      <c r="Q127" s="7"/>
      <c r="R127" s="7"/>
      <c r="S127" s="7"/>
      <c r="T127" s="7"/>
      <c r="U127" s="7"/>
      <c r="V127" s="7"/>
      <c r="W127" s="7"/>
      <c r="X127" s="7"/>
      <c r="Y127" s="7"/>
    </row>
    <row r="128" spans="3:25" ht="19.5" customHeight="1">
      <c r="C128" s="7"/>
      <c r="D128" s="7"/>
      <c r="E128" s="7"/>
      <c r="F128" s="7"/>
      <c r="G128" s="7"/>
      <c r="H128" s="7"/>
      <c r="I128" s="7"/>
      <c r="J128" s="7"/>
      <c r="K128" s="7"/>
      <c r="L128" s="7"/>
      <c r="M128" s="7"/>
      <c r="N128" s="7"/>
      <c r="O128" s="7"/>
      <c r="P128" s="7"/>
      <c r="Q128" s="7"/>
      <c r="R128" s="7"/>
      <c r="S128" s="7"/>
      <c r="T128" s="7"/>
      <c r="U128" s="7"/>
      <c r="V128" s="7"/>
      <c r="W128" s="7"/>
      <c r="X128" s="7"/>
      <c r="Y128" s="7"/>
    </row>
    <row r="129" spans="3:25" ht="19.5" customHeight="1">
      <c r="C129" s="7"/>
      <c r="D129" s="7"/>
      <c r="E129" s="7"/>
      <c r="F129" s="7"/>
      <c r="G129" s="7"/>
      <c r="H129" s="7"/>
      <c r="I129" s="7"/>
      <c r="J129" s="7"/>
      <c r="K129" s="7"/>
      <c r="L129" s="7"/>
      <c r="M129" s="7"/>
      <c r="N129" s="7"/>
      <c r="O129" s="7"/>
      <c r="P129" s="7"/>
      <c r="Q129" s="7"/>
      <c r="R129" s="7"/>
      <c r="S129" s="7"/>
      <c r="T129" s="7"/>
      <c r="U129" s="7"/>
      <c r="V129" s="7"/>
      <c r="W129" s="7"/>
      <c r="X129" s="7"/>
      <c r="Y129" s="7"/>
    </row>
    <row r="130" spans="3:25" ht="19.5" customHeight="1">
      <c r="C130" s="7"/>
      <c r="D130" s="7"/>
      <c r="E130" s="7"/>
      <c r="F130" s="7"/>
      <c r="G130" s="7"/>
      <c r="H130" s="7"/>
      <c r="I130" s="7"/>
      <c r="J130" s="7"/>
      <c r="K130" s="7"/>
      <c r="L130" s="7"/>
      <c r="M130" s="7"/>
      <c r="N130" s="7"/>
      <c r="O130" s="7"/>
      <c r="P130" s="7"/>
      <c r="Q130" s="7"/>
      <c r="R130" s="7"/>
      <c r="S130" s="7"/>
      <c r="T130" s="7"/>
      <c r="U130" s="7"/>
      <c r="V130" s="7"/>
      <c r="W130" s="7"/>
      <c r="X130" s="7"/>
      <c r="Y130" s="7"/>
    </row>
    <row r="131" spans="3:25" ht="19.5" customHeight="1">
      <c r="C131" s="7"/>
      <c r="D131" s="7"/>
      <c r="E131" s="7"/>
      <c r="F131" s="7"/>
      <c r="G131" s="7"/>
      <c r="H131" s="7"/>
      <c r="I131" s="7"/>
      <c r="J131" s="7"/>
      <c r="K131" s="7"/>
      <c r="L131" s="7"/>
      <c r="M131" s="7"/>
      <c r="N131" s="7"/>
      <c r="O131" s="7"/>
      <c r="P131" s="7"/>
      <c r="Q131" s="7"/>
      <c r="R131" s="7"/>
      <c r="S131" s="7"/>
      <c r="T131" s="7"/>
      <c r="U131" s="7"/>
      <c r="V131" s="7"/>
      <c r="W131" s="7"/>
      <c r="X131" s="7"/>
      <c r="Y131" s="7"/>
    </row>
    <row r="132" spans="3:25" ht="19.5" customHeight="1">
      <c r="C132" s="7"/>
      <c r="D132" s="7"/>
      <c r="E132" s="7"/>
      <c r="F132" s="7"/>
      <c r="G132" s="7"/>
      <c r="H132" s="7"/>
      <c r="I132" s="7"/>
      <c r="J132" s="7"/>
      <c r="K132" s="7"/>
      <c r="L132" s="7"/>
      <c r="M132" s="7"/>
      <c r="N132" s="7"/>
      <c r="O132" s="7"/>
      <c r="P132" s="7"/>
      <c r="Q132" s="7"/>
      <c r="R132" s="7"/>
      <c r="S132" s="7"/>
      <c r="T132" s="7"/>
      <c r="U132" s="7"/>
      <c r="V132" s="7"/>
      <c r="W132" s="7"/>
      <c r="X132" s="7"/>
      <c r="Y132" s="7"/>
    </row>
    <row r="133" spans="3:25" ht="19.5" customHeight="1">
      <c r="C133" s="7"/>
      <c r="D133" s="7"/>
      <c r="E133" s="7"/>
      <c r="F133" s="7"/>
      <c r="G133" s="7"/>
      <c r="H133" s="7"/>
      <c r="I133" s="7"/>
      <c r="J133" s="7"/>
      <c r="K133" s="7"/>
      <c r="L133" s="7"/>
      <c r="M133" s="7"/>
      <c r="N133" s="7"/>
      <c r="O133" s="7"/>
      <c r="P133" s="7"/>
      <c r="Q133" s="7"/>
      <c r="R133" s="7"/>
      <c r="S133" s="7"/>
      <c r="T133" s="7"/>
      <c r="U133" s="7"/>
      <c r="V133" s="7"/>
      <c r="W133" s="7"/>
      <c r="X133" s="7"/>
      <c r="Y133" s="7"/>
    </row>
    <row r="134" spans="3:25" ht="19.5" customHeight="1">
      <c r="C134" s="7"/>
      <c r="D134" s="7"/>
      <c r="E134" s="7"/>
      <c r="F134" s="7"/>
      <c r="G134" s="7"/>
      <c r="H134" s="7"/>
      <c r="I134" s="7"/>
      <c r="J134" s="7"/>
      <c r="K134" s="7"/>
      <c r="L134" s="7"/>
      <c r="M134" s="7"/>
      <c r="N134" s="7"/>
      <c r="O134" s="7"/>
      <c r="P134" s="7"/>
      <c r="Q134" s="7"/>
      <c r="R134" s="7"/>
      <c r="S134" s="7"/>
      <c r="T134" s="7"/>
      <c r="U134" s="7"/>
      <c r="V134" s="7"/>
      <c r="W134" s="7"/>
      <c r="X134" s="7"/>
      <c r="Y134" s="7"/>
    </row>
    <row r="135" spans="3:25" ht="19.5" customHeight="1">
      <c r="C135" s="7"/>
      <c r="D135" s="7"/>
      <c r="E135" s="7"/>
      <c r="F135" s="7"/>
      <c r="G135" s="7"/>
      <c r="H135" s="7"/>
      <c r="I135" s="7"/>
      <c r="J135" s="7"/>
      <c r="K135" s="7"/>
      <c r="L135" s="7"/>
      <c r="M135" s="7"/>
      <c r="N135" s="7"/>
      <c r="O135" s="7"/>
      <c r="P135" s="7"/>
      <c r="Q135" s="7"/>
      <c r="R135" s="7"/>
      <c r="S135" s="7"/>
      <c r="T135" s="7"/>
      <c r="U135" s="7"/>
      <c r="V135" s="7"/>
      <c r="W135" s="7"/>
      <c r="X135" s="7"/>
      <c r="Y135" s="7"/>
    </row>
    <row r="136" spans="3:25" ht="19.5" customHeight="1">
      <c r="C136" s="7"/>
      <c r="D136" s="7"/>
      <c r="E136" s="7"/>
      <c r="F136" s="7"/>
      <c r="G136" s="7"/>
      <c r="H136" s="7"/>
      <c r="I136" s="7"/>
      <c r="J136" s="7"/>
      <c r="K136" s="7"/>
      <c r="L136" s="7"/>
      <c r="M136" s="7"/>
      <c r="N136" s="7"/>
      <c r="O136" s="7"/>
      <c r="P136" s="7"/>
      <c r="Q136" s="7"/>
      <c r="R136" s="7"/>
      <c r="S136" s="7"/>
      <c r="T136" s="7"/>
      <c r="U136" s="7"/>
      <c r="V136" s="7"/>
      <c r="W136" s="7"/>
      <c r="X136" s="7"/>
      <c r="Y136" s="7"/>
    </row>
    <row r="137" spans="3:25" ht="19.5" customHeight="1">
      <c r="C137" s="7"/>
      <c r="D137" s="7"/>
      <c r="E137" s="7"/>
      <c r="F137" s="7"/>
      <c r="G137" s="7"/>
      <c r="H137" s="7"/>
      <c r="I137" s="7"/>
      <c r="J137" s="7"/>
      <c r="K137" s="7"/>
      <c r="L137" s="7"/>
      <c r="M137" s="7"/>
      <c r="N137" s="7"/>
      <c r="O137" s="7"/>
      <c r="P137" s="7"/>
      <c r="Q137" s="7"/>
      <c r="R137" s="7"/>
      <c r="S137" s="7"/>
      <c r="T137" s="7"/>
      <c r="U137" s="7"/>
      <c r="V137" s="7"/>
      <c r="W137" s="7"/>
      <c r="X137" s="7"/>
      <c r="Y137" s="7"/>
    </row>
    <row r="138" spans="3:25" ht="19.5" customHeight="1">
      <c r="C138" s="7"/>
      <c r="D138" s="7"/>
      <c r="E138" s="7"/>
      <c r="F138" s="7"/>
      <c r="G138" s="7"/>
      <c r="H138" s="7"/>
      <c r="I138" s="7"/>
      <c r="J138" s="7"/>
      <c r="K138" s="7"/>
      <c r="L138" s="7"/>
      <c r="M138" s="7"/>
      <c r="N138" s="7"/>
      <c r="O138" s="7"/>
      <c r="P138" s="7"/>
      <c r="Q138" s="7"/>
      <c r="R138" s="7"/>
      <c r="S138" s="7"/>
      <c r="T138" s="7"/>
      <c r="U138" s="7"/>
      <c r="V138" s="7"/>
      <c r="W138" s="7"/>
      <c r="X138" s="7"/>
      <c r="Y138" s="7"/>
    </row>
    <row r="139" spans="3:25" ht="19.5" customHeight="1">
      <c r="C139" s="7"/>
      <c r="D139" s="7"/>
      <c r="E139" s="7"/>
      <c r="F139" s="7"/>
      <c r="G139" s="7"/>
      <c r="H139" s="7"/>
      <c r="I139" s="7"/>
      <c r="J139" s="7"/>
      <c r="K139" s="7"/>
      <c r="L139" s="7"/>
      <c r="M139" s="7"/>
      <c r="N139" s="7"/>
      <c r="O139" s="7"/>
      <c r="P139" s="7"/>
      <c r="Q139" s="7"/>
      <c r="R139" s="7"/>
      <c r="S139" s="7"/>
      <c r="T139" s="7"/>
      <c r="U139" s="7"/>
      <c r="V139" s="7"/>
      <c r="W139" s="7"/>
      <c r="X139" s="7"/>
      <c r="Y139" s="7"/>
    </row>
    <row r="140" spans="3:25" ht="19.5" customHeight="1">
      <c r="C140" s="7"/>
      <c r="D140" s="7"/>
      <c r="E140" s="7"/>
      <c r="F140" s="7"/>
      <c r="G140" s="7"/>
      <c r="H140" s="7"/>
      <c r="I140" s="7"/>
      <c r="J140" s="7"/>
      <c r="K140" s="7"/>
      <c r="L140" s="7"/>
      <c r="M140" s="7"/>
      <c r="N140" s="7"/>
      <c r="O140" s="7"/>
      <c r="P140" s="7"/>
      <c r="Q140" s="7"/>
      <c r="R140" s="7"/>
      <c r="S140" s="7"/>
      <c r="T140" s="7"/>
      <c r="U140" s="7"/>
      <c r="V140" s="7"/>
      <c r="W140" s="7"/>
      <c r="X140" s="7"/>
      <c r="Y140" s="7"/>
    </row>
    <row r="141" spans="3:25" ht="19.5" customHeight="1">
      <c r="C141" s="7"/>
      <c r="D141" s="7"/>
      <c r="E141" s="7"/>
      <c r="F141" s="7"/>
      <c r="G141" s="7"/>
      <c r="H141" s="7"/>
      <c r="I141" s="7"/>
      <c r="J141" s="7"/>
      <c r="K141" s="7"/>
      <c r="L141" s="7"/>
      <c r="M141" s="7"/>
      <c r="N141" s="7"/>
      <c r="O141" s="7"/>
      <c r="P141" s="7"/>
      <c r="Q141" s="7"/>
      <c r="R141" s="7"/>
      <c r="S141" s="7"/>
      <c r="T141" s="7"/>
      <c r="U141" s="7"/>
      <c r="V141" s="7"/>
      <c r="W141" s="7"/>
      <c r="X141" s="7"/>
      <c r="Y141" s="7"/>
    </row>
    <row r="142" spans="3:25" ht="19.5" customHeight="1">
      <c r="C142" s="7"/>
      <c r="D142" s="7"/>
      <c r="E142" s="7"/>
      <c r="F142" s="7"/>
      <c r="G142" s="7"/>
      <c r="H142" s="7"/>
      <c r="I142" s="7"/>
      <c r="J142" s="7"/>
      <c r="K142" s="7"/>
      <c r="L142" s="7"/>
      <c r="M142" s="7"/>
      <c r="N142" s="7"/>
      <c r="O142" s="7"/>
      <c r="P142" s="7"/>
      <c r="Q142" s="7"/>
      <c r="R142" s="7"/>
      <c r="S142" s="7"/>
      <c r="T142" s="7"/>
      <c r="U142" s="7"/>
      <c r="V142" s="7"/>
      <c r="W142" s="7"/>
      <c r="X142" s="7"/>
      <c r="Y142" s="7"/>
    </row>
    <row r="143" spans="3:25" ht="19.5" customHeight="1">
      <c r="C143" s="7"/>
      <c r="D143" s="7"/>
      <c r="E143" s="7"/>
      <c r="F143" s="7"/>
      <c r="G143" s="7"/>
      <c r="H143" s="7"/>
      <c r="I143" s="7"/>
      <c r="J143" s="7"/>
      <c r="K143" s="7"/>
      <c r="L143" s="7"/>
      <c r="M143" s="7"/>
      <c r="N143" s="7"/>
      <c r="O143" s="7"/>
      <c r="P143" s="7"/>
      <c r="Q143" s="7"/>
      <c r="R143" s="7"/>
      <c r="S143" s="7"/>
      <c r="T143" s="7"/>
      <c r="U143" s="7"/>
      <c r="V143" s="7"/>
      <c r="W143" s="7"/>
      <c r="X143" s="7"/>
      <c r="Y143" s="7"/>
    </row>
    <row r="144" spans="3:25" ht="19.5" customHeight="1">
      <c r="C144" s="7"/>
      <c r="D144" s="7"/>
      <c r="E144" s="7"/>
      <c r="F144" s="7"/>
      <c r="G144" s="7"/>
      <c r="H144" s="7"/>
      <c r="I144" s="7"/>
      <c r="J144" s="7"/>
      <c r="K144" s="7"/>
      <c r="L144" s="7"/>
      <c r="M144" s="7"/>
      <c r="N144" s="7"/>
      <c r="O144" s="7"/>
      <c r="P144" s="7"/>
      <c r="Q144" s="7"/>
      <c r="R144" s="7"/>
      <c r="S144" s="7"/>
      <c r="T144" s="7"/>
      <c r="U144" s="7"/>
      <c r="V144" s="7"/>
      <c r="W144" s="7"/>
      <c r="X144" s="7"/>
      <c r="Y144" s="7"/>
    </row>
    <row r="145" spans="3:25" ht="19.5" customHeight="1">
      <c r="C145" s="7"/>
      <c r="D145" s="7"/>
      <c r="E145" s="7"/>
      <c r="F145" s="7"/>
      <c r="G145" s="7"/>
      <c r="H145" s="7"/>
      <c r="I145" s="7"/>
      <c r="J145" s="7"/>
      <c r="K145" s="7"/>
      <c r="L145" s="7"/>
      <c r="M145" s="7"/>
      <c r="N145" s="7"/>
      <c r="O145" s="7"/>
      <c r="P145" s="7"/>
      <c r="Q145" s="7"/>
      <c r="R145" s="7"/>
      <c r="S145" s="7"/>
      <c r="T145" s="7"/>
      <c r="U145" s="7"/>
      <c r="V145" s="7"/>
      <c r="W145" s="7"/>
      <c r="X145" s="7"/>
      <c r="Y145" s="7"/>
    </row>
    <row r="146" spans="3:25" ht="19.5" customHeight="1">
      <c r="C146" s="7"/>
      <c r="D146" s="7"/>
      <c r="E146" s="7"/>
      <c r="F146" s="7"/>
      <c r="G146" s="7"/>
      <c r="H146" s="7"/>
      <c r="I146" s="7"/>
      <c r="J146" s="7"/>
      <c r="K146" s="7"/>
      <c r="L146" s="7"/>
      <c r="M146" s="7"/>
      <c r="N146" s="7"/>
      <c r="O146" s="7"/>
      <c r="P146" s="7"/>
      <c r="Q146" s="7"/>
      <c r="R146" s="7"/>
      <c r="S146" s="7"/>
      <c r="T146" s="7"/>
      <c r="U146" s="7"/>
      <c r="V146" s="7"/>
      <c r="W146" s="7"/>
      <c r="X146" s="7"/>
      <c r="Y146" s="7"/>
    </row>
    <row r="147" spans="3:25" ht="19.5" customHeight="1">
      <c r="C147" s="7"/>
      <c r="D147" s="7"/>
      <c r="E147" s="7"/>
      <c r="F147" s="7"/>
      <c r="G147" s="7"/>
      <c r="H147" s="7"/>
      <c r="I147" s="7"/>
      <c r="J147" s="7"/>
      <c r="K147" s="7"/>
      <c r="L147" s="7"/>
      <c r="M147" s="7"/>
      <c r="N147" s="7"/>
      <c r="O147" s="7"/>
      <c r="P147" s="7"/>
      <c r="Q147" s="7"/>
      <c r="R147" s="7"/>
      <c r="S147" s="7"/>
      <c r="T147" s="7"/>
      <c r="U147" s="7"/>
      <c r="V147" s="7"/>
      <c r="W147" s="7"/>
      <c r="X147" s="7"/>
      <c r="Y147" s="7"/>
    </row>
    <row r="148" spans="3:25" ht="19.5" customHeight="1">
      <c r="C148" s="7"/>
      <c r="D148" s="7"/>
      <c r="E148" s="7"/>
      <c r="F148" s="7"/>
      <c r="G148" s="7"/>
      <c r="H148" s="7"/>
      <c r="I148" s="7"/>
      <c r="J148" s="7"/>
      <c r="K148" s="7"/>
      <c r="L148" s="7"/>
      <c r="M148" s="7"/>
      <c r="N148" s="7"/>
      <c r="O148" s="7"/>
      <c r="P148" s="7"/>
      <c r="Q148" s="7"/>
      <c r="R148" s="7"/>
      <c r="S148" s="7"/>
      <c r="T148" s="7"/>
      <c r="U148" s="7"/>
      <c r="V148" s="7"/>
      <c r="W148" s="7"/>
      <c r="X148" s="7"/>
      <c r="Y148" s="7"/>
    </row>
    <row r="149" spans="3:25" ht="19.5" customHeight="1">
      <c r="C149" s="7"/>
      <c r="D149" s="7"/>
      <c r="E149" s="7"/>
      <c r="F149" s="7"/>
      <c r="G149" s="7"/>
      <c r="H149" s="7"/>
      <c r="I149" s="7"/>
      <c r="J149" s="7"/>
      <c r="K149" s="7"/>
      <c r="L149" s="7"/>
      <c r="M149" s="7"/>
      <c r="N149" s="7"/>
      <c r="O149" s="7"/>
      <c r="P149" s="7"/>
      <c r="Q149" s="7"/>
      <c r="R149" s="7"/>
      <c r="S149" s="7"/>
      <c r="T149" s="7"/>
      <c r="U149" s="7"/>
      <c r="V149" s="7"/>
      <c r="W149" s="7"/>
      <c r="X149" s="7"/>
      <c r="Y149" s="7"/>
    </row>
    <row r="150" spans="3:25" ht="19.5" customHeight="1">
      <c r="C150" s="7"/>
      <c r="D150" s="7"/>
      <c r="E150" s="7"/>
      <c r="F150" s="7"/>
      <c r="G150" s="7"/>
      <c r="H150" s="7"/>
      <c r="I150" s="7"/>
      <c r="J150" s="7"/>
      <c r="K150" s="7"/>
      <c r="L150" s="7"/>
      <c r="M150" s="7"/>
      <c r="N150" s="7"/>
      <c r="O150" s="7"/>
      <c r="P150" s="7"/>
      <c r="Q150" s="7"/>
      <c r="R150" s="7"/>
      <c r="S150" s="7"/>
      <c r="T150" s="7"/>
      <c r="U150" s="7"/>
      <c r="V150" s="7"/>
      <c r="W150" s="7"/>
      <c r="X150" s="7"/>
      <c r="Y150" s="7"/>
    </row>
    <row r="151" spans="3:25" ht="19.5" customHeight="1">
      <c r="C151" s="7"/>
      <c r="D151" s="7"/>
      <c r="E151" s="7"/>
      <c r="F151" s="7"/>
      <c r="G151" s="7"/>
      <c r="H151" s="7"/>
      <c r="I151" s="7"/>
      <c r="J151" s="7"/>
      <c r="K151" s="7"/>
      <c r="L151" s="7"/>
      <c r="M151" s="7"/>
      <c r="N151" s="7"/>
      <c r="O151" s="7"/>
      <c r="P151" s="7"/>
      <c r="Q151" s="7"/>
      <c r="R151" s="7"/>
      <c r="S151" s="7"/>
      <c r="T151" s="7"/>
      <c r="U151" s="7"/>
      <c r="V151" s="7"/>
      <c r="W151" s="7"/>
      <c r="X151" s="7"/>
      <c r="Y151" s="7"/>
    </row>
    <row r="152" spans="3:25" ht="19.5" customHeight="1">
      <c r="C152" s="7"/>
      <c r="D152" s="7"/>
      <c r="E152" s="7"/>
      <c r="F152" s="7"/>
      <c r="G152" s="7"/>
      <c r="H152" s="7"/>
      <c r="I152" s="7"/>
      <c r="J152" s="7"/>
      <c r="K152" s="7"/>
      <c r="L152" s="7"/>
      <c r="M152" s="7"/>
      <c r="N152" s="7"/>
      <c r="O152" s="7"/>
      <c r="P152" s="7"/>
      <c r="Q152" s="7"/>
      <c r="R152" s="7"/>
      <c r="S152" s="7"/>
      <c r="T152" s="7"/>
      <c r="U152" s="7"/>
      <c r="V152" s="7"/>
      <c r="W152" s="7"/>
      <c r="X152" s="7"/>
      <c r="Y152" s="7"/>
    </row>
    <row r="153" spans="3:25" ht="19.5" customHeight="1">
      <c r="C153" s="7"/>
      <c r="D153" s="7"/>
      <c r="E153" s="7"/>
      <c r="F153" s="7"/>
      <c r="G153" s="7"/>
      <c r="H153" s="7"/>
      <c r="I153" s="7"/>
      <c r="J153" s="7"/>
      <c r="K153" s="7"/>
      <c r="L153" s="7"/>
      <c r="M153" s="7"/>
      <c r="N153" s="7"/>
      <c r="O153" s="7"/>
      <c r="P153" s="7"/>
      <c r="Q153" s="7"/>
      <c r="R153" s="7"/>
      <c r="S153" s="7"/>
      <c r="T153" s="7"/>
      <c r="U153" s="7"/>
      <c r="V153" s="7"/>
      <c r="W153" s="7"/>
      <c r="X153" s="7"/>
      <c r="Y153" s="7"/>
    </row>
    <row r="154" spans="3:25" ht="19.5" customHeight="1">
      <c r="C154" s="7"/>
      <c r="D154" s="7"/>
      <c r="E154" s="7"/>
      <c r="F154" s="7"/>
      <c r="G154" s="7"/>
      <c r="H154" s="7"/>
      <c r="I154" s="7"/>
      <c r="J154" s="7"/>
      <c r="K154" s="7"/>
      <c r="L154" s="7"/>
      <c r="M154" s="7"/>
      <c r="N154" s="7"/>
      <c r="O154" s="7"/>
      <c r="P154" s="7"/>
      <c r="Q154" s="7"/>
      <c r="R154" s="7"/>
      <c r="S154" s="7"/>
      <c r="T154" s="7"/>
      <c r="U154" s="7"/>
      <c r="V154" s="7"/>
      <c r="W154" s="7"/>
      <c r="X154" s="7"/>
      <c r="Y154" s="7"/>
    </row>
    <row r="155" spans="3:25" ht="19.5" customHeight="1">
      <c r="C155" s="7"/>
      <c r="D155" s="7"/>
      <c r="E155" s="7"/>
      <c r="F155" s="7"/>
      <c r="G155" s="7"/>
      <c r="H155" s="7"/>
      <c r="I155" s="7"/>
      <c r="J155" s="7"/>
      <c r="K155" s="7"/>
      <c r="L155" s="7"/>
      <c r="M155" s="7"/>
      <c r="N155" s="7"/>
      <c r="O155" s="7"/>
      <c r="P155" s="7"/>
      <c r="Q155" s="7"/>
      <c r="R155" s="7"/>
      <c r="S155" s="7"/>
      <c r="T155" s="7"/>
      <c r="U155" s="7"/>
      <c r="V155" s="7"/>
      <c r="W155" s="7"/>
      <c r="X155" s="7"/>
      <c r="Y155" s="7"/>
    </row>
    <row r="156" spans="3:25" ht="19.5" customHeight="1">
      <c r="C156" s="7"/>
      <c r="D156" s="7"/>
      <c r="E156" s="7"/>
      <c r="F156" s="7"/>
      <c r="G156" s="7"/>
      <c r="H156" s="7"/>
      <c r="I156" s="7"/>
      <c r="J156" s="7"/>
      <c r="K156" s="7"/>
      <c r="L156" s="7"/>
      <c r="M156" s="7"/>
      <c r="N156" s="7"/>
      <c r="O156" s="7"/>
      <c r="P156" s="7"/>
      <c r="Q156" s="7"/>
      <c r="R156" s="7"/>
      <c r="S156" s="7"/>
      <c r="T156" s="7"/>
      <c r="U156" s="7"/>
      <c r="V156" s="7"/>
      <c r="W156" s="7"/>
      <c r="X156" s="7"/>
      <c r="Y156" s="7"/>
    </row>
    <row r="157" spans="3:25" ht="19.5" customHeight="1">
      <c r="C157" s="7"/>
      <c r="D157" s="7"/>
      <c r="E157" s="7"/>
      <c r="F157" s="7"/>
      <c r="G157" s="7"/>
      <c r="H157" s="7"/>
      <c r="I157" s="7"/>
      <c r="J157" s="7"/>
      <c r="K157" s="7"/>
      <c r="L157" s="7"/>
      <c r="M157" s="7"/>
      <c r="N157" s="7"/>
      <c r="O157" s="7"/>
      <c r="P157" s="7"/>
      <c r="Q157" s="7"/>
      <c r="R157" s="7"/>
      <c r="S157" s="7"/>
      <c r="T157" s="7"/>
      <c r="U157" s="7"/>
      <c r="V157" s="7"/>
      <c r="W157" s="7"/>
      <c r="X157" s="7"/>
      <c r="Y157" s="7"/>
    </row>
    <row r="158" spans="3:25" ht="19.5" customHeight="1">
      <c r="C158" s="7"/>
      <c r="D158" s="7"/>
      <c r="E158" s="7"/>
      <c r="F158" s="7"/>
      <c r="G158" s="7"/>
      <c r="H158" s="7"/>
      <c r="I158" s="7"/>
      <c r="J158" s="7"/>
      <c r="K158" s="7"/>
      <c r="L158" s="7"/>
      <c r="M158" s="7"/>
      <c r="N158" s="7"/>
      <c r="O158" s="7"/>
      <c r="P158" s="7"/>
      <c r="Q158" s="7"/>
      <c r="R158" s="7"/>
      <c r="S158" s="7"/>
      <c r="T158" s="7"/>
      <c r="U158" s="7"/>
      <c r="V158" s="7"/>
      <c r="W158" s="7"/>
      <c r="X158" s="7"/>
      <c r="Y158" s="7"/>
    </row>
    <row r="159" spans="3:25" ht="19.5" customHeight="1">
      <c r="C159" s="7"/>
      <c r="D159" s="7"/>
      <c r="E159" s="7"/>
      <c r="F159" s="7"/>
      <c r="G159" s="7"/>
      <c r="H159" s="7"/>
      <c r="I159" s="7"/>
      <c r="J159" s="7"/>
      <c r="K159" s="7"/>
      <c r="L159" s="7"/>
      <c r="M159" s="7"/>
      <c r="N159" s="7"/>
      <c r="O159" s="7"/>
      <c r="P159" s="7"/>
      <c r="Q159" s="7"/>
      <c r="R159" s="7"/>
      <c r="S159" s="7"/>
      <c r="T159" s="7"/>
      <c r="U159" s="7"/>
      <c r="V159" s="7"/>
      <c r="W159" s="7"/>
      <c r="X159" s="7"/>
      <c r="Y159" s="7"/>
    </row>
    <row r="160" spans="3:25" ht="19.5" customHeight="1">
      <c r="C160" s="7"/>
      <c r="D160" s="7"/>
      <c r="E160" s="7"/>
      <c r="F160" s="7"/>
      <c r="G160" s="7"/>
      <c r="H160" s="7"/>
      <c r="I160" s="7"/>
      <c r="J160" s="7"/>
      <c r="K160" s="7"/>
      <c r="L160" s="7"/>
      <c r="M160" s="7"/>
      <c r="N160" s="7"/>
      <c r="O160" s="7"/>
      <c r="P160" s="7"/>
      <c r="Q160" s="7"/>
      <c r="R160" s="7"/>
      <c r="S160" s="7"/>
      <c r="T160" s="7"/>
      <c r="U160" s="7"/>
      <c r="V160" s="7"/>
      <c r="W160" s="7"/>
      <c r="X160" s="7"/>
      <c r="Y160" s="7"/>
    </row>
    <row r="161" spans="3:25" ht="19.5" customHeight="1">
      <c r="C161" s="7"/>
      <c r="D161" s="7"/>
      <c r="E161" s="7"/>
      <c r="F161" s="7"/>
      <c r="G161" s="7"/>
      <c r="H161" s="7"/>
      <c r="I161" s="7"/>
      <c r="J161" s="7"/>
      <c r="K161" s="7"/>
      <c r="L161" s="7"/>
      <c r="M161" s="7"/>
      <c r="N161" s="7"/>
      <c r="O161" s="7"/>
      <c r="P161" s="7"/>
      <c r="Q161" s="7"/>
      <c r="R161" s="7"/>
      <c r="S161" s="7"/>
      <c r="T161" s="7"/>
      <c r="U161" s="7"/>
      <c r="V161" s="7"/>
      <c r="W161" s="7"/>
      <c r="X161" s="7"/>
      <c r="Y161" s="7"/>
    </row>
    <row r="162" spans="3:25" ht="19.5" customHeight="1">
      <c r="C162" s="7"/>
      <c r="D162" s="7"/>
      <c r="E162" s="7"/>
      <c r="F162" s="7"/>
      <c r="G162" s="7"/>
      <c r="H162" s="7"/>
      <c r="I162" s="7"/>
      <c r="J162" s="7"/>
      <c r="K162" s="7"/>
      <c r="L162" s="7"/>
      <c r="M162" s="7"/>
      <c r="N162" s="7"/>
      <c r="O162" s="7"/>
      <c r="P162" s="7"/>
      <c r="Q162" s="7"/>
      <c r="R162" s="7"/>
      <c r="S162" s="7"/>
      <c r="T162" s="7"/>
      <c r="U162" s="7"/>
      <c r="V162" s="7"/>
      <c r="W162" s="7"/>
      <c r="X162" s="7"/>
      <c r="Y162" s="7"/>
    </row>
    <row r="163" spans="3:25" ht="19.5" customHeight="1">
      <c r="C163" s="7"/>
      <c r="D163" s="7"/>
      <c r="E163" s="7"/>
      <c r="F163" s="7"/>
      <c r="G163" s="7"/>
      <c r="H163" s="7"/>
      <c r="I163" s="7"/>
      <c r="J163" s="7"/>
      <c r="K163" s="7"/>
      <c r="L163" s="7"/>
      <c r="M163" s="7"/>
      <c r="N163" s="7"/>
      <c r="O163" s="7"/>
      <c r="P163" s="7"/>
      <c r="Q163" s="7"/>
      <c r="R163" s="7"/>
      <c r="S163" s="7"/>
      <c r="T163" s="7"/>
      <c r="U163" s="7"/>
      <c r="V163" s="7"/>
      <c r="W163" s="7"/>
      <c r="X163" s="7"/>
      <c r="Y163" s="7"/>
    </row>
    <row r="164" spans="3:25" ht="19.5" customHeight="1">
      <c r="C164" s="7"/>
      <c r="D164" s="7"/>
      <c r="E164" s="7"/>
      <c r="F164" s="7"/>
      <c r="G164" s="7"/>
      <c r="H164" s="7"/>
      <c r="I164" s="7"/>
      <c r="J164" s="7"/>
      <c r="K164" s="7"/>
      <c r="L164" s="7"/>
      <c r="M164" s="7"/>
      <c r="N164" s="7"/>
      <c r="O164" s="7"/>
      <c r="P164" s="7"/>
      <c r="Q164" s="7"/>
      <c r="R164" s="7"/>
      <c r="S164" s="7"/>
      <c r="T164" s="7"/>
      <c r="U164" s="7"/>
      <c r="V164" s="7"/>
      <c r="W164" s="7"/>
      <c r="X164" s="7"/>
      <c r="Y164" s="7"/>
    </row>
    <row r="165" spans="3:25" ht="19.5" customHeight="1">
      <c r="C165" s="7"/>
      <c r="D165" s="7"/>
      <c r="E165" s="7"/>
      <c r="F165" s="7"/>
      <c r="G165" s="7"/>
      <c r="H165" s="7"/>
      <c r="I165" s="7"/>
      <c r="J165" s="7"/>
      <c r="K165" s="7"/>
      <c r="L165" s="7"/>
      <c r="M165" s="7"/>
      <c r="N165" s="7"/>
      <c r="O165" s="7"/>
      <c r="P165" s="7"/>
      <c r="Q165" s="7"/>
      <c r="R165" s="7"/>
      <c r="S165" s="7"/>
      <c r="T165" s="7"/>
      <c r="U165" s="7"/>
      <c r="V165" s="7"/>
      <c r="W165" s="7"/>
      <c r="X165" s="7"/>
      <c r="Y165" s="7"/>
    </row>
    <row r="166" spans="3:25" ht="19.5" customHeight="1">
      <c r="C166" s="7"/>
      <c r="D166" s="7"/>
      <c r="E166" s="7"/>
      <c r="F166" s="7"/>
      <c r="G166" s="7"/>
      <c r="H166" s="7"/>
      <c r="I166" s="7"/>
      <c r="J166" s="7"/>
      <c r="K166" s="7"/>
      <c r="L166" s="7"/>
      <c r="M166" s="7"/>
      <c r="N166" s="7"/>
      <c r="O166" s="7"/>
      <c r="P166" s="7"/>
      <c r="Q166" s="7"/>
      <c r="R166" s="7"/>
      <c r="S166" s="7"/>
      <c r="T166" s="7"/>
      <c r="U166" s="7"/>
      <c r="V166" s="7"/>
      <c r="W166" s="7"/>
      <c r="X166" s="7"/>
      <c r="Y166" s="7"/>
    </row>
    <row r="167" spans="3:25" ht="19.5" customHeight="1">
      <c r="C167" s="7"/>
      <c r="D167" s="7"/>
      <c r="E167" s="7"/>
      <c r="F167" s="7"/>
      <c r="G167" s="7"/>
      <c r="H167" s="7"/>
      <c r="I167" s="7"/>
      <c r="J167" s="7"/>
      <c r="K167" s="7"/>
      <c r="L167" s="7"/>
      <c r="M167" s="7"/>
      <c r="N167" s="7"/>
      <c r="O167" s="7"/>
      <c r="P167" s="7"/>
      <c r="Q167" s="7"/>
      <c r="R167" s="7"/>
      <c r="S167" s="7"/>
      <c r="T167" s="7"/>
      <c r="U167" s="7"/>
      <c r="V167" s="7"/>
      <c r="W167" s="7"/>
      <c r="X167" s="7"/>
      <c r="Y167" s="7"/>
    </row>
    <row r="168" spans="3:25" ht="19.5" customHeight="1">
      <c r="C168" s="7"/>
      <c r="D168" s="7"/>
      <c r="E168" s="7"/>
      <c r="F168" s="7"/>
      <c r="G168" s="7"/>
      <c r="H168" s="7"/>
      <c r="I168" s="7"/>
      <c r="J168" s="7"/>
      <c r="K168" s="7"/>
      <c r="L168" s="7"/>
      <c r="M168" s="7"/>
      <c r="N168" s="7"/>
      <c r="O168" s="7"/>
      <c r="P168" s="7"/>
      <c r="Q168" s="7"/>
      <c r="R168" s="7"/>
      <c r="S168" s="7"/>
      <c r="T168" s="7"/>
      <c r="U168" s="7"/>
      <c r="V168" s="7"/>
      <c r="W168" s="7"/>
      <c r="X168" s="7"/>
      <c r="Y168" s="7"/>
    </row>
    <row r="169" spans="3:25" ht="19.5" customHeight="1">
      <c r="C169" s="7"/>
      <c r="D169" s="7"/>
      <c r="E169" s="7"/>
      <c r="F169" s="7"/>
      <c r="G169" s="7"/>
      <c r="H169" s="7"/>
      <c r="I169" s="7"/>
      <c r="J169" s="7"/>
      <c r="K169" s="7"/>
      <c r="L169" s="7"/>
      <c r="M169" s="7"/>
      <c r="N169" s="7"/>
      <c r="O169" s="7"/>
      <c r="P169" s="7"/>
      <c r="Q169" s="7"/>
      <c r="R169" s="7"/>
      <c r="S169" s="7"/>
      <c r="T169" s="7"/>
      <c r="U169" s="7"/>
      <c r="V169" s="7"/>
      <c r="W169" s="7"/>
      <c r="X169" s="7"/>
      <c r="Y169" s="7"/>
    </row>
    <row r="170" spans="3:25" ht="19.5" customHeight="1">
      <c r="C170" s="7"/>
      <c r="D170" s="7"/>
      <c r="E170" s="7"/>
      <c r="F170" s="7"/>
      <c r="G170" s="7"/>
      <c r="H170" s="7"/>
      <c r="I170" s="7"/>
      <c r="J170" s="7"/>
      <c r="K170" s="7"/>
      <c r="L170" s="7"/>
      <c r="M170" s="7"/>
      <c r="N170" s="7"/>
      <c r="O170" s="7"/>
      <c r="P170" s="7"/>
      <c r="Q170" s="7"/>
      <c r="R170" s="7"/>
      <c r="S170" s="7"/>
      <c r="T170" s="7"/>
      <c r="U170" s="7"/>
      <c r="V170" s="7"/>
      <c r="W170" s="7"/>
      <c r="X170" s="7"/>
      <c r="Y170" s="7"/>
    </row>
    <row r="171" spans="3:25" ht="19.5" customHeight="1">
      <c r="C171" s="7"/>
      <c r="D171" s="7"/>
      <c r="E171" s="7"/>
      <c r="F171" s="7"/>
      <c r="G171" s="7"/>
      <c r="H171" s="7"/>
      <c r="I171" s="7"/>
      <c r="J171" s="7"/>
      <c r="K171" s="7"/>
      <c r="L171" s="7"/>
      <c r="M171" s="7"/>
      <c r="N171" s="7"/>
      <c r="O171" s="7"/>
      <c r="P171" s="7"/>
      <c r="Q171" s="7"/>
      <c r="R171" s="7"/>
      <c r="S171" s="7"/>
      <c r="T171" s="7"/>
      <c r="U171" s="7"/>
      <c r="V171" s="7"/>
      <c r="W171" s="7"/>
      <c r="X171" s="7"/>
      <c r="Y171" s="7"/>
    </row>
    <row r="172" spans="3:25" ht="19.5" customHeight="1">
      <c r="C172" s="7"/>
      <c r="D172" s="7"/>
      <c r="E172" s="7"/>
      <c r="F172" s="7"/>
      <c r="G172" s="7"/>
      <c r="H172" s="7"/>
      <c r="I172" s="7"/>
      <c r="J172" s="7"/>
      <c r="K172" s="7"/>
      <c r="L172" s="7"/>
      <c r="M172" s="7"/>
      <c r="N172" s="7"/>
      <c r="O172" s="7"/>
      <c r="P172" s="7"/>
      <c r="Q172" s="7"/>
      <c r="R172" s="7"/>
      <c r="S172" s="7"/>
      <c r="T172" s="7"/>
      <c r="U172" s="7"/>
      <c r="V172" s="7"/>
      <c r="W172" s="7"/>
      <c r="X172" s="7"/>
      <c r="Y172" s="7"/>
    </row>
    <row r="173" spans="3:25" ht="19.5" customHeight="1">
      <c r="C173" s="7"/>
      <c r="D173" s="7"/>
      <c r="E173" s="7"/>
      <c r="F173" s="7"/>
      <c r="G173" s="7"/>
      <c r="H173" s="7"/>
      <c r="I173" s="7"/>
      <c r="J173" s="7"/>
      <c r="K173" s="7"/>
      <c r="L173" s="7"/>
      <c r="M173" s="7"/>
      <c r="N173" s="7"/>
      <c r="O173" s="7"/>
      <c r="P173" s="7"/>
      <c r="Q173" s="7"/>
      <c r="R173" s="7"/>
      <c r="S173" s="7"/>
      <c r="T173" s="7"/>
      <c r="U173" s="7"/>
      <c r="V173" s="7"/>
      <c r="W173" s="7"/>
      <c r="X173" s="7"/>
      <c r="Y173" s="7"/>
    </row>
    <row r="174" spans="3:25" ht="19.5" customHeight="1">
      <c r="C174" s="7"/>
      <c r="D174" s="7"/>
      <c r="E174" s="7"/>
      <c r="F174" s="7"/>
      <c r="G174" s="7"/>
      <c r="H174" s="7"/>
      <c r="I174" s="7"/>
      <c r="J174" s="7"/>
      <c r="K174" s="7"/>
      <c r="L174" s="7"/>
      <c r="M174" s="7"/>
      <c r="N174" s="7"/>
      <c r="O174" s="7"/>
      <c r="P174" s="7"/>
      <c r="Q174" s="7"/>
      <c r="R174" s="7"/>
      <c r="S174" s="7"/>
      <c r="T174" s="7"/>
      <c r="U174" s="7"/>
      <c r="V174" s="7"/>
      <c r="W174" s="7"/>
      <c r="X174" s="7"/>
      <c r="Y174" s="7"/>
    </row>
    <row r="175" spans="3:25" ht="19.5" customHeight="1">
      <c r="C175" s="7"/>
      <c r="D175" s="7"/>
      <c r="E175" s="7"/>
      <c r="F175" s="7"/>
      <c r="G175" s="7"/>
      <c r="H175" s="7"/>
      <c r="I175" s="7"/>
      <c r="J175" s="7"/>
      <c r="K175" s="7"/>
      <c r="L175" s="7"/>
      <c r="M175" s="7"/>
      <c r="N175" s="7"/>
      <c r="O175" s="7"/>
      <c r="P175" s="7"/>
      <c r="Q175" s="7"/>
      <c r="R175" s="7"/>
      <c r="S175" s="7"/>
      <c r="T175" s="7"/>
      <c r="U175" s="7"/>
      <c r="V175" s="7"/>
      <c r="W175" s="7"/>
      <c r="X175" s="7"/>
      <c r="Y175" s="7"/>
    </row>
    <row r="176" spans="3:25" ht="19.5" customHeight="1">
      <c r="C176" s="7"/>
      <c r="D176" s="7"/>
      <c r="E176" s="7"/>
      <c r="F176" s="7"/>
      <c r="G176" s="7"/>
      <c r="H176" s="7"/>
      <c r="I176" s="7"/>
      <c r="J176" s="7"/>
      <c r="K176" s="7"/>
      <c r="L176" s="7"/>
      <c r="M176" s="7"/>
      <c r="N176" s="7"/>
      <c r="O176" s="7"/>
      <c r="P176" s="7"/>
      <c r="Q176" s="7"/>
      <c r="R176" s="7"/>
      <c r="S176" s="7"/>
      <c r="T176" s="7"/>
      <c r="U176" s="7"/>
      <c r="V176" s="7"/>
      <c r="W176" s="7"/>
      <c r="X176" s="7"/>
      <c r="Y176" s="7"/>
    </row>
    <row r="177" spans="3:25" ht="19.5" customHeight="1">
      <c r="C177" s="7"/>
      <c r="D177" s="7"/>
      <c r="E177" s="7"/>
      <c r="F177" s="7"/>
      <c r="G177" s="7"/>
      <c r="H177" s="7"/>
      <c r="I177" s="7"/>
      <c r="J177" s="7"/>
      <c r="K177" s="7"/>
      <c r="L177" s="7"/>
      <c r="M177" s="7"/>
      <c r="N177" s="7"/>
      <c r="O177" s="7"/>
      <c r="P177" s="7"/>
      <c r="Q177" s="7"/>
      <c r="R177" s="7"/>
      <c r="S177" s="7"/>
      <c r="T177" s="7"/>
      <c r="U177" s="7"/>
      <c r="V177" s="7"/>
      <c r="W177" s="7"/>
      <c r="X177" s="7"/>
      <c r="Y177" s="7"/>
    </row>
    <row r="178" spans="3:25" ht="19.5" customHeight="1">
      <c r="C178" s="7"/>
      <c r="D178" s="7"/>
      <c r="E178" s="7"/>
      <c r="F178" s="7"/>
      <c r="G178" s="7"/>
      <c r="H178" s="7"/>
      <c r="I178" s="7"/>
      <c r="J178" s="7"/>
      <c r="K178" s="7"/>
      <c r="L178" s="7"/>
      <c r="M178" s="7"/>
      <c r="N178" s="7"/>
      <c r="O178" s="7"/>
      <c r="P178" s="7"/>
      <c r="Q178" s="7"/>
      <c r="R178" s="7"/>
      <c r="S178" s="7"/>
      <c r="T178" s="7"/>
      <c r="U178" s="7"/>
      <c r="V178" s="7"/>
      <c r="W178" s="7"/>
      <c r="X178" s="7"/>
      <c r="Y178" s="7"/>
    </row>
    <row r="179" spans="3:25" ht="19.5" customHeight="1">
      <c r="C179" s="7"/>
      <c r="D179" s="7"/>
      <c r="E179" s="7"/>
      <c r="F179" s="7"/>
      <c r="G179" s="7"/>
      <c r="H179" s="7"/>
      <c r="I179" s="7"/>
      <c r="J179" s="7"/>
      <c r="K179" s="7"/>
      <c r="L179" s="7"/>
      <c r="M179" s="7"/>
      <c r="N179" s="7"/>
      <c r="O179" s="7"/>
      <c r="P179" s="7"/>
      <c r="Q179" s="7"/>
      <c r="R179" s="7"/>
      <c r="S179" s="7"/>
      <c r="T179" s="7"/>
      <c r="U179" s="7"/>
      <c r="V179" s="7"/>
      <c r="W179" s="7"/>
      <c r="X179" s="7"/>
      <c r="Y179" s="7"/>
    </row>
    <row r="180" spans="3:25" ht="19.5" customHeight="1">
      <c r="C180" s="7"/>
      <c r="D180" s="7"/>
      <c r="E180" s="7"/>
      <c r="F180" s="7"/>
      <c r="G180" s="7"/>
      <c r="H180" s="7"/>
      <c r="I180" s="7"/>
      <c r="J180" s="7"/>
      <c r="K180" s="7"/>
      <c r="L180" s="7"/>
      <c r="M180" s="7"/>
      <c r="N180" s="7"/>
      <c r="O180" s="7"/>
      <c r="P180" s="7"/>
      <c r="Q180" s="7"/>
      <c r="R180" s="7"/>
      <c r="S180" s="7"/>
      <c r="T180" s="7"/>
      <c r="U180" s="7"/>
      <c r="V180" s="7"/>
      <c r="W180" s="7"/>
      <c r="X180" s="7"/>
      <c r="Y180" s="7"/>
    </row>
    <row r="181" spans="3:25" ht="19.5" customHeight="1">
      <c r="C181" s="7"/>
      <c r="D181" s="7"/>
      <c r="E181" s="7"/>
      <c r="F181" s="7"/>
      <c r="G181" s="7"/>
      <c r="H181" s="7"/>
      <c r="I181" s="7"/>
      <c r="J181" s="7"/>
      <c r="K181" s="7"/>
      <c r="L181" s="7"/>
      <c r="M181" s="7"/>
      <c r="N181" s="7"/>
      <c r="O181" s="7"/>
      <c r="P181" s="7"/>
      <c r="Q181" s="7"/>
      <c r="R181" s="7"/>
      <c r="S181" s="7"/>
      <c r="T181" s="7"/>
      <c r="U181" s="7"/>
      <c r="V181" s="7"/>
      <c r="W181" s="7"/>
      <c r="X181" s="7"/>
      <c r="Y181" s="7"/>
    </row>
    <row r="182" spans="3:25" ht="19.5" customHeight="1">
      <c r="C182" s="7"/>
      <c r="D182" s="7"/>
      <c r="E182" s="7"/>
      <c r="F182" s="7"/>
      <c r="G182" s="7"/>
      <c r="H182" s="7"/>
      <c r="I182" s="7"/>
      <c r="J182" s="7"/>
      <c r="K182" s="7"/>
      <c r="L182" s="7"/>
      <c r="M182" s="7"/>
      <c r="N182" s="7"/>
      <c r="O182" s="7"/>
      <c r="P182" s="7"/>
      <c r="Q182" s="7"/>
      <c r="R182" s="7"/>
      <c r="S182" s="7"/>
      <c r="T182" s="7"/>
      <c r="U182" s="7"/>
      <c r="V182" s="7"/>
      <c r="W182" s="7"/>
      <c r="X182" s="7"/>
      <c r="Y182" s="7"/>
    </row>
    <row r="183" spans="3:25" ht="19.5" customHeight="1">
      <c r="C183" s="7"/>
      <c r="D183" s="7"/>
      <c r="E183" s="7"/>
      <c r="F183" s="7"/>
      <c r="G183" s="7"/>
      <c r="H183" s="7"/>
      <c r="I183" s="7"/>
      <c r="J183" s="7"/>
      <c r="K183" s="7"/>
      <c r="L183" s="7"/>
      <c r="M183" s="7"/>
      <c r="N183" s="7"/>
      <c r="O183" s="7"/>
      <c r="P183" s="7"/>
      <c r="Q183" s="7"/>
      <c r="R183" s="7"/>
      <c r="S183" s="7"/>
      <c r="T183" s="7"/>
      <c r="U183" s="7"/>
      <c r="V183" s="7"/>
      <c r="W183" s="7"/>
      <c r="X183" s="7"/>
      <c r="Y183" s="7"/>
    </row>
    <row r="184" spans="3:25" ht="19.5" customHeight="1">
      <c r="C184" s="7"/>
      <c r="D184" s="7"/>
      <c r="E184" s="7"/>
      <c r="F184" s="7"/>
      <c r="G184" s="7"/>
      <c r="H184" s="7"/>
      <c r="I184" s="7"/>
      <c r="J184" s="7"/>
      <c r="K184" s="7"/>
      <c r="L184" s="7"/>
      <c r="M184" s="7"/>
      <c r="N184" s="7"/>
      <c r="O184" s="7"/>
      <c r="P184" s="7"/>
      <c r="Q184" s="7"/>
      <c r="R184" s="7"/>
      <c r="S184" s="7"/>
      <c r="T184" s="7"/>
      <c r="U184" s="7"/>
      <c r="V184" s="7"/>
      <c r="W184" s="7"/>
      <c r="X184" s="7"/>
      <c r="Y184" s="7"/>
    </row>
    <row r="185" spans="3:25" ht="19.5" customHeight="1">
      <c r="C185" s="7"/>
      <c r="D185" s="7"/>
      <c r="E185" s="7"/>
      <c r="F185" s="7"/>
      <c r="G185" s="7"/>
      <c r="H185" s="7"/>
      <c r="I185" s="7"/>
      <c r="J185" s="7"/>
      <c r="K185" s="7"/>
      <c r="L185" s="7"/>
      <c r="M185" s="7"/>
      <c r="N185" s="7"/>
      <c r="O185" s="7"/>
      <c r="P185" s="7"/>
      <c r="Q185" s="7"/>
      <c r="R185" s="7"/>
      <c r="S185" s="7"/>
      <c r="T185" s="7"/>
      <c r="U185" s="7"/>
      <c r="V185" s="7"/>
      <c r="W185" s="7"/>
      <c r="X185" s="7"/>
      <c r="Y185" s="7"/>
    </row>
    <row r="186" spans="3:25" ht="19.5" customHeight="1">
      <c r="C186" s="7"/>
      <c r="D186" s="7"/>
      <c r="E186" s="7"/>
      <c r="F186" s="7"/>
      <c r="G186" s="7"/>
      <c r="H186" s="7"/>
      <c r="I186" s="7"/>
      <c r="J186" s="7"/>
      <c r="K186" s="7"/>
      <c r="L186" s="7"/>
      <c r="M186" s="7"/>
      <c r="N186" s="7"/>
      <c r="O186" s="7"/>
      <c r="P186" s="7"/>
      <c r="Q186" s="7"/>
      <c r="R186" s="7"/>
      <c r="S186" s="7"/>
      <c r="T186" s="7"/>
      <c r="U186" s="7"/>
      <c r="V186" s="7"/>
      <c r="W186" s="7"/>
      <c r="X186" s="7"/>
      <c r="Y186" s="7"/>
    </row>
    <row r="187" spans="3:25" ht="19.5" customHeight="1">
      <c r="C187" s="7"/>
      <c r="D187" s="7"/>
      <c r="E187" s="7"/>
      <c r="F187" s="7"/>
      <c r="G187" s="7"/>
      <c r="H187" s="7"/>
      <c r="I187" s="7"/>
      <c r="J187" s="7"/>
      <c r="K187" s="7"/>
      <c r="L187" s="7"/>
      <c r="M187" s="7"/>
      <c r="N187" s="7"/>
      <c r="O187" s="7"/>
      <c r="P187" s="7"/>
      <c r="Q187" s="7"/>
      <c r="R187" s="7"/>
      <c r="S187" s="7"/>
      <c r="T187" s="7"/>
      <c r="U187" s="7"/>
      <c r="V187" s="7"/>
      <c r="W187" s="7"/>
      <c r="X187" s="7"/>
      <c r="Y187" s="7"/>
    </row>
    <row r="188" spans="3:25" ht="19.5" customHeight="1">
      <c r="C188" s="7"/>
      <c r="D188" s="7"/>
      <c r="E188" s="7"/>
      <c r="F188" s="7"/>
      <c r="G188" s="7"/>
      <c r="H188" s="7"/>
      <c r="I188" s="7"/>
      <c r="J188" s="7"/>
      <c r="K188" s="7"/>
      <c r="L188" s="7"/>
      <c r="M188" s="7"/>
      <c r="N188" s="7"/>
      <c r="O188" s="7"/>
      <c r="P188" s="7"/>
      <c r="Q188" s="7"/>
      <c r="R188" s="7"/>
      <c r="S188" s="7"/>
      <c r="T188" s="7"/>
      <c r="U188" s="7"/>
      <c r="V188" s="7"/>
      <c r="W188" s="7"/>
      <c r="X188" s="7"/>
      <c r="Y188" s="7"/>
    </row>
    <row r="189" spans="3:25" ht="19.5" customHeight="1">
      <c r="C189" s="7"/>
      <c r="D189" s="7"/>
      <c r="E189" s="7"/>
      <c r="F189" s="7"/>
      <c r="G189" s="7"/>
      <c r="H189" s="7"/>
      <c r="I189" s="7"/>
      <c r="J189" s="7"/>
      <c r="K189" s="7"/>
      <c r="L189" s="7"/>
      <c r="M189" s="7"/>
      <c r="N189" s="7"/>
      <c r="O189" s="7"/>
      <c r="P189" s="7"/>
      <c r="Q189" s="7"/>
      <c r="R189" s="7"/>
      <c r="S189" s="7"/>
      <c r="T189" s="7"/>
      <c r="U189" s="7"/>
      <c r="V189" s="7"/>
      <c r="W189" s="7"/>
      <c r="X189" s="7"/>
      <c r="Y189" s="7"/>
    </row>
    <row r="190" spans="3:25" ht="19.5" customHeight="1">
      <c r="C190" s="7"/>
      <c r="D190" s="7"/>
      <c r="E190" s="7"/>
      <c r="F190" s="7"/>
      <c r="G190" s="7"/>
      <c r="H190" s="7"/>
      <c r="I190" s="7"/>
      <c r="J190" s="7"/>
      <c r="K190" s="7"/>
      <c r="L190" s="7"/>
      <c r="M190" s="7"/>
      <c r="N190" s="7"/>
      <c r="O190" s="7"/>
      <c r="P190" s="7"/>
      <c r="Q190" s="7"/>
      <c r="R190" s="7"/>
      <c r="S190" s="7"/>
      <c r="T190" s="7"/>
      <c r="U190" s="7"/>
      <c r="V190" s="7"/>
      <c r="W190" s="7"/>
      <c r="X190" s="7"/>
      <c r="Y190" s="7"/>
    </row>
    <row r="191" spans="3:25" ht="19.5" customHeight="1">
      <c r="C191" s="7"/>
      <c r="D191" s="7"/>
      <c r="E191" s="7"/>
      <c r="F191" s="7"/>
      <c r="G191" s="7"/>
      <c r="H191" s="7"/>
      <c r="I191" s="7"/>
      <c r="J191" s="7"/>
      <c r="K191" s="7"/>
      <c r="L191" s="7"/>
      <c r="M191" s="7"/>
      <c r="N191" s="7"/>
      <c r="O191" s="7"/>
      <c r="P191" s="7"/>
      <c r="Q191" s="7"/>
      <c r="R191" s="7"/>
      <c r="S191" s="7"/>
      <c r="T191" s="7"/>
      <c r="U191" s="7"/>
      <c r="V191" s="7"/>
      <c r="W191" s="7"/>
      <c r="X191" s="7"/>
      <c r="Y191" s="7"/>
    </row>
    <row r="192" spans="3:25" ht="19.5" customHeight="1">
      <c r="C192" s="7"/>
      <c r="D192" s="7"/>
      <c r="E192" s="7"/>
      <c r="F192" s="7"/>
      <c r="G192" s="7"/>
      <c r="H192" s="7"/>
      <c r="I192" s="7"/>
      <c r="J192" s="7"/>
      <c r="K192" s="7"/>
      <c r="L192" s="7"/>
      <c r="M192" s="7"/>
      <c r="N192" s="7"/>
      <c r="O192" s="7"/>
      <c r="P192" s="7"/>
      <c r="Q192" s="7"/>
      <c r="R192" s="7"/>
      <c r="S192" s="7"/>
      <c r="T192" s="7"/>
      <c r="U192" s="7"/>
      <c r="V192" s="7"/>
      <c r="W192" s="7"/>
      <c r="X192" s="7"/>
      <c r="Y192" s="7"/>
    </row>
    <row r="193" spans="3:25" ht="19.5" customHeight="1">
      <c r="C193" s="7"/>
      <c r="D193" s="7"/>
      <c r="E193" s="7"/>
      <c r="F193" s="7"/>
      <c r="G193" s="7"/>
      <c r="H193" s="7"/>
      <c r="I193" s="7"/>
      <c r="J193" s="7"/>
      <c r="K193" s="7"/>
      <c r="L193" s="7"/>
      <c r="M193" s="7"/>
      <c r="N193" s="7"/>
      <c r="O193" s="7"/>
      <c r="P193" s="7"/>
      <c r="Q193" s="7"/>
      <c r="R193" s="7"/>
      <c r="S193" s="7"/>
      <c r="T193" s="7"/>
      <c r="U193" s="7"/>
      <c r="V193" s="7"/>
      <c r="W193" s="7"/>
      <c r="X193" s="7"/>
      <c r="Y193" s="7"/>
    </row>
    <row r="194" spans="3:25" ht="19.5" customHeight="1">
      <c r="C194" s="7"/>
      <c r="D194" s="7"/>
      <c r="E194" s="7"/>
      <c r="F194" s="7"/>
      <c r="G194" s="7"/>
      <c r="H194" s="7"/>
      <c r="I194" s="7"/>
      <c r="J194" s="7"/>
      <c r="K194" s="7"/>
      <c r="L194" s="7"/>
      <c r="M194" s="7"/>
      <c r="N194" s="7"/>
      <c r="O194" s="7"/>
      <c r="P194" s="7"/>
      <c r="Q194" s="7"/>
      <c r="R194" s="7"/>
      <c r="S194" s="7"/>
      <c r="T194" s="7"/>
      <c r="U194" s="7"/>
      <c r="V194" s="7"/>
      <c r="W194" s="7"/>
      <c r="X194" s="7"/>
      <c r="Y194" s="7"/>
    </row>
    <row r="195" spans="3:25" ht="19.5" customHeight="1">
      <c r="C195" s="7"/>
      <c r="D195" s="7"/>
      <c r="E195" s="7"/>
      <c r="F195" s="7"/>
      <c r="G195" s="7"/>
      <c r="H195" s="7"/>
      <c r="I195" s="7"/>
      <c r="J195" s="7"/>
      <c r="K195" s="7"/>
      <c r="L195" s="7"/>
      <c r="M195" s="7"/>
      <c r="N195" s="7"/>
      <c r="O195" s="7"/>
      <c r="P195" s="7"/>
      <c r="Q195" s="7"/>
      <c r="R195" s="7"/>
      <c r="S195" s="7"/>
      <c r="T195" s="7"/>
      <c r="U195" s="7"/>
      <c r="V195" s="7"/>
      <c r="W195" s="7"/>
      <c r="X195" s="7"/>
      <c r="Y195" s="7"/>
    </row>
    <row r="196" spans="3:25" ht="19.5" customHeight="1">
      <c r="C196" s="7"/>
      <c r="D196" s="7"/>
      <c r="E196" s="7"/>
      <c r="F196" s="7"/>
      <c r="G196" s="7"/>
      <c r="H196" s="7"/>
      <c r="I196" s="7"/>
      <c r="J196" s="7"/>
      <c r="K196" s="7"/>
      <c r="L196" s="7"/>
      <c r="M196" s="7"/>
      <c r="N196" s="7"/>
      <c r="O196" s="7"/>
      <c r="P196" s="7"/>
      <c r="Q196" s="7"/>
      <c r="R196" s="7"/>
      <c r="S196" s="7"/>
      <c r="T196" s="7"/>
      <c r="U196" s="7"/>
      <c r="V196" s="7"/>
      <c r="W196" s="7"/>
      <c r="X196" s="7"/>
      <c r="Y196" s="7"/>
    </row>
    <row r="197" spans="3:25" ht="19.5" customHeight="1">
      <c r="C197" s="7"/>
      <c r="D197" s="7"/>
      <c r="E197" s="7"/>
      <c r="F197" s="7"/>
      <c r="G197" s="7"/>
      <c r="H197" s="7"/>
      <c r="I197" s="7"/>
      <c r="J197" s="7"/>
      <c r="K197" s="7"/>
      <c r="L197" s="7"/>
      <c r="M197" s="7"/>
      <c r="N197" s="7"/>
      <c r="O197" s="7"/>
      <c r="P197" s="7"/>
      <c r="Q197" s="7"/>
      <c r="R197" s="7"/>
      <c r="S197" s="7"/>
      <c r="T197" s="7"/>
      <c r="U197" s="7"/>
      <c r="V197" s="7"/>
      <c r="W197" s="7"/>
      <c r="X197" s="7"/>
      <c r="Y197" s="7"/>
    </row>
    <row r="198" spans="3:25" ht="19.5" customHeight="1">
      <c r="C198" s="7"/>
      <c r="D198" s="7"/>
      <c r="E198" s="7"/>
      <c r="F198" s="7"/>
      <c r="G198" s="7"/>
      <c r="H198" s="7"/>
      <c r="I198" s="7"/>
      <c r="J198" s="7"/>
      <c r="K198" s="7"/>
      <c r="L198" s="7"/>
      <c r="M198" s="7"/>
      <c r="N198" s="7"/>
      <c r="O198" s="7"/>
      <c r="P198" s="7"/>
      <c r="Q198" s="7"/>
      <c r="R198" s="7"/>
      <c r="S198" s="7"/>
      <c r="T198" s="7"/>
      <c r="U198" s="7"/>
      <c r="V198" s="7"/>
      <c r="W198" s="7"/>
      <c r="X198" s="7"/>
      <c r="Y198" s="7"/>
    </row>
    <row r="199" spans="3:25" ht="19.5" customHeight="1">
      <c r="C199" s="7"/>
      <c r="D199" s="7"/>
      <c r="E199" s="7"/>
      <c r="F199" s="7"/>
      <c r="G199" s="7"/>
      <c r="H199" s="7"/>
      <c r="I199" s="7"/>
      <c r="J199" s="7"/>
      <c r="K199" s="7"/>
      <c r="L199" s="7"/>
      <c r="M199" s="7"/>
      <c r="N199" s="7"/>
      <c r="O199" s="7"/>
      <c r="P199" s="7"/>
      <c r="Q199" s="7"/>
      <c r="R199" s="7"/>
      <c r="S199" s="7"/>
      <c r="T199" s="7"/>
      <c r="U199" s="7"/>
      <c r="V199" s="7"/>
      <c r="W199" s="7"/>
      <c r="X199" s="7"/>
      <c r="Y199" s="7"/>
    </row>
    <row r="200" spans="3:25" ht="19.5" customHeight="1">
      <c r="C200" s="7"/>
      <c r="D200" s="7"/>
      <c r="E200" s="7"/>
      <c r="F200" s="7"/>
      <c r="G200" s="7"/>
      <c r="H200" s="7"/>
      <c r="I200" s="7"/>
      <c r="J200" s="7"/>
      <c r="K200" s="7"/>
      <c r="L200" s="7"/>
      <c r="M200" s="7"/>
      <c r="N200" s="7"/>
      <c r="O200" s="7"/>
      <c r="P200" s="7"/>
      <c r="Q200" s="7"/>
      <c r="R200" s="7"/>
      <c r="S200" s="7"/>
      <c r="T200" s="7"/>
      <c r="U200" s="7"/>
      <c r="V200" s="7"/>
      <c r="W200" s="7"/>
      <c r="X200" s="7"/>
      <c r="Y200" s="7"/>
    </row>
    <row r="201" spans="3:25" ht="19.5" customHeight="1">
      <c r="C201" s="7"/>
      <c r="D201" s="7"/>
      <c r="E201" s="7"/>
      <c r="F201" s="7"/>
      <c r="G201" s="7"/>
      <c r="H201" s="7"/>
      <c r="I201" s="7"/>
      <c r="J201" s="7"/>
      <c r="K201" s="7"/>
      <c r="L201" s="7"/>
      <c r="M201" s="7"/>
      <c r="N201" s="7"/>
      <c r="O201" s="7"/>
      <c r="P201" s="7"/>
      <c r="Q201" s="7"/>
      <c r="R201" s="7"/>
      <c r="S201" s="7"/>
      <c r="T201" s="7"/>
      <c r="U201" s="7"/>
      <c r="V201" s="7"/>
      <c r="W201" s="7"/>
      <c r="X201" s="7"/>
      <c r="Y201" s="7"/>
    </row>
    <row r="202" spans="3:25" ht="19.5" customHeight="1">
      <c r="C202" s="7"/>
      <c r="D202" s="7"/>
      <c r="E202" s="7"/>
      <c r="F202" s="7"/>
      <c r="G202" s="7"/>
      <c r="H202" s="7"/>
      <c r="I202" s="7"/>
      <c r="J202" s="7"/>
      <c r="K202" s="7"/>
      <c r="L202" s="7"/>
      <c r="M202" s="7"/>
      <c r="N202" s="7"/>
      <c r="O202" s="7"/>
      <c r="P202" s="7"/>
      <c r="Q202" s="7"/>
      <c r="R202" s="7"/>
      <c r="S202" s="7"/>
      <c r="T202" s="7"/>
      <c r="U202" s="7"/>
      <c r="V202" s="7"/>
      <c r="W202" s="7"/>
      <c r="X202" s="7"/>
      <c r="Y202" s="7"/>
    </row>
    <row r="203" spans="3:25" ht="19.5" customHeight="1">
      <c r="C203" s="7"/>
      <c r="D203" s="7"/>
      <c r="E203" s="7"/>
      <c r="F203" s="7"/>
      <c r="G203" s="7"/>
      <c r="H203" s="7"/>
      <c r="I203" s="7"/>
      <c r="J203" s="7"/>
      <c r="K203" s="7"/>
      <c r="L203" s="7"/>
      <c r="M203" s="7"/>
      <c r="N203" s="7"/>
      <c r="O203" s="7"/>
      <c r="P203" s="7"/>
      <c r="Q203" s="7"/>
      <c r="R203" s="7"/>
      <c r="S203" s="7"/>
      <c r="T203" s="7"/>
      <c r="U203" s="7"/>
      <c r="V203" s="7"/>
      <c r="W203" s="7"/>
      <c r="X203" s="7"/>
      <c r="Y203" s="7"/>
    </row>
    <row r="204" spans="3:25" ht="19.5" customHeight="1">
      <c r="C204" s="7"/>
      <c r="D204" s="7"/>
      <c r="E204" s="7"/>
      <c r="F204" s="7"/>
      <c r="G204" s="7"/>
      <c r="H204" s="7"/>
      <c r="I204" s="7"/>
      <c r="J204" s="7"/>
      <c r="K204" s="7"/>
      <c r="L204" s="7"/>
      <c r="M204" s="7"/>
      <c r="N204" s="7"/>
      <c r="O204" s="7"/>
      <c r="P204" s="7"/>
      <c r="Q204" s="7"/>
      <c r="R204" s="7"/>
      <c r="S204" s="7"/>
      <c r="T204" s="7"/>
      <c r="U204" s="7"/>
      <c r="V204" s="7"/>
      <c r="W204" s="7"/>
      <c r="X204" s="7"/>
      <c r="Y204" s="7"/>
    </row>
    <row r="205" spans="3:25" ht="19.5" customHeight="1">
      <c r="C205" s="7"/>
      <c r="D205" s="7"/>
      <c r="E205" s="7"/>
      <c r="F205" s="7"/>
      <c r="G205" s="7"/>
      <c r="H205" s="7"/>
      <c r="I205" s="7"/>
      <c r="J205" s="7"/>
      <c r="K205" s="7"/>
      <c r="L205" s="7"/>
      <c r="M205" s="7"/>
      <c r="N205" s="7"/>
      <c r="O205" s="7"/>
      <c r="P205" s="7"/>
      <c r="Q205" s="7"/>
      <c r="R205" s="7"/>
      <c r="S205" s="7"/>
      <c r="T205" s="7"/>
      <c r="U205" s="7"/>
      <c r="V205" s="7"/>
      <c r="W205" s="7"/>
      <c r="X205" s="7"/>
      <c r="Y205" s="7"/>
    </row>
    <row r="206" spans="3:25" ht="19.5" customHeight="1">
      <c r="C206" s="7"/>
      <c r="D206" s="7"/>
      <c r="E206" s="7"/>
      <c r="F206" s="7"/>
      <c r="G206" s="7"/>
      <c r="H206" s="7"/>
      <c r="I206" s="7"/>
      <c r="J206" s="7"/>
      <c r="K206" s="7"/>
      <c r="L206" s="7"/>
      <c r="M206" s="7"/>
      <c r="N206" s="7"/>
      <c r="O206" s="7"/>
      <c r="P206" s="7"/>
      <c r="Q206" s="7"/>
      <c r="R206" s="7"/>
      <c r="S206" s="7"/>
      <c r="T206" s="7"/>
      <c r="U206" s="7"/>
      <c r="V206" s="7"/>
      <c r="W206" s="7"/>
      <c r="X206" s="7"/>
      <c r="Y206" s="7"/>
    </row>
    <row r="207" spans="3:25" ht="19.5" customHeight="1">
      <c r="C207" s="7"/>
      <c r="D207" s="7"/>
      <c r="E207" s="7"/>
      <c r="F207" s="7"/>
      <c r="G207" s="7"/>
      <c r="H207" s="7"/>
      <c r="I207" s="7"/>
      <c r="J207" s="7"/>
      <c r="K207" s="7"/>
      <c r="L207" s="7"/>
      <c r="M207" s="7"/>
      <c r="N207" s="7"/>
      <c r="O207" s="7"/>
      <c r="P207" s="7"/>
      <c r="Q207" s="7"/>
      <c r="R207" s="7"/>
      <c r="S207" s="7"/>
      <c r="T207" s="7"/>
      <c r="U207" s="7"/>
      <c r="V207" s="7"/>
      <c r="W207" s="7"/>
      <c r="X207" s="7"/>
      <c r="Y207" s="7"/>
    </row>
    <row r="208" spans="3:25" ht="19.5" customHeight="1">
      <c r="C208" s="7"/>
      <c r="D208" s="7"/>
      <c r="E208" s="7"/>
      <c r="F208" s="7"/>
      <c r="G208" s="7"/>
      <c r="H208" s="7"/>
      <c r="I208" s="7"/>
      <c r="J208" s="7"/>
      <c r="K208" s="7"/>
      <c r="L208" s="7"/>
      <c r="M208" s="7"/>
      <c r="N208" s="7"/>
      <c r="O208" s="7"/>
      <c r="P208" s="7"/>
      <c r="Q208" s="7"/>
      <c r="R208" s="7"/>
      <c r="S208" s="7"/>
      <c r="T208" s="7"/>
      <c r="U208" s="7"/>
      <c r="V208" s="7"/>
      <c r="W208" s="7"/>
      <c r="X208" s="7"/>
      <c r="Y208" s="7"/>
    </row>
    <row r="209" spans="3:25" ht="19.5" customHeight="1">
      <c r="C209" s="7"/>
      <c r="D209" s="7"/>
      <c r="E209" s="7"/>
      <c r="F209" s="7"/>
      <c r="G209" s="7"/>
      <c r="H209" s="7"/>
      <c r="I209" s="7"/>
      <c r="J209" s="7"/>
      <c r="K209" s="7"/>
      <c r="L209" s="7"/>
      <c r="M209" s="7"/>
      <c r="N209" s="7"/>
      <c r="O209" s="7"/>
      <c r="P209" s="7"/>
      <c r="Q209" s="7"/>
      <c r="R209" s="7"/>
      <c r="S209" s="7"/>
      <c r="T209" s="7"/>
      <c r="U209" s="7"/>
      <c r="V209" s="7"/>
      <c r="W209" s="7"/>
      <c r="X209" s="7"/>
      <c r="Y209" s="7"/>
    </row>
    <row r="210" spans="3:25" ht="19.5" customHeight="1">
      <c r="C210" s="7"/>
      <c r="D210" s="7"/>
      <c r="E210" s="7"/>
      <c r="F210" s="7"/>
      <c r="G210" s="7"/>
      <c r="H210" s="7"/>
      <c r="I210" s="7"/>
      <c r="J210" s="7"/>
      <c r="K210" s="7"/>
      <c r="L210" s="7"/>
      <c r="M210" s="7"/>
      <c r="N210" s="7"/>
      <c r="O210" s="7"/>
      <c r="P210" s="7"/>
      <c r="Q210" s="7"/>
      <c r="R210" s="7"/>
      <c r="S210" s="7"/>
      <c r="T210" s="7"/>
      <c r="U210" s="7"/>
      <c r="V210" s="7"/>
      <c r="W210" s="7"/>
      <c r="X210" s="7"/>
      <c r="Y210" s="7"/>
    </row>
    <row r="211" spans="3:25" ht="19.5" customHeight="1">
      <c r="C211" s="7"/>
      <c r="D211" s="7"/>
      <c r="E211" s="7"/>
      <c r="F211" s="7"/>
      <c r="G211" s="7"/>
      <c r="H211" s="7"/>
      <c r="I211" s="7"/>
      <c r="J211" s="7"/>
      <c r="K211" s="7"/>
      <c r="L211" s="7"/>
      <c r="M211" s="7"/>
      <c r="N211" s="7"/>
      <c r="O211" s="7"/>
      <c r="P211" s="7"/>
      <c r="Q211" s="7"/>
      <c r="R211" s="7"/>
      <c r="S211" s="7"/>
      <c r="T211" s="7"/>
      <c r="U211" s="7"/>
      <c r="V211" s="7"/>
      <c r="W211" s="7"/>
      <c r="X211" s="7"/>
      <c r="Y211" s="7"/>
    </row>
    <row r="212" spans="3:25" ht="19.5" customHeight="1">
      <c r="C212" s="7"/>
      <c r="D212" s="7"/>
      <c r="E212" s="7"/>
      <c r="F212" s="7"/>
      <c r="G212" s="7"/>
      <c r="H212" s="7"/>
      <c r="I212" s="7"/>
      <c r="J212" s="7"/>
      <c r="K212" s="7"/>
      <c r="L212" s="7"/>
      <c r="M212" s="7"/>
      <c r="N212" s="7"/>
      <c r="O212" s="7"/>
      <c r="P212" s="7"/>
      <c r="Q212" s="7"/>
      <c r="R212" s="7"/>
      <c r="S212" s="7"/>
      <c r="T212" s="7"/>
      <c r="U212" s="7"/>
      <c r="V212" s="7"/>
      <c r="W212" s="7"/>
      <c r="X212" s="7"/>
      <c r="Y212" s="7"/>
    </row>
    <row r="213" spans="3:25" ht="19.5" customHeight="1">
      <c r="C213" s="7"/>
      <c r="D213" s="7"/>
      <c r="E213" s="7"/>
      <c r="F213" s="7"/>
      <c r="G213" s="7"/>
      <c r="H213" s="7"/>
      <c r="I213" s="7"/>
      <c r="J213" s="7"/>
      <c r="K213" s="7"/>
      <c r="L213" s="7"/>
      <c r="M213" s="7"/>
      <c r="N213" s="7"/>
      <c r="O213" s="7"/>
      <c r="P213" s="7"/>
      <c r="Q213" s="7"/>
      <c r="R213" s="7"/>
      <c r="S213" s="7"/>
      <c r="T213" s="7"/>
      <c r="U213" s="7"/>
      <c r="V213" s="7"/>
      <c r="W213" s="7"/>
      <c r="X213" s="7"/>
      <c r="Y213" s="7"/>
    </row>
    <row r="214" spans="3:25" ht="19.5" customHeight="1">
      <c r="C214" s="7"/>
      <c r="D214" s="7"/>
      <c r="E214" s="7"/>
      <c r="F214" s="7"/>
      <c r="G214" s="7"/>
      <c r="H214" s="7"/>
      <c r="I214" s="7"/>
      <c r="J214" s="7"/>
      <c r="K214" s="7"/>
      <c r="L214" s="7"/>
      <c r="M214" s="7"/>
      <c r="N214" s="7"/>
      <c r="O214" s="7"/>
      <c r="P214" s="7"/>
      <c r="Q214" s="7"/>
      <c r="R214" s="7"/>
      <c r="S214" s="7"/>
      <c r="T214" s="7"/>
      <c r="U214" s="7"/>
      <c r="V214" s="7"/>
      <c r="W214" s="7"/>
      <c r="X214" s="7"/>
      <c r="Y214" s="7"/>
    </row>
    <row r="215" spans="3:25" ht="19.5" customHeight="1">
      <c r="C215" s="7"/>
      <c r="D215" s="7"/>
      <c r="E215" s="7"/>
      <c r="F215" s="7"/>
      <c r="G215" s="7"/>
      <c r="H215" s="7"/>
      <c r="I215" s="7"/>
      <c r="J215" s="7"/>
      <c r="K215" s="7"/>
      <c r="L215" s="7"/>
      <c r="M215" s="7"/>
      <c r="N215" s="7"/>
      <c r="O215" s="7"/>
      <c r="P215" s="7"/>
      <c r="Q215" s="7"/>
      <c r="R215" s="7"/>
      <c r="S215" s="7"/>
      <c r="T215" s="7"/>
      <c r="U215" s="7"/>
      <c r="V215" s="7"/>
      <c r="W215" s="7"/>
      <c r="X215" s="7"/>
      <c r="Y215" s="7"/>
    </row>
    <row r="216" spans="3:25" ht="19.5" customHeight="1">
      <c r="C216" s="7"/>
      <c r="D216" s="7"/>
      <c r="E216" s="7"/>
      <c r="F216" s="7"/>
      <c r="G216" s="7"/>
      <c r="H216" s="7"/>
      <c r="I216" s="7"/>
      <c r="J216" s="7"/>
      <c r="K216" s="7"/>
      <c r="L216" s="7"/>
      <c r="M216" s="7"/>
      <c r="N216" s="7"/>
      <c r="O216" s="7"/>
      <c r="P216" s="7"/>
      <c r="Q216" s="7"/>
      <c r="R216" s="7"/>
      <c r="S216" s="7"/>
      <c r="T216" s="7"/>
      <c r="U216" s="7"/>
      <c r="V216" s="7"/>
      <c r="W216" s="7"/>
      <c r="X216" s="7"/>
      <c r="Y216" s="7"/>
    </row>
    <row r="217" spans="3:25" ht="19.5" customHeight="1">
      <c r="C217" s="7"/>
      <c r="D217" s="7"/>
      <c r="E217" s="7"/>
      <c r="F217" s="7"/>
      <c r="G217" s="7"/>
      <c r="H217" s="7"/>
      <c r="I217" s="7"/>
      <c r="J217" s="7"/>
      <c r="K217" s="7"/>
      <c r="L217" s="7"/>
      <c r="M217" s="7"/>
      <c r="N217" s="7"/>
      <c r="O217" s="7"/>
      <c r="P217" s="7"/>
      <c r="Q217" s="7"/>
      <c r="R217" s="7"/>
      <c r="S217" s="7"/>
      <c r="T217" s="7"/>
      <c r="U217" s="7"/>
      <c r="V217" s="7"/>
      <c r="W217" s="7"/>
      <c r="X217" s="7"/>
      <c r="Y217" s="7"/>
    </row>
    <row r="218" spans="3:25" ht="19.5" customHeight="1">
      <c r="C218" s="7"/>
      <c r="D218" s="7"/>
      <c r="E218" s="7"/>
      <c r="F218" s="7"/>
      <c r="G218" s="7"/>
      <c r="H218" s="7"/>
      <c r="I218" s="7"/>
      <c r="J218" s="7"/>
      <c r="K218" s="7"/>
      <c r="L218" s="7"/>
      <c r="M218" s="7"/>
      <c r="N218" s="7"/>
      <c r="O218" s="7"/>
      <c r="P218" s="7"/>
      <c r="Q218" s="7"/>
      <c r="R218" s="7"/>
      <c r="S218" s="7"/>
      <c r="T218" s="7"/>
      <c r="U218" s="7"/>
      <c r="V218" s="7"/>
      <c r="W218" s="7"/>
      <c r="X218" s="7"/>
      <c r="Y218" s="7"/>
    </row>
    <row r="219" spans="3:25" ht="19.5" customHeight="1">
      <c r="C219" s="7"/>
      <c r="D219" s="7"/>
      <c r="E219" s="7"/>
      <c r="F219" s="7"/>
      <c r="G219" s="7"/>
      <c r="H219" s="7"/>
      <c r="I219" s="7"/>
      <c r="J219" s="7"/>
      <c r="K219" s="7"/>
      <c r="L219" s="7"/>
      <c r="M219" s="7"/>
      <c r="N219" s="7"/>
      <c r="O219" s="7"/>
      <c r="P219" s="7"/>
      <c r="Q219" s="7"/>
      <c r="R219" s="7"/>
      <c r="S219" s="7"/>
      <c r="T219" s="7"/>
      <c r="U219" s="7"/>
      <c r="V219" s="7"/>
      <c r="W219" s="7"/>
      <c r="X219" s="7"/>
      <c r="Y219" s="7"/>
    </row>
    <row r="220" spans="3:25" ht="19.5" customHeight="1">
      <c r="C220" s="7"/>
      <c r="D220" s="7"/>
      <c r="E220" s="7"/>
      <c r="F220" s="7"/>
      <c r="G220" s="7"/>
      <c r="H220" s="7"/>
      <c r="I220" s="7"/>
      <c r="J220" s="7"/>
      <c r="K220" s="7"/>
      <c r="L220" s="7"/>
      <c r="M220" s="7"/>
      <c r="N220" s="7"/>
      <c r="O220" s="7"/>
      <c r="P220" s="7"/>
      <c r="Q220" s="7"/>
      <c r="R220" s="7"/>
      <c r="S220" s="7"/>
      <c r="T220" s="7"/>
      <c r="U220" s="7"/>
      <c r="V220" s="7"/>
      <c r="W220" s="7"/>
      <c r="X220" s="7"/>
      <c r="Y220" s="7"/>
    </row>
    <row r="221" spans="3:25" ht="19.5" customHeight="1">
      <c r="C221" s="7"/>
      <c r="D221" s="7"/>
      <c r="E221" s="7"/>
      <c r="F221" s="7"/>
      <c r="G221" s="7"/>
      <c r="H221" s="7"/>
      <c r="I221" s="7"/>
      <c r="J221" s="7"/>
      <c r="K221" s="7"/>
      <c r="L221" s="7"/>
      <c r="M221" s="7"/>
      <c r="N221" s="7"/>
      <c r="O221" s="7"/>
      <c r="P221" s="7"/>
      <c r="Q221" s="7"/>
      <c r="R221" s="7"/>
      <c r="S221" s="7"/>
      <c r="T221" s="7"/>
      <c r="U221" s="7"/>
      <c r="V221" s="7"/>
      <c r="W221" s="7"/>
      <c r="X221" s="7"/>
      <c r="Y221" s="7"/>
    </row>
    <row r="222" spans="3:25" ht="19.5" customHeight="1">
      <c r="C222" s="7"/>
      <c r="D222" s="7"/>
      <c r="E222" s="7"/>
      <c r="F222" s="7"/>
      <c r="G222" s="7"/>
      <c r="H222" s="7"/>
      <c r="I222" s="7"/>
      <c r="J222" s="7"/>
      <c r="K222" s="7"/>
      <c r="L222" s="7"/>
      <c r="M222" s="7"/>
      <c r="N222" s="7"/>
      <c r="O222" s="7"/>
      <c r="P222" s="7"/>
      <c r="Q222" s="7"/>
      <c r="R222" s="7"/>
      <c r="S222" s="7"/>
      <c r="T222" s="7"/>
      <c r="U222" s="7"/>
      <c r="V222" s="7"/>
      <c r="W222" s="7"/>
      <c r="X222" s="7"/>
      <c r="Y222" s="7"/>
    </row>
    <row r="223" spans="3:25" ht="19.5" customHeight="1">
      <c r="C223" s="7"/>
      <c r="D223" s="7"/>
      <c r="E223" s="7"/>
      <c r="F223" s="7"/>
      <c r="G223" s="7"/>
      <c r="H223" s="7"/>
      <c r="I223" s="7"/>
      <c r="J223" s="7"/>
      <c r="K223" s="7"/>
      <c r="L223" s="7"/>
      <c r="M223" s="7"/>
      <c r="N223" s="7"/>
      <c r="O223" s="7"/>
      <c r="P223" s="7"/>
      <c r="Q223" s="7"/>
      <c r="R223" s="7"/>
      <c r="S223" s="7"/>
      <c r="T223" s="7"/>
      <c r="U223" s="7"/>
      <c r="V223" s="7"/>
      <c r="W223" s="7"/>
      <c r="X223" s="7"/>
      <c r="Y223" s="7"/>
    </row>
    <row r="224" spans="3:25" ht="19.5" customHeight="1">
      <c r="C224" s="7"/>
      <c r="D224" s="7"/>
      <c r="E224" s="7"/>
      <c r="F224" s="7"/>
      <c r="G224" s="7"/>
      <c r="H224" s="7"/>
      <c r="I224" s="7"/>
      <c r="J224" s="7"/>
      <c r="K224" s="7"/>
      <c r="L224" s="7"/>
      <c r="M224" s="7"/>
      <c r="N224" s="7"/>
      <c r="O224" s="7"/>
      <c r="P224" s="7"/>
      <c r="Q224" s="7"/>
      <c r="R224" s="7"/>
      <c r="S224" s="7"/>
      <c r="T224" s="7"/>
      <c r="U224" s="7"/>
      <c r="V224" s="7"/>
      <c r="W224" s="7"/>
      <c r="X224" s="7"/>
      <c r="Y224" s="7"/>
    </row>
    <row r="225" spans="3:25" ht="19.5" customHeight="1">
      <c r="C225" s="7"/>
      <c r="D225" s="7"/>
      <c r="E225" s="7"/>
      <c r="F225" s="7"/>
      <c r="G225" s="7"/>
      <c r="H225" s="7"/>
      <c r="I225" s="7"/>
      <c r="J225" s="7"/>
      <c r="K225" s="7"/>
      <c r="L225" s="7"/>
      <c r="M225" s="7"/>
      <c r="N225" s="7"/>
      <c r="O225" s="7"/>
      <c r="P225" s="7"/>
      <c r="Q225" s="7"/>
      <c r="R225" s="7"/>
      <c r="S225" s="7"/>
      <c r="T225" s="7"/>
      <c r="U225" s="7"/>
      <c r="V225" s="7"/>
      <c r="W225" s="7"/>
      <c r="X225" s="7"/>
      <c r="Y225" s="7"/>
    </row>
    <row r="226" spans="3:25" ht="19.5" customHeight="1">
      <c r="C226" s="7"/>
      <c r="D226" s="7"/>
      <c r="E226" s="7"/>
      <c r="F226" s="7"/>
      <c r="G226" s="7"/>
      <c r="H226" s="7"/>
      <c r="I226" s="7"/>
      <c r="J226" s="7"/>
      <c r="K226" s="7"/>
      <c r="L226" s="7"/>
      <c r="M226" s="7"/>
      <c r="N226" s="7"/>
      <c r="O226" s="7"/>
      <c r="P226" s="7"/>
      <c r="Q226" s="7"/>
      <c r="R226" s="7"/>
      <c r="S226" s="7"/>
      <c r="T226" s="7"/>
      <c r="U226" s="7"/>
      <c r="V226" s="7"/>
      <c r="W226" s="7"/>
      <c r="X226" s="7"/>
      <c r="Y226" s="7"/>
    </row>
    <row r="227" spans="3:25" ht="19.5" customHeight="1">
      <c r="C227" s="7"/>
      <c r="D227" s="7"/>
      <c r="E227" s="7"/>
      <c r="F227" s="7"/>
      <c r="G227" s="7"/>
      <c r="H227" s="7"/>
      <c r="I227" s="7"/>
      <c r="J227" s="7"/>
      <c r="K227" s="7"/>
      <c r="L227" s="7"/>
      <c r="M227" s="7"/>
      <c r="N227" s="7"/>
      <c r="O227" s="7"/>
      <c r="P227" s="7"/>
      <c r="Q227" s="7"/>
      <c r="R227" s="7"/>
      <c r="S227" s="7"/>
      <c r="T227" s="7"/>
      <c r="U227" s="7"/>
      <c r="V227" s="7"/>
      <c r="W227" s="7"/>
      <c r="X227" s="7"/>
      <c r="Y227" s="7"/>
    </row>
    <row r="228" spans="3:25" ht="19.5" customHeight="1">
      <c r="C228" s="7"/>
      <c r="D228" s="7"/>
      <c r="E228" s="7"/>
      <c r="F228" s="7"/>
      <c r="G228" s="7"/>
      <c r="H228" s="7"/>
      <c r="I228" s="7"/>
      <c r="J228" s="7"/>
      <c r="K228" s="7"/>
      <c r="L228" s="7"/>
      <c r="M228" s="7"/>
      <c r="N228" s="7"/>
      <c r="O228" s="7"/>
      <c r="P228" s="7"/>
      <c r="Q228" s="7"/>
      <c r="R228" s="7"/>
      <c r="S228" s="7"/>
      <c r="T228" s="7"/>
      <c r="U228" s="7"/>
      <c r="V228" s="7"/>
      <c r="W228" s="7"/>
      <c r="X228" s="7"/>
      <c r="Y228" s="7"/>
    </row>
    <row r="229" spans="3:25" ht="19.5" customHeight="1">
      <c r="C229" s="7"/>
      <c r="D229" s="7"/>
      <c r="E229" s="7"/>
      <c r="F229" s="7"/>
      <c r="G229" s="7"/>
      <c r="H229" s="7"/>
      <c r="I229" s="7"/>
      <c r="J229" s="7"/>
      <c r="K229" s="7"/>
      <c r="L229" s="7"/>
      <c r="M229" s="7"/>
      <c r="N229" s="7"/>
      <c r="O229" s="7"/>
      <c r="P229" s="7"/>
      <c r="Q229" s="7"/>
      <c r="R229" s="7"/>
      <c r="S229" s="7"/>
      <c r="T229" s="7"/>
      <c r="U229" s="7"/>
      <c r="V229" s="7"/>
      <c r="W229" s="7"/>
      <c r="X229" s="7"/>
      <c r="Y229" s="7"/>
    </row>
    <row r="230" spans="3:25" ht="19.5" customHeight="1">
      <c r="C230" s="7"/>
      <c r="D230" s="7"/>
      <c r="E230" s="7"/>
      <c r="F230" s="7"/>
      <c r="G230" s="7"/>
      <c r="H230" s="7"/>
      <c r="I230" s="7"/>
      <c r="J230" s="7"/>
      <c r="K230" s="7"/>
      <c r="L230" s="7"/>
      <c r="M230" s="7"/>
      <c r="N230" s="7"/>
      <c r="O230" s="7"/>
      <c r="P230" s="7"/>
      <c r="Q230" s="7"/>
      <c r="R230" s="7"/>
      <c r="S230" s="7"/>
      <c r="T230" s="7"/>
      <c r="U230" s="7"/>
      <c r="V230" s="7"/>
      <c r="W230" s="7"/>
      <c r="X230" s="7"/>
      <c r="Y230" s="7"/>
    </row>
    <row r="231" spans="3:25" ht="19.5" customHeight="1">
      <c r="C231" s="7"/>
      <c r="D231" s="7"/>
      <c r="E231" s="7"/>
      <c r="F231" s="7"/>
      <c r="G231" s="7"/>
      <c r="H231" s="7"/>
      <c r="I231" s="7"/>
      <c r="J231" s="7"/>
      <c r="K231" s="7"/>
      <c r="L231" s="7"/>
      <c r="M231" s="7"/>
      <c r="N231" s="7"/>
      <c r="O231" s="7"/>
      <c r="P231" s="7"/>
      <c r="Q231" s="7"/>
      <c r="R231" s="7"/>
      <c r="S231" s="7"/>
      <c r="T231" s="7"/>
      <c r="U231" s="7"/>
      <c r="V231" s="7"/>
      <c r="W231" s="7"/>
      <c r="X231" s="7"/>
      <c r="Y231" s="7"/>
    </row>
    <row r="232" spans="3:25" ht="19.5" customHeight="1">
      <c r="C232" s="7"/>
      <c r="D232" s="7"/>
      <c r="E232" s="7"/>
      <c r="F232" s="7"/>
      <c r="G232" s="7"/>
      <c r="H232" s="7"/>
      <c r="I232" s="7"/>
      <c r="J232" s="7"/>
      <c r="K232" s="7"/>
      <c r="L232" s="7"/>
      <c r="M232" s="7"/>
      <c r="N232" s="7"/>
      <c r="O232" s="7"/>
      <c r="P232" s="7"/>
      <c r="Q232" s="7"/>
      <c r="R232" s="7"/>
      <c r="S232" s="7"/>
      <c r="T232" s="7"/>
      <c r="U232" s="7"/>
      <c r="V232" s="7"/>
      <c r="W232" s="7"/>
      <c r="X232" s="7"/>
      <c r="Y232" s="7"/>
    </row>
    <row r="233" spans="3:25" ht="19.5" customHeight="1">
      <c r="C233" s="7"/>
      <c r="D233" s="7"/>
      <c r="E233" s="7"/>
      <c r="F233" s="7"/>
      <c r="G233" s="7"/>
      <c r="H233" s="7"/>
      <c r="I233" s="7"/>
      <c r="J233" s="7"/>
      <c r="K233" s="7"/>
      <c r="L233" s="7"/>
      <c r="M233" s="7"/>
      <c r="N233" s="7"/>
      <c r="O233" s="7"/>
      <c r="P233" s="7"/>
      <c r="Q233" s="7"/>
      <c r="R233" s="7"/>
      <c r="S233" s="7"/>
      <c r="T233" s="7"/>
      <c r="U233" s="7"/>
      <c r="V233" s="7"/>
      <c r="W233" s="7"/>
      <c r="X233" s="7"/>
      <c r="Y233" s="7"/>
    </row>
    <row r="234" spans="3:25" ht="19.5" customHeight="1">
      <c r="C234" s="7"/>
      <c r="D234" s="7"/>
      <c r="E234" s="7"/>
      <c r="F234" s="7"/>
      <c r="G234" s="7"/>
      <c r="H234" s="7"/>
      <c r="I234" s="7"/>
      <c r="J234" s="7"/>
      <c r="K234" s="7"/>
      <c r="L234" s="7"/>
      <c r="M234" s="7"/>
      <c r="N234" s="7"/>
      <c r="O234" s="7"/>
      <c r="P234" s="7"/>
      <c r="Q234" s="7"/>
      <c r="R234" s="7"/>
      <c r="S234" s="7"/>
      <c r="T234" s="7"/>
      <c r="U234" s="7"/>
      <c r="V234" s="7"/>
      <c r="W234" s="7"/>
      <c r="X234" s="7"/>
      <c r="Y234" s="7"/>
    </row>
    <row r="235" spans="3:25" ht="19.5" customHeight="1">
      <c r="C235" s="7"/>
      <c r="D235" s="7"/>
      <c r="E235" s="7"/>
      <c r="F235" s="7"/>
      <c r="G235" s="7"/>
      <c r="H235" s="7"/>
      <c r="I235" s="7"/>
      <c r="J235" s="7"/>
      <c r="K235" s="7"/>
      <c r="L235" s="7"/>
      <c r="M235" s="7"/>
      <c r="N235" s="7"/>
      <c r="O235" s="7"/>
      <c r="P235" s="7"/>
      <c r="Q235" s="7"/>
      <c r="R235" s="7"/>
      <c r="S235" s="7"/>
      <c r="T235" s="7"/>
      <c r="U235" s="7"/>
      <c r="V235" s="7"/>
      <c r="W235" s="7"/>
      <c r="X235" s="7"/>
      <c r="Y235" s="7"/>
    </row>
    <row r="236" spans="3:25" ht="19.5" customHeight="1">
      <c r="C236" s="7"/>
      <c r="D236" s="7"/>
      <c r="E236" s="7"/>
      <c r="F236" s="7"/>
      <c r="G236" s="7"/>
      <c r="H236" s="7"/>
      <c r="I236" s="7"/>
      <c r="J236" s="7"/>
      <c r="K236" s="7"/>
      <c r="L236" s="7"/>
      <c r="M236" s="7"/>
      <c r="N236" s="7"/>
      <c r="O236" s="7"/>
      <c r="P236" s="7"/>
      <c r="Q236" s="7"/>
      <c r="R236" s="7"/>
      <c r="S236" s="7"/>
      <c r="T236" s="7"/>
      <c r="U236" s="7"/>
      <c r="V236" s="7"/>
      <c r="W236" s="7"/>
      <c r="X236" s="7"/>
      <c r="Y236" s="7"/>
    </row>
    <row r="237" spans="3:25" ht="19.5" customHeight="1">
      <c r="C237" s="7"/>
      <c r="D237" s="7"/>
      <c r="E237" s="7"/>
      <c r="F237" s="7"/>
      <c r="G237" s="7"/>
      <c r="H237" s="7"/>
      <c r="I237" s="7"/>
      <c r="J237" s="7"/>
      <c r="K237" s="7"/>
      <c r="L237" s="7"/>
      <c r="M237" s="7"/>
      <c r="N237" s="7"/>
      <c r="O237" s="7"/>
      <c r="P237" s="7"/>
      <c r="Q237" s="7"/>
      <c r="R237" s="7"/>
      <c r="S237" s="7"/>
      <c r="T237" s="7"/>
      <c r="U237" s="7"/>
      <c r="V237" s="7"/>
      <c r="W237" s="7"/>
      <c r="X237" s="7"/>
      <c r="Y237" s="7"/>
    </row>
    <row r="238" spans="3:25" ht="19.5" customHeight="1">
      <c r="C238" s="7"/>
      <c r="D238" s="7"/>
      <c r="E238" s="7"/>
      <c r="F238" s="7"/>
      <c r="G238" s="7"/>
      <c r="H238" s="7"/>
      <c r="I238" s="7"/>
      <c r="J238" s="7"/>
      <c r="K238" s="7"/>
      <c r="L238" s="7"/>
      <c r="M238" s="7"/>
      <c r="N238" s="7"/>
      <c r="O238" s="7"/>
      <c r="P238" s="7"/>
      <c r="Q238" s="7"/>
      <c r="R238" s="7"/>
      <c r="S238" s="7"/>
      <c r="T238" s="7"/>
      <c r="U238" s="7"/>
      <c r="V238" s="7"/>
      <c r="W238" s="7"/>
      <c r="X238" s="7"/>
      <c r="Y238" s="7"/>
    </row>
    <row r="239" spans="3:25" ht="19.5" customHeight="1">
      <c r="C239" s="7"/>
      <c r="D239" s="7"/>
      <c r="E239" s="7"/>
      <c r="F239" s="7"/>
      <c r="G239" s="7"/>
      <c r="H239" s="7"/>
      <c r="I239" s="7"/>
      <c r="J239" s="7"/>
      <c r="K239" s="7"/>
      <c r="L239" s="7"/>
      <c r="M239" s="7"/>
      <c r="N239" s="7"/>
      <c r="O239" s="7"/>
      <c r="P239" s="7"/>
      <c r="Q239" s="7"/>
      <c r="R239" s="7"/>
      <c r="S239" s="7"/>
      <c r="T239" s="7"/>
      <c r="U239" s="7"/>
      <c r="V239" s="7"/>
      <c r="W239" s="7"/>
      <c r="X239" s="7"/>
      <c r="Y239" s="7"/>
    </row>
    <row r="240" spans="3:25" ht="19.5" customHeight="1">
      <c r="C240" s="7"/>
      <c r="D240" s="7"/>
      <c r="E240" s="7"/>
      <c r="F240" s="7"/>
      <c r="G240" s="7"/>
      <c r="H240" s="7"/>
      <c r="I240" s="7"/>
      <c r="J240" s="7"/>
      <c r="K240" s="7"/>
      <c r="L240" s="7"/>
      <c r="M240" s="7"/>
      <c r="N240" s="7"/>
      <c r="O240" s="7"/>
      <c r="P240" s="7"/>
      <c r="Q240" s="7"/>
      <c r="R240" s="7"/>
      <c r="S240" s="7"/>
      <c r="T240" s="7"/>
      <c r="U240" s="7"/>
      <c r="V240" s="7"/>
      <c r="W240" s="7"/>
      <c r="X240" s="7"/>
      <c r="Y240" s="7"/>
    </row>
    <row r="241" spans="3:25" ht="19.5" customHeight="1">
      <c r="C241" s="7"/>
      <c r="D241" s="7"/>
      <c r="E241" s="7"/>
      <c r="F241" s="7"/>
      <c r="G241" s="7"/>
      <c r="H241" s="7"/>
      <c r="I241" s="7"/>
      <c r="J241" s="7"/>
      <c r="K241" s="7"/>
      <c r="L241" s="7"/>
      <c r="M241" s="7"/>
      <c r="N241" s="7"/>
      <c r="O241" s="7"/>
      <c r="P241" s="7"/>
      <c r="Q241" s="7"/>
      <c r="R241" s="7"/>
      <c r="S241" s="7"/>
      <c r="T241" s="7"/>
      <c r="U241" s="7"/>
      <c r="V241" s="7"/>
      <c r="W241" s="7"/>
      <c r="X241" s="7"/>
      <c r="Y241" s="7"/>
    </row>
    <row r="242" spans="3:25" ht="19.5" customHeight="1">
      <c r="C242" s="7"/>
      <c r="D242" s="7"/>
      <c r="E242" s="7"/>
      <c r="F242" s="7"/>
      <c r="G242" s="7"/>
      <c r="H242" s="7"/>
      <c r="I242" s="7"/>
      <c r="J242" s="7"/>
      <c r="K242" s="7"/>
      <c r="L242" s="7"/>
      <c r="M242" s="7"/>
      <c r="N242" s="7"/>
      <c r="O242" s="7"/>
      <c r="P242" s="7"/>
      <c r="Q242" s="7"/>
      <c r="R242" s="7"/>
      <c r="S242" s="7"/>
      <c r="T242" s="7"/>
      <c r="U242" s="7"/>
      <c r="V242" s="7"/>
      <c r="W242" s="7"/>
      <c r="X242" s="7"/>
      <c r="Y242" s="7"/>
    </row>
    <row r="243" spans="3:25" ht="19.5" customHeight="1">
      <c r="C243" s="7"/>
      <c r="D243" s="7"/>
      <c r="E243" s="7"/>
      <c r="F243" s="7"/>
      <c r="G243" s="7"/>
      <c r="H243" s="7"/>
      <c r="I243" s="7"/>
      <c r="J243" s="7"/>
      <c r="K243" s="7"/>
      <c r="L243" s="7"/>
      <c r="M243" s="7"/>
      <c r="N243" s="7"/>
      <c r="O243" s="7"/>
      <c r="P243" s="7"/>
      <c r="Q243" s="7"/>
      <c r="R243" s="7"/>
      <c r="S243" s="7"/>
      <c r="T243" s="7"/>
      <c r="U243" s="7"/>
      <c r="V243" s="7"/>
      <c r="W243" s="7"/>
      <c r="X243" s="7"/>
      <c r="Y243" s="7"/>
    </row>
    <row r="244" spans="3:25" ht="19.5" customHeight="1">
      <c r="C244" s="7"/>
      <c r="D244" s="7"/>
      <c r="E244" s="7"/>
      <c r="F244" s="7"/>
      <c r="G244" s="7"/>
      <c r="H244" s="7"/>
      <c r="I244" s="7"/>
      <c r="J244" s="7"/>
      <c r="K244" s="7"/>
      <c r="L244" s="7"/>
      <c r="M244" s="7"/>
      <c r="N244" s="7"/>
      <c r="O244" s="7"/>
      <c r="P244" s="7"/>
      <c r="Q244" s="7"/>
      <c r="R244" s="7"/>
      <c r="S244" s="7"/>
      <c r="T244" s="7"/>
      <c r="U244" s="7"/>
      <c r="V244" s="7"/>
      <c r="W244" s="7"/>
      <c r="X244" s="7"/>
      <c r="Y244" s="7"/>
    </row>
    <row r="245" spans="3:25" ht="19.5" customHeight="1">
      <c r="C245" s="7"/>
      <c r="D245" s="7"/>
      <c r="E245" s="7"/>
      <c r="F245" s="7"/>
      <c r="G245" s="7"/>
      <c r="H245" s="7"/>
      <c r="I245" s="7"/>
      <c r="J245" s="7"/>
      <c r="K245" s="7"/>
      <c r="L245" s="7"/>
      <c r="M245" s="7"/>
      <c r="N245" s="7"/>
      <c r="O245" s="7"/>
      <c r="P245" s="7"/>
      <c r="Q245" s="7"/>
      <c r="R245" s="7"/>
      <c r="S245" s="7"/>
      <c r="T245" s="7"/>
      <c r="U245" s="7"/>
      <c r="V245" s="7"/>
      <c r="W245" s="7"/>
      <c r="X245" s="7"/>
      <c r="Y245" s="7"/>
    </row>
    <row r="246" spans="3:25" ht="19.5" customHeight="1">
      <c r="C246" s="7"/>
      <c r="D246" s="7"/>
      <c r="E246" s="7"/>
      <c r="F246" s="7"/>
      <c r="G246" s="7"/>
      <c r="H246" s="7"/>
      <c r="I246" s="7"/>
      <c r="J246" s="7"/>
      <c r="K246" s="7"/>
      <c r="L246" s="7"/>
      <c r="M246" s="7"/>
      <c r="N246" s="7"/>
      <c r="O246" s="7"/>
      <c r="P246" s="7"/>
      <c r="Q246" s="7"/>
      <c r="R246" s="7"/>
      <c r="S246" s="7"/>
      <c r="T246" s="7"/>
      <c r="U246" s="7"/>
      <c r="V246" s="7"/>
      <c r="W246" s="7"/>
      <c r="X246" s="7"/>
      <c r="Y246" s="7"/>
    </row>
    <row r="247" spans="3:25" ht="19.5" customHeight="1">
      <c r="C247" s="7"/>
      <c r="D247" s="7"/>
      <c r="E247" s="7"/>
      <c r="F247" s="7"/>
      <c r="G247" s="7"/>
      <c r="H247" s="7"/>
      <c r="I247" s="7"/>
      <c r="J247" s="7"/>
      <c r="K247" s="7"/>
      <c r="L247" s="7"/>
      <c r="M247" s="7"/>
      <c r="N247" s="7"/>
      <c r="O247" s="7"/>
      <c r="P247" s="7"/>
      <c r="Q247" s="7"/>
      <c r="R247" s="7"/>
      <c r="S247" s="7"/>
      <c r="T247" s="7"/>
      <c r="U247" s="7"/>
      <c r="V247" s="7"/>
      <c r="W247" s="7"/>
      <c r="X247" s="7"/>
      <c r="Y247" s="7"/>
    </row>
    <row r="248" spans="3:25" ht="19.5" customHeight="1">
      <c r="C248" s="7"/>
      <c r="D248" s="7"/>
      <c r="E248" s="7"/>
      <c r="F248" s="7"/>
      <c r="G248" s="7"/>
      <c r="H248" s="7"/>
      <c r="I248" s="7"/>
      <c r="J248" s="7"/>
      <c r="K248" s="7"/>
      <c r="L248" s="7"/>
      <c r="M248" s="7"/>
      <c r="N248" s="7"/>
      <c r="O248" s="7"/>
      <c r="P248" s="7"/>
      <c r="Q248" s="7"/>
      <c r="R248" s="7"/>
      <c r="S248" s="7"/>
      <c r="T248" s="7"/>
      <c r="U248" s="7"/>
      <c r="V248" s="7"/>
      <c r="W248" s="7"/>
      <c r="X248" s="7"/>
      <c r="Y248" s="7"/>
    </row>
    <row r="249" spans="3:25" ht="19.5" customHeight="1">
      <c r="C249" s="7"/>
      <c r="D249" s="7"/>
      <c r="E249" s="7"/>
      <c r="F249" s="7"/>
      <c r="G249" s="7"/>
      <c r="H249" s="7"/>
      <c r="I249" s="7"/>
      <c r="J249" s="7"/>
      <c r="K249" s="7"/>
      <c r="L249" s="7"/>
      <c r="M249" s="7"/>
      <c r="N249" s="7"/>
      <c r="O249" s="7"/>
      <c r="P249" s="7"/>
      <c r="Q249" s="7"/>
      <c r="R249" s="7"/>
      <c r="S249" s="7"/>
      <c r="T249" s="7"/>
      <c r="U249" s="7"/>
      <c r="V249" s="7"/>
      <c r="W249" s="7"/>
      <c r="X249" s="7"/>
      <c r="Y249" s="7"/>
    </row>
    <row r="250" spans="3:25" ht="19.5" customHeight="1">
      <c r="C250" s="7"/>
      <c r="D250" s="7"/>
      <c r="E250" s="7"/>
      <c r="F250" s="7"/>
      <c r="G250" s="7"/>
      <c r="H250" s="7"/>
      <c r="I250" s="7"/>
      <c r="J250" s="7"/>
      <c r="K250" s="7"/>
      <c r="L250" s="7"/>
      <c r="M250" s="7"/>
      <c r="N250" s="7"/>
      <c r="O250" s="7"/>
      <c r="P250" s="7"/>
      <c r="Q250" s="7"/>
      <c r="R250" s="7"/>
      <c r="S250" s="7"/>
      <c r="T250" s="7"/>
      <c r="U250" s="7"/>
      <c r="V250" s="7"/>
      <c r="W250" s="7"/>
      <c r="X250" s="7"/>
      <c r="Y250" s="7"/>
    </row>
    <row r="251" spans="3:25" ht="19.5" customHeight="1">
      <c r="C251" s="7"/>
      <c r="D251" s="7"/>
      <c r="E251" s="7"/>
      <c r="F251" s="7"/>
      <c r="G251" s="7"/>
      <c r="H251" s="7"/>
      <c r="I251" s="7"/>
      <c r="J251" s="7"/>
      <c r="K251" s="7"/>
      <c r="L251" s="7"/>
      <c r="M251" s="7"/>
      <c r="N251" s="7"/>
      <c r="O251" s="7"/>
      <c r="P251" s="7"/>
      <c r="Q251" s="7"/>
      <c r="R251" s="7"/>
      <c r="S251" s="7"/>
      <c r="T251" s="7"/>
      <c r="U251" s="7"/>
      <c r="V251" s="7"/>
      <c r="W251" s="7"/>
      <c r="X251" s="7"/>
      <c r="Y251" s="7"/>
    </row>
    <row r="252" spans="3:25" ht="19.5" customHeight="1">
      <c r="C252" s="7"/>
      <c r="D252" s="7"/>
      <c r="E252" s="7"/>
      <c r="F252" s="7"/>
      <c r="G252" s="7"/>
      <c r="H252" s="7"/>
      <c r="I252" s="7"/>
      <c r="J252" s="7"/>
      <c r="K252" s="7"/>
      <c r="L252" s="7"/>
      <c r="M252" s="7"/>
      <c r="N252" s="7"/>
      <c r="O252" s="7"/>
      <c r="P252" s="7"/>
      <c r="Q252" s="7"/>
      <c r="R252" s="7"/>
      <c r="S252" s="7"/>
      <c r="T252" s="7"/>
      <c r="U252" s="7"/>
      <c r="V252" s="7"/>
      <c r="W252" s="7"/>
      <c r="X252" s="7"/>
      <c r="Y252" s="7"/>
    </row>
    <row r="253" spans="3:25" ht="19.5" customHeight="1">
      <c r="C253" s="7"/>
      <c r="D253" s="7"/>
      <c r="E253" s="7"/>
      <c r="F253" s="7"/>
      <c r="G253" s="7"/>
      <c r="H253" s="7"/>
      <c r="I253" s="7"/>
      <c r="J253" s="7"/>
      <c r="K253" s="7"/>
      <c r="L253" s="7"/>
      <c r="M253" s="7"/>
      <c r="N253" s="7"/>
      <c r="O253" s="7"/>
      <c r="P253" s="7"/>
      <c r="Q253" s="7"/>
      <c r="R253" s="7"/>
      <c r="S253" s="7"/>
      <c r="T253" s="7"/>
      <c r="U253" s="7"/>
      <c r="V253" s="7"/>
      <c r="W253" s="7"/>
      <c r="X253" s="7"/>
      <c r="Y253" s="7"/>
    </row>
    <row r="254" spans="3:25" ht="19.5" customHeight="1">
      <c r="C254" s="7"/>
      <c r="D254" s="7"/>
      <c r="E254" s="7"/>
      <c r="F254" s="7"/>
      <c r="G254" s="7"/>
      <c r="H254" s="7"/>
      <c r="I254" s="7"/>
      <c r="J254" s="7"/>
      <c r="K254" s="7"/>
      <c r="L254" s="7"/>
      <c r="M254" s="7"/>
      <c r="N254" s="7"/>
      <c r="O254" s="7"/>
      <c r="P254" s="7"/>
      <c r="Q254" s="7"/>
      <c r="R254" s="7"/>
      <c r="S254" s="7"/>
      <c r="T254" s="7"/>
      <c r="U254" s="7"/>
      <c r="V254" s="7"/>
      <c r="W254" s="7"/>
      <c r="X254" s="7"/>
      <c r="Y254" s="7"/>
    </row>
    <row r="255" spans="3:25" ht="19.5" customHeight="1">
      <c r="C255" s="7"/>
      <c r="D255" s="7"/>
      <c r="E255" s="7"/>
      <c r="F255" s="7"/>
      <c r="G255" s="7"/>
      <c r="H255" s="7"/>
      <c r="I255" s="7"/>
      <c r="J255" s="7"/>
      <c r="K255" s="7"/>
      <c r="L255" s="7"/>
      <c r="M255" s="7"/>
      <c r="N255" s="7"/>
      <c r="O255" s="7"/>
      <c r="P255" s="7"/>
      <c r="Q255" s="7"/>
      <c r="R255" s="7"/>
      <c r="S255" s="7"/>
      <c r="T255" s="7"/>
      <c r="U255" s="7"/>
      <c r="V255" s="7"/>
      <c r="W255" s="7"/>
      <c r="X255" s="7"/>
      <c r="Y255" s="7"/>
    </row>
    <row r="256" spans="3:25" ht="19.5" customHeight="1">
      <c r="C256" s="7"/>
      <c r="D256" s="7"/>
      <c r="E256" s="7"/>
      <c r="F256" s="7"/>
      <c r="G256" s="7"/>
      <c r="H256" s="7"/>
      <c r="I256" s="7"/>
      <c r="J256" s="7"/>
      <c r="K256" s="7"/>
      <c r="L256" s="7"/>
      <c r="M256" s="7"/>
      <c r="N256" s="7"/>
      <c r="O256" s="7"/>
      <c r="P256" s="7"/>
      <c r="Q256" s="7"/>
      <c r="R256" s="7"/>
      <c r="S256" s="7"/>
      <c r="T256" s="7"/>
      <c r="U256" s="7"/>
      <c r="V256" s="7"/>
      <c r="W256" s="7"/>
      <c r="X256" s="7"/>
      <c r="Y256" s="7"/>
    </row>
    <row r="257" spans="3:25" ht="19.5" customHeight="1">
      <c r="C257" s="7"/>
      <c r="D257" s="7"/>
      <c r="E257" s="7"/>
      <c r="F257" s="7"/>
      <c r="G257" s="7"/>
      <c r="H257" s="7"/>
      <c r="I257" s="7"/>
      <c r="J257" s="7"/>
      <c r="K257" s="7"/>
      <c r="L257" s="7"/>
      <c r="M257" s="7"/>
      <c r="N257" s="7"/>
      <c r="O257" s="7"/>
      <c r="P257" s="7"/>
      <c r="Q257" s="7"/>
      <c r="R257" s="7"/>
      <c r="S257" s="7"/>
      <c r="T257" s="7"/>
      <c r="U257" s="7"/>
      <c r="V257" s="7"/>
      <c r="W257" s="7"/>
      <c r="X257" s="7"/>
      <c r="Y257" s="7"/>
    </row>
    <row r="258" spans="3:25" ht="19.5" customHeight="1">
      <c r="C258" s="7"/>
      <c r="D258" s="7"/>
      <c r="E258" s="7"/>
      <c r="F258" s="7"/>
      <c r="G258" s="7"/>
      <c r="H258" s="7"/>
      <c r="I258" s="7"/>
      <c r="J258" s="7"/>
      <c r="K258" s="7"/>
      <c r="L258" s="7"/>
      <c r="M258" s="7"/>
      <c r="N258" s="7"/>
      <c r="O258" s="7"/>
      <c r="P258" s="7"/>
      <c r="Q258" s="7"/>
      <c r="R258" s="7"/>
      <c r="S258" s="7"/>
      <c r="T258" s="7"/>
      <c r="U258" s="7"/>
      <c r="V258" s="7"/>
      <c r="W258" s="7"/>
      <c r="X258" s="7"/>
      <c r="Y258" s="7"/>
    </row>
    <row r="259" spans="3:25" ht="19.5" customHeight="1">
      <c r="C259" s="7"/>
      <c r="D259" s="7"/>
      <c r="E259" s="7"/>
      <c r="F259" s="7"/>
      <c r="G259" s="7"/>
      <c r="H259" s="7"/>
      <c r="I259" s="7"/>
      <c r="J259" s="7"/>
      <c r="K259" s="7"/>
      <c r="L259" s="7"/>
      <c r="M259" s="7"/>
      <c r="N259" s="7"/>
      <c r="O259" s="7"/>
      <c r="P259" s="7"/>
      <c r="Q259" s="7"/>
      <c r="R259" s="7"/>
      <c r="S259" s="7"/>
      <c r="T259" s="7"/>
      <c r="U259" s="7"/>
      <c r="V259" s="7"/>
      <c r="W259" s="7"/>
      <c r="X259" s="7"/>
      <c r="Y259" s="7"/>
    </row>
    <row r="260" spans="3:25" ht="19.5" customHeight="1">
      <c r="C260" s="7"/>
      <c r="D260" s="7"/>
      <c r="E260" s="7"/>
      <c r="F260" s="7"/>
      <c r="G260" s="7"/>
      <c r="H260" s="7"/>
      <c r="I260" s="7"/>
      <c r="J260" s="7"/>
      <c r="K260" s="7"/>
      <c r="L260" s="7"/>
      <c r="M260" s="7"/>
      <c r="N260" s="7"/>
      <c r="O260" s="7"/>
      <c r="P260" s="7"/>
      <c r="Q260" s="7"/>
      <c r="R260" s="7"/>
      <c r="S260" s="7"/>
      <c r="T260" s="7"/>
      <c r="U260" s="7"/>
      <c r="V260" s="7"/>
      <c r="W260" s="7"/>
      <c r="X260" s="7"/>
      <c r="Y260" s="7"/>
    </row>
    <row r="261" spans="3:25" ht="19.5" customHeight="1">
      <c r="C261" s="7"/>
      <c r="D261" s="7"/>
      <c r="E261" s="7"/>
      <c r="F261" s="7"/>
      <c r="G261" s="7"/>
      <c r="H261" s="7"/>
      <c r="I261" s="7"/>
      <c r="J261" s="7"/>
      <c r="K261" s="7"/>
      <c r="L261" s="7"/>
      <c r="M261" s="7"/>
      <c r="N261" s="7"/>
      <c r="O261" s="7"/>
      <c r="P261" s="7"/>
      <c r="Q261" s="7"/>
      <c r="R261" s="7"/>
      <c r="S261" s="7"/>
      <c r="T261" s="7"/>
      <c r="U261" s="7"/>
      <c r="V261" s="7"/>
      <c r="W261" s="7"/>
      <c r="X261" s="7"/>
      <c r="Y261" s="7"/>
    </row>
    <row r="262" spans="3:25" ht="19.5" customHeight="1">
      <c r="C262" s="7"/>
      <c r="D262" s="7"/>
      <c r="E262" s="7"/>
      <c r="F262" s="7"/>
      <c r="G262" s="7"/>
      <c r="H262" s="7"/>
      <c r="I262" s="7"/>
      <c r="J262" s="7"/>
      <c r="K262" s="7"/>
      <c r="L262" s="7"/>
      <c r="M262" s="7"/>
      <c r="N262" s="7"/>
      <c r="O262" s="7"/>
      <c r="P262" s="7"/>
      <c r="Q262" s="7"/>
      <c r="R262" s="7"/>
      <c r="S262" s="7"/>
      <c r="T262" s="7"/>
      <c r="U262" s="7"/>
      <c r="V262" s="7"/>
      <c r="W262" s="7"/>
      <c r="X262" s="7"/>
      <c r="Y262" s="7"/>
    </row>
    <row r="263" spans="3:25" ht="19.5" customHeight="1">
      <c r="C263" s="7"/>
      <c r="D263" s="7"/>
      <c r="E263" s="7"/>
      <c r="F263" s="7"/>
      <c r="G263" s="7"/>
      <c r="H263" s="7"/>
      <c r="I263" s="7"/>
      <c r="J263" s="7"/>
      <c r="K263" s="7"/>
      <c r="L263" s="7"/>
      <c r="M263" s="7"/>
      <c r="N263" s="7"/>
      <c r="O263" s="7"/>
      <c r="P263" s="7"/>
      <c r="Q263" s="7"/>
      <c r="R263" s="7"/>
      <c r="S263" s="7"/>
      <c r="T263" s="7"/>
      <c r="U263" s="7"/>
      <c r="V263" s="7"/>
      <c r="W263" s="7"/>
      <c r="X263" s="7"/>
      <c r="Y263" s="7"/>
    </row>
    <row r="264" spans="3:25" ht="19.5" customHeight="1">
      <c r="C264" s="7"/>
      <c r="D264" s="7"/>
      <c r="E264" s="7"/>
      <c r="F264" s="7"/>
      <c r="G264" s="7"/>
      <c r="H264" s="7"/>
      <c r="I264" s="7"/>
      <c r="J264" s="7"/>
      <c r="K264" s="7"/>
      <c r="L264" s="7"/>
      <c r="M264" s="7"/>
      <c r="N264" s="7"/>
      <c r="O264" s="7"/>
      <c r="P264" s="7"/>
      <c r="Q264" s="7"/>
      <c r="R264" s="7"/>
      <c r="S264" s="7"/>
      <c r="T264" s="7"/>
      <c r="U264" s="7"/>
      <c r="V264" s="7"/>
      <c r="W264" s="7"/>
      <c r="X264" s="7"/>
      <c r="Y264" s="7"/>
    </row>
    <row r="265" spans="3:25" ht="19.5" customHeight="1">
      <c r="C265" s="7"/>
      <c r="D265" s="7"/>
      <c r="E265" s="7"/>
      <c r="F265" s="7"/>
      <c r="G265" s="7"/>
      <c r="H265" s="7"/>
      <c r="I265" s="7"/>
      <c r="J265" s="7"/>
      <c r="K265" s="7"/>
      <c r="L265" s="7"/>
      <c r="M265" s="7"/>
      <c r="N265" s="7"/>
      <c r="O265" s="7"/>
      <c r="P265" s="7"/>
      <c r="Q265" s="7"/>
      <c r="R265" s="7"/>
      <c r="S265" s="7"/>
      <c r="T265" s="7"/>
      <c r="U265" s="7"/>
      <c r="V265" s="7"/>
      <c r="W265" s="7"/>
      <c r="X265" s="7"/>
      <c r="Y265" s="7"/>
    </row>
    <row r="266" spans="3:25" ht="19.5" customHeight="1">
      <c r="C266" s="7"/>
      <c r="D266" s="7"/>
      <c r="E266" s="7"/>
      <c r="F266" s="7"/>
      <c r="G266" s="7"/>
      <c r="H266" s="7"/>
      <c r="I266" s="7"/>
      <c r="J266" s="7"/>
      <c r="K266" s="7"/>
      <c r="L266" s="7"/>
      <c r="M266" s="7"/>
      <c r="N266" s="7"/>
      <c r="O266" s="7"/>
      <c r="P266" s="7"/>
      <c r="Q266" s="7"/>
      <c r="R266" s="7"/>
      <c r="S266" s="7"/>
      <c r="T266" s="7"/>
      <c r="U266" s="7"/>
      <c r="V266" s="7"/>
      <c r="W266" s="7"/>
      <c r="X266" s="7"/>
      <c r="Y266" s="7"/>
    </row>
    <row r="267" spans="3:25" ht="19.5" customHeight="1">
      <c r="C267" s="7"/>
      <c r="D267" s="7"/>
      <c r="E267" s="7"/>
      <c r="F267" s="7"/>
      <c r="G267" s="7"/>
      <c r="H267" s="7"/>
      <c r="I267" s="7"/>
      <c r="J267" s="7"/>
      <c r="K267" s="7"/>
      <c r="L267" s="7"/>
      <c r="M267" s="7"/>
      <c r="N267" s="7"/>
      <c r="O267" s="7"/>
      <c r="P267" s="7"/>
      <c r="Q267" s="7"/>
      <c r="R267" s="7"/>
      <c r="S267" s="7"/>
      <c r="T267" s="7"/>
      <c r="U267" s="7"/>
      <c r="V267" s="7"/>
      <c r="W267" s="7"/>
      <c r="X267" s="7"/>
      <c r="Y267" s="7"/>
    </row>
    <row r="268" spans="3:25" ht="19.5" customHeight="1">
      <c r="C268" s="7"/>
      <c r="D268" s="7"/>
      <c r="E268" s="7"/>
      <c r="F268" s="7"/>
      <c r="G268" s="7"/>
      <c r="H268" s="7"/>
      <c r="I268" s="7"/>
      <c r="J268" s="7"/>
      <c r="K268" s="7"/>
      <c r="L268" s="7"/>
      <c r="M268" s="7"/>
      <c r="N268" s="7"/>
      <c r="O268" s="7"/>
      <c r="P268" s="7"/>
      <c r="Q268" s="7"/>
      <c r="R268" s="7"/>
      <c r="S268" s="7"/>
      <c r="T268" s="7"/>
      <c r="U268" s="7"/>
      <c r="V268" s="7"/>
      <c r="W268" s="7"/>
      <c r="X268" s="7"/>
      <c r="Y268" s="7"/>
    </row>
    <row r="269" spans="3:25" ht="19.5" customHeight="1">
      <c r="C269" s="7"/>
      <c r="D269" s="7"/>
      <c r="E269" s="7"/>
      <c r="F269" s="7"/>
      <c r="G269" s="7"/>
      <c r="H269" s="7"/>
      <c r="I269" s="7"/>
      <c r="J269" s="7"/>
      <c r="K269" s="7"/>
      <c r="L269" s="7"/>
      <c r="M269" s="7"/>
      <c r="N269" s="7"/>
      <c r="O269" s="7"/>
      <c r="P269" s="7"/>
      <c r="Q269" s="7"/>
      <c r="R269" s="7"/>
      <c r="S269" s="7"/>
      <c r="T269" s="7"/>
      <c r="U269" s="7"/>
      <c r="V269" s="7"/>
      <c r="W269" s="7"/>
      <c r="X269" s="7"/>
      <c r="Y269" s="7"/>
    </row>
    <row r="270" spans="3:25" ht="19.5" customHeight="1">
      <c r="C270" s="7"/>
      <c r="D270" s="7"/>
      <c r="E270" s="7"/>
      <c r="F270" s="7"/>
      <c r="G270" s="7"/>
      <c r="H270" s="7"/>
      <c r="I270" s="7"/>
      <c r="J270" s="7"/>
      <c r="K270" s="7"/>
      <c r="L270" s="7"/>
      <c r="M270" s="7"/>
      <c r="N270" s="7"/>
      <c r="O270" s="7"/>
      <c r="P270" s="7"/>
      <c r="Q270" s="7"/>
      <c r="R270" s="7"/>
      <c r="S270" s="7"/>
      <c r="T270" s="7"/>
      <c r="U270" s="7"/>
      <c r="V270" s="7"/>
      <c r="W270" s="7"/>
      <c r="X270" s="7"/>
      <c r="Y270" s="7"/>
    </row>
    <row r="271" spans="3:25" ht="19.5" customHeight="1">
      <c r="C271" s="7"/>
      <c r="D271" s="7"/>
      <c r="E271" s="7"/>
      <c r="F271" s="7"/>
      <c r="G271" s="7"/>
      <c r="H271" s="7"/>
      <c r="I271" s="7"/>
      <c r="J271" s="7"/>
      <c r="K271" s="7"/>
      <c r="L271" s="7"/>
      <c r="M271" s="7"/>
      <c r="N271" s="7"/>
      <c r="O271" s="7"/>
      <c r="P271" s="7"/>
      <c r="Q271" s="7"/>
      <c r="R271" s="7"/>
      <c r="S271" s="7"/>
      <c r="T271" s="7"/>
      <c r="U271" s="7"/>
      <c r="V271" s="7"/>
      <c r="W271" s="7"/>
      <c r="X271" s="7"/>
      <c r="Y271" s="7"/>
    </row>
    <row r="272" spans="3:25" ht="19.5" customHeight="1">
      <c r="C272" s="7"/>
      <c r="D272" s="7"/>
      <c r="E272" s="7"/>
      <c r="F272" s="7"/>
      <c r="G272" s="7"/>
      <c r="H272" s="7"/>
      <c r="I272" s="7"/>
      <c r="J272" s="7"/>
      <c r="K272" s="7"/>
      <c r="L272" s="7"/>
      <c r="M272" s="7"/>
      <c r="N272" s="7"/>
      <c r="O272" s="7"/>
      <c r="P272" s="7"/>
      <c r="Q272" s="7"/>
      <c r="R272" s="7"/>
      <c r="S272" s="7"/>
      <c r="T272" s="7"/>
      <c r="U272" s="7"/>
      <c r="V272" s="7"/>
      <c r="W272" s="7"/>
      <c r="X272" s="7"/>
      <c r="Y272" s="7"/>
    </row>
    <row r="273" spans="3:25" ht="19.5" customHeight="1">
      <c r="C273" s="7"/>
      <c r="D273" s="7"/>
      <c r="E273" s="7"/>
      <c r="F273" s="7"/>
      <c r="G273" s="7"/>
      <c r="H273" s="7"/>
      <c r="I273" s="7"/>
      <c r="J273" s="7"/>
      <c r="K273" s="7"/>
      <c r="L273" s="7"/>
      <c r="M273" s="7"/>
      <c r="N273" s="7"/>
      <c r="O273" s="7"/>
      <c r="P273" s="7"/>
      <c r="Q273" s="7"/>
      <c r="R273" s="7"/>
      <c r="S273" s="7"/>
      <c r="T273" s="7"/>
      <c r="U273" s="7"/>
      <c r="V273" s="7"/>
      <c r="W273" s="7"/>
      <c r="X273" s="7"/>
      <c r="Y273" s="7"/>
    </row>
    <row r="274" spans="3:25" ht="19.5" customHeight="1">
      <c r="C274" s="7"/>
      <c r="D274" s="7"/>
      <c r="E274" s="7"/>
      <c r="F274" s="7"/>
      <c r="G274" s="7"/>
      <c r="H274" s="7"/>
      <c r="I274" s="7"/>
      <c r="J274" s="7"/>
      <c r="K274" s="7"/>
      <c r="L274" s="7"/>
      <c r="M274" s="7"/>
      <c r="N274" s="7"/>
      <c r="O274" s="7"/>
      <c r="P274" s="7"/>
      <c r="Q274" s="7"/>
      <c r="R274" s="7"/>
      <c r="S274" s="7"/>
      <c r="T274" s="7"/>
      <c r="U274" s="7"/>
      <c r="V274" s="7"/>
      <c r="W274" s="7"/>
      <c r="X274" s="7"/>
      <c r="Y274" s="7"/>
    </row>
    <row r="275" spans="3:25" ht="19.5" customHeight="1">
      <c r="C275" s="7"/>
      <c r="D275" s="7"/>
      <c r="E275" s="7"/>
      <c r="F275" s="7"/>
      <c r="G275" s="7"/>
      <c r="H275" s="7"/>
      <c r="I275" s="7"/>
      <c r="J275" s="7"/>
      <c r="K275" s="7"/>
      <c r="L275" s="7"/>
      <c r="M275" s="7"/>
      <c r="N275" s="7"/>
      <c r="O275" s="7"/>
      <c r="P275" s="7"/>
      <c r="Q275" s="7"/>
      <c r="R275" s="7"/>
      <c r="S275" s="7"/>
      <c r="T275" s="7"/>
      <c r="U275" s="7"/>
      <c r="V275" s="7"/>
      <c r="W275" s="7"/>
      <c r="X275" s="7"/>
      <c r="Y275" s="7"/>
    </row>
    <row r="276" spans="3:25" ht="19.5" customHeight="1">
      <c r="C276" s="7"/>
      <c r="D276" s="7"/>
      <c r="E276" s="7"/>
      <c r="F276" s="7"/>
      <c r="G276" s="7"/>
      <c r="H276" s="7"/>
      <c r="I276" s="7"/>
      <c r="J276" s="7"/>
      <c r="K276" s="7"/>
      <c r="L276" s="7"/>
      <c r="M276" s="7"/>
      <c r="N276" s="7"/>
      <c r="O276" s="7"/>
      <c r="P276" s="7"/>
      <c r="Q276" s="7"/>
      <c r="R276" s="7"/>
      <c r="S276" s="7"/>
      <c r="T276" s="7"/>
      <c r="U276" s="7"/>
      <c r="V276" s="7"/>
      <c r="W276" s="7"/>
      <c r="X276" s="7"/>
      <c r="Y276" s="7"/>
    </row>
    <row r="277" spans="3:25" ht="19.5" customHeight="1">
      <c r="C277" s="7"/>
      <c r="D277" s="7"/>
      <c r="E277" s="7"/>
      <c r="F277" s="7"/>
      <c r="G277" s="7"/>
      <c r="H277" s="7"/>
      <c r="I277" s="7"/>
      <c r="J277" s="7"/>
      <c r="K277" s="7"/>
      <c r="L277" s="7"/>
      <c r="M277" s="7"/>
      <c r="N277" s="7"/>
      <c r="O277" s="7"/>
      <c r="P277" s="7"/>
      <c r="Q277" s="7"/>
      <c r="R277" s="7"/>
      <c r="S277" s="7"/>
      <c r="T277" s="7"/>
      <c r="U277" s="7"/>
      <c r="V277" s="7"/>
      <c r="W277" s="7"/>
      <c r="X277" s="7"/>
      <c r="Y277" s="7"/>
    </row>
    <row r="278" spans="3:25" ht="19.5" customHeight="1">
      <c r="C278" s="7"/>
      <c r="D278" s="7"/>
      <c r="E278" s="7"/>
      <c r="F278" s="7"/>
      <c r="G278" s="7"/>
      <c r="H278" s="7"/>
      <c r="I278" s="7"/>
      <c r="J278" s="7"/>
      <c r="K278" s="7"/>
      <c r="L278" s="7"/>
      <c r="M278" s="7"/>
      <c r="N278" s="7"/>
      <c r="O278" s="7"/>
      <c r="P278" s="7"/>
      <c r="Q278" s="7"/>
      <c r="R278" s="7"/>
      <c r="S278" s="7"/>
      <c r="T278" s="7"/>
      <c r="U278" s="7"/>
      <c r="V278" s="7"/>
      <c r="W278" s="7"/>
      <c r="X278" s="7"/>
      <c r="Y278" s="7"/>
    </row>
    <row r="279" spans="3:25" ht="19.5" customHeight="1">
      <c r="C279" s="7"/>
      <c r="D279" s="7"/>
      <c r="E279" s="7"/>
      <c r="F279" s="7"/>
      <c r="G279" s="7"/>
      <c r="H279" s="7"/>
      <c r="I279" s="7"/>
      <c r="J279" s="7"/>
      <c r="K279" s="7"/>
      <c r="L279" s="7"/>
      <c r="M279" s="7"/>
      <c r="N279" s="7"/>
      <c r="O279" s="7"/>
      <c r="P279" s="7"/>
      <c r="Q279" s="7"/>
      <c r="R279" s="7"/>
      <c r="S279" s="7"/>
      <c r="T279" s="7"/>
      <c r="U279" s="7"/>
      <c r="V279" s="7"/>
      <c r="W279" s="7"/>
      <c r="X279" s="7"/>
      <c r="Y279" s="7"/>
    </row>
    <row r="280" spans="3:25" ht="19.5" customHeight="1">
      <c r="C280" s="7"/>
      <c r="D280" s="7"/>
      <c r="E280" s="7"/>
      <c r="F280" s="7"/>
      <c r="G280" s="7"/>
      <c r="H280" s="7"/>
      <c r="I280" s="7"/>
      <c r="J280" s="7"/>
      <c r="K280" s="7"/>
      <c r="L280" s="7"/>
      <c r="M280" s="7"/>
      <c r="N280" s="7"/>
      <c r="O280" s="7"/>
      <c r="P280" s="7"/>
      <c r="Q280" s="7"/>
      <c r="R280" s="7"/>
      <c r="S280" s="7"/>
      <c r="T280" s="7"/>
      <c r="U280" s="7"/>
      <c r="V280" s="7"/>
      <c r="W280" s="7"/>
      <c r="X280" s="7"/>
      <c r="Y280" s="7"/>
    </row>
    <row r="281" spans="3:25" ht="19.5" customHeight="1">
      <c r="C281" s="7"/>
      <c r="D281" s="7"/>
      <c r="E281" s="7"/>
      <c r="F281" s="7"/>
      <c r="G281" s="7"/>
      <c r="H281" s="7"/>
      <c r="I281" s="7"/>
      <c r="J281" s="7"/>
      <c r="K281" s="7"/>
      <c r="L281" s="7"/>
      <c r="M281" s="7"/>
      <c r="N281" s="7"/>
      <c r="O281" s="7"/>
      <c r="P281" s="7"/>
      <c r="Q281" s="7"/>
      <c r="R281" s="7"/>
      <c r="S281" s="7"/>
      <c r="T281" s="7"/>
      <c r="U281" s="7"/>
      <c r="V281" s="7"/>
      <c r="W281" s="7"/>
      <c r="X281" s="7"/>
      <c r="Y281" s="7"/>
    </row>
    <row r="282" spans="3:25" ht="19.5" customHeight="1">
      <c r="C282" s="7"/>
      <c r="D282" s="7"/>
      <c r="E282" s="7"/>
      <c r="F282" s="7"/>
      <c r="G282" s="7"/>
      <c r="H282" s="7"/>
      <c r="I282" s="7"/>
      <c r="J282" s="7"/>
      <c r="K282" s="7"/>
      <c r="L282" s="7"/>
      <c r="M282" s="7"/>
      <c r="N282" s="7"/>
      <c r="O282" s="7"/>
      <c r="P282" s="7"/>
      <c r="Q282" s="7"/>
      <c r="R282" s="7"/>
      <c r="S282" s="7"/>
      <c r="T282" s="7"/>
      <c r="U282" s="7"/>
      <c r="V282" s="7"/>
      <c r="W282" s="7"/>
      <c r="X282" s="7"/>
      <c r="Y282" s="7"/>
    </row>
    <row r="283" spans="3:25" ht="19.5" customHeight="1">
      <c r="C283" s="7"/>
      <c r="D283" s="7"/>
      <c r="E283" s="7"/>
      <c r="F283" s="7"/>
      <c r="G283" s="7"/>
      <c r="H283" s="7"/>
      <c r="I283" s="7"/>
      <c r="J283" s="7"/>
      <c r="K283" s="7"/>
      <c r="L283" s="7"/>
      <c r="M283" s="7"/>
      <c r="N283" s="7"/>
      <c r="O283" s="7"/>
      <c r="P283" s="7"/>
      <c r="Q283" s="7"/>
      <c r="R283" s="7"/>
      <c r="S283" s="7"/>
      <c r="T283" s="7"/>
      <c r="U283" s="7"/>
      <c r="V283" s="7"/>
      <c r="W283" s="7"/>
      <c r="X283" s="7"/>
      <c r="Y283" s="7"/>
    </row>
    <row r="284" spans="3:25" ht="19.5" customHeight="1">
      <c r="C284" s="7"/>
      <c r="D284" s="7"/>
      <c r="E284" s="7"/>
      <c r="F284" s="7"/>
      <c r="G284" s="7"/>
      <c r="H284" s="7"/>
      <c r="I284" s="7"/>
      <c r="J284" s="7"/>
      <c r="K284" s="7"/>
      <c r="L284" s="7"/>
      <c r="M284" s="7"/>
      <c r="N284" s="7"/>
      <c r="O284" s="7"/>
      <c r="P284" s="7"/>
      <c r="Q284" s="7"/>
      <c r="R284" s="7"/>
      <c r="S284" s="7"/>
      <c r="T284" s="7"/>
      <c r="U284" s="7"/>
      <c r="V284" s="7"/>
      <c r="W284" s="7"/>
      <c r="X284" s="7"/>
      <c r="Y284" s="7"/>
    </row>
    <row r="285" spans="3:25" ht="19.5" customHeight="1">
      <c r="C285" s="7"/>
      <c r="D285" s="7"/>
      <c r="E285" s="7"/>
      <c r="F285" s="7"/>
      <c r="G285" s="7"/>
      <c r="H285" s="7"/>
      <c r="I285" s="7"/>
      <c r="J285" s="7"/>
      <c r="K285" s="7"/>
      <c r="L285" s="7"/>
      <c r="M285" s="7"/>
      <c r="N285" s="7"/>
      <c r="O285" s="7"/>
      <c r="P285" s="7"/>
      <c r="Q285" s="7"/>
      <c r="R285" s="7"/>
      <c r="S285" s="7"/>
      <c r="T285" s="7"/>
      <c r="U285" s="7"/>
      <c r="V285" s="7"/>
      <c r="W285" s="7"/>
      <c r="X285" s="7"/>
      <c r="Y285" s="7"/>
    </row>
    <row r="286" spans="3:25" ht="19.5" customHeight="1">
      <c r="C286" s="7"/>
      <c r="D286" s="7"/>
      <c r="E286" s="7"/>
      <c r="F286" s="7"/>
      <c r="G286" s="7"/>
      <c r="H286" s="7"/>
      <c r="I286" s="7"/>
      <c r="J286" s="7"/>
      <c r="K286" s="7"/>
      <c r="L286" s="7"/>
      <c r="M286" s="7"/>
      <c r="N286" s="7"/>
      <c r="O286" s="7"/>
      <c r="P286" s="7"/>
      <c r="Q286" s="7"/>
      <c r="R286" s="7"/>
      <c r="S286" s="7"/>
      <c r="T286" s="7"/>
      <c r="U286" s="7"/>
      <c r="V286" s="7"/>
      <c r="W286" s="7"/>
      <c r="X286" s="7"/>
      <c r="Y286" s="7"/>
    </row>
    <row r="287" spans="3:25" ht="19.5" customHeight="1">
      <c r="C287" s="7"/>
      <c r="D287" s="7"/>
      <c r="E287" s="7"/>
      <c r="F287" s="7"/>
      <c r="G287" s="7"/>
      <c r="H287" s="7"/>
      <c r="I287" s="7"/>
      <c r="J287" s="7"/>
      <c r="K287" s="7"/>
      <c r="L287" s="7"/>
      <c r="M287" s="7"/>
      <c r="N287" s="7"/>
      <c r="O287" s="7"/>
      <c r="P287" s="7"/>
      <c r="Q287" s="7"/>
      <c r="R287" s="7"/>
      <c r="S287" s="7"/>
      <c r="T287" s="7"/>
      <c r="U287" s="7"/>
      <c r="V287" s="7"/>
      <c r="W287" s="7"/>
      <c r="X287" s="7"/>
      <c r="Y287" s="7"/>
    </row>
    <row r="288" spans="3:25" ht="19.5" customHeight="1">
      <c r="C288" s="7"/>
      <c r="D288" s="7"/>
      <c r="E288" s="7"/>
      <c r="F288" s="7"/>
      <c r="G288" s="7"/>
      <c r="H288" s="7"/>
      <c r="I288" s="7"/>
      <c r="J288" s="7"/>
      <c r="K288" s="7"/>
      <c r="L288" s="7"/>
      <c r="M288" s="7"/>
      <c r="N288" s="7"/>
      <c r="O288" s="7"/>
      <c r="P288" s="7"/>
      <c r="Q288" s="7"/>
      <c r="R288" s="7"/>
      <c r="S288" s="7"/>
      <c r="T288" s="7"/>
      <c r="U288" s="7"/>
      <c r="V288" s="7"/>
      <c r="W288" s="7"/>
      <c r="X288" s="7"/>
      <c r="Y288" s="7"/>
    </row>
    <row r="289" spans="3:25" ht="19.5" customHeight="1">
      <c r="C289" s="7"/>
      <c r="D289" s="7"/>
      <c r="E289" s="7"/>
      <c r="F289" s="7"/>
      <c r="G289" s="7"/>
      <c r="H289" s="7"/>
      <c r="I289" s="7"/>
      <c r="J289" s="7"/>
      <c r="K289" s="7"/>
      <c r="L289" s="7"/>
      <c r="M289" s="7"/>
      <c r="N289" s="7"/>
      <c r="O289" s="7"/>
      <c r="P289" s="7"/>
      <c r="Q289" s="7"/>
      <c r="R289" s="7"/>
      <c r="S289" s="7"/>
      <c r="T289" s="7"/>
      <c r="U289" s="7"/>
      <c r="V289" s="7"/>
      <c r="W289" s="7"/>
      <c r="X289" s="7"/>
      <c r="Y289" s="7"/>
    </row>
    <row r="290" spans="3:25" ht="19.5" customHeight="1">
      <c r="C290" s="7"/>
      <c r="D290" s="7"/>
      <c r="E290" s="7"/>
      <c r="F290" s="7"/>
      <c r="G290" s="7"/>
      <c r="H290" s="7"/>
      <c r="I290" s="7"/>
      <c r="J290" s="7"/>
      <c r="K290" s="7"/>
      <c r="L290" s="7"/>
      <c r="M290" s="7"/>
      <c r="N290" s="7"/>
      <c r="O290" s="7"/>
      <c r="P290" s="7"/>
      <c r="Q290" s="7"/>
      <c r="R290" s="7"/>
      <c r="S290" s="7"/>
      <c r="T290" s="7"/>
      <c r="U290" s="7"/>
      <c r="V290" s="7"/>
      <c r="W290" s="7"/>
      <c r="X290" s="7"/>
      <c r="Y290" s="7"/>
    </row>
    <row r="291" spans="3:25" ht="19.5" customHeight="1">
      <c r="C291" s="7"/>
      <c r="D291" s="7"/>
      <c r="E291" s="7"/>
      <c r="F291" s="7"/>
      <c r="G291" s="7"/>
      <c r="H291" s="7"/>
      <c r="I291" s="7"/>
      <c r="J291" s="7"/>
      <c r="K291" s="7"/>
      <c r="L291" s="7"/>
      <c r="M291" s="7"/>
      <c r="N291" s="7"/>
      <c r="O291" s="7"/>
      <c r="P291" s="7"/>
      <c r="Q291" s="7"/>
      <c r="R291" s="7"/>
      <c r="S291" s="7"/>
      <c r="T291" s="7"/>
      <c r="U291" s="7"/>
      <c r="V291" s="7"/>
      <c r="W291" s="7"/>
      <c r="X291" s="7"/>
      <c r="Y291" s="7"/>
    </row>
    <row r="292" spans="3:25" ht="19.5" customHeight="1">
      <c r="C292" s="7"/>
      <c r="D292" s="7"/>
      <c r="E292" s="7"/>
      <c r="F292" s="7"/>
      <c r="G292" s="7"/>
      <c r="H292" s="7"/>
      <c r="I292" s="7"/>
      <c r="J292" s="7"/>
      <c r="K292" s="7"/>
      <c r="L292" s="7"/>
      <c r="M292" s="7"/>
      <c r="N292" s="7"/>
      <c r="O292" s="7"/>
      <c r="P292" s="7"/>
      <c r="Q292" s="7"/>
      <c r="R292" s="7"/>
      <c r="S292" s="7"/>
      <c r="T292" s="7"/>
      <c r="U292" s="7"/>
      <c r="V292" s="7"/>
      <c r="W292" s="7"/>
      <c r="X292" s="7"/>
      <c r="Y292" s="7"/>
    </row>
    <row r="293" spans="3:25" ht="19.5" customHeight="1">
      <c r="C293" s="7"/>
      <c r="D293" s="7"/>
      <c r="E293" s="7"/>
      <c r="F293" s="7"/>
      <c r="G293" s="7"/>
      <c r="H293" s="7"/>
      <c r="I293" s="7"/>
      <c r="J293" s="7"/>
      <c r="K293" s="7"/>
      <c r="L293" s="7"/>
      <c r="M293" s="7"/>
      <c r="N293" s="7"/>
      <c r="O293" s="7"/>
      <c r="P293" s="7"/>
      <c r="Q293" s="7"/>
      <c r="R293" s="7"/>
      <c r="S293" s="7"/>
      <c r="T293" s="7"/>
      <c r="U293" s="7"/>
      <c r="V293" s="7"/>
      <c r="W293" s="7"/>
      <c r="X293" s="7"/>
      <c r="Y293" s="7"/>
    </row>
    <row r="294" spans="3:25" ht="19.5" customHeight="1">
      <c r="C294" s="7"/>
      <c r="D294" s="7"/>
      <c r="E294" s="7"/>
      <c r="F294" s="7"/>
      <c r="G294" s="7"/>
      <c r="H294" s="7"/>
      <c r="I294" s="7"/>
      <c r="J294" s="7"/>
      <c r="K294" s="7"/>
      <c r="L294" s="7"/>
      <c r="M294" s="7"/>
      <c r="N294" s="7"/>
      <c r="O294" s="7"/>
      <c r="P294" s="7"/>
      <c r="Q294" s="7"/>
      <c r="R294" s="7"/>
      <c r="S294" s="7"/>
      <c r="T294" s="7"/>
      <c r="U294" s="7"/>
      <c r="V294" s="7"/>
      <c r="W294" s="7"/>
      <c r="X294" s="7"/>
      <c r="Y294" s="7"/>
    </row>
    <row r="295" spans="3:25" ht="19.5" customHeight="1">
      <c r="C295" s="7"/>
      <c r="D295" s="7"/>
      <c r="E295" s="7"/>
      <c r="F295" s="7"/>
      <c r="G295" s="7"/>
      <c r="H295" s="7"/>
      <c r="I295" s="7"/>
      <c r="J295" s="7"/>
      <c r="K295" s="7"/>
      <c r="L295" s="7"/>
      <c r="M295" s="7"/>
      <c r="N295" s="7"/>
      <c r="O295" s="7"/>
      <c r="P295" s="7"/>
      <c r="Q295" s="7"/>
      <c r="R295" s="7"/>
      <c r="S295" s="7"/>
      <c r="T295" s="7"/>
      <c r="U295" s="7"/>
      <c r="V295" s="7"/>
      <c r="W295" s="7"/>
      <c r="X295" s="7"/>
      <c r="Y295" s="7"/>
    </row>
    <row r="296" spans="3:25" ht="19.5" customHeight="1">
      <c r="C296" s="7"/>
      <c r="D296" s="7"/>
      <c r="E296" s="7"/>
      <c r="F296" s="7"/>
      <c r="G296" s="7"/>
      <c r="H296" s="7"/>
      <c r="I296" s="7"/>
      <c r="J296" s="7"/>
      <c r="K296" s="7"/>
      <c r="L296" s="7"/>
      <c r="M296" s="7"/>
      <c r="N296" s="7"/>
      <c r="O296" s="7"/>
      <c r="P296" s="7"/>
      <c r="Q296" s="7"/>
      <c r="R296" s="7"/>
      <c r="S296" s="7"/>
      <c r="T296" s="7"/>
      <c r="U296" s="7"/>
      <c r="V296" s="7"/>
      <c r="W296" s="7"/>
      <c r="X296" s="7"/>
      <c r="Y296" s="7"/>
    </row>
    <row r="297" spans="3:25" ht="19.5" customHeight="1">
      <c r="C297" s="7"/>
      <c r="D297" s="7"/>
      <c r="E297" s="7"/>
      <c r="F297" s="7"/>
      <c r="G297" s="7"/>
      <c r="H297" s="7"/>
      <c r="I297" s="7"/>
      <c r="J297" s="7"/>
      <c r="K297" s="7"/>
      <c r="L297" s="7"/>
      <c r="M297" s="7"/>
      <c r="N297" s="7"/>
      <c r="O297" s="7"/>
      <c r="P297" s="7"/>
      <c r="Q297" s="7"/>
      <c r="R297" s="7"/>
      <c r="S297" s="7"/>
      <c r="T297" s="7"/>
      <c r="U297" s="7"/>
      <c r="V297" s="7"/>
      <c r="W297" s="7"/>
      <c r="X297" s="7"/>
      <c r="Y297" s="7"/>
    </row>
    <row r="298" spans="3:25" ht="19.5" customHeight="1">
      <c r="C298" s="7"/>
      <c r="D298" s="7"/>
      <c r="E298" s="7"/>
      <c r="F298" s="7"/>
      <c r="G298" s="7"/>
      <c r="H298" s="7"/>
      <c r="I298" s="7"/>
      <c r="J298" s="7"/>
      <c r="K298" s="7"/>
      <c r="L298" s="7"/>
      <c r="M298" s="7"/>
      <c r="N298" s="7"/>
      <c r="O298" s="7"/>
      <c r="P298" s="7"/>
      <c r="Q298" s="7"/>
      <c r="R298" s="7"/>
      <c r="S298" s="7"/>
      <c r="T298" s="7"/>
      <c r="U298" s="7"/>
      <c r="V298" s="7"/>
      <c r="W298" s="7"/>
      <c r="X298" s="7"/>
      <c r="Y298" s="7"/>
    </row>
    <row r="299" spans="3:25" ht="19.5" customHeight="1">
      <c r="C299" s="7"/>
      <c r="D299" s="7"/>
      <c r="E299" s="7"/>
      <c r="F299" s="7"/>
      <c r="G299" s="7"/>
      <c r="H299" s="7"/>
      <c r="I299" s="7"/>
      <c r="J299" s="7"/>
      <c r="K299" s="7"/>
      <c r="L299" s="7"/>
      <c r="M299" s="7"/>
      <c r="N299" s="7"/>
      <c r="O299" s="7"/>
      <c r="P299" s="7"/>
      <c r="Q299" s="7"/>
      <c r="R299" s="7"/>
      <c r="S299" s="7"/>
      <c r="T299" s="7"/>
      <c r="U299" s="7"/>
      <c r="V299" s="7"/>
      <c r="W299" s="7"/>
      <c r="X299" s="7"/>
      <c r="Y299" s="7"/>
    </row>
    <row r="300" spans="3:25" ht="19.5" customHeight="1">
      <c r="C300" s="7"/>
      <c r="D300" s="7"/>
      <c r="E300" s="7"/>
      <c r="F300" s="7"/>
      <c r="G300" s="7"/>
      <c r="H300" s="7"/>
      <c r="I300" s="7"/>
      <c r="J300" s="7"/>
      <c r="K300" s="7"/>
      <c r="L300" s="7"/>
      <c r="M300" s="7"/>
      <c r="N300" s="7"/>
      <c r="O300" s="7"/>
      <c r="P300" s="7"/>
      <c r="Q300" s="7"/>
      <c r="R300" s="7"/>
      <c r="S300" s="7"/>
      <c r="T300" s="7"/>
      <c r="U300" s="7"/>
      <c r="V300" s="7"/>
      <c r="W300" s="7"/>
      <c r="X300" s="7"/>
      <c r="Y300" s="7"/>
    </row>
    <row r="301" spans="3:25" ht="19.5" customHeight="1">
      <c r="C301" s="7"/>
      <c r="D301" s="7"/>
      <c r="E301" s="7"/>
      <c r="F301" s="7"/>
      <c r="G301" s="7"/>
      <c r="H301" s="7"/>
      <c r="I301" s="7"/>
      <c r="J301" s="7"/>
      <c r="K301" s="7"/>
      <c r="L301" s="7"/>
      <c r="M301" s="7"/>
      <c r="N301" s="7"/>
      <c r="O301" s="7"/>
      <c r="P301" s="7"/>
      <c r="Q301" s="7"/>
      <c r="R301" s="7"/>
      <c r="S301" s="7"/>
      <c r="T301" s="7"/>
      <c r="U301" s="7"/>
      <c r="V301" s="7"/>
      <c r="W301" s="7"/>
      <c r="X301" s="7"/>
      <c r="Y301" s="7"/>
    </row>
    <row r="302" spans="3:25" ht="19.5" customHeight="1">
      <c r="C302" s="7"/>
      <c r="D302" s="7"/>
      <c r="E302" s="7"/>
      <c r="F302" s="7"/>
      <c r="G302" s="7"/>
      <c r="H302" s="7"/>
      <c r="I302" s="7"/>
      <c r="J302" s="7"/>
      <c r="K302" s="7"/>
      <c r="L302" s="7"/>
      <c r="M302" s="7"/>
      <c r="N302" s="7"/>
      <c r="O302" s="7"/>
      <c r="P302" s="7"/>
      <c r="Q302" s="7"/>
      <c r="R302" s="7"/>
      <c r="S302" s="7"/>
      <c r="T302" s="7"/>
      <c r="U302" s="7"/>
      <c r="V302" s="7"/>
      <c r="W302" s="7"/>
      <c r="X302" s="7"/>
      <c r="Y302" s="7"/>
    </row>
    <row r="303" spans="3:25" ht="19.5" customHeight="1">
      <c r="C303" s="7"/>
      <c r="D303" s="7"/>
      <c r="E303" s="7"/>
      <c r="F303" s="7"/>
      <c r="G303" s="7"/>
      <c r="H303" s="7"/>
      <c r="I303" s="7"/>
      <c r="J303" s="7"/>
      <c r="K303" s="7"/>
      <c r="L303" s="7"/>
      <c r="M303" s="7"/>
      <c r="N303" s="7"/>
      <c r="O303" s="7"/>
      <c r="P303" s="7"/>
      <c r="Q303" s="7"/>
      <c r="R303" s="7"/>
      <c r="S303" s="7"/>
      <c r="T303" s="7"/>
      <c r="U303" s="7"/>
      <c r="V303" s="7"/>
      <c r="W303" s="7"/>
      <c r="X303" s="7"/>
      <c r="Y303" s="7"/>
    </row>
    <row r="304" spans="3:25" ht="19.5" customHeight="1">
      <c r="C304" s="7"/>
      <c r="D304" s="7"/>
      <c r="E304" s="7"/>
      <c r="F304" s="7"/>
      <c r="G304" s="7"/>
      <c r="H304" s="7"/>
      <c r="I304" s="7"/>
      <c r="J304" s="7"/>
      <c r="K304" s="7"/>
      <c r="L304" s="7"/>
      <c r="M304" s="7"/>
      <c r="N304" s="7"/>
      <c r="O304" s="7"/>
      <c r="P304" s="7"/>
      <c r="Q304" s="7"/>
      <c r="R304" s="7"/>
      <c r="S304" s="7"/>
      <c r="T304" s="7"/>
      <c r="U304" s="7"/>
      <c r="V304" s="7"/>
      <c r="W304" s="7"/>
      <c r="X304" s="7"/>
      <c r="Y304" s="7"/>
    </row>
    <row r="305" spans="3:25" ht="19.5" customHeight="1">
      <c r="C305" s="7"/>
      <c r="D305" s="7"/>
      <c r="E305" s="7"/>
      <c r="F305" s="7"/>
      <c r="G305" s="7"/>
      <c r="H305" s="7"/>
      <c r="I305" s="7"/>
      <c r="J305" s="7"/>
      <c r="K305" s="7"/>
      <c r="L305" s="7"/>
      <c r="M305" s="7"/>
      <c r="N305" s="7"/>
      <c r="O305" s="7"/>
      <c r="P305" s="7"/>
      <c r="Q305" s="7"/>
      <c r="R305" s="7"/>
      <c r="S305" s="7"/>
      <c r="T305" s="7"/>
      <c r="U305" s="7"/>
      <c r="V305" s="7"/>
      <c r="W305" s="7"/>
      <c r="X305" s="7"/>
      <c r="Y305" s="7"/>
    </row>
    <row r="306" spans="3:25" ht="19.5" customHeight="1">
      <c r="C306" s="7"/>
      <c r="D306" s="7"/>
      <c r="E306" s="7"/>
      <c r="F306" s="7"/>
      <c r="G306" s="7"/>
      <c r="H306" s="7"/>
      <c r="I306" s="7"/>
      <c r="J306" s="7"/>
      <c r="K306" s="7"/>
      <c r="L306" s="7"/>
      <c r="M306" s="7"/>
      <c r="N306" s="7"/>
      <c r="O306" s="7"/>
      <c r="P306" s="7"/>
      <c r="Q306" s="7"/>
      <c r="R306" s="7"/>
      <c r="S306" s="7"/>
      <c r="T306" s="7"/>
      <c r="U306" s="7"/>
      <c r="V306" s="7"/>
      <c r="W306" s="7"/>
      <c r="X306" s="7"/>
      <c r="Y306" s="7"/>
    </row>
    <row r="307" spans="3:25" ht="19.5" customHeight="1">
      <c r="C307" s="7"/>
      <c r="D307" s="7"/>
      <c r="E307" s="7"/>
      <c r="F307" s="7"/>
      <c r="G307" s="7"/>
      <c r="H307" s="7"/>
      <c r="I307" s="7"/>
      <c r="J307" s="7"/>
      <c r="K307" s="7"/>
      <c r="L307" s="7"/>
      <c r="M307" s="7"/>
      <c r="N307" s="7"/>
      <c r="O307" s="7"/>
      <c r="P307" s="7"/>
      <c r="Q307" s="7"/>
      <c r="R307" s="7"/>
      <c r="S307" s="7"/>
      <c r="T307" s="7"/>
      <c r="U307" s="7"/>
      <c r="V307" s="7"/>
      <c r="W307" s="7"/>
      <c r="X307" s="7"/>
      <c r="Y307" s="7"/>
    </row>
    <row r="308" spans="3:25" ht="19.5" customHeight="1">
      <c r="C308" s="7"/>
      <c r="D308" s="7"/>
      <c r="E308" s="7"/>
      <c r="F308" s="7"/>
      <c r="G308" s="7"/>
      <c r="H308" s="7"/>
      <c r="I308" s="7"/>
      <c r="J308" s="7"/>
      <c r="K308" s="7"/>
      <c r="L308" s="7"/>
      <c r="M308" s="7"/>
      <c r="N308" s="7"/>
      <c r="O308" s="7"/>
      <c r="P308" s="7"/>
      <c r="Q308" s="7"/>
      <c r="R308" s="7"/>
      <c r="S308" s="7"/>
      <c r="T308" s="7"/>
      <c r="U308" s="7"/>
      <c r="V308" s="7"/>
      <c r="W308" s="7"/>
      <c r="X308" s="7"/>
      <c r="Y308" s="7"/>
    </row>
    <row r="309" spans="3:25" ht="19.5" customHeight="1">
      <c r="C309" s="7"/>
      <c r="D309" s="7"/>
      <c r="E309" s="7"/>
      <c r="F309" s="7"/>
      <c r="G309" s="7"/>
      <c r="H309" s="7"/>
      <c r="I309" s="7"/>
      <c r="J309" s="7"/>
      <c r="K309" s="7"/>
      <c r="L309" s="7"/>
      <c r="M309" s="7"/>
      <c r="N309" s="7"/>
      <c r="O309" s="7"/>
      <c r="P309" s="7"/>
      <c r="Q309" s="7"/>
      <c r="R309" s="7"/>
      <c r="S309" s="7"/>
      <c r="T309" s="7"/>
      <c r="U309" s="7"/>
      <c r="V309" s="7"/>
      <c r="W309" s="7"/>
      <c r="X309" s="7"/>
      <c r="Y309" s="7"/>
    </row>
    <row r="310" spans="3:25" ht="19.5" customHeight="1">
      <c r="C310" s="7"/>
      <c r="D310" s="7"/>
      <c r="E310" s="7"/>
      <c r="F310" s="7"/>
      <c r="G310" s="7"/>
      <c r="H310" s="7"/>
      <c r="I310" s="7"/>
      <c r="J310" s="7"/>
      <c r="K310" s="7"/>
      <c r="L310" s="7"/>
      <c r="M310" s="7"/>
      <c r="N310" s="7"/>
      <c r="O310" s="7"/>
      <c r="P310" s="7"/>
      <c r="Q310" s="7"/>
      <c r="R310" s="7"/>
      <c r="S310" s="7"/>
      <c r="T310" s="7"/>
      <c r="U310" s="7"/>
      <c r="V310" s="7"/>
      <c r="W310" s="7"/>
      <c r="X310" s="7"/>
      <c r="Y310" s="7"/>
    </row>
    <row r="311" spans="3:25" ht="19.5" customHeight="1">
      <c r="C311" s="7"/>
      <c r="D311" s="7"/>
      <c r="E311" s="7"/>
      <c r="F311" s="7"/>
      <c r="G311" s="7"/>
      <c r="H311" s="7"/>
      <c r="I311" s="7"/>
      <c r="J311" s="7"/>
      <c r="K311" s="7"/>
      <c r="L311" s="7"/>
      <c r="M311" s="7"/>
      <c r="N311" s="7"/>
      <c r="O311" s="7"/>
      <c r="P311" s="7"/>
      <c r="Q311" s="7"/>
      <c r="R311" s="7"/>
      <c r="S311" s="7"/>
      <c r="T311" s="7"/>
      <c r="U311" s="7"/>
      <c r="V311" s="7"/>
      <c r="W311" s="7"/>
      <c r="X311" s="7"/>
      <c r="Y311" s="7"/>
    </row>
    <row r="312" spans="3:25" ht="19.5" customHeight="1">
      <c r="C312" s="7"/>
      <c r="D312" s="7"/>
      <c r="E312" s="7"/>
      <c r="F312" s="7"/>
      <c r="G312" s="7"/>
      <c r="H312" s="7"/>
      <c r="I312" s="7"/>
      <c r="J312" s="7"/>
      <c r="K312" s="7"/>
      <c r="L312" s="7"/>
      <c r="M312" s="7"/>
      <c r="N312" s="7"/>
      <c r="O312" s="7"/>
      <c r="P312" s="7"/>
      <c r="Q312" s="7"/>
      <c r="R312" s="7"/>
      <c r="S312" s="7"/>
      <c r="T312" s="7"/>
      <c r="U312" s="7"/>
      <c r="V312" s="7"/>
      <c r="W312" s="7"/>
      <c r="X312" s="7"/>
      <c r="Y312" s="7"/>
    </row>
    <row r="313" spans="3:25" ht="19.5" customHeight="1">
      <c r="C313" s="7"/>
      <c r="D313" s="7"/>
      <c r="E313" s="7"/>
      <c r="F313" s="7"/>
      <c r="G313" s="7"/>
      <c r="H313" s="7"/>
      <c r="I313" s="7"/>
      <c r="J313" s="7"/>
      <c r="K313" s="7"/>
      <c r="L313" s="7"/>
      <c r="M313" s="7"/>
      <c r="N313" s="7"/>
      <c r="O313" s="7"/>
      <c r="P313" s="7"/>
      <c r="Q313" s="7"/>
      <c r="R313" s="7"/>
      <c r="S313" s="7"/>
      <c r="T313" s="7"/>
      <c r="U313" s="7"/>
      <c r="V313" s="7"/>
      <c r="W313" s="7"/>
      <c r="X313" s="7"/>
      <c r="Y313" s="7"/>
    </row>
    <row r="314" spans="3:25" ht="19.5" customHeight="1">
      <c r="C314" s="7"/>
      <c r="D314" s="7"/>
      <c r="E314" s="7"/>
      <c r="F314" s="7"/>
      <c r="G314" s="7"/>
      <c r="H314" s="7"/>
      <c r="I314" s="7"/>
      <c r="J314" s="7"/>
      <c r="K314" s="7"/>
      <c r="L314" s="7"/>
      <c r="M314" s="7"/>
      <c r="N314" s="7"/>
      <c r="O314" s="7"/>
      <c r="P314" s="7"/>
      <c r="Q314" s="7"/>
      <c r="R314" s="7"/>
      <c r="S314" s="7"/>
      <c r="T314" s="7"/>
      <c r="U314" s="7"/>
      <c r="V314" s="7"/>
      <c r="W314" s="7"/>
      <c r="X314" s="7"/>
      <c r="Y314" s="7"/>
    </row>
    <row r="315" spans="3:25" ht="19.5" customHeight="1">
      <c r="C315" s="7"/>
      <c r="D315" s="7"/>
      <c r="E315" s="7"/>
      <c r="F315" s="7"/>
      <c r="G315" s="7"/>
      <c r="H315" s="7"/>
      <c r="I315" s="7"/>
      <c r="J315" s="7"/>
      <c r="K315" s="7"/>
      <c r="L315" s="7"/>
      <c r="M315" s="7"/>
      <c r="N315" s="7"/>
      <c r="O315" s="7"/>
      <c r="P315" s="7"/>
      <c r="Q315" s="7"/>
      <c r="R315" s="7"/>
      <c r="S315" s="7"/>
      <c r="T315" s="7"/>
      <c r="U315" s="7"/>
      <c r="V315" s="7"/>
      <c r="W315" s="7"/>
      <c r="X315" s="7"/>
      <c r="Y315" s="7"/>
    </row>
    <row r="316" spans="3:25" ht="19.5" customHeight="1">
      <c r="C316" s="7"/>
      <c r="D316" s="7"/>
      <c r="E316" s="7"/>
      <c r="F316" s="7"/>
      <c r="G316" s="7"/>
      <c r="H316" s="7"/>
      <c r="I316" s="7"/>
      <c r="J316" s="7"/>
      <c r="K316" s="7"/>
      <c r="L316" s="7"/>
      <c r="M316" s="7"/>
      <c r="N316" s="7"/>
      <c r="O316" s="7"/>
      <c r="P316" s="7"/>
      <c r="Q316" s="7"/>
      <c r="R316" s="7"/>
      <c r="S316" s="7"/>
      <c r="T316" s="7"/>
      <c r="U316" s="7"/>
      <c r="V316" s="7"/>
      <c r="W316" s="7"/>
      <c r="X316" s="7"/>
      <c r="Y316" s="7"/>
    </row>
    <row r="317" spans="3:25" ht="19.5" customHeight="1">
      <c r="C317" s="7"/>
      <c r="D317" s="7"/>
      <c r="E317" s="7"/>
      <c r="F317" s="7"/>
      <c r="G317" s="7"/>
      <c r="H317" s="7"/>
      <c r="I317" s="7"/>
      <c r="J317" s="7"/>
      <c r="K317" s="7"/>
      <c r="L317" s="7"/>
      <c r="M317" s="7"/>
      <c r="N317" s="7"/>
      <c r="O317" s="7"/>
      <c r="P317" s="7"/>
      <c r="Q317" s="7"/>
      <c r="R317" s="7"/>
      <c r="S317" s="7"/>
      <c r="T317" s="7"/>
      <c r="U317" s="7"/>
      <c r="V317" s="7"/>
      <c r="W317" s="7"/>
      <c r="X317" s="7"/>
      <c r="Y317" s="7"/>
    </row>
    <row r="318" spans="3:25" ht="19.5" customHeight="1">
      <c r="C318" s="7"/>
      <c r="D318" s="7"/>
      <c r="E318" s="7"/>
      <c r="F318" s="7"/>
      <c r="G318" s="7"/>
      <c r="H318" s="7"/>
      <c r="I318" s="7"/>
      <c r="J318" s="7"/>
      <c r="K318" s="7"/>
      <c r="L318" s="7"/>
      <c r="M318" s="7"/>
      <c r="N318" s="7"/>
      <c r="O318" s="7"/>
      <c r="P318" s="7"/>
      <c r="Q318" s="7"/>
      <c r="R318" s="7"/>
      <c r="S318" s="7"/>
      <c r="T318" s="7"/>
      <c r="U318" s="7"/>
      <c r="V318" s="7"/>
      <c r="W318" s="7"/>
      <c r="X318" s="7"/>
      <c r="Y318" s="7"/>
    </row>
    <row r="319" spans="3:25" ht="19.5" customHeight="1">
      <c r="C319" s="7"/>
      <c r="D319" s="7"/>
      <c r="E319" s="7"/>
      <c r="F319" s="7"/>
      <c r="G319" s="7"/>
      <c r="H319" s="7"/>
      <c r="I319" s="7"/>
      <c r="J319" s="7"/>
      <c r="K319" s="7"/>
      <c r="L319" s="7"/>
      <c r="M319" s="7"/>
      <c r="N319" s="7"/>
      <c r="O319" s="7"/>
      <c r="P319" s="7"/>
      <c r="Q319" s="7"/>
      <c r="R319" s="7"/>
      <c r="S319" s="7"/>
      <c r="T319" s="7"/>
      <c r="U319" s="7"/>
      <c r="V319" s="7"/>
      <c r="W319" s="7"/>
      <c r="X319" s="7"/>
      <c r="Y319" s="7"/>
    </row>
    <row r="320" spans="3:25" ht="19.5" customHeight="1">
      <c r="C320" s="7"/>
      <c r="D320" s="7"/>
      <c r="E320" s="7"/>
      <c r="F320" s="7"/>
      <c r="G320" s="7"/>
      <c r="H320" s="7"/>
      <c r="I320" s="7"/>
      <c r="J320" s="7"/>
      <c r="K320" s="7"/>
      <c r="L320" s="7"/>
      <c r="M320" s="7"/>
      <c r="N320" s="7"/>
      <c r="O320" s="7"/>
      <c r="P320" s="7"/>
      <c r="Q320" s="7"/>
      <c r="R320" s="7"/>
      <c r="S320" s="7"/>
      <c r="T320" s="7"/>
      <c r="U320" s="7"/>
      <c r="V320" s="7"/>
      <c r="W320" s="7"/>
      <c r="X320" s="7"/>
      <c r="Y320" s="7"/>
    </row>
    <row r="321" spans="3:25" ht="19.5" customHeight="1">
      <c r="C321" s="7"/>
      <c r="D321" s="7"/>
      <c r="E321" s="7"/>
      <c r="F321" s="7"/>
      <c r="G321" s="7"/>
      <c r="H321" s="7"/>
      <c r="I321" s="7"/>
      <c r="J321" s="7"/>
      <c r="K321" s="7"/>
      <c r="L321" s="7"/>
      <c r="M321" s="7"/>
      <c r="N321" s="7"/>
      <c r="O321" s="7"/>
      <c r="P321" s="7"/>
      <c r="Q321" s="7"/>
      <c r="R321" s="7"/>
      <c r="S321" s="7"/>
      <c r="T321" s="7"/>
      <c r="U321" s="7"/>
      <c r="V321" s="7"/>
      <c r="W321" s="7"/>
      <c r="X321" s="7"/>
      <c r="Y321" s="7"/>
    </row>
    <row r="322" spans="3:25" ht="19.5" customHeight="1">
      <c r="C322" s="7"/>
      <c r="D322" s="7"/>
      <c r="E322" s="7"/>
      <c r="F322" s="7"/>
      <c r="G322" s="7"/>
      <c r="H322" s="7"/>
      <c r="I322" s="7"/>
      <c r="J322" s="7"/>
      <c r="K322" s="7"/>
      <c r="L322" s="7"/>
      <c r="M322" s="7"/>
      <c r="N322" s="7"/>
      <c r="O322" s="7"/>
      <c r="P322" s="7"/>
      <c r="Q322" s="7"/>
      <c r="R322" s="7"/>
      <c r="S322" s="7"/>
      <c r="T322" s="7"/>
      <c r="U322" s="7"/>
      <c r="V322" s="7"/>
      <c r="W322" s="7"/>
      <c r="X322" s="7"/>
      <c r="Y322" s="7"/>
    </row>
    <row r="323" spans="3:25" ht="19.5" customHeight="1">
      <c r="C323" s="7"/>
      <c r="D323" s="7"/>
      <c r="E323" s="7"/>
      <c r="F323" s="7"/>
      <c r="G323" s="7"/>
      <c r="H323" s="7"/>
      <c r="I323" s="7"/>
      <c r="J323" s="7"/>
      <c r="K323" s="7"/>
      <c r="L323" s="7"/>
      <c r="M323" s="7"/>
      <c r="N323" s="7"/>
      <c r="O323" s="7"/>
      <c r="P323" s="7"/>
      <c r="Q323" s="7"/>
      <c r="R323" s="7"/>
      <c r="S323" s="7"/>
      <c r="T323" s="7"/>
      <c r="U323" s="7"/>
      <c r="V323" s="7"/>
      <c r="W323" s="7"/>
      <c r="X323" s="7"/>
      <c r="Y323" s="7"/>
    </row>
    <row r="324" spans="3:25" ht="19.5" customHeight="1">
      <c r="C324" s="7"/>
      <c r="D324" s="7"/>
      <c r="E324" s="7"/>
      <c r="F324" s="7"/>
      <c r="G324" s="7"/>
      <c r="H324" s="7"/>
      <c r="I324" s="7"/>
      <c r="J324" s="7"/>
      <c r="K324" s="7"/>
      <c r="L324" s="7"/>
      <c r="M324" s="7"/>
      <c r="N324" s="7"/>
      <c r="O324" s="7"/>
      <c r="P324" s="7"/>
      <c r="Q324" s="7"/>
      <c r="R324" s="7"/>
      <c r="S324" s="7"/>
      <c r="T324" s="7"/>
      <c r="U324" s="7"/>
      <c r="V324" s="7"/>
      <c r="W324" s="7"/>
      <c r="X324" s="7"/>
      <c r="Y324" s="7"/>
    </row>
    <row r="325" spans="3:25" ht="19.5" customHeight="1">
      <c r="C325" s="7"/>
      <c r="D325" s="7"/>
      <c r="E325" s="7"/>
      <c r="F325" s="7"/>
      <c r="G325" s="7"/>
      <c r="H325" s="7"/>
      <c r="I325" s="7"/>
      <c r="J325" s="7"/>
      <c r="K325" s="7"/>
      <c r="L325" s="7"/>
      <c r="M325" s="7"/>
      <c r="N325" s="7"/>
      <c r="O325" s="7"/>
      <c r="P325" s="7"/>
      <c r="Q325" s="7"/>
      <c r="R325" s="7"/>
      <c r="S325" s="7"/>
      <c r="T325" s="7"/>
      <c r="U325" s="7"/>
      <c r="V325" s="7"/>
      <c r="W325" s="7"/>
      <c r="X325" s="7"/>
      <c r="Y325" s="7"/>
    </row>
    <row r="326" spans="3:25" ht="19.5" customHeight="1">
      <c r="C326" s="7"/>
      <c r="D326" s="7"/>
      <c r="E326" s="7"/>
      <c r="F326" s="7"/>
      <c r="G326" s="7"/>
      <c r="H326" s="7"/>
      <c r="I326" s="7"/>
      <c r="J326" s="7"/>
      <c r="K326" s="7"/>
      <c r="L326" s="7"/>
      <c r="M326" s="7"/>
      <c r="N326" s="7"/>
      <c r="O326" s="7"/>
      <c r="P326" s="7"/>
      <c r="Q326" s="7"/>
      <c r="R326" s="7"/>
      <c r="S326" s="7"/>
      <c r="T326" s="7"/>
      <c r="U326" s="7"/>
      <c r="V326" s="7"/>
      <c r="W326" s="7"/>
      <c r="X326" s="7"/>
      <c r="Y326" s="7"/>
    </row>
    <row r="327" spans="3:25" ht="19.5" customHeight="1">
      <c r="C327" s="7"/>
      <c r="D327" s="7"/>
      <c r="E327" s="7"/>
      <c r="F327" s="7"/>
      <c r="G327" s="7"/>
      <c r="H327" s="7"/>
      <c r="I327" s="7"/>
      <c r="J327" s="7"/>
      <c r="K327" s="7"/>
      <c r="L327" s="7"/>
      <c r="M327" s="7"/>
      <c r="N327" s="7"/>
      <c r="O327" s="7"/>
      <c r="P327" s="7"/>
      <c r="Q327" s="7"/>
      <c r="R327" s="7"/>
      <c r="S327" s="7"/>
      <c r="T327" s="7"/>
      <c r="U327" s="7"/>
      <c r="V327" s="7"/>
      <c r="W327" s="7"/>
      <c r="X327" s="7"/>
      <c r="Y327" s="7"/>
    </row>
    <row r="328" spans="3:25" ht="19.5" customHeight="1">
      <c r="C328" s="7"/>
      <c r="D328" s="7"/>
      <c r="E328" s="7"/>
      <c r="F328" s="7"/>
      <c r="G328" s="7"/>
      <c r="H328" s="7"/>
      <c r="I328" s="7"/>
      <c r="J328" s="7"/>
      <c r="K328" s="7"/>
      <c r="L328" s="7"/>
      <c r="M328" s="7"/>
      <c r="N328" s="7"/>
      <c r="O328" s="7"/>
      <c r="P328" s="7"/>
      <c r="Q328" s="7"/>
      <c r="R328" s="7"/>
      <c r="S328" s="7"/>
      <c r="T328" s="7"/>
      <c r="U328" s="7"/>
      <c r="V328" s="7"/>
      <c r="W328" s="7"/>
      <c r="X328" s="7"/>
      <c r="Y328" s="7"/>
    </row>
    <row r="329" spans="3:25" ht="19.5" customHeight="1">
      <c r="C329" s="7"/>
      <c r="D329" s="7"/>
      <c r="E329" s="7"/>
      <c r="F329" s="7"/>
      <c r="G329" s="7"/>
      <c r="H329" s="7"/>
      <c r="I329" s="7"/>
      <c r="J329" s="7"/>
      <c r="K329" s="7"/>
      <c r="L329" s="7"/>
      <c r="M329" s="7"/>
      <c r="N329" s="7"/>
      <c r="O329" s="7"/>
      <c r="P329" s="7"/>
      <c r="Q329" s="7"/>
      <c r="R329" s="7"/>
      <c r="S329" s="7"/>
      <c r="T329" s="7"/>
      <c r="U329" s="7"/>
      <c r="V329" s="7"/>
      <c r="W329" s="7"/>
      <c r="X329" s="7"/>
      <c r="Y329" s="7"/>
    </row>
    <row r="330" spans="3:25" ht="19.5" customHeight="1">
      <c r="C330" s="7"/>
      <c r="D330" s="7"/>
      <c r="E330" s="7"/>
      <c r="F330" s="7"/>
      <c r="G330" s="7"/>
      <c r="H330" s="7"/>
      <c r="I330" s="7"/>
      <c r="J330" s="7"/>
      <c r="K330" s="7"/>
      <c r="L330" s="7"/>
      <c r="M330" s="7"/>
      <c r="N330" s="7"/>
      <c r="O330" s="7"/>
      <c r="P330" s="7"/>
      <c r="Q330" s="7"/>
      <c r="R330" s="7"/>
      <c r="S330" s="7"/>
      <c r="T330" s="7"/>
      <c r="U330" s="7"/>
      <c r="V330" s="7"/>
      <c r="W330" s="7"/>
      <c r="X330" s="7"/>
      <c r="Y330" s="7"/>
    </row>
    <row r="331" spans="3:25" ht="19.5" customHeight="1">
      <c r="C331" s="7"/>
      <c r="D331" s="7"/>
      <c r="E331" s="7"/>
      <c r="F331" s="7"/>
      <c r="G331" s="7"/>
      <c r="H331" s="7"/>
      <c r="I331" s="7"/>
      <c r="J331" s="7"/>
      <c r="K331" s="7"/>
      <c r="L331" s="7"/>
      <c r="M331" s="7"/>
      <c r="N331" s="7"/>
      <c r="O331" s="7"/>
      <c r="P331" s="7"/>
      <c r="Q331" s="7"/>
      <c r="R331" s="7"/>
      <c r="S331" s="7"/>
      <c r="T331" s="7"/>
      <c r="U331" s="7"/>
      <c r="V331" s="7"/>
      <c r="W331" s="7"/>
      <c r="X331" s="7"/>
      <c r="Y331" s="7"/>
    </row>
    <row r="332" spans="3:25" ht="19.5" customHeight="1">
      <c r="C332" s="7"/>
      <c r="D332" s="7"/>
      <c r="E332" s="7"/>
      <c r="F332" s="7"/>
      <c r="G332" s="7"/>
      <c r="H332" s="7"/>
      <c r="I332" s="7"/>
      <c r="J332" s="7"/>
      <c r="K332" s="7"/>
      <c r="L332" s="7"/>
      <c r="M332" s="7"/>
      <c r="N332" s="7"/>
      <c r="O332" s="7"/>
      <c r="P332" s="7"/>
      <c r="Q332" s="7"/>
      <c r="R332" s="7"/>
      <c r="S332" s="7"/>
      <c r="T332" s="7"/>
      <c r="U332" s="7"/>
      <c r="V332" s="7"/>
      <c r="W332" s="7"/>
      <c r="X332" s="7"/>
      <c r="Y332" s="7"/>
    </row>
    <row r="333" spans="3:25" ht="19.5" customHeight="1">
      <c r="C333" s="7"/>
      <c r="D333" s="7"/>
      <c r="E333" s="7"/>
      <c r="F333" s="7"/>
      <c r="G333" s="7"/>
      <c r="H333" s="7"/>
      <c r="I333" s="7"/>
      <c r="J333" s="7"/>
      <c r="K333" s="7"/>
      <c r="L333" s="7"/>
      <c r="M333" s="7"/>
      <c r="N333" s="7"/>
      <c r="O333" s="7"/>
      <c r="P333" s="7"/>
      <c r="Q333" s="7"/>
      <c r="R333" s="7"/>
      <c r="S333" s="7"/>
      <c r="T333" s="7"/>
      <c r="U333" s="7"/>
      <c r="V333" s="7"/>
      <c r="W333" s="7"/>
      <c r="X333" s="7"/>
      <c r="Y333" s="7"/>
    </row>
    <row r="334" spans="3:25" ht="19.5" customHeight="1">
      <c r="C334" s="7"/>
      <c r="D334" s="7"/>
      <c r="E334" s="7"/>
      <c r="F334" s="7"/>
      <c r="G334" s="7"/>
      <c r="H334" s="7"/>
      <c r="I334" s="7"/>
      <c r="J334" s="7"/>
      <c r="K334" s="7"/>
      <c r="L334" s="7"/>
      <c r="M334" s="7"/>
      <c r="N334" s="7"/>
      <c r="O334" s="7"/>
      <c r="P334" s="7"/>
      <c r="Q334" s="7"/>
      <c r="R334" s="7"/>
      <c r="S334" s="7"/>
      <c r="T334" s="7"/>
      <c r="U334" s="7"/>
      <c r="V334" s="7"/>
      <c r="W334" s="7"/>
      <c r="X334" s="7"/>
      <c r="Y334" s="7"/>
    </row>
    <row r="335" spans="3:25" ht="19.5" customHeight="1">
      <c r="C335" s="7"/>
      <c r="D335" s="7"/>
      <c r="E335" s="7"/>
      <c r="F335" s="7"/>
      <c r="G335" s="7"/>
      <c r="H335" s="7"/>
      <c r="I335" s="7"/>
      <c r="J335" s="7"/>
      <c r="K335" s="7"/>
      <c r="L335" s="7"/>
      <c r="M335" s="7"/>
      <c r="N335" s="7"/>
      <c r="O335" s="7"/>
      <c r="P335" s="7"/>
      <c r="Q335" s="7"/>
      <c r="R335" s="7"/>
      <c r="S335" s="7"/>
      <c r="T335" s="7"/>
      <c r="U335" s="7"/>
      <c r="V335" s="7"/>
      <c r="W335" s="7"/>
      <c r="X335" s="7"/>
      <c r="Y335" s="7"/>
    </row>
    <row r="336" spans="3:25" ht="19.5" customHeight="1">
      <c r="C336" s="7"/>
      <c r="D336" s="7"/>
      <c r="E336" s="7"/>
      <c r="F336" s="7"/>
      <c r="G336" s="7"/>
      <c r="H336" s="7"/>
      <c r="I336" s="7"/>
      <c r="J336" s="7"/>
      <c r="K336" s="7"/>
      <c r="L336" s="7"/>
      <c r="M336" s="7"/>
      <c r="N336" s="7"/>
      <c r="O336" s="7"/>
      <c r="P336" s="7"/>
      <c r="Q336" s="7"/>
      <c r="R336" s="7"/>
      <c r="S336" s="7"/>
      <c r="T336" s="7"/>
      <c r="U336" s="7"/>
      <c r="V336" s="7"/>
      <c r="W336" s="7"/>
      <c r="X336" s="7"/>
      <c r="Y336" s="7"/>
    </row>
    <row r="337" spans="3:25" ht="19.5" customHeight="1">
      <c r="C337" s="7"/>
      <c r="D337" s="7"/>
      <c r="E337" s="7"/>
      <c r="F337" s="7"/>
      <c r="G337" s="7"/>
      <c r="H337" s="7"/>
      <c r="I337" s="7"/>
      <c r="J337" s="7"/>
      <c r="K337" s="7"/>
      <c r="L337" s="7"/>
      <c r="M337" s="7"/>
      <c r="N337" s="7"/>
      <c r="O337" s="7"/>
      <c r="P337" s="7"/>
      <c r="Q337" s="7"/>
      <c r="R337" s="7"/>
      <c r="S337" s="7"/>
      <c r="T337" s="7"/>
      <c r="U337" s="7"/>
      <c r="V337" s="7"/>
      <c r="W337" s="7"/>
      <c r="X337" s="7"/>
      <c r="Y337" s="7"/>
    </row>
    <row r="338" spans="3:25" ht="19.5" customHeight="1">
      <c r="C338" s="7"/>
      <c r="D338" s="7"/>
      <c r="E338" s="7"/>
      <c r="F338" s="7"/>
      <c r="G338" s="7"/>
      <c r="H338" s="7"/>
      <c r="I338" s="7"/>
      <c r="J338" s="7"/>
      <c r="K338" s="7"/>
      <c r="L338" s="7"/>
      <c r="M338" s="7"/>
      <c r="N338" s="7"/>
      <c r="O338" s="7"/>
      <c r="P338" s="7"/>
      <c r="Q338" s="7"/>
      <c r="R338" s="7"/>
      <c r="S338" s="7"/>
      <c r="T338" s="7"/>
      <c r="U338" s="7"/>
      <c r="V338" s="7"/>
      <c r="W338" s="7"/>
      <c r="X338" s="7"/>
      <c r="Y338" s="7"/>
    </row>
    <row r="339" spans="3:25" ht="19.5" customHeight="1">
      <c r="C339" s="7"/>
      <c r="D339" s="7"/>
      <c r="E339" s="7"/>
      <c r="F339" s="7"/>
      <c r="G339" s="7"/>
      <c r="H339" s="7"/>
      <c r="I339" s="7"/>
      <c r="J339" s="7"/>
      <c r="K339" s="7"/>
      <c r="L339" s="7"/>
      <c r="M339" s="7"/>
      <c r="N339" s="7"/>
      <c r="O339" s="7"/>
      <c r="P339" s="7"/>
      <c r="Q339" s="7"/>
      <c r="R339" s="7"/>
      <c r="S339" s="7"/>
      <c r="T339" s="7"/>
      <c r="U339" s="7"/>
      <c r="V339" s="7"/>
      <c r="W339" s="7"/>
      <c r="X339" s="7"/>
      <c r="Y339" s="7"/>
    </row>
    <row r="340" spans="3:25" ht="19.5" customHeight="1">
      <c r="C340" s="7"/>
      <c r="D340" s="7"/>
      <c r="E340" s="7"/>
      <c r="F340" s="7"/>
      <c r="G340" s="7"/>
      <c r="H340" s="7"/>
      <c r="I340" s="7"/>
      <c r="J340" s="7"/>
      <c r="K340" s="7"/>
      <c r="L340" s="7"/>
      <c r="M340" s="7"/>
      <c r="N340" s="7"/>
      <c r="O340" s="7"/>
      <c r="P340" s="7"/>
      <c r="Q340" s="7"/>
      <c r="R340" s="7"/>
      <c r="S340" s="7"/>
      <c r="T340" s="7"/>
      <c r="U340" s="7"/>
      <c r="V340" s="7"/>
      <c r="W340" s="7"/>
      <c r="X340" s="7"/>
      <c r="Y340" s="7"/>
    </row>
    <row r="341" spans="3:25" ht="19.5" customHeight="1">
      <c r="C341" s="7"/>
      <c r="D341" s="7"/>
      <c r="E341" s="7"/>
      <c r="F341" s="7"/>
      <c r="G341" s="7"/>
      <c r="H341" s="7"/>
      <c r="I341" s="7"/>
      <c r="J341" s="7"/>
      <c r="K341" s="7"/>
      <c r="L341" s="7"/>
      <c r="M341" s="7"/>
      <c r="N341" s="7"/>
      <c r="O341" s="7"/>
      <c r="P341" s="7"/>
      <c r="Q341" s="7"/>
      <c r="R341" s="7"/>
      <c r="S341" s="7"/>
      <c r="T341" s="7"/>
      <c r="U341" s="7"/>
      <c r="V341" s="7"/>
      <c r="W341" s="7"/>
      <c r="X341" s="7"/>
      <c r="Y341" s="7"/>
    </row>
    <row r="342" spans="3:25" ht="19.5" customHeight="1">
      <c r="C342" s="7"/>
      <c r="D342" s="7"/>
      <c r="E342" s="7"/>
      <c r="F342" s="7"/>
      <c r="G342" s="7"/>
      <c r="H342" s="7"/>
      <c r="I342" s="7"/>
      <c r="J342" s="7"/>
      <c r="K342" s="7"/>
      <c r="L342" s="7"/>
      <c r="M342" s="7"/>
      <c r="N342" s="7"/>
      <c r="O342" s="7"/>
      <c r="P342" s="7"/>
      <c r="Q342" s="7"/>
      <c r="R342" s="7"/>
      <c r="S342" s="7"/>
      <c r="T342" s="7"/>
      <c r="U342" s="7"/>
      <c r="V342" s="7"/>
      <c r="W342" s="7"/>
      <c r="X342" s="7"/>
      <c r="Y342" s="7"/>
    </row>
    <row r="343" spans="3:25" ht="19.5" customHeight="1">
      <c r="C343" s="7"/>
      <c r="D343" s="7"/>
      <c r="E343" s="7"/>
      <c r="F343" s="7"/>
      <c r="G343" s="7"/>
      <c r="H343" s="7"/>
      <c r="I343" s="7"/>
      <c r="J343" s="7"/>
      <c r="K343" s="7"/>
      <c r="L343" s="7"/>
      <c r="M343" s="7"/>
      <c r="N343" s="7"/>
      <c r="O343" s="7"/>
      <c r="P343" s="7"/>
      <c r="Q343" s="7"/>
      <c r="R343" s="7"/>
      <c r="S343" s="7"/>
      <c r="T343" s="7"/>
      <c r="U343" s="7"/>
      <c r="V343" s="7"/>
      <c r="W343" s="7"/>
      <c r="X343" s="7"/>
      <c r="Y343" s="7"/>
    </row>
    <row r="344" spans="3:25" ht="19.5" customHeight="1">
      <c r="C344" s="7"/>
      <c r="D344" s="7"/>
      <c r="E344" s="7"/>
      <c r="F344" s="7"/>
      <c r="G344" s="7"/>
      <c r="H344" s="7"/>
      <c r="I344" s="7"/>
      <c r="J344" s="7"/>
      <c r="K344" s="7"/>
      <c r="L344" s="7"/>
      <c r="M344" s="7"/>
      <c r="N344" s="7"/>
      <c r="O344" s="7"/>
      <c r="P344" s="7"/>
      <c r="Q344" s="7"/>
      <c r="R344" s="7"/>
      <c r="S344" s="7"/>
      <c r="T344" s="7"/>
      <c r="U344" s="7"/>
      <c r="V344" s="7"/>
      <c r="W344" s="7"/>
      <c r="X344" s="7"/>
      <c r="Y344" s="7"/>
    </row>
    <row r="345" spans="3:25" ht="19.5" customHeight="1">
      <c r="C345" s="7"/>
      <c r="D345" s="7"/>
      <c r="E345" s="7"/>
      <c r="F345" s="7"/>
      <c r="G345" s="7"/>
      <c r="H345" s="7"/>
      <c r="I345" s="7"/>
      <c r="J345" s="7"/>
      <c r="K345" s="7"/>
      <c r="L345" s="7"/>
      <c r="M345" s="7"/>
      <c r="N345" s="7"/>
      <c r="O345" s="7"/>
      <c r="P345" s="7"/>
      <c r="Q345" s="7"/>
      <c r="R345" s="7"/>
      <c r="S345" s="7"/>
      <c r="T345" s="7"/>
      <c r="U345" s="7"/>
      <c r="V345" s="7"/>
      <c r="W345" s="7"/>
      <c r="X345" s="7"/>
      <c r="Y345" s="7"/>
    </row>
    <row r="346" spans="3:25" ht="19.5" customHeight="1">
      <c r="C346" s="7"/>
      <c r="D346" s="7"/>
      <c r="E346" s="7"/>
      <c r="F346" s="7"/>
      <c r="G346" s="7"/>
      <c r="H346" s="7"/>
      <c r="I346" s="7"/>
      <c r="J346" s="7"/>
      <c r="K346" s="7"/>
      <c r="L346" s="7"/>
      <c r="M346" s="7"/>
      <c r="N346" s="7"/>
      <c r="O346" s="7"/>
      <c r="P346" s="7"/>
      <c r="Q346" s="7"/>
      <c r="R346" s="7"/>
      <c r="S346" s="7"/>
      <c r="T346" s="7"/>
      <c r="U346" s="7"/>
      <c r="V346" s="7"/>
      <c r="W346" s="7"/>
      <c r="X346" s="7"/>
      <c r="Y346" s="7"/>
    </row>
    <row r="347" spans="3:25" ht="19.5" customHeight="1">
      <c r="C347" s="7"/>
      <c r="D347" s="7"/>
      <c r="E347" s="7"/>
      <c r="F347" s="7"/>
      <c r="G347" s="7"/>
      <c r="H347" s="7"/>
      <c r="I347" s="7"/>
      <c r="J347" s="7"/>
      <c r="K347" s="7"/>
      <c r="L347" s="7"/>
      <c r="M347" s="7"/>
      <c r="N347" s="7"/>
      <c r="O347" s="7"/>
      <c r="P347" s="7"/>
      <c r="Q347" s="7"/>
      <c r="R347" s="7"/>
      <c r="S347" s="7"/>
      <c r="T347" s="7"/>
      <c r="U347" s="7"/>
      <c r="V347" s="7"/>
      <c r="W347" s="7"/>
      <c r="X347" s="7"/>
      <c r="Y347" s="7"/>
    </row>
    <row r="348" spans="3:25" ht="19.5" customHeight="1">
      <c r="C348" s="7"/>
      <c r="D348" s="7"/>
      <c r="E348" s="7"/>
      <c r="F348" s="7"/>
      <c r="G348" s="7"/>
      <c r="H348" s="7"/>
      <c r="I348" s="7"/>
      <c r="J348" s="7"/>
      <c r="K348" s="7"/>
      <c r="L348" s="7"/>
      <c r="M348" s="7"/>
      <c r="N348" s="7"/>
      <c r="O348" s="7"/>
      <c r="P348" s="7"/>
      <c r="Q348" s="7"/>
      <c r="R348" s="7"/>
      <c r="S348" s="7"/>
      <c r="T348" s="7"/>
      <c r="U348" s="7"/>
      <c r="V348" s="7"/>
      <c r="W348" s="7"/>
      <c r="X348" s="7"/>
      <c r="Y348" s="7"/>
    </row>
    <row r="349" spans="3:25" ht="19.5" customHeight="1">
      <c r="C349" s="7"/>
      <c r="D349" s="7"/>
      <c r="E349" s="7"/>
      <c r="F349" s="7"/>
      <c r="G349" s="7"/>
      <c r="H349" s="7"/>
      <c r="I349" s="7"/>
      <c r="J349" s="7"/>
      <c r="K349" s="7"/>
      <c r="L349" s="7"/>
      <c r="M349" s="7"/>
      <c r="N349" s="7"/>
      <c r="O349" s="7"/>
      <c r="P349" s="7"/>
      <c r="Q349" s="7"/>
      <c r="R349" s="7"/>
      <c r="S349" s="7"/>
      <c r="T349" s="7"/>
      <c r="U349" s="7"/>
      <c r="V349" s="7"/>
      <c r="W349" s="7"/>
      <c r="X349" s="7"/>
      <c r="Y349" s="7"/>
    </row>
    <row r="350" spans="3:25" ht="19.5" customHeight="1">
      <c r="C350" s="7"/>
      <c r="D350" s="7"/>
      <c r="E350" s="7"/>
      <c r="F350" s="7"/>
      <c r="G350" s="7"/>
      <c r="H350" s="7"/>
      <c r="I350" s="7"/>
      <c r="J350" s="7"/>
      <c r="K350" s="7"/>
      <c r="L350" s="7"/>
      <c r="M350" s="7"/>
      <c r="N350" s="7"/>
      <c r="O350" s="7"/>
      <c r="P350" s="7"/>
      <c r="Q350" s="7"/>
      <c r="R350" s="7"/>
      <c r="S350" s="7"/>
      <c r="T350" s="7"/>
      <c r="U350" s="7"/>
      <c r="V350" s="7"/>
      <c r="W350" s="7"/>
      <c r="X350" s="7"/>
      <c r="Y350" s="7"/>
    </row>
    <row r="351" spans="3:25" ht="19.5" customHeight="1">
      <c r="C351" s="7"/>
      <c r="D351" s="7"/>
      <c r="E351" s="7"/>
      <c r="F351" s="7"/>
      <c r="G351" s="7"/>
      <c r="H351" s="7"/>
      <c r="I351" s="7"/>
      <c r="J351" s="7"/>
      <c r="K351" s="7"/>
      <c r="L351" s="7"/>
      <c r="M351" s="7"/>
      <c r="N351" s="7"/>
      <c r="O351" s="7"/>
      <c r="P351" s="7"/>
      <c r="Q351" s="7"/>
      <c r="R351" s="7"/>
      <c r="S351" s="7"/>
      <c r="T351" s="7"/>
      <c r="U351" s="7"/>
      <c r="V351" s="7"/>
      <c r="W351" s="7"/>
      <c r="X351" s="7"/>
      <c r="Y351" s="7"/>
    </row>
    <row r="352" spans="3:25" ht="19.5" customHeight="1">
      <c r="C352" s="7"/>
      <c r="D352" s="7"/>
      <c r="E352" s="7"/>
      <c r="F352" s="7"/>
      <c r="G352" s="7"/>
      <c r="H352" s="7"/>
      <c r="I352" s="7"/>
      <c r="J352" s="7"/>
      <c r="K352" s="7"/>
      <c r="L352" s="7"/>
      <c r="M352" s="7"/>
      <c r="N352" s="7"/>
      <c r="O352" s="7"/>
      <c r="P352" s="7"/>
      <c r="Q352" s="7"/>
      <c r="R352" s="7"/>
      <c r="S352" s="7"/>
      <c r="T352" s="7"/>
      <c r="U352" s="7"/>
      <c r="V352" s="7"/>
      <c r="W352" s="7"/>
      <c r="X352" s="7"/>
      <c r="Y352" s="7"/>
    </row>
    <row r="353" spans="3:25" ht="19.5" customHeight="1">
      <c r="C353" s="7"/>
      <c r="D353" s="7"/>
      <c r="E353" s="7"/>
      <c r="F353" s="7"/>
      <c r="G353" s="7"/>
      <c r="H353" s="7"/>
      <c r="I353" s="7"/>
      <c r="J353" s="7"/>
      <c r="K353" s="7"/>
      <c r="L353" s="7"/>
      <c r="M353" s="7"/>
      <c r="N353" s="7"/>
      <c r="O353" s="7"/>
      <c r="P353" s="7"/>
      <c r="Q353" s="7"/>
      <c r="R353" s="7"/>
      <c r="S353" s="7"/>
      <c r="T353" s="7"/>
      <c r="U353" s="7"/>
      <c r="V353" s="7"/>
      <c r="W353" s="7"/>
      <c r="X353" s="7"/>
      <c r="Y353" s="7"/>
    </row>
    <row r="354" spans="3:25" ht="19.5" customHeight="1">
      <c r="C354" s="7"/>
      <c r="D354" s="7"/>
      <c r="E354" s="7"/>
      <c r="F354" s="7"/>
      <c r="G354" s="7"/>
      <c r="H354" s="7"/>
      <c r="I354" s="7"/>
      <c r="J354" s="7"/>
      <c r="K354" s="7"/>
      <c r="L354" s="7"/>
      <c r="M354" s="7"/>
      <c r="N354" s="7"/>
      <c r="O354" s="7"/>
      <c r="P354" s="7"/>
      <c r="Q354" s="7"/>
      <c r="R354" s="7"/>
      <c r="S354" s="7"/>
      <c r="T354" s="7"/>
      <c r="U354" s="7"/>
      <c r="V354" s="7"/>
      <c r="W354" s="7"/>
      <c r="X354" s="7"/>
      <c r="Y354" s="7"/>
    </row>
    <row r="355" spans="3:25" ht="19.5" customHeight="1">
      <c r="C355" s="7"/>
      <c r="D355" s="7"/>
      <c r="E355" s="7"/>
      <c r="F355" s="7"/>
      <c r="G355" s="7"/>
      <c r="H355" s="7"/>
      <c r="I355" s="7"/>
      <c r="J355" s="7"/>
      <c r="K355" s="7"/>
      <c r="L355" s="7"/>
      <c r="M355" s="7"/>
      <c r="N355" s="7"/>
      <c r="O355" s="7"/>
      <c r="P355" s="7"/>
      <c r="Q355" s="7"/>
      <c r="R355" s="7"/>
      <c r="S355" s="7"/>
      <c r="T355" s="7"/>
      <c r="U355" s="7"/>
      <c r="V355" s="7"/>
      <c r="W355" s="7"/>
      <c r="X355" s="7"/>
      <c r="Y355" s="7"/>
    </row>
    <row r="356" spans="3:25" ht="19.5" customHeight="1">
      <c r="C356" s="7"/>
      <c r="D356" s="7"/>
      <c r="E356" s="7"/>
      <c r="F356" s="7"/>
      <c r="G356" s="7"/>
      <c r="H356" s="7"/>
      <c r="I356" s="7"/>
      <c r="J356" s="7"/>
      <c r="K356" s="7"/>
      <c r="L356" s="7"/>
      <c r="M356" s="7"/>
      <c r="N356" s="7"/>
      <c r="O356" s="7"/>
      <c r="P356" s="7"/>
      <c r="Q356" s="7"/>
      <c r="R356" s="7"/>
      <c r="S356" s="7"/>
      <c r="T356" s="7"/>
      <c r="U356" s="7"/>
      <c r="V356" s="7"/>
      <c r="W356" s="7"/>
      <c r="X356" s="7"/>
      <c r="Y356" s="7"/>
    </row>
    <row r="357" spans="3:25" ht="19.5" customHeight="1">
      <c r="C357" s="7"/>
      <c r="D357" s="7"/>
      <c r="E357" s="7"/>
      <c r="F357" s="7"/>
      <c r="G357" s="7"/>
      <c r="H357" s="7"/>
      <c r="I357" s="7"/>
      <c r="J357" s="7"/>
      <c r="K357" s="7"/>
      <c r="L357" s="7"/>
      <c r="M357" s="7"/>
      <c r="N357" s="7"/>
      <c r="O357" s="7"/>
      <c r="P357" s="7"/>
      <c r="Q357" s="7"/>
      <c r="R357" s="7"/>
      <c r="S357" s="7"/>
      <c r="T357" s="7"/>
      <c r="U357" s="7"/>
      <c r="V357" s="7"/>
      <c r="W357" s="7"/>
      <c r="X357" s="7"/>
      <c r="Y357" s="7"/>
    </row>
    <row r="358" spans="3:25" ht="19.5" customHeight="1">
      <c r="C358" s="7"/>
      <c r="D358" s="7"/>
      <c r="E358" s="7"/>
      <c r="F358" s="7"/>
      <c r="G358" s="7"/>
      <c r="H358" s="7"/>
      <c r="I358" s="7"/>
      <c r="J358" s="7"/>
      <c r="K358" s="7"/>
      <c r="L358" s="7"/>
      <c r="M358" s="7"/>
      <c r="N358" s="7"/>
      <c r="O358" s="7"/>
      <c r="P358" s="7"/>
      <c r="Q358" s="7"/>
      <c r="R358" s="7"/>
      <c r="S358" s="7"/>
      <c r="T358" s="7"/>
      <c r="U358" s="7"/>
      <c r="V358" s="7"/>
      <c r="W358" s="7"/>
      <c r="X358" s="7"/>
      <c r="Y358" s="7"/>
    </row>
    <row r="359" spans="3:25" ht="19.5" customHeight="1">
      <c r="C359" s="7"/>
      <c r="D359" s="7"/>
      <c r="E359" s="7"/>
      <c r="F359" s="7"/>
      <c r="G359" s="7"/>
      <c r="H359" s="7"/>
      <c r="I359" s="7"/>
      <c r="J359" s="7"/>
      <c r="K359" s="7"/>
      <c r="L359" s="7"/>
      <c r="M359" s="7"/>
      <c r="N359" s="7"/>
      <c r="O359" s="7"/>
      <c r="P359" s="7"/>
      <c r="Q359" s="7"/>
      <c r="R359" s="7"/>
      <c r="S359" s="7"/>
      <c r="T359" s="7"/>
      <c r="U359" s="7"/>
      <c r="V359" s="7"/>
      <c r="W359" s="7"/>
      <c r="X359" s="7"/>
      <c r="Y359" s="7"/>
    </row>
    <row r="360" spans="3:25" ht="19.5" customHeight="1">
      <c r="C360" s="7"/>
      <c r="D360" s="7"/>
      <c r="E360" s="7"/>
      <c r="F360" s="7"/>
      <c r="G360" s="7"/>
      <c r="H360" s="7"/>
      <c r="I360" s="7"/>
      <c r="J360" s="7"/>
      <c r="K360" s="7"/>
      <c r="L360" s="7"/>
      <c r="M360" s="7"/>
      <c r="N360" s="7"/>
      <c r="O360" s="7"/>
      <c r="P360" s="7"/>
      <c r="Q360" s="7"/>
      <c r="R360" s="7"/>
      <c r="S360" s="7"/>
      <c r="T360" s="7"/>
      <c r="U360" s="7"/>
      <c r="V360" s="7"/>
      <c r="W360" s="7"/>
      <c r="X360" s="7"/>
      <c r="Y360" s="7"/>
    </row>
    <row r="361" spans="3:25" ht="19.5" customHeight="1">
      <c r="C361" s="7"/>
      <c r="D361" s="7"/>
      <c r="E361" s="7"/>
      <c r="F361" s="7"/>
      <c r="G361" s="7"/>
      <c r="H361" s="7"/>
      <c r="I361" s="7"/>
      <c r="J361" s="7"/>
      <c r="K361" s="7"/>
      <c r="L361" s="7"/>
      <c r="M361" s="7"/>
      <c r="N361" s="7"/>
      <c r="O361" s="7"/>
      <c r="P361" s="7"/>
      <c r="Q361" s="7"/>
      <c r="R361" s="7"/>
      <c r="S361" s="7"/>
      <c r="T361" s="7"/>
      <c r="U361" s="7"/>
      <c r="V361" s="7"/>
      <c r="W361" s="7"/>
      <c r="X361" s="7"/>
      <c r="Y361" s="7"/>
    </row>
    <row r="362" spans="3:25" ht="19.5" customHeight="1">
      <c r="C362" s="7"/>
      <c r="D362" s="7"/>
      <c r="E362" s="7"/>
      <c r="F362" s="7"/>
      <c r="G362" s="7"/>
      <c r="H362" s="7"/>
      <c r="I362" s="7"/>
      <c r="J362" s="7"/>
      <c r="K362" s="7"/>
      <c r="L362" s="7"/>
      <c r="M362" s="7"/>
      <c r="N362" s="7"/>
      <c r="O362" s="7"/>
      <c r="P362" s="7"/>
      <c r="Q362" s="7"/>
      <c r="R362" s="7"/>
      <c r="S362" s="7"/>
      <c r="T362" s="7"/>
      <c r="U362" s="7"/>
      <c r="V362" s="7"/>
      <c r="W362" s="7"/>
      <c r="X362" s="7"/>
      <c r="Y362" s="7"/>
    </row>
    <row r="363" spans="3:25" ht="19.5" customHeight="1">
      <c r="C363" s="7"/>
      <c r="D363" s="7"/>
      <c r="E363" s="7"/>
      <c r="F363" s="7"/>
      <c r="G363" s="7"/>
      <c r="H363" s="7"/>
      <c r="I363" s="7"/>
      <c r="J363" s="7"/>
      <c r="K363" s="7"/>
      <c r="L363" s="7"/>
      <c r="M363" s="7"/>
      <c r="N363" s="7"/>
      <c r="O363" s="7"/>
      <c r="P363" s="7"/>
      <c r="Q363" s="7"/>
      <c r="R363" s="7"/>
      <c r="S363" s="7"/>
      <c r="T363" s="7"/>
      <c r="U363" s="7"/>
      <c r="V363" s="7"/>
      <c r="W363" s="7"/>
      <c r="X363" s="7"/>
      <c r="Y363" s="7"/>
    </row>
    <row r="364" spans="3:25" ht="19.5" customHeight="1">
      <c r="C364" s="7"/>
      <c r="D364" s="7"/>
      <c r="E364" s="7"/>
      <c r="F364" s="7"/>
      <c r="G364" s="7"/>
      <c r="H364" s="7"/>
      <c r="I364" s="7"/>
      <c r="J364" s="7"/>
      <c r="K364" s="7"/>
      <c r="L364" s="7"/>
      <c r="M364" s="7"/>
      <c r="N364" s="7"/>
      <c r="O364" s="7"/>
      <c r="P364" s="7"/>
      <c r="Q364" s="7"/>
      <c r="R364" s="7"/>
      <c r="S364" s="7"/>
      <c r="T364" s="7"/>
      <c r="U364" s="7"/>
      <c r="V364" s="7"/>
      <c r="W364" s="7"/>
      <c r="X364" s="7"/>
      <c r="Y364" s="7"/>
    </row>
    <row r="365" spans="3:25" ht="19.5" customHeight="1">
      <c r="C365" s="7"/>
      <c r="D365" s="7"/>
      <c r="E365" s="7"/>
      <c r="F365" s="7"/>
      <c r="G365" s="7"/>
      <c r="H365" s="7"/>
      <c r="I365" s="7"/>
      <c r="J365" s="7"/>
      <c r="K365" s="7"/>
      <c r="L365" s="7"/>
      <c r="M365" s="7"/>
      <c r="N365" s="7"/>
      <c r="O365" s="7"/>
      <c r="P365" s="7"/>
      <c r="Q365" s="7"/>
      <c r="R365" s="7"/>
      <c r="S365" s="7"/>
      <c r="T365" s="7"/>
      <c r="U365" s="7"/>
      <c r="V365" s="7"/>
      <c r="W365" s="7"/>
      <c r="X365" s="7"/>
      <c r="Y365" s="7"/>
    </row>
    <row r="366" spans="3:25" ht="19.5" customHeight="1">
      <c r="C366" s="7"/>
      <c r="D366" s="7"/>
      <c r="E366" s="7"/>
      <c r="F366" s="7"/>
      <c r="G366" s="7"/>
      <c r="H366" s="7"/>
      <c r="I366" s="7"/>
      <c r="J366" s="7"/>
      <c r="K366" s="7"/>
      <c r="L366" s="7"/>
      <c r="M366" s="7"/>
      <c r="N366" s="7"/>
      <c r="O366" s="7"/>
      <c r="P366" s="7"/>
      <c r="Q366" s="7"/>
      <c r="R366" s="7"/>
      <c r="S366" s="7"/>
      <c r="T366" s="7"/>
      <c r="U366" s="7"/>
      <c r="V366" s="7"/>
      <c r="W366" s="7"/>
      <c r="X366" s="7"/>
      <c r="Y366" s="7"/>
    </row>
    <row r="367" spans="3:25" ht="19.5" customHeight="1">
      <c r="C367" s="7"/>
      <c r="D367" s="7"/>
      <c r="E367" s="7"/>
      <c r="F367" s="7"/>
      <c r="G367" s="7"/>
      <c r="H367" s="7"/>
      <c r="I367" s="7"/>
      <c r="J367" s="7"/>
      <c r="K367" s="7"/>
      <c r="L367" s="7"/>
      <c r="M367" s="7"/>
      <c r="N367" s="7"/>
      <c r="O367" s="7"/>
      <c r="P367" s="7"/>
      <c r="Q367" s="7"/>
      <c r="R367" s="7"/>
      <c r="S367" s="7"/>
      <c r="T367" s="7"/>
      <c r="U367" s="7"/>
      <c r="V367" s="7"/>
      <c r="W367" s="7"/>
      <c r="X367" s="7"/>
      <c r="Y367" s="7"/>
    </row>
    <row r="368" spans="3:25" ht="19.5" customHeight="1">
      <c r="C368" s="7"/>
      <c r="D368" s="7"/>
      <c r="E368" s="7"/>
      <c r="F368" s="7"/>
      <c r="G368" s="7"/>
      <c r="H368" s="7"/>
      <c r="I368" s="7"/>
      <c r="J368" s="7"/>
      <c r="K368" s="7"/>
      <c r="L368" s="7"/>
      <c r="M368" s="7"/>
      <c r="N368" s="7"/>
      <c r="O368" s="7"/>
      <c r="P368" s="7"/>
      <c r="Q368" s="7"/>
      <c r="R368" s="7"/>
      <c r="S368" s="7"/>
      <c r="T368" s="7"/>
      <c r="U368" s="7"/>
      <c r="V368" s="7"/>
      <c r="W368" s="7"/>
      <c r="X368" s="7"/>
      <c r="Y368" s="7"/>
    </row>
    <row r="369" spans="3:25" ht="19.5" customHeight="1">
      <c r="C369" s="7"/>
      <c r="D369" s="7"/>
      <c r="E369" s="7"/>
      <c r="F369" s="7"/>
      <c r="G369" s="7"/>
      <c r="H369" s="7"/>
      <c r="I369" s="7"/>
      <c r="J369" s="7"/>
      <c r="K369" s="7"/>
      <c r="L369" s="7"/>
      <c r="M369" s="7"/>
      <c r="N369" s="7"/>
      <c r="O369" s="7"/>
      <c r="P369" s="7"/>
      <c r="Q369" s="7"/>
      <c r="R369" s="7"/>
      <c r="S369" s="7"/>
      <c r="T369" s="7"/>
      <c r="U369" s="7"/>
      <c r="V369" s="7"/>
      <c r="W369" s="7"/>
      <c r="X369" s="7"/>
      <c r="Y369" s="7"/>
    </row>
    <row r="370" spans="3:25" ht="19.5" customHeight="1">
      <c r="C370" s="7"/>
      <c r="D370" s="7"/>
      <c r="E370" s="7"/>
      <c r="F370" s="7"/>
      <c r="G370" s="7"/>
      <c r="H370" s="7"/>
      <c r="I370" s="7"/>
      <c r="J370" s="7"/>
      <c r="K370" s="7"/>
      <c r="L370" s="7"/>
      <c r="M370" s="7"/>
      <c r="N370" s="7"/>
      <c r="O370" s="7"/>
      <c r="P370" s="7"/>
      <c r="Q370" s="7"/>
      <c r="R370" s="7"/>
      <c r="S370" s="7"/>
      <c r="T370" s="7"/>
      <c r="U370" s="7"/>
      <c r="V370" s="7"/>
      <c r="W370" s="7"/>
      <c r="X370" s="7"/>
      <c r="Y370" s="7"/>
    </row>
    <row r="371" spans="3:25" ht="19.5" customHeight="1">
      <c r="C371" s="7"/>
      <c r="D371" s="7"/>
      <c r="E371" s="7"/>
      <c r="F371" s="7"/>
      <c r="G371" s="7"/>
      <c r="H371" s="7"/>
      <c r="I371" s="7"/>
      <c r="J371" s="7"/>
      <c r="K371" s="7"/>
      <c r="L371" s="7"/>
      <c r="M371" s="7"/>
      <c r="N371" s="7"/>
      <c r="O371" s="7"/>
      <c r="P371" s="7"/>
      <c r="Q371" s="7"/>
      <c r="R371" s="7"/>
      <c r="S371" s="7"/>
      <c r="T371" s="7"/>
      <c r="U371" s="7"/>
      <c r="V371" s="7"/>
      <c r="W371" s="7"/>
      <c r="X371" s="7"/>
      <c r="Y371" s="7"/>
    </row>
    <row r="372" spans="3:25" ht="19.5" customHeight="1">
      <c r="C372" s="7"/>
      <c r="D372" s="7"/>
      <c r="E372" s="7"/>
      <c r="F372" s="7"/>
      <c r="G372" s="7"/>
      <c r="H372" s="7"/>
      <c r="I372" s="7"/>
      <c r="J372" s="7"/>
      <c r="K372" s="7"/>
      <c r="L372" s="7"/>
      <c r="M372" s="7"/>
      <c r="N372" s="7"/>
      <c r="O372" s="7"/>
      <c r="P372" s="7"/>
      <c r="Q372" s="7"/>
      <c r="R372" s="7"/>
      <c r="S372" s="7"/>
      <c r="T372" s="7"/>
      <c r="U372" s="7"/>
      <c r="V372" s="7"/>
      <c r="W372" s="7"/>
      <c r="X372" s="7"/>
      <c r="Y372" s="7"/>
    </row>
    <row r="373" spans="3:25" ht="19.5" customHeight="1">
      <c r="C373" s="7"/>
      <c r="D373" s="7"/>
      <c r="E373" s="7"/>
      <c r="F373" s="7"/>
      <c r="G373" s="7"/>
      <c r="H373" s="7"/>
      <c r="I373" s="7"/>
      <c r="J373" s="7"/>
      <c r="K373" s="7"/>
      <c r="L373" s="7"/>
      <c r="M373" s="7"/>
      <c r="N373" s="7"/>
      <c r="O373" s="7"/>
      <c r="P373" s="7"/>
      <c r="Q373" s="7"/>
      <c r="R373" s="7"/>
      <c r="S373" s="7"/>
      <c r="T373" s="7"/>
      <c r="U373" s="7"/>
      <c r="V373" s="7"/>
      <c r="W373" s="7"/>
      <c r="X373" s="7"/>
      <c r="Y373" s="7"/>
    </row>
    <row r="374" spans="3:25" ht="19.5" customHeight="1">
      <c r="C374" s="7"/>
      <c r="D374" s="7"/>
      <c r="E374" s="7"/>
      <c r="F374" s="7"/>
      <c r="G374" s="7"/>
      <c r="H374" s="7"/>
      <c r="I374" s="7"/>
      <c r="J374" s="7"/>
      <c r="K374" s="7"/>
      <c r="L374" s="7"/>
      <c r="M374" s="7"/>
      <c r="N374" s="7"/>
      <c r="O374" s="7"/>
      <c r="P374" s="7"/>
      <c r="Q374" s="7"/>
      <c r="R374" s="7"/>
      <c r="S374" s="7"/>
      <c r="T374" s="7"/>
      <c r="U374" s="7"/>
      <c r="V374" s="7"/>
      <c r="W374" s="7"/>
      <c r="X374" s="7"/>
      <c r="Y374" s="7"/>
    </row>
    <row r="375" spans="3:25" ht="19.5" customHeight="1">
      <c r="C375" s="7"/>
      <c r="D375" s="7"/>
      <c r="E375" s="7"/>
      <c r="F375" s="7"/>
      <c r="G375" s="7"/>
      <c r="H375" s="7"/>
      <c r="I375" s="7"/>
      <c r="J375" s="7"/>
      <c r="K375" s="7"/>
      <c r="L375" s="7"/>
      <c r="M375" s="7"/>
      <c r="N375" s="7"/>
      <c r="O375" s="7"/>
      <c r="P375" s="7"/>
      <c r="Q375" s="7"/>
      <c r="R375" s="7"/>
      <c r="S375" s="7"/>
      <c r="T375" s="7"/>
      <c r="U375" s="7"/>
      <c r="V375" s="7"/>
      <c r="W375" s="7"/>
      <c r="X375" s="7"/>
      <c r="Y375" s="7"/>
    </row>
    <row r="376" spans="3:25" ht="19.5" customHeight="1">
      <c r="C376" s="7"/>
      <c r="D376" s="7"/>
      <c r="E376" s="7"/>
      <c r="F376" s="7"/>
      <c r="G376" s="7"/>
      <c r="H376" s="7"/>
      <c r="I376" s="7"/>
      <c r="J376" s="7"/>
      <c r="K376" s="7"/>
      <c r="L376" s="7"/>
      <c r="M376" s="7"/>
      <c r="N376" s="7"/>
      <c r="O376" s="7"/>
      <c r="P376" s="7"/>
      <c r="Q376" s="7"/>
      <c r="R376" s="7"/>
      <c r="S376" s="7"/>
      <c r="T376" s="7"/>
      <c r="U376" s="7"/>
      <c r="V376" s="7"/>
      <c r="W376" s="7"/>
      <c r="X376" s="7"/>
      <c r="Y376" s="7"/>
    </row>
    <row r="377" spans="3:25" ht="19.5" customHeight="1">
      <c r="C377" s="7"/>
      <c r="D377" s="7"/>
      <c r="E377" s="7"/>
      <c r="F377" s="7"/>
      <c r="G377" s="7"/>
      <c r="H377" s="7"/>
      <c r="I377" s="7"/>
      <c r="J377" s="7"/>
      <c r="K377" s="7"/>
      <c r="L377" s="7"/>
      <c r="M377" s="7"/>
      <c r="N377" s="7"/>
      <c r="O377" s="7"/>
      <c r="P377" s="7"/>
      <c r="Q377" s="7"/>
      <c r="R377" s="7"/>
      <c r="S377" s="7"/>
      <c r="T377" s="7"/>
      <c r="U377" s="7"/>
      <c r="V377" s="7"/>
      <c r="W377" s="7"/>
      <c r="X377" s="7"/>
      <c r="Y377" s="7"/>
    </row>
    <row r="378" spans="3:25" ht="19.5" customHeight="1">
      <c r="C378" s="7"/>
      <c r="D378" s="7"/>
      <c r="E378" s="7"/>
      <c r="F378" s="7"/>
      <c r="G378" s="7"/>
      <c r="H378" s="7"/>
      <c r="I378" s="7"/>
      <c r="J378" s="7"/>
      <c r="K378" s="7"/>
      <c r="L378" s="7"/>
      <c r="M378" s="7"/>
      <c r="N378" s="7"/>
      <c r="O378" s="7"/>
      <c r="P378" s="7"/>
      <c r="Q378" s="7"/>
      <c r="R378" s="7"/>
      <c r="S378" s="7"/>
      <c r="T378" s="7"/>
      <c r="U378" s="7"/>
      <c r="V378" s="7"/>
      <c r="W378" s="7"/>
      <c r="X378" s="7"/>
      <c r="Y378" s="7"/>
    </row>
    <row r="379" spans="3:25" ht="19.5" customHeight="1">
      <c r="C379" s="7"/>
      <c r="D379" s="7"/>
      <c r="E379" s="7"/>
      <c r="F379" s="7"/>
      <c r="G379" s="7"/>
      <c r="H379" s="7"/>
      <c r="I379" s="7"/>
      <c r="J379" s="7"/>
      <c r="K379" s="7"/>
      <c r="L379" s="7"/>
      <c r="M379" s="7"/>
      <c r="N379" s="7"/>
      <c r="O379" s="7"/>
      <c r="P379" s="7"/>
      <c r="Q379" s="7"/>
      <c r="R379" s="7"/>
      <c r="S379" s="7"/>
      <c r="T379" s="7"/>
      <c r="U379" s="7"/>
      <c r="V379" s="7"/>
      <c r="W379" s="7"/>
      <c r="X379" s="7"/>
      <c r="Y379" s="7"/>
    </row>
    <row r="380" spans="3:25" ht="19.5" customHeight="1">
      <c r="C380" s="7"/>
      <c r="D380" s="7"/>
      <c r="E380" s="7"/>
      <c r="F380" s="7"/>
      <c r="G380" s="7"/>
      <c r="H380" s="7"/>
      <c r="I380" s="7"/>
      <c r="J380" s="7"/>
      <c r="K380" s="7"/>
      <c r="L380" s="7"/>
      <c r="M380" s="7"/>
      <c r="N380" s="7"/>
      <c r="O380" s="7"/>
      <c r="P380" s="7"/>
      <c r="Q380" s="7"/>
      <c r="R380" s="7"/>
      <c r="S380" s="7"/>
      <c r="T380" s="7"/>
      <c r="U380" s="7"/>
      <c r="V380" s="7"/>
      <c r="W380" s="7"/>
      <c r="X380" s="7"/>
      <c r="Y380" s="7"/>
    </row>
    <row r="381" spans="3:25" ht="19.5" customHeight="1">
      <c r="C381" s="7"/>
      <c r="D381" s="7"/>
      <c r="E381" s="7"/>
      <c r="F381" s="7"/>
      <c r="G381" s="7"/>
      <c r="H381" s="7"/>
      <c r="I381" s="7"/>
      <c r="J381" s="7"/>
      <c r="K381" s="7"/>
      <c r="L381" s="7"/>
      <c r="M381" s="7"/>
      <c r="N381" s="7"/>
      <c r="O381" s="7"/>
      <c r="P381" s="7"/>
      <c r="Q381" s="7"/>
      <c r="R381" s="7"/>
      <c r="S381" s="7"/>
      <c r="T381" s="7"/>
      <c r="U381" s="7"/>
      <c r="V381" s="7"/>
      <c r="W381" s="7"/>
      <c r="X381" s="7"/>
      <c r="Y381" s="7"/>
    </row>
    <row r="382" spans="3:25" ht="19.5" customHeight="1">
      <c r="C382" s="7"/>
      <c r="D382" s="7"/>
      <c r="E382" s="7"/>
      <c r="F382" s="7"/>
      <c r="G382" s="7"/>
      <c r="H382" s="7"/>
      <c r="I382" s="7"/>
      <c r="J382" s="7"/>
      <c r="K382" s="7"/>
      <c r="L382" s="7"/>
      <c r="M382" s="7"/>
      <c r="N382" s="7"/>
      <c r="O382" s="7"/>
      <c r="P382" s="7"/>
      <c r="Q382" s="7"/>
      <c r="R382" s="7"/>
      <c r="S382" s="7"/>
      <c r="T382" s="7"/>
      <c r="U382" s="7"/>
      <c r="V382" s="7"/>
      <c r="W382" s="7"/>
      <c r="X382" s="7"/>
      <c r="Y382" s="7"/>
    </row>
    <row r="383" spans="3:25" ht="19.5" customHeight="1">
      <c r="C383" s="7"/>
      <c r="D383" s="7"/>
      <c r="E383" s="7"/>
      <c r="F383" s="7"/>
      <c r="G383" s="7"/>
      <c r="H383" s="7"/>
      <c r="I383" s="7"/>
      <c r="J383" s="7"/>
      <c r="K383" s="7"/>
      <c r="L383" s="7"/>
      <c r="M383" s="7"/>
      <c r="N383" s="7"/>
      <c r="O383" s="7"/>
      <c r="P383" s="7"/>
      <c r="Q383" s="7"/>
      <c r="R383" s="7"/>
      <c r="S383" s="7"/>
      <c r="T383" s="7"/>
      <c r="U383" s="7"/>
      <c r="V383" s="7"/>
      <c r="W383" s="7"/>
      <c r="X383" s="7"/>
      <c r="Y383" s="7"/>
    </row>
    <row r="384" spans="3:25" ht="19.5" customHeight="1">
      <c r="C384" s="7"/>
      <c r="D384" s="7"/>
      <c r="E384" s="7"/>
      <c r="F384" s="7"/>
      <c r="G384" s="7"/>
      <c r="H384" s="7"/>
      <c r="I384" s="7"/>
      <c r="J384" s="7"/>
      <c r="K384" s="7"/>
      <c r="L384" s="7"/>
      <c r="M384" s="7"/>
      <c r="N384" s="7"/>
      <c r="O384" s="7"/>
      <c r="P384" s="7"/>
      <c r="Q384" s="7"/>
      <c r="R384" s="7"/>
      <c r="S384" s="7"/>
      <c r="T384" s="7"/>
      <c r="U384" s="7"/>
      <c r="V384" s="7"/>
      <c r="W384" s="7"/>
      <c r="X384" s="7"/>
      <c r="Y384" s="7"/>
    </row>
    <row r="385" spans="3:25" ht="19.5" customHeight="1">
      <c r="C385" s="7"/>
      <c r="D385" s="7"/>
      <c r="E385" s="7"/>
      <c r="F385" s="7"/>
      <c r="G385" s="7"/>
      <c r="H385" s="7"/>
      <c r="I385" s="7"/>
      <c r="J385" s="7"/>
      <c r="K385" s="7"/>
      <c r="L385" s="7"/>
      <c r="M385" s="7"/>
      <c r="N385" s="7"/>
      <c r="O385" s="7"/>
      <c r="P385" s="7"/>
      <c r="Q385" s="7"/>
      <c r="R385" s="7"/>
      <c r="S385" s="7"/>
      <c r="T385" s="7"/>
      <c r="U385" s="7"/>
      <c r="V385" s="7"/>
      <c r="W385" s="7"/>
      <c r="X385" s="7"/>
      <c r="Y385" s="7"/>
    </row>
    <row r="386" spans="3:25" ht="19.5" customHeight="1">
      <c r="C386" s="7"/>
      <c r="D386" s="7"/>
      <c r="E386" s="7"/>
      <c r="F386" s="7"/>
      <c r="G386" s="7"/>
      <c r="H386" s="7"/>
      <c r="I386" s="7"/>
      <c r="J386" s="7"/>
      <c r="K386" s="7"/>
      <c r="L386" s="7"/>
      <c r="M386" s="7"/>
      <c r="N386" s="7"/>
      <c r="O386" s="7"/>
      <c r="P386" s="7"/>
      <c r="Q386" s="7"/>
      <c r="R386" s="7"/>
      <c r="S386" s="7"/>
      <c r="T386" s="7"/>
      <c r="U386" s="7"/>
      <c r="V386" s="7"/>
      <c r="W386" s="7"/>
      <c r="X386" s="7"/>
      <c r="Y386" s="7"/>
    </row>
    <row r="387" spans="3:25" ht="19.5" customHeight="1">
      <c r="C387" s="7"/>
      <c r="D387" s="7"/>
      <c r="E387" s="7"/>
      <c r="F387" s="7"/>
      <c r="G387" s="7"/>
      <c r="H387" s="7"/>
      <c r="I387" s="7"/>
      <c r="J387" s="7"/>
      <c r="K387" s="7"/>
      <c r="L387" s="7"/>
      <c r="M387" s="7"/>
      <c r="N387" s="7"/>
      <c r="O387" s="7"/>
      <c r="P387" s="7"/>
      <c r="Q387" s="7"/>
      <c r="R387" s="7"/>
      <c r="S387" s="7"/>
      <c r="T387" s="7"/>
      <c r="U387" s="7"/>
      <c r="V387" s="7"/>
      <c r="W387" s="7"/>
      <c r="X387" s="7"/>
      <c r="Y387" s="7"/>
    </row>
    <row r="388" spans="3:25" ht="19.5" customHeight="1">
      <c r="C388" s="7"/>
      <c r="D388" s="7"/>
      <c r="E388" s="7"/>
      <c r="F388" s="7"/>
      <c r="G388" s="7"/>
      <c r="H388" s="7"/>
      <c r="I388" s="7"/>
      <c r="J388" s="7"/>
      <c r="K388" s="7"/>
      <c r="L388" s="7"/>
      <c r="M388" s="7"/>
      <c r="N388" s="7"/>
      <c r="O388" s="7"/>
      <c r="P388" s="7"/>
      <c r="Q388" s="7"/>
      <c r="R388" s="7"/>
      <c r="S388" s="7"/>
      <c r="T388" s="7"/>
      <c r="U388" s="7"/>
      <c r="V388" s="7"/>
      <c r="W388" s="7"/>
      <c r="X388" s="7"/>
      <c r="Y388" s="7"/>
    </row>
    <row r="389" spans="3:25" ht="19.5" customHeight="1">
      <c r="C389" s="7"/>
      <c r="D389" s="7"/>
      <c r="E389" s="7"/>
      <c r="F389" s="7"/>
      <c r="G389" s="7"/>
      <c r="H389" s="7"/>
      <c r="I389" s="7"/>
      <c r="J389" s="7"/>
      <c r="K389" s="7"/>
      <c r="L389" s="7"/>
      <c r="M389" s="7"/>
      <c r="N389" s="7"/>
      <c r="O389" s="7"/>
      <c r="P389" s="7"/>
      <c r="Q389" s="7"/>
      <c r="R389" s="7"/>
      <c r="S389" s="7"/>
      <c r="T389" s="7"/>
      <c r="U389" s="7"/>
      <c r="V389" s="7"/>
      <c r="W389" s="7"/>
      <c r="X389" s="7"/>
      <c r="Y389" s="7"/>
    </row>
    <row r="390" spans="3:25" ht="19.5" customHeight="1">
      <c r="C390" s="7"/>
      <c r="D390" s="7"/>
      <c r="E390" s="7"/>
      <c r="F390" s="7"/>
      <c r="G390" s="7"/>
      <c r="H390" s="7"/>
      <c r="I390" s="7"/>
      <c r="J390" s="7"/>
      <c r="K390" s="7"/>
      <c r="L390" s="7"/>
      <c r="M390" s="7"/>
      <c r="N390" s="7"/>
      <c r="O390" s="7"/>
      <c r="P390" s="7"/>
      <c r="Q390" s="7"/>
      <c r="R390" s="7"/>
      <c r="S390" s="7"/>
      <c r="T390" s="7"/>
      <c r="U390" s="7"/>
      <c r="V390" s="7"/>
      <c r="W390" s="7"/>
      <c r="X390" s="7"/>
      <c r="Y390" s="7"/>
    </row>
    <row r="391" spans="3:25" ht="19.5" customHeight="1">
      <c r="C391" s="7"/>
      <c r="D391" s="7"/>
      <c r="E391" s="7"/>
      <c r="F391" s="7"/>
      <c r="G391" s="7"/>
      <c r="H391" s="7"/>
      <c r="I391" s="7"/>
      <c r="J391" s="7"/>
      <c r="K391" s="7"/>
      <c r="L391" s="7"/>
      <c r="M391" s="7"/>
      <c r="N391" s="7"/>
      <c r="O391" s="7"/>
      <c r="P391" s="7"/>
      <c r="Q391" s="7"/>
      <c r="R391" s="7"/>
      <c r="S391" s="7"/>
      <c r="T391" s="7"/>
      <c r="U391" s="7"/>
      <c r="V391" s="7"/>
      <c r="W391" s="7"/>
      <c r="X391" s="7"/>
      <c r="Y391" s="7"/>
    </row>
    <row r="392" spans="3:25" ht="19.5" customHeight="1">
      <c r="C392" s="7"/>
      <c r="D392" s="7"/>
      <c r="E392" s="7"/>
      <c r="F392" s="7"/>
      <c r="G392" s="7"/>
      <c r="H392" s="7"/>
      <c r="I392" s="7"/>
      <c r="J392" s="7"/>
      <c r="K392" s="7"/>
      <c r="L392" s="7"/>
      <c r="M392" s="7"/>
      <c r="N392" s="7"/>
      <c r="O392" s="7"/>
      <c r="P392" s="7"/>
      <c r="Q392" s="7"/>
      <c r="R392" s="7"/>
      <c r="S392" s="7"/>
      <c r="T392" s="7"/>
      <c r="U392" s="7"/>
      <c r="V392" s="7"/>
      <c r="W392" s="7"/>
      <c r="X392" s="7"/>
      <c r="Y392" s="7"/>
    </row>
    <row r="393" spans="3:25" ht="19.5" customHeight="1">
      <c r="C393" s="7"/>
      <c r="D393" s="7"/>
      <c r="E393" s="7"/>
      <c r="F393" s="7"/>
      <c r="G393" s="7"/>
      <c r="H393" s="7"/>
      <c r="I393" s="7"/>
      <c r="J393" s="7"/>
      <c r="K393" s="7"/>
      <c r="L393" s="7"/>
      <c r="M393" s="7"/>
      <c r="N393" s="7"/>
      <c r="O393" s="7"/>
      <c r="P393" s="7"/>
      <c r="Q393" s="7"/>
      <c r="R393" s="7"/>
      <c r="S393" s="7"/>
      <c r="T393" s="7"/>
      <c r="U393" s="7"/>
      <c r="V393" s="7"/>
      <c r="W393" s="7"/>
      <c r="X393" s="7"/>
      <c r="Y393" s="7"/>
    </row>
    <row r="394" spans="3:25" ht="19.5" customHeight="1">
      <c r="C394" s="7"/>
      <c r="D394" s="7"/>
      <c r="E394" s="7"/>
      <c r="F394" s="7"/>
      <c r="G394" s="7"/>
      <c r="H394" s="7"/>
      <c r="I394" s="7"/>
      <c r="J394" s="7"/>
      <c r="K394" s="7"/>
      <c r="L394" s="7"/>
      <c r="M394" s="7"/>
      <c r="N394" s="7"/>
      <c r="O394" s="7"/>
      <c r="P394" s="7"/>
      <c r="Q394" s="7"/>
      <c r="R394" s="7"/>
      <c r="S394" s="7"/>
      <c r="T394" s="7"/>
      <c r="U394" s="7"/>
      <c r="V394" s="7"/>
      <c r="W394" s="7"/>
      <c r="X394" s="7"/>
      <c r="Y394" s="7"/>
    </row>
    <row r="395" spans="3:25" ht="19.5" customHeight="1">
      <c r="C395" s="7"/>
      <c r="D395" s="7"/>
      <c r="E395" s="7"/>
      <c r="F395" s="7"/>
      <c r="G395" s="7"/>
      <c r="H395" s="7"/>
      <c r="I395" s="7"/>
      <c r="J395" s="7"/>
      <c r="K395" s="7"/>
      <c r="L395" s="7"/>
      <c r="M395" s="7"/>
      <c r="N395" s="7"/>
      <c r="O395" s="7"/>
      <c r="P395" s="7"/>
      <c r="Q395" s="7"/>
      <c r="R395" s="7"/>
      <c r="S395" s="7"/>
      <c r="T395" s="7"/>
      <c r="U395" s="7"/>
      <c r="V395" s="7"/>
      <c r="W395" s="7"/>
      <c r="X395" s="7"/>
      <c r="Y395" s="7"/>
    </row>
    <row r="396" spans="3:25" ht="19.5" customHeight="1">
      <c r="C396" s="7"/>
      <c r="D396" s="7"/>
      <c r="E396" s="7"/>
      <c r="F396" s="7"/>
      <c r="G396" s="7"/>
      <c r="H396" s="7"/>
      <c r="I396" s="7"/>
      <c r="J396" s="7"/>
      <c r="K396" s="7"/>
      <c r="L396" s="7"/>
      <c r="M396" s="7"/>
      <c r="N396" s="7"/>
      <c r="O396" s="7"/>
      <c r="P396" s="7"/>
      <c r="Q396" s="7"/>
      <c r="R396" s="7"/>
      <c r="S396" s="7"/>
      <c r="T396" s="7"/>
      <c r="U396" s="7"/>
      <c r="V396" s="7"/>
      <c r="W396" s="7"/>
      <c r="X396" s="7"/>
      <c r="Y396" s="7"/>
    </row>
    <row r="397" spans="3:25" ht="19.5" customHeight="1">
      <c r="C397" s="7"/>
      <c r="D397" s="7"/>
      <c r="E397" s="7"/>
      <c r="F397" s="7"/>
      <c r="G397" s="7"/>
      <c r="H397" s="7"/>
      <c r="I397" s="7"/>
      <c r="J397" s="7"/>
      <c r="K397" s="7"/>
      <c r="L397" s="7"/>
      <c r="M397" s="7"/>
      <c r="N397" s="7"/>
      <c r="O397" s="7"/>
      <c r="P397" s="7"/>
      <c r="Q397" s="7"/>
      <c r="R397" s="7"/>
      <c r="S397" s="7"/>
      <c r="T397" s="7"/>
      <c r="U397" s="7"/>
      <c r="V397" s="7"/>
      <c r="W397" s="7"/>
      <c r="X397" s="7"/>
      <c r="Y397" s="7"/>
    </row>
    <row r="398" spans="3:25" ht="19.5" customHeight="1">
      <c r="C398" s="7"/>
      <c r="D398" s="7"/>
      <c r="E398" s="7"/>
      <c r="F398" s="7"/>
      <c r="G398" s="7"/>
      <c r="H398" s="7"/>
      <c r="I398" s="7"/>
      <c r="J398" s="7"/>
      <c r="K398" s="7"/>
      <c r="L398" s="7"/>
      <c r="M398" s="7"/>
      <c r="N398" s="7"/>
      <c r="O398" s="7"/>
      <c r="P398" s="7"/>
      <c r="Q398" s="7"/>
      <c r="R398" s="7"/>
      <c r="S398" s="7"/>
      <c r="T398" s="7"/>
      <c r="U398" s="7"/>
      <c r="V398" s="7"/>
      <c r="W398" s="7"/>
      <c r="X398" s="7"/>
      <c r="Y398" s="7"/>
    </row>
    <row r="399" spans="3:25" ht="19.5" customHeight="1">
      <c r="C399" s="7"/>
      <c r="D399" s="7"/>
      <c r="E399" s="7"/>
      <c r="F399" s="7"/>
      <c r="G399" s="7"/>
      <c r="H399" s="7"/>
      <c r="I399" s="7"/>
      <c r="J399" s="7"/>
      <c r="K399" s="7"/>
      <c r="L399" s="7"/>
      <c r="M399" s="7"/>
      <c r="N399" s="7"/>
      <c r="O399" s="7"/>
      <c r="P399" s="7"/>
      <c r="Q399" s="7"/>
      <c r="R399" s="7"/>
      <c r="S399" s="7"/>
      <c r="T399" s="7"/>
      <c r="U399" s="7"/>
      <c r="V399" s="7"/>
      <c r="W399" s="7"/>
      <c r="X399" s="7"/>
      <c r="Y399" s="7"/>
    </row>
    <row r="400" spans="3:25" ht="19.5" customHeight="1">
      <c r="C400" s="7"/>
      <c r="D400" s="7"/>
      <c r="E400" s="7"/>
      <c r="F400" s="7"/>
      <c r="G400" s="7"/>
      <c r="H400" s="7"/>
      <c r="I400" s="7"/>
      <c r="J400" s="7"/>
      <c r="K400" s="7"/>
      <c r="L400" s="7"/>
      <c r="M400" s="7"/>
      <c r="N400" s="7"/>
      <c r="O400" s="7"/>
      <c r="P400" s="7"/>
      <c r="Q400" s="7"/>
      <c r="R400" s="7"/>
      <c r="S400" s="7"/>
      <c r="T400" s="7"/>
      <c r="U400" s="7"/>
      <c r="V400" s="7"/>
      <c r="W400" s="7"/>
      <c r="X400" s="7"/>
      <c r="Y400" s="7"/>
    </row>
    <row r="401" spans="3:25" ht="19.5" customHeight="1">
      <c r="C401" s="7"/>
      <c r="D401" s="7"/>
      <c r="E401" s="7"/>
      <c r="F401" s="7"/>
      <c r="G401" s="7"/>
      <c r="H401" s="7"/>
      <c r="I401" s="7"/>
      <c r="J401" s="7"/>
      <c r="K401" s="7"/>
      <c r="L401" s="7"/>
      <c r="M401" s="7"/>
      <c r="N401" s="7"/>
      <c r="O401" s="7"/>
      <c r="P401" s="7"/>
      <c r="Q401" s="7"/>
      <c r="R401" s="7"/>
      <c r="S401" s="7"/>
      <c r="T401" s="7"/>
      <c r="U401" s="7"/>
      <c r="V401" s="7"/>
      <c r="W401" s="7"/>
      <c r="X401" s="7"/>
      <c r="Y401" s="7"/>
    </row>
    <row r="402" spans="3:25" ht="19.5" customHeight="1">
      <c r="C402" s="7"/>
      <c r="D402" s="7"/>
      <c r="E402" s="7"/>
      <c r="F402" s="7"/>
      <c r="G402" s="7"/>
      <c r="H402" s="7"/>
      <c r="I402" s="7"/>
      <c r="J402" s="7"/>
      <c r="K402" s="7"/>
      <c r="L402" s="7"/>
      <c r="M402" s="7"/>
      <c r="N402" s="7"/>
      <c r="O402" s="7"/>
      <c r="P402" s="7"/>
      <c r="Q402" s="7"/>
      <c r="R402" s="7"/>
      <c r="S402" s="7"/>
      <c r="T402" s="7"/>
      <c r="U402" s="7"/>
      <c r="V402" s="7"/>
      <c r="W402" s="7"/>
      <c r="X402" s="7"/>
      <c r="Y402" s="7"/>
    </row>
    <row r="403" spans="3:25" ht="19.5" customHeight="1">
      <c r="C403" s="7"/>
      <c r="D403" s="7"/>
      <c r="E403" s="7"/>
      <c r="F403" s="7"/>
      <c r="G403" s="7"/>
      <c r="H403" s="7"/>
      <c r="I403" s="7"/>
      <c r="J403" s="7"/>
      <c r="K403" s="7"/>
      <c r="L403" s="7"/>
      <c r="M403" s="7"/>
      <c r="N403" s="7"/>
      <c r="O403" s="7"/>
      <c r="P403" s="7"/>
      <c r="Q403" s="7"/>
      <c r="R403" s="7"/>
      <c r="S403" s="7"/>
      <c r="T403" s="7"/>
      <c r="U403" s="7"/>
      <c r="V403" s="7"/>
      <c r="W403" s="7"/>
      <c r="X403" s="7"/>
      <c r="Y403" s="7"/>
    </row>
    <row r="404" spans="3:25" ht="19.5" customHeight="1">
      <c r="C404" s="7"/>
      <c r="D404" s="7"/>
      <c r="E404" s="7"/>
      <c r="F404" s="7"/>
      <c r="G404" s="7"/>
      <c r="H404" s="7"/>
      <c r="I404" s="7"/>
      <c r="J404" s="7"/>
      <c r="K404" s="7"/>
      <c r="L404" s="7"/>
      <c r="M404" s="7"/>
      <c r="N404" s="7"/>
      <c r="O404" s="7"/>
      <c r="P404" s="7"/>
      <c r="Q404" s="7"/>
      <c r="R404" s="7"/>
      <c r="S404" s="7"/>
      <c r="T404" s="7"/>
      <c r="U404" s="7"/>
      <c r="V404" s="7"/>
      <c r="W404" s="7"/>
      <c r="X404" s="7"/>
      <c r="Y404" s="7"/>
    </row>
    <row r="405" spans="3:25" ht="19.5" customHeight="1">
      <c r="C405" s="7"/>
      <c r="D405" s="7"/>
      <c r="E405" s="7"/>
      <c r="F405" s="7"/>
      <c r="G405" s="7"/>
      <c r="H405" s="7"/>
      <c r="I405" s="7"/>
      <c r="J405" s="7"/>
      <c r="K405" s="7"/>
      <c r="L405" s="7"/>
      <c r="M405" s="7"/>
      <c r="N405" s="7"/>
      <c r="O405" s="7"/>
      <c r="P405" s="7"/>
      <c r="Q405" s="7"/>
      <c r="R405" s="7"/>
      <c r="S405" s="7"/>
      <c r="T405" s="7"/>
      <c r="U405" s="7"/>
      <c r="V405" s="7"/>
      <c r="W405" s="7"/>
      <c r="X405" s="7"/>
      <c r="Y405" s="7"/>
    </row>
    <row r="406" spans="3:25" ht="19.5" customHeight="1">
      <c r="C406" s="7"/>
      <c r="D406" s="7"/>
      <c r="E406" s="7"/>
      <c r="F406" s="7"/>
      <c r="G406" s="7"/>
      <c r="H406" s="7"/>
      <c r="I406" s="7"/>
      <c r="J406" s="7"/>
      <c r="K406" s="7"/>
      <c r="L406" s="7"/>
      <c r="M406" s="7"/>
      <c r="N406" s="7"/>
      <c r="O406" s="7"/>
      <c r="P406" s="7"/>
      <c r="Q406" s="7"/>
      <c r="R406" s="7"/>
      <c r="S406" s="7"/>
      <c r="T406" s="7"/>
      <c r="U406" s="7"/>
      <c r="V406" s="7"/>
      <c r="W406" s="7"/>
      <c r="X406" s="7"/>
      <c r="Y406" s="7"/>
    </row>
    <row r="407" spans="3:25" ht="19.5" customHeight="1">
      <c r="C407" s="7"/>
      <c r="D407" s="7"/>
      <c r="E407" s="7"/>
      <c r="F407" s="7"/>
      <c r="G407" s="7"/>
      <c r="H407" s="7"/>
      <c r="I407" s="7"/>
      <c r="J407" s="7"/>
      <c r="K407" s="7"/>
      <c r="L407" s="7"/>
      <c r="M407" s="7"/>
      <c r="N407" s="7"/>
      <c r="O407" s="7"/>
      <c r="P407" s="7"/>
      <c r="Q407" s="7"/>
      <c r="R407" s="7"/>
      <c r="S407" s="7"/>
      <c r="T407" s="7"/>
      <c r="U407" s="7"/>
      <c r="V407" s="7"/>
      <c r="W407" s="7"/>
      <c r="X407" s="7"/>
      <c r="Y407" s="7"/>
    </row>
    <row r="408" spans="3:25" ht="19.5" customHeight="1">
      <c r="C408" s="7"/>
      <c r="D408" s="7"/>
      <c r="E408" s="7"/>
      <c r="F408" s="7"/>
      <c r="G408" s="7"/>
      <c r="H408" s="7"/>
      <c r="I408" s="7"/>
      <c r="J408" s="7"/>
      <c r="K408" s="7"/>
      <c r="L408" s="7"/>
      <c r="M408" s="7"/>
      <c r="N408" s="7"/>
      <c r="O408" s="7"/>
      <c r="P408" s="7"/>
      <c r="Q408" s="7"/>
      <c r="R408" s="7"/>
      <c r="S408" s="7"/>
      <c r="T408" s="7"/>
      <c r="U408" s="7"/>
      <c r="V408" s="7"/>
      <c r="W408" s="7"/>
      <c r="X408" s="7"/>
      <c r="Y408" s="7"/>
    </row>
    <row r="409" spans="3:25" ht="19.5" customHeight="1">
      <c r="C409" s="7"/>
      <c r="D409" s="7"/>
      <c r="E409" s="7"/>
      <c r="F409" s="7"/>
      <c r="G409" s="7"/>
      <c r="H409" s="7"/>
      <c r="I409" s="7"/>
      <c r="J409" s="7"/>
      <c r="K409" s="7"/>
      <c r="L409" s="7"/>
      <c r="M409" s="7"/>
      <c r="N409" s="7"/>
      <c r="O409" s="7"/>
      <c r="P409" s="7"/>
      <c r="Q409" s="7"/>
      <c r="R409" s="7"/>
      <c r="S409" s="7"/>
      <c r="T409" s="7"/>
      <c r="U409" s="7"/>
      <c r="V409" s="7"/>
      <c r="W409" s="7"/>
      <c r="X409" s="7"/>
      <c r="Y409" s="7"/>
    </row>
    <row r="410" spans="3:25" ht="19.5" customHeight="1">
      <c r="C410" s="7"/>
      <c r="D410" s="7"/>
      <c r="E410" s="7"/>
      <c r="F410" s="7"/>
      <c r="G410" s="7"/>
      <c r="H410" s="7"/>
      <c r="I410" s="7"/>
      <c r="J410" s="7"/>
      <c r="K410" s="7"/>
      <c r="L410" s="7"/>
      <c r="M410" s="7"/>
      <c r="N410" s="7"/>
      <c r="O410" s="7"/>
      <c r="P410" s="7"/>
      <c r="Q410" s="7"/>
      <c r="R410" s="7"/>
      <c r="S410" s="7"/>
      <c r="T410" s="7"/>
      <c r="U410" s="7"/>
      <c r="V410" s="7"/>
      <c r="W410" s="7"/>
      <c r="X410" s="7"/>
      <c r="Y410" s="7"/>
    </row>
    <row r="411" spans="3:25" ht="19.5" customHeight="1">
      <c r="C411" s="7"/>
      <c r="D411" s="7"/>
      <c r="E411" s="7"/>
      <c r="F411" s="7"/>
      <c r="G411" s="7"/>
      <c r="H411" s="7"/>
      <c r="I411" s="7"/>
      <c r="J411" s="7"/>
      <c r="K411" s="7"/>
      <c r="L411" s="7"/>
      <c r="M411" s="7"/>
      <c r="N411" s="7"/>
      <c r="O411" s="7"/>
      <c r="P411" s="7"/>
      <c r="Q411" s="7"/>
      <c r="R411" s="7"/>
      <c r="S411" s="7"/>
      <c r="T411" s="7"/>
      <c r="U411" s="7"/>
      <c r="V411" s="7"/>
      <c r="W411" s="7"/>
      <c r="X411" s="7"/>
      <c r="Y411" s="7"/>
    </row>
    <row r="412" spans="3:25" ht="19.5" customHeight="1">
      <c r="C412" s="7"/>
      <c r="D412" s="7"/>
      <c r="E412" s="7"/>
      <c r="F412" s="7"/>
      <c r="G412" s="7"/>
      <c r="H412" s="7"/>
      <c r="I412" s="7"/>
      <c r="J412" s="7"/>
      <c r="K412" s="7"/>
      <c r="L412" s="7"/>
      <c r="M412" s="7"/>
      <c r="N412" s="7"/>
      <c r="O412" s="7"/>
      <c r="P412" s="7"/>
      <c r="Q412" s="7"/>
      <c r="R412" s="7"/>
      <c r="S412" s="7"/>
      <c r="T412" s="7"/>
      <c r="U412" s="7"/>
      <c r="V412" s="7"/>
      <c r="W412" s="7"/>
      <c r="X412" s="7"/>
      <c r="Y412" s="7"/>
    </row>
    <row r="413" spans="3:25" ht="19.5" customHeight="1">
      <c r="C413" s="7"/>
      <c r="D413" s="7"/>
      <c r="E413" s="7"/>
      <c r="F413" s="7"/>
      <c r="G413" s="7"/>
      <c r="H413" s="7"/>
      <c r="I413" s="7"/>
      <c r="J413" s="7"/>
      <c r="K413" s="7"/>
      <c r="L413" s="7"/>
      <c r="M413" s="7"/>
      <c r="N413" s="7"/>
      <c r="O413" s="7"/>
      <c r="P413" s="7"/>
      <c r="Q413" s="7"/>
      <c r="R413" s="7"/>
      <c r="S413" s="7"/>
      <c r="T413" s="7"/>
      <c r="U413" s="7"/>
      <c r="V413" s="7"/>
      <c r="W413" s="7"/>
      <c r="X413" s="7"/>
      <c r="Y413" s="7"/>
    </row>
    <row r="414" spans="3:25" ht="19.5" customHeight="1">
      <c r="C414" s="7"/>
      <c r="D414" s="7"/>
      <c r="E414" s="7"/>
      <c r="F414" s="7"/>
      <c r="G414" s="7"/>
      <c r="H414" s="7"/>
      <c r="I414" s="7"/>
      <c r="J414" s="7"/>
      <c r="K414" s="7"/>
      <c r="L414" s="7"/>
      <c r="M414" s="7"/>
      <c r="N414" s="7"/>
      <c r="O414" s="7"/>
      <c r="P414" s="7"/>
      <c r="Q414" s="7"/>
      <c r="R414" s="7"/>
      <c r="S414" s="7"/>
      <c r="T414" s="7"/>
      <c r="U414" s="7"/>
      <c r="V414" s="7"/>
      <c r="W414" s="7"/>
      <c r="X414" s="7"/>
      <c r="Y414" s="7"/>
    </row>
    <row r="415" spans="3:25" ht="19.5" customHeight="1">
      <c r="C415" s="7"/>
      <c r="D415" s="7"/>
      <c r="E415" s="7"/>
      <c r="F415" s="7"/>
      <c r="G415" s="7"/>
      <c r="H415" s="7"/>
      <c r="I415" s="7"/>
      <c r="J415" s="7"/>
      <c r="K415" s="7"/>
      <c r="L415" s="7"/>
      <c r="M415" s="7"/>
      <c r="N415" s="7"/>
      <c r="O415" s="7"/>
      <c r="P415" s="7"/>
      <c r="Q415" s="7"/>
      <c r="R415" s="7"/>
      <c r="S415" s="7"/>
      <c r="T415" s="7"/>
      <c r="U415" s="7"/>
      <c r="V415" s="7"/>
      <c r="W415" s="7"/>
      <c r="X415" s="7"/>
      <c r="Y415" s="7"/>
    </row>
    <row r="416" spans="3:25" ht="19.5" customHeight="1">
      <c r="C416" s="7"/>
      <c r="D416" s="7"/>
      <c r="E416" s="7"/>
      <c r="F416" s="7"/>
      <c r="G416" s="7"/>
      <c r="H416" s="7"/>
      <c r="I416" s="7"/>
      <c r="J416" s="7"/>
      <c r="K416" s="7"/>
      <c r="L416" s="7"/>
      <c r="M416" s="7"/>
      <c r="N416" s="7"/>
      <c r="O416" s="7"/>
      <c r="P416" s="7"/>
      <c r="Q416" s="7"/>
      <c r="R416" s="7"/>
      <c r="S416" s="7"/>
      <c r="T416" s="7"/>
      <c r="U416" s="7"/>
      <c r="V416" s="7"/>
      <c r="W416" s="7"/>
      <c r="X416" s="7"/>
      <c r="Y416" s="7"/>
    </row>
    <row r="417" spans="3:25" ht="19.5" customHeight="1">
      <c r="C417" s="7"/>
      <c r="D417" s="7"/>
      <c r="E417" s="7"/>
      <c r="F417" s="7"/>
      <c r="G417" s="7"/>
      <c r="H417" s="7"/>
      <c r="I417" s="7"/>
      <c r="J417" s="7"/>
      <c r="K417" s="7"/>
      <c r="L417" s="7"/>
      <c r="M417" s="7"/>
      <c r="N417" s="7"/>
      <c r="O417" s="7"/>
      <c r="P417" s="7"/>
      <c r="Q417" s="7"/>
      <c r="R417" s="7"/>
      <c r="S417" s="7"/>
      <c r="T417" s="7"/>
      <c r="U417" s="7"/>
      <c r="V417" s="7"/>
      <c r="W417" s="7"/>
      <c r="X417" s="7"/>
      <c r="Y417" s="7"/>
    </row>
    <row r="418" spans="3:25" ht="19.5" customHeight="1">
      <c r="C418" s="7"/>
      <c r="D418" s="7"/>
      <c r="E418" s="7"/>
      <c r="F418" s="7"/>
      <c r="G418" s="7"/>
      <c r="H418" s="7"/>
      <c r="I418" s="7"/>
      <c r="J418" s="7"/>
      <c r="K418" s="7"/>
      <c r="L418" s="7"/>
      <c r="M418" s="7"/>
      <c r="N418" s="7"/>
      <c r="O418" s="7"/>
      <c r="P418" s="7"/>
      <c r="Q418" s="7"/>
      <c r="R418" s="7"/>
      <c r="S418" s="7"/>
      <c r="T418" s="7"/>
      <c r="U418" s="7"/>
      <c r="V418" s="7"/>
      <c r="W418" s="7"/>
      <c r="X418" s="7"/>
      <c r="Y418" s="7"/>
    </row>
    <row r="419" spans="3:25" ht="19.5" customHeight="1">
      <c r="C419" s="7"/>
      <c r="D419" s="7"/>
      <c r="E419" s="7"/>
      <c r="F419" s="7"/>
      <c r="G419" s="7"/>
      <c r="H419" s="7"/>
      <c r="I419" s="7"/>
      <c r="J419" s="7"/>
      <c r="K419" s="7"/>
      <c r="L419" s="7"/>
      <c r="M419" s="7"/>
      <c r="N419" s="7"/>
      <c r="O419" s="7"/>
      <c r="P419" s="7"/>
      <c r="Q419" s="7"/>
      <c r="R419" s="7"/>
      <c r="S419" s="7"/>
      <c r="T419" s="7"/>
      <c r="U419" s="7"/>
      <c r="V419" s="7"/>
      <c r="W419" s="7"/>
      <c r="X419" s="7"/>
      <c r="Y419" s="7"/>
    </row>
    <row r="420" spans="3:25" ht="19.5" customHeight="1">
      <c r="C420" s="7"/>
      <c r="D420" s="7"/>
      <c r="E420" s="7"/>
      <c r="F420" s="7"/>
      <c r="G420" s="7"/>
      <c r="H420" s="7"/>
      <c r="I420" s="7"/>
      <c r="J420" s="7"/>
      <c r="K420" s="7"/>
      <c r="L420" s="7"/>
      <c r="M420" s="7"/>
      <c r="N420" s="7"/>
      <c r="O420" s="7"/>
      <c r="P420" s="7"/>
      <c r="Q420" s="7"/>
      <c r="R420" s="7"/>
      <c r="S420" s="7"/>
      <c r="T420" s="7"/>
      <c r="U420" s="7"/>
      <c r="V420" s="7"/>
      <c r="W420" s="7"/>
      <c r="X420" s="7"/>
      <c r="Y420" s="7"/>
    </row>
    <row r="421" spans="3:25" ht="19.5" customHeight="1">
      <c r="C421" s="7"/>
      <c r="D421" s="7"/>
      <c r="E421" s="7"/>
      <c r="F421" s="7"/>
      <c r="G421" s="7"/>
      <c r="H421" s="7"/>
      <c r="I421" s="7"/>
      <c r="J421" s="7"/>
      <c r="K421" s="7"/>
      <c r="L421" s="7"/>
      <c r="M421" s="7"/>
      <c r="N421" s="7"/>
      <c r="O421" s="7"/>
      <c r="P421" s="7"/>
      <c r="Q421" s="7"/>
      <c r="R421" s="7"/>
      <c r="S421" s="7"/>
      <c r="T421" s="7"/>
      <c r="U421" s="7"/>
      <c r="V421" s="7"/>
      <c r="W421" s="7"/>
      <c r="X421" s="7"/>
      <c r="Y421" s="7"/>
    </row>
    <row r="422" spans="3:25" ht="19.5" customHeight="1">
      <c r="C422" s="7"/>
      <c r="D422" s="7"/>
      <c r="E422" s="7"/>
      <c r="F422" s="7"/>
      <c r="G422" s="7"/>
      <c r="H422" s="7"/>
      <c r="I422" s="7"/>
      <c r="J422" s="7"/>
      <c r="K422" s="7"/>
      <c r="L422" s="7"/>
      <c r="M422" s="7"/>
      <c r="N422" s="7"/>
      <c r="O422" s="7"/>
      <c r="P422" s="7"/>
      <c r="Q422" s="7"/>
      <c r="R422" s="7"/>
      <c r="S422" s="7"/>
      <c r="T422" s="7"/>
      <c r="U422" s="7"/>
      <c r="V422" s="7"/>
      <c r="W422" s="7"/>
      <c r="X422" s="7"/>
      <c r="Y422" s="7"/>
    </row>
    <row r="423" spans="3:25" ht="19.5" customHeight="1">
      <c r="C423" s="7"/>
      <c r="D423" s="7"/>
      <c r="E423" s="7"/>
      <c r="F423" s="7"/>
      <c r="G423" s="7"/>
      <c r="H423" s="7"/>
      <c r="I423" s="7"/>
      <c r="J423" s="7"/>
      <c r="K423" s="7"/>
      <c r="L423" s="7"/>
      <c r="M423" s="7"/>
      <c r="N423" s="7"/>
      <c r="O423" s="7"/>
      <c r="P423" s="7"/>
      <c r="Q423" s="7"/>
      <c r="R423" s="7"/>
      <c r="S423" s="7"/>
      <c r="T423" s="7"/>
      <c r="U423" s="7"/>
      <c r="V423" s="7"/>
      <c r="W423" s="7"/>
      <c r="X423" s="7"/>
      <c r="Y423" s="7"/>
    </row>
    <row r="424" spans="3:25" ht="19.5" customHeight="1">
      <c r="C424" s="7"/>
      <c r="D424" s="7"/>
      <c r="E424" s="7"/>
      <c r="F424" s="7"/>
      <c r="G424" s="7"/>
      <c r="H424" s="7"/>
      <c r="I424" s="7"/>
      <c r="J424" s="7"/>
      <c r="K424" s="7"/>
      <c r="L424" s="7"/>
      <c r="M424" s="7"/>
      <c r="N424" s="7"/>
      <c r="O424" s="7"/>
      <c r="P424" s="7"/>
      <c r="Q424" s="7"/>
      <c r="R424" s="7"/>
      <c r="S424" s="7"/>
      <c r="T424" s="7"/>
      <c r="U424" s="7"/>
      <c r="V424" s="7"/>
      <c r="W424" s="7"/>
      <c r="X424" s="7"/>
      <c r="Y424" s="7"/>
    </row>
    <row r="425" spans="3:25" ht="19.5" customHeight="1">
      <c r="C425" s="7"/>
      <c r="D425" s="7"/>
      <c r="E425" s="7"/>
      <c r="F425" s="7"/>
      <c r="G425" s="7"/>
      <c r="H425" s="7"/>
      <c r="I425" s="7"/>
      <c r="J425" s="7"/>
      <c r="K425" s="7"/>
      <c r="L425" s="7"/>
      <c r="M425" s="7"/>
      <c r="N425" s="7"/>
      <c r="O425" s="7"/>
      <c r="P425" s="7"/>
      <c r="Q425" s="7"/>
      <c r="R425" s="7"/>
      <c r="S425" s="7"/>
      <c r="T425" s="7"/>
      <c r="U425" s="7"/>
      <c r="V425" s="7"/>
      <c r="W425" s="7"/>
      <c r="X425" s="7"/>
      <c r="Y425" s="7"/>
    </row>
    <row r="426" spans="3:25" ht="19.5" customHeight="1">
      <c r="C426" s="7"/>
      <c r="D426" s="7"/>
      <c r="E426" s="7"/>
      <c r="F426" s="7"/>
      <c r="G426" s="7"/>
      <c r="H426" s="7"/>
      <c r="I426" s="7"/>
      <c r="J426" s="7"/>
      <c r="K426" s="7"/>
      <c r="L426" s="7"/>
      <c r="M426" s="7"/>
      <c r="N426" s="7"/>
      <c r="O426" s="7"/>
      <c r="P426" s="7"/>
      <c r="Q426" s="7"/>
      <c r="R426" s="7"/>
      <c r="S426" s="7"/>
      <c r="T426" s="7"/>
      <c r="U426" s="7"/>
      <c r="V426" s="7"/>
      <c r="W426" s="7"/>
      <c r="X426" s="7"/>
      <c r="Y426" s="7"/>
    </row>
    <row r="427" spans="3:25" ht="19.5" customHeight="1">
      <c r="C427" s="7"/>
      <c r="D427" s="7"/>
      <c r="E427" s="7"/>
      <c r="F427" s="7"/>
      <c r="G427" s="7"/>
      <c r="H427" s="7"/>
      <c r="I427" s="7"/>
      <c r="J427" s="7"/>
      <c r="K427" s="7"/>
      <c r="L427" s="7"/>
      <c r="M427" s="7"/>
      <c r="N427" s="7"/>
      <c r="O427" s="7"/>
      <c r="P427" s="7"/>
      <c r="Q427" s="7"/>
      <c r="R427" s="7"/>
      <c r="S427" s="7"/>
      <c r="T427" s="7"/>
      <c r="U427" s="7"/>
      <c r="V427" s="7"/>
      <c r="W427" s="7"/>
      <c r="X427" s="7"/>
      <c r="Y427" s="7"/>
    </row>
    <row r="428" spans="3:25" ht="19.5" customHeight="1">
      <c r="C428" s="7"/>
      <c r="D428" s="7"/>
      <c r="E428" s="7"/>
      <c r="F428" s="7"/>
      <c r="G428" s="7"/>
      <c r="H428" s="7"/>
      <c r="I428" s="7"/>
      <c r="J428" s="7"/>
      <c r="K428" s="7"/>
      <c r="L428" s="7"/>
      <c r="M428" s="7"/>
      <c r="N428" s="7"/>
      <c r="O428" s="7"/>
      <c r="P428" s="7"/>
      <c r="Q428" s="7"/>
      <c r="R428" s="7"/>
      <c r="S428" s="7"/>
      <c r="T428" s="7"/>
      <c r="U428" s="7"/>
      <c r="V428" s="7"/>
      <c r="W428" s="7"/>
      <c r="X428" s="7"/>
      <c r="Y428" s="7"/>
    </row>
    <row r="429" spans="3:25" ht="19.5" customHeight="1">
      <c r="C429" s="7"/>
      <c r="D429" s="7"/>
      <c r="E429" s="7"/>
      <c r="F429" s="7"/>
      <c r="G429" s="7"/>
      <c r="H429" s="7"/>
      <c r="I429" s="7"/>
      <c r="J429" s="7"/>
      <c r="K429" s="7"/>
      <c r="L429" s="7"/>
      <c r="M429" s="7"/>
      <c r="N429" s="7"/>
      <c r="O429" s="7"/>
      <c r="P429" s="7"/>
      <c r="Q429" s="7"/>
      <c r="R429" s="7"/>
      <c r="S429" s="7"/>
      <c r="T429" s="7"/>
      <c r="U429" s="7"/>
      <c r="V429" s="7"/>
      <c r="W429" s="7"/>
      <c r="X429" s="7"/>
      <c r="Y429" s="7"/>
    </row>
    <row r="430" spans="3:25" ht="19.5" customHeight="1">
      <c r="C430" s="7"/>
      <c r="D430" s="7"/>
      <c r="E430" s="7"/>
      <c r="F430" s="7"/>
      <c r="G430" s="7"/>
      <c r="H430" s="7"/>
      <c r="I430" s="7"/>
      <c r="J430" s="7"/>
      <c r="K430" s="7"/>
      <c r="L430" s="7"/>
      <c r="M430" s="7"/>
      <c r="N430" s="7"/>
      <c r="O430" s="7"/>
      <c r="P430" s="7"/>
      <c r="Q430" s="7"/>
      <c r="R430" s="7"/>
      <c r="S430" s="7"/>
      <c r="T430" s="7"/>
      <c r="U430" s="7"/>
      <c r="V430" s="7"/>
      <c r="W430" s="7"/>
      <c r="X430" s="7"/>
      <c r="Y430" s="7"/>
    </row>
    <row r="431" spans="3:25" ht="19.5" customHeight="1">
      <c r="C431" s="7"/>
      <c r="D431" s="7"/>
      <c r="E431" s="7"/>
      <c r="F431" s="7"/>
      <c r="G431" s="7"/>
      <c r="H431" s="7"/>
      <c r="I431" s="7"/>
      <c r="J431" s="7"/>
      <c r="K431" s="7"/>
      <c r="L431" s="7"/>
      <c r="M431" s="7"/>
      <c r="N431" s="7"/>
      <c r="O431" s="7"/>
      <c r="P431" s="7"/>
      <c r="Q431" s="7"/>
      <c r="R431" s="7"/>
      <c r="S431" s="7"/>
      <c r="T431" s="7"/>
      <c r="U431" s="7"/>
      <c r="V431" s="7"/>
      <c r="W431" s="7"/>
      <c r="X431" s="7"/>
      <c r="Y431" s="7"/>
    </row>
    <row r="432" spans="3:25" ht="19.5" customHeight="1">
      <c r="C432" s="7"/>
      <c r="D432" s="7"/>
      <c r="E432" s="7"/>
      <c r="F432" s="7"/>
      <c r="G432" s="7"/>
      <c r="H432" s="7"/>
      <c r="I432" s="7"/>
      <c r="J432" s="7"/>
      <c r="K432" s="7"/>
      <c r="L432" s="7"/>
      <c r="M432" s="7"/>
      <c r="N432" s="7"/>
      <c r="O432" s="7"/>
      <c r="P432" s="7"/>
      <c r="Q432" s="7"/>
      <c r="R432" s="7"/>
      <c r="S432" s="7"/>
      <c r="T432" s="7"/>
      <c r="U432" s="7"/>
      <c r="V432" s="7"/>
      <c r="W432" s="7"/>
      <c r="X432" s="7"/>
      <c r="Y432" s="7"/>
    </row>
    <row r="433" spans="3:25" ht="19.5" customHeight="1">
      <c r="C433" s="7"/>
      <c r="D433" s="7"/>
      <c r="E433" s="7"/>
      <c r="F433" s="7"/>
      <c r="G433" s="7"/>
      <c r="H433" s="7"/>
      <c r="I433" s="7"/>
      <c r="J433" s="7"/>
      <c r="K433" s="7"/>
      <c r="L433" s="7"/>
      <c r="M433" s="7"/>
      <c r="N433" s="7"/>
      <c r="O433" s="7"/>
      <c r="P433" s="7"/>
      <c r="Q433" s="7"/>
      <c r="R433" s="7"/>
      <c r="S433" s="7"/>
      <c r="T433" s="7"/>
      <c r="U433" s="7"/>
      <c r="V433" s="7"/>
      <c r="W433" s="7"/>
      <c r="X433" s="7"/>
      <c r="Y433" s="7"/>
    </row>
    <row r="434" spans="3:25" ht="19.5" customHeight="1">
      <c r="C434" s="7"/>
      <c r="D434" s="7"/>
      <c r="E434" s="7"/>
      <c r="F434" s="7"/>
      <c r="G434" s="7"/>
      <c r="H434" s="7"/>
      <c r="I434" s="7"/>
      <c r="J434" s="7"/>
      <c r="K434" s="7"/>
      <c r="L434" s="7"/>
      <c r="M434" s="7"/>
      <c r="N434" s="7"/>
      <c r="O434" s="7"/>
      <c r="P434" s="7"/>
      <c r="Q434" s="7"/>
      <c r="R434" s="7"/>
      <c r="S434" s="7"/>
      <c r="T434" s="7"/>
      <c r="U434" s="7"/>
      <c r="V434" s="7"/>
      <c r="W434" s="7"/>
      <c r="X434" s="7"/>
      <c r="Y434" s="7"/>
    </row>
    <row r="435" spans="3:25" ht="19.5" customHeight="1">
      <c r="C435" s="7"/>
      <c r="D435" s="7"/>
      <c r="E435" s="7"/>
      <c r="F435" s="7"/>
      <c r="G435" s="7"/>
      <c r="H435" s="7"/>
      <c r="I435" s="7"/>
      <c r="J435" s="7"/>
      <c r="K435" s="7"/>
      <c r="L435" s="7"/>
      <c r="M435" s="7"/>
      <c r="N435" s="7"/>
      <c r="O435" s="7"/>
      <c r="P435" s="7"/>
      <c r="Q435" s="7"/>
      <c r="R435" s="7"/>
      <c r="S435" s="7"/>
      <c r="T435" s="7"/>
      <c r="U435" s="7"/>
      <c r="V435" s="7"/>
      <c r="W435" s="7"/>
      <c r="X435" s="7"/>
      <c r="Y435" s="7"/>
    </row>
    <row r="436" spans="3:25" ht="19.5" customHeight="1">
      <c r="C436" s="7"/>
      <c r="D436" s="7"/>
      <c r="E436" s="7"/>
      <c r="F436" s="7"/>
      <c r="G436" s="7"/>
      <c r="H436" s="7"/>
      <c r="I436" s="7"/>
      <c r="J436" s="7"/>
      <c r="K436" s="7"/>
      <c r="L436" s="7"/>
      <c r="M436" s="7"/>
      <c r="N436" s="7"/>
      <c r="O436" s="7"/>
      <c r="P436" s="7"/>
      <c r="Q436" s="7"/>
      <c r="R436" s="7"/>
      <c r="S436" s="7"/>
      <c r="T436" s="7"/>
      <c r="U436" s="7"/>
      <c r="V436" s="7"/>
      <c r="W436" s="7"/>
      <c r="X436" s="7"/>
      <c r="Y436" s="7"/>
    </row>
    <row r="437" spans="3:25" ht="19.5" customHeight="1">
      <c r="C437" s="7"/>
      <c r="D437" s="7"/>
      <c r="E437" s="7"/>
      <c r="F437" s="7"/>
      <c r="G437" s="7"/>
      <c r="H437" s="7"/>
      <c r="I437" s="7"/>
      <c r="J437" s="7"/>
      <c r="K437" s="7"/>
      <c r="L437" s="7"/>
      <c r="M437" s="7"/>
      <c r="N437" s="7"/>
      <c r="O437" s="7"/>
      <c r="P437" s="7"/>
      <c r="Q437" s="7"/>
      <c r="R437" s="7"/>
      <c r="S437" s="7"/>
      <c r="T437" s="7"/>
      <c r="U437" s="7"/>
      <c r="V437" s="7"/>
      <c r="W437" s="7"/>
      <c r="X437" s="7"/>
      <c r="Y437" s="7"/>
    </row>
    <row r="438" spans="3:25" ht="19.5" customHeight="1">
      <c r="C438" s="7"/>
      <c r="D438" s="7"/>
      <c r="E438" s="7"/>
      <c r="F438" s="7"/>
      <c r="G438" s="7"/>
      <c r="H438" s="7"/>
      <c r="I438" s="7"/>
      <c r="J438" s="7"/>
      <c r="K438" s="7"/>
      <c r="L438" s="7"/>
      <c r="M438" s="7"/>
      <c r="N438" s="7"/>
      <c r="O438" s="7"/>
      <c r="P438" s="7"/>
      <c r="Q438" s="7"/>
      <c r="R438" s="7"/>
      <c r="S438" s="7"/>
      <c r="T438" s="7"/>
      <c r="U438" s="7"/>
      <c r="V438" s="7"/>
      <c r="W438" s="7"/>
      <c r="X438" s="7"/>
      <c r="Y438" s="7"/>
    </row>
    <row r="439" spans="3:25" ht="19.5" customHeight="1">
      <c r="C439" s="7"/>
      <c r="D439" s="7"/>
      <c r="E439" s="7"/>
      <c r="F439" s="7"/>
      <c r="G439" s="7"/>
      <c r="H439" s="7"/>
      <c r="I439" s="7"/>
      <c r="J439" s="7"/>
      <c r="K439" s="7"/>
      <c r="L439" s="7"/>
      <c r="M439" s="7"/>
      <c r="N439" s="7"/>
      <c r="O439" s="7"/>
      <c r="P439" s="7"/>
      <c r="Q439" s="7"/>
      <c r="R439" s="7"/>
      <c r="S439" s="7"/>
      <c r="T439" s="7"/>
      <c r="U439" s="7"/>
      <c r="V439" s="7"/>
      <c r="W439" s="7"/>
      <c r="X439" s="7"/>
      <c r="Y439" s="7"/>
    </row>
    <row r="440" spans="3:25" ht="19.5" customHeight="1">
      <c r="C440" s="7"/>
      <c r="D440" s="7"/>
      <c r="E440" s="7"/>
      <c r="F440" s="7"/>
      <c r="G440" s="7"/>
      <c r="H440" s="7"/>
      <c r="I440" s="7"/>
      <c r="J440" s="7"/>
      <c r="K440" s="7"/>
      <c r="L440" s="7"/>
      <c r="M440" s="7"/>
      <c r="N440" s="7"/>
      <c r="O440" s="7"/>
      <c r="P440" s="7"/>
      <c r="Q440" s="7"/>
      <c r="R440" s="7"/>
      <c r="S440" s="7"/>
      <c r="T440" s="7"/>
      <c r="U440" s="7"/>
      <c r="V440" s="7"/>
      <c r="W440" s="7"/>
      <c r="X440" s="7"/>
      <c r="Y440" s="7"/>
    </row>
    <row r="441" spans="3:25" ht="19.5" customHeight="1">
      <c r="C441" s="7"/>
      <c r="D441" s="7"/>
      <c r="E441" s="7"/>
      <c r="F441" s="7"/>
      <c r="G441" s="7"/>
      <c r="H441" s="7"/>
      <c r="I441" s="7"/>
      <c r="J441" s="7"/>
      <c r="K441" s="7"/>
      <c r="L441" s="7"/>
      <c r="M441" s="7"/>
      <c r="N441" s="7"/>
      <c r="O441" s="7"/>
      <c r="P441" s="7"/>
      <c r="Q441" s="7"/>
      <c r="R441" s="7"/>
      <c r="S441" s="7"/>
      <c r="T441" s="7"/>
      <c r="U441" s="7"/>
      <c r="V441" s="7"/>
      <c r="W441" s="7"/>
      <c r="X441" s="7"/>
      <c r="Y441" s="7"/>
    </row>
    <row r="442" spans="3:25" ht="19.5" customHeight="1">
      <c r="C442" s="7"/>
      <c r="D442" s="7"/>
      <c r="E442" s="7"/>
      <c r="F442" s="7"/>
      <c r="G442" s="7"/>
      <c r="H442" s="7"/>
      <c r="I442" s="7"/>
      <c r="J442" s="7"/>
      <c r="K442" s="7"/>
      <c r="L442" s="7"/>
      <c r="M442" s="7"/>
      <c r="N442" s="7"/>
      <c r="O442" s="7"/>
      <c r="P442" s="7"/>
      <c r="Q442" s="7"/>
      <c r="R442" s="7"/>
      <c r="S442" s="7"/>
      <c r="T442" s="7"/>
      <c r="U442" s="7"/>
      <c r="V442" s="7"/>
      <c r="W442" s="7"/>
      <c r="X442" s="7"/>
      <c r="Y442" s="7"/>
    </row>
    <row r="443" spans="3:25" ht="19.5" customHeight="1">
      <c r="C443" s="7"/>
      <c r="D443" s="7"/>
      <c r="E443" s="7"/>
      <c r="F443" s="7"/>
      <c r="G443" s="7"/>
      <c r="H443" s="7"/>
      <c r="I443" s="7"/>
      <c r="J443" s="7"/>
      <c r="K443" s="7"/>
      <c r="L443" s="7"/>
      <c r="M443" s="7"/>
      <c r="N443" s="7"/>
      <c r="O443" s="7"/>
      <c r="P443" s="7"/>
      <c r="Q443" s="7"/>
      <c r="R443" s="7"/>
      <c r="S443" s="7"/>
      <c r="T443" s="7"/>
      <c r="U443" s="7"/>
      <c r="V443" s="7"/>
      <c r="W443" s="7"/>
      <c r="X443" s="7"/>
      <c r="Y443" s="7"/>
    </row>
    <row r="444" spans="3:25" ht="19.5" customHeight="1">
      <c r="C444" s="7"/>
      <c r="D444" s="7"/>
      <c r="E444" s="7"/>
      <c r="F444" s="7"/>
      <c r="G444" s="7"/>
      <c r="H444" s="7"/>
      <c r="I444" s="7"/>
      <c r="J444" s="7"/>
      <c r="K444" s="7"/>
      <c r="L444" s="7"/>
      <c r="M444" s="7"/>
      <c r="N444" s="7"/>
      <c r="O444" s="7"/>
      <c r="P444" s="7"/>
      <c r="Q444" s="7"/>
      <c r="R444" s="7"/>
      <c r="S444" s="7"/>
      <c r="T444" s="7"/>
      <c r="U444" s="7"/>
      <c r="V444" s="7"/>
      <c r="W444" s="7"/>
      <c r="X444" s="7"/>
      <c r="Y444" s="7"/>
    </row>
    <row r="445" spans="3:25" ht="19.5" customHeight="1">
      <c r="C445" s="7"/>
      <c r="D445" s="7"/>
      <c r="E445" s="7"/>
      <c r="F445" s="7"/>
      <c r="G445" s="7"/>
      <c r="H445" s="7"/>
      <c r="I445" s="7"/>
      <c r="J445" s="7"/>
      <c r="K445" s="7"/>
      <c r="L445" s="7"/>
      <c r="M445" s="7"/>
      <c r="N445" s="7"/>
      <c r="O445" s="7"/>
      <c r="P445" s="7"/>
      <c r="Q445" s="7"/>
      <c r="R445" s="7"/>
      <c r="S445" s="7"/>
      <c r="T445" s="7"/>
      <c r="U445" s="7"/>
      <c r="V445" s="7"/>
      <c r="W445" s="7"/>
      <c r="X445" s="7"/>
      <c r="Y445" s="7"/>
    </row>
    <row r="446" spans="3:25" ht="19.5" customHeight="1">
      <c r="C446" s="7"/>
      <c r="D446" s="7"/>
      <c r="E446" s="7"/>
      <c r="F446" s="7"/>
      <c r="G446" s="7"/>
      <c r="H446" s="7"/>
      <c r="I446" s="7"/>
      <c r="J446" s="7"/>
      <c r="K446" s="7"/>
      <c r="L446" s="7"/>
      <c r="M446" s="7"/>
      <c r="N446" s="7"/>
      <c r="O446" s="7"/>
      <c r="P446" s="7"/>
      <c r="Q446" s="7"/>
      <c r="R446" s="7"/>
      <c r="S446" s="7"/>
      <c r="T446" s="7"/>
      <c r="U446" s="7"/>
      <c r="V446" s="7"/>
      <c r="W446" s="7"/>
      <c r="X446" s="7"/>
      <c r="Y446" s="7"/>
    </row>
    <row r="447" spans="3:25" ht="19.5" customHeight="1">
      <c r="C447" s="7"/>
      <c r="D447" s="7"/>
      <c r="E447" s="7"/>
      <c r="F447" s="7"/>
      <c r="G447" s="7"/>
      <c r="H447" s="7"/>
      <c r="I447" s="7"/>
      <c r="J447" s="7"/>
      <c r="K447" s="7"/>
      <c r="L447" s="7"/>
      <c r="M447" s="7"/>
      <c r="N447" s="7"/>
      <c r="O447" s="7"/>
      <c r="P447" s="7"/>
      <c r="Q447" s="7"/>
      <c r="R447" s="7"/>
      <c r="S447" s="7"/>
      <c r="T447" s="7"/>
      <c r="U447" s="7"/>
      <c r="V447" s="7"/>
      <c r="W447" s="7"/>
      <c r="X447" s="7"/>
      <c r="Y447" s="7"/>
    </row>
    <row r="448" spans="3:25" ht="19.5" customHeight="1">
      <c r="C448" s="7"/>
      <c r="D448" s="7"/>
      <c r="E448" s="7"/>
      <c r="F448" s="7"/>
      <c r="G448" s="7"/>
      <c r="H448" s="7"/>
      <c r="I448" s="7"/>
      <c r="J448" s="7"/>
      <c r="K448" s="7"/>
      <c r="L448" s="7"/>
      <c r="M448" s="7"/>
      <c r="N448" s="7"/>
      <c r="O448" s="7"/>
      <c r="P448" s="7"/>
      <c r="Q448" s="7"/>
      <c r="R448" s="7"/>
      <c r="S448" s="7"/>
      <c r="T448" s="7"/>
      <c r="U448" s="7"/>
      <c r="V448" s="7"/>
      <c r="W448" s="7"/>
      <c r="X448" s="7"/>
      <c r="Y448" s="7"/>
    </row>
    <row r="449" spans="3:25" ht="19.5" customHeight="1">
      <c r="C449" s="7"/>
      <c r="D449" s="7"/>
      <c r="E449" s="7"/>
      <c r="F449" s="7"/>
      <c r="G449" s="7"/>
      <c r="H449" s="7"/>
      <c r="I449" s="7"/>
      <c r="J449" s="7"/>
      <c r="K449" s="7"/>
      <c r="L449" s="7"/>
      <c r="M449" s="7"/>
      <c r="N449" s="7"/>
      <c r="O449" s="7"/>
      <c r="P449" s="7"/>
      <c r="Q449" s="7"/>
      <c r="R449" s="7"/>
      <c r="S449" s="7"/>
      <c r="T449" s="7"/>
      <c r="U449" s="7"/>
      <c r="V449" s="7"/>
      <c r="W449" s="7"/>
      <c r="X449" s="7"/>
      <c r="Y449" s="7"/>
    </row>
    <row r="450" spans="3:25" ht="19.5" customHeight="1">
      <c r="C450" s="7"/>
      <c r="D450" s="7"/>
      <c r="E450" s="7"/>
      <c r="F450" s="7"/>
      <c r="G450" s="7"/>
      <c r="H450" s="7"/>
      <c r="I450" s="7"/>
      <c r="J450" s="7"/>
      <c r="K450" s="7"/>
      <c r="L450" s="7"/>
      <c r="M450" s="7"/>
      <c r="N450" s="7"/>
      <c r="O450" s="7"/>
      <c r="P450" s="7"/>
      <c r="Q450" s="7"/>
      <c r="R450" s="7"/>
      <c r="S450" s="7"/>
      <c r="T450" s="7"/>
      <c r="U450" s="7"/>
      <c r="V450" s="7"/>
      <c r="W450" s="7"/>
      <c r="X450" s="7"/>
      <c r="Y450" s="7"/>
    </row>
    <row r="451" spans="3:25" ht="19.5" customHeight="1">
      <c r="C451" s="7"/>
      <c r="D451" s="7"/>
      <c r="E451" s="7"/>
      <c r="F451" s="7"/>
      <c r="G451" s="7"/>
      <c r="H451" s="7"/>
      <c r="I451" s="7"/>
      <c r="J451" s="7"/>
      <c r="K451" s="7"/>
      <c r="L451" s="7"/>
      <c r="M451" s="7"/>
      <c r="N451" s="7"/>
      <c r="O451" s="7"/>
      <c r="P451" s="7"/>
      <c r="Q451" s="7"/>
      <c r="R451" s="7"/>
      <c r="S451" s="7"/>
      <c r="T451" s="7"/>
      <c r="U451" s="7"/>
      <c r="V451" s="7"/>
      <c r="W451" s="7"/>
      <c r="X451" s="7"/>
      <c r="Y451" s="7"/>
    </row>
    <row r="452" spans="3:25" ht="19.5" customHeight="1">
      <c r="C452" s="7"/>
      <c r="D452" s="7"/>
      <c r="E452" s="7"/>
      <c r="F452" s="7"/>
      <c r="G452" s="7"/>
      <c r="H452" s="7"/>
      <c r="I452" s="7"/>
      <c r="J452" s="7"/>
      <c r="K452" s="7"/>
      <c r="L452" s="7"/>
      <c r="M452" s="7"/>
      <c r="N452" s="7"/>
      <c r="O452" s="7"/>
      <c r="P452" s="7"/>
      <c r="Q452" s="7"/>
      <c r="R452" s="7"/>
      <c r="S452" s="7"/>
      <c r="T452" s="7"/>
      <c r="U452" s="7"/>
      <c r="V452" s="7"/>
      <c r="W452" s="7"/>
      <c r="X452" s="7"/>
      <c r="Y452" s="7"/>
    </row>
    <row r="453" spans="3:25" ht="19.5" customHeight="1">
      <c r="C453" s="7"/>
      <c r="D453" s="7"/>
      <c r="E453" s="7"/>
      <c r="F453" s="7"/>
      <c r="G453" s="7"/>
      <c r="H453" s="7"/>
      <c r="I453" s="7"/>
      <c r="J453" s="7"/>
      <c r="K453" s="7"/>
      <c r="L453" s="7"/>
      <c r="M453" s="7"/>
      <c r="N453" s="7"/>
      <c r="O453" s="7"/>
      <c r="P453" s="7"/>
      <c r="Q453" s="7"/>
      <c r="R453" s="7"/>
      <c r="S453" s="7"/>
      <c r="T453" s="7"/>
      <c r="U453" s="7"/>
      <c r="V453" s="7"/>
      <c r="W453" s="7"/>
      <c r="X453" s="7"/>
      <c r="Y453" s="7"/>
    </row>
    <row r="454" spans="3:25" ht="19.5" customHeight="1">
      <c r="C454" s="7"/>
      <c r="D454" s="7"/>
      <c r="E454" s="7"/>
      <c r="F454" s="7"/>
      <c r="G454" s="7"/>
      <c r="H454" s="7"/>
      <c r="I454" s="7"/>
      <c r="J454" s="7"/>
      <c r="K454" s="7"/>
      <c r="L454" s="7"/>
      <c r="M454" s="7"/>
      <c r="N454" s="7"/>
      <c r="O454" s="7"/>
      <c r="P454" s="7"/>
      <c r="Q454" s="7"/>
      <c r="R454" s="7"/>
      <c r="S454" s="7"/>
      <c r="T454" s="7"/>
      <c r="U454" s="7"/>
      <c r="V454" s="7"/>
      <c r="W454" s="7"/>
      <c r="X454" s="7"/>
      <c r="Y454" s="7"/>
    </row>
    <row r="455" spans="3:25" ht="19.5" customHeight="1">
      <c r="C455" s="7"/>
      <c r="D455" s="7"/>
      <c r="E455" s="7"/>
      <c r="F455" s="7"/>
      <c r="G455" s="7"/>
      <c r="H455" s="7"/>
      <c r="I455" s="7"/>
      <c r="J455" s="7"/>
      <c r="K455" s="7"/>
      <c r="L455" s="7"/>
      <c r="M455" s="7"/>
      <c r="N455" s="7"/>
      <c r="O455" s="7"/>
      <c r="P455" s="7"/>
      <c r="Q455" s="7"/>
      <c r="R455" s="7"/>
      <c r="S455" s="7"/>
      <c r="T455" s="7"/>
      <c r="U455" s="7"/>
      <c r="V455" s="7"/>
      <c r="W455" s="7"/>
      <c r="X455" s="7"/>
      <c r="Y455" s="7"/>
    </row>
    <row r="456" spans="3:25" ht="19.5" customHeight="1">
      <c r="C456" s="7"/>
      <c r="D456" s="7"/>
      <c r="E456" s="7"/>
      <c r="F456" s="7"/>
      <c r="G456" s="7"/>
      <c r="H456" s="7"/>
      <c r="I456" s="7"/>
      <c r="J456" s="7"/>
      <c r="K456" s="7"/>
      <c r="L456" s="7"/>
      <c r="M456" s="7"/>
      <c r="N456" s="7"/>
      <c r="O456" s="7"/>
      <c r="P456" s="7"/>
      <c r="Q456" s="7"/>
      <c r="R456" s="7"/>
      <c r="S456" s="7"/>
      <c r="T456" s="7"/>
      <c r="U456" s="7"/>
      <c r="V456" s="7"/>
      <c r="W456" s="7"/>
      <c r="X456" s="7"/>
      <c r="Y456" s="7"/>
    </row>
    <row r="457" spans="3:25" ht="19.5" customHeight="1">
      <c r="C457" s="7"/>
      <c r="D457" s="7"/>
      <c r="E457" s="7"/>
      <c r="F457" s="7"/>
      <c r="G457" s="7"/>
      <c r="H457" s="7"/>
      <c r="I457" s="7"/>
      <c r="J457" s="7"/>
      <c r="K457" s="7"/>
      <c r="L457" s="7"/>
      <c r="M457" s="7"/>
      <c r="N457" s="7"/>
      <c r="O457" s="7"/>
      <c r="P457" s="7"/>
      <c r="Q457" s="7"/>
      <c r="R457" s="7"/>
      <c r="S457" s="7"/>
      <c r="T457" s="7"/>
      <c r="U457" s="7"/>
      <c r="V457" s="7"/>
      <c r="W457" s="7"/>
      <c r="X457" s="7"/>
      <c r="Y457" s="7"/>
    </row>
    <row r="458" spans="3:25" ht="19.5" customHeight="1">
      <c r="C458" s="7"/>
      <c r="D458" s="7"/>
      <c r="E458" s="7"/>
      <c r="F458" s="7"/>
      <c r="G458" s="7"/>
      <c r="H458" s="7"/>
      <c r="I458" s="7"/>
      <c r="J458" s="7"/>
      <c r="K458" s="7"/>
      <c r="L458" s="7"/>
      <c r="M458" s="7"/>
      <c r="N458" s="7"/>
      <c r="O458" s="7"/>
      <c r="P458" s="7"/>
      <c r="Q458" s="7"/>
      <c r="R458" s="7"/>
      <c r="S458" s="7"/>
      <c r="T458" s="7"/>
      <c r="U458" s="7"/>
      <c r="V458" s="7"/>
      <c r="W458" s="7"/>
      <c r="X458" s="7"/>
      <c r="Y458" s="7"/>
    </row>
    <row r="459" spans="3:25" ht="19.5" customHeight="1">
      <c r="C459" s="7"/>
      <c r="D459" s="7"/>
      <c r="E459" s="7"/>
      <c r="F459" s="7"/>
      <c r="G459" s="7"/>
      <c r="H459" s="7"/>
      <c r="I459" s="7"/>
      <c r="J459" s="7"/>
      <c r="K459" s="7"/>
      <c r="L459" s="7"/>
      <c r="M459" s="7"/>
      <c r="N459" s="7"/>
      <c r="O459" s="7"/>
      <c r="P459" s="7"/>
      <c r="Q459" s="7"/>
      <c r="R459" s="7"/>
      <c r="S459" s="7"/>
      <c r="T459" s="7"/>
      <c r="U459" s="7"/>
      <c r="V459" s="7"/>
      <c r="W459" s="7"/>
      <c r="X459" s="7"/>
      <c r="Y459" s="7"/>
    </row>
    <row r="460" spans="3:25" ht="19.5" customHeight="1">
      <c r="C460" s="7"/>
      <c r="D460" s="7"/>
      <c r="E460" s="7"/>
      <c r="F460" s="7"/>
      <c r="G460" s="7"/>
      <c r="H460" s="7"/>
      <c r="I460" s="7"/>
      <c r="J460" s="7"/>
      <c r="K460" s="7"/>
      <c r="L460" s="7"/>
      <c r="M460" s="7"/>
      <c r="N460" s="7"/>
      <c r="O460" s="7"/>
      <c r="P460" s="7"/>
      <c r="Q460" s="7"/>
      <c r="R460" s="7"/>
      <c r="S460" s="7"/>
      <c r="T460" s="7"/>
      <c r="U460" s="7"/>
      <c r="V460" s="7"/>
      <c r="W460" s="7"/>
      <c r="X460" s="7"/>
      <c r="Y460" s="7"/>
    </row>
    <row r="461" spans="3:25" ht="19.5" customHeight="1">
      <c r="C461" s="7"/>
      <c r="D461" s="7"/>
      <c r="E461" s="7"/>
      <c r="F461" s="7"/>
      <c r="G461" s="7"/>
      <c r="H461" s="7"/>
      <c r="I461" s="7"/>
      <c r="J461" s="7"/>
      <c r="K461" s="7"/>
      <c r="L461" s="7"/>
      <c r="M461" s="7"/>
      <c r="N461" s="7"/>
      <c r="O461" s="7"/>
      <c r="P461" s="7"/>
      <c r="Q461" s="7"/>
      <c r="R461" s="7"/>
      <c r="S461" s="7"/>
      <c r="T461" s="7"/>
      <c r="U461" s="7"/>
      <c r="V461" s="7"/>
      <c r="W461" s="7"/>
      <c r="X461" s="7"/>
      <c r="Y461" s="7"/>
    </row>
    <row r="462" spans="3:25" ht="19.5" customHeight="1">
      <c r="C462" s="7"/>
      <c r="D462" s="7"/>
      <c r="E462" s="7"/>
      <c r="F462" s="7"/>
      <c r="G462" s="7"/>
      <c r="H462" s="7"/>
      <c r="I462" s="7"/>
      <c r="J462" s="7"/>
      <c r="K462" s="7"/>
      <c r="L462" s="7"/>
      <c r="M462" s="7"/>
      <c r="N462" s="7"/>
      <c r="O462" s="7"/>
      <c r="P462" s="7"/>
      <c r="Q462" s="7"/>
      <c r="R462" s="7"/>
      <c r="S462" s="7"/>
      <c r="T462" s="7"/>
      <c r="U462" s="7"/>
      <c r="V462" s="7"/>
      <c r="W462" s="7"/>
      <c r="X462" s="7"/>
      <c r="Y462" s="7"/>
    </row>
    <row r="463" spans="3:25" ht="19.5" customHeight="1">
      <c r="C463" s="7"/>
      <c r="D463" s="7"/>
      <c r="E463" s="7"/>
      <c r="F463" s="7"/>
      <c r="G463" s="7"/>
      <c r="H463" s="7"/>
      <c r="I463" s="7"/>
      <c r="J463" s="7"/>
      <c r="K463" s="7"/>
      <c r="L463" s="7"/>
      <c r="M463" s="7"/>
      <c r="N463" s="7"/>
      <c r="O463" s="7"/>
      <c r="P463" s="7"/>
      <c r="Q463" s="7"/>
      <c r="R463" s="7"/>
      <c r="S463" s="7"/>
      <c r="T463" s="7"/>
      <c r="U463" s="7"/>
      <c r="V463" s="7"/>
      <c r="W463" s="7"/>
      <c r="X463" s="7"/>
      <c r="Y463" s="7"/>
    </row>
    <row r="464" spans="3:25" ht="19.5" customHeight="1">
      <c r="C464" s="7"/>
      <c r="D464" s="7"/>
      <c r="E464" s="7"/>
      <c r="F464" s="7"/>
      <c r="G464" s="7"/>
      <c r="H464" s="7"/>
      <c r="I464" s="7"/>
      <c r="J464" s="7"/>
      <c r="K464" s="7"/>
      <c r="L464" s="7"/>
      <c r="M464" s="7"/>
      <c r="N464" s="7"/>
      <c r="O464" s="7"/>
      <c r="P464" s="7"/>
      <c r="Q464" s="7"/>
      <c r="R464" s="7"/>
      <c r="S464" s="7"/>
      <c r="T464" s="7"/>
      <c r="U464" s="7"/>
      <c r="V464" s="7"/>
      <c r="W464" s="7"/>
      <c r="X464" s="7"/>
      <c r="Y464" s="7"/>
    </row>
    <row r="465" spans="3:25" ht="19.5" customHeight="1">
      <c r="C465" s="7"/>
      <c r="D465" s="7"/>
      <c r="E465" s="7"/>
      <c r="F465" s="7"/>
      <c r="G465" s="7"/>
      <c r="H465" s="7"/>
      <c r="I465" s="7"/>
      <c r="J465" s="7"/>
      <c r="K465" s="7"/>
      <c r="L465" s="7"/>
      <c r="M465" s="7"/>
      <c r="N465" s="7"/>
      <c r="O465" s="7"/>
      <c r="P465" s="7"/>
      <c r="Q465" s="7"/>
      <c r="R465" s="7"/>
      <c r="S465" s="7"/>
      <c r="T465" s="7"/>
      <c r="U465" s="7"/>
      <c r="V465" s="7"/>
      <c r="W465" s="7"/>
      <c r="X465" s="7"/>
      <c r="Y465" s="7"/>
    </row>
    <row r="466" spans="3:25" ht="19.5" customHeight="1">
      <c r="C466" s="7"/>
      <c r="D466" s="7"/>
      <c r="E466" s="7"/>
      <c r="F466" s="7"/>
      <c r="G466" s="7"/>
      <c r="H466" s="7"/>
      <c r="I466" s="7"/>
      <c r="J466" s="7"/>
      <c r="K466" s="7"/>
      <c r="L466" s="7"/>
      <c r="M466" s="7"/>
      <c r="N466" s="7"/>
      <c r="O466" s="7"/>
      <c r="P466" s="7"/>
      <c r="Q466" s="7"/>
      <c r="R466" s="7"/>
      <c r="S466" s="7"/>
      <c r="T466" s="7"/>
      <c r="U466" s="7"/>
      <c r="V466" s="7"/>
      <c r="W466" s="7"/>
      <c r="X466" s="7"/>
      <c r="Y466" s="7"/>
    </row>
    <row r="467" spans="3:25" ht="19.5" customHeight="1">
      <c r="C467" s="7"/>
      <c r="D467" s="7"/>
      <c r="E467" s="7"/>
      <c r="F467" s="7"/>
      <c r="G467" s="7"/>
      <c r="H467" s="7"/>
      <c r="I467" s="7"/>
      <c r="J467" s="7"/>
      <c r="K467" s="7"/>
      <c r="L467" s="7"/>
      <c r="M467" s="7"/>
      <c r="N467" s="7"/>
      <c r="O467" s="7"/>
      <c r="P467" s="7"/>
      <c r="Q467" s="7"/>
      <c r="R467" s="7"/>
      <c r="S467" s="7"/>
      <c r="T467" s="7"/>
      <c r="U467" s="7"/>
      <c r="V467" s="7"/>
      <c r="W467" s="7"/>
      <c r="X467" s="7"/>
      <c r="Y467" s="7"/>
    </row>
    <row r="468" spans="3:25" ht="19.5" customHeight="1">
      <c r="C468" s="7"/>
      <c r="D468" s="7"/>
      <c r="E468" s="7"/>
      <c r="F468" s="7"/>
      <c r="G468" s="7"/>
      <c r="H468" s="7"/>
      <c r="I468" s="7"/>
      <c r="J468" s="7"/>
      <c r="K468" s="7"/>
      <c r="L468" s="7"/>
      <c r="M468" s="7"/>
      <c r="N468" s="7"/>
      <c r="O468" s="7"/>
      <c r="P468" s="7"/>
      <c r="Q468" s="7"/>
      <c r="R468" s="7"/>
      <c r="S468" s="7"/>
      <c r="T468" s="7"/>
      <c r="U468" s="7"/>
      <c r="V468" s="7"/>
      <c r="W468" s="7"/>
      <c r="X468" s="7"/>
      <c r="Y468" s="7"/>
    </row>
    <row r="469" spans="3:25" ht="19.5" customHeight="1">
      <c r="C469" s="7"/>
      <c r="D469" s="7"/>
      <c r="E469" s="7"/>
      <c r="F469" s="7"/>
      <c r="G469" s="7"/>
      <c r="H469" s="7"/>
      <c r="I469" s="7"/>
      <c r="J469" s="7"/>
      <c r="K469" s="7"/>
      <c r="L469" s="7"/>
      <c r="M469" s="7"/>
      <c r="N469" s="7"/>
      <c r="O469" s="7"/>
      <c r="P469" s="7"/>
      <c r="Q469" s="7"/>
      <c r="R469" s="7"/>
      <c r="S469" s="7"/>
      <c r="T469" s="7"/>
      <c r="U469" s="7"/>
      <c r="V469" s="7"/>
      <c r="W469" s="7"/>
      <c r="X469" s="7"/>
      <c r="Y469" s="7"/>
    </row>
    <row r="470" spans="3:25" ht="19.5" customHeight="1">
      <c r="C470" s="7"/>
      <c r="D470" s="7"/>
      <c r="E470" s="7"/>
      <c r="F470" s="7"/>
      <c r="G470" s="7"/>
      <c r="H470" s="7"/>
      <c r="I470" s="7"/>
      <c r="J470" s="7"/>
      <c r="K470" s="7"/>
      <c r="L470" s="7"/>
      <c r="M470" s="7"/>
      <c r="N470" s="7"/>
      <c r="O470" s="7"/>
      <c r="P470" s="7"/>
      <c r="Q470" s="7"/>
      <c r="R470" s="7"/>
      <c r="S470" s="7"/>
      <c r="T470" s="7"/>
      <c r="U470" s="7"/>
      <c r="V470" s="7"/>
      <c r="W470" s="7"/>
      <c r="X470" s="7"/>
      <c r="Y470" s="7"/>
    </row>
    <row r="471" spans="3:25" ht="19.5" customHeight="1">
      <c r="C471" s="7"/>
      <c r="D471" s="7"/>
      <c r="E471" s="7"/>
      <c r="F471" s="7"/>
      <c r="G471" s="7"/>
      <c r="H471" s="7"/>
      <c r="I471" s="7"/>
      <c r="J471" s="7"/>
      <c r="K471" s="7"/>
      <c r="L471" s="7"/>
      <c r="M471" s="7"/>
      <c r="N471" s="7"/>
      <c r="O471" s="7"/>
      <c r="P471" s="7"/>
      <c r="Q471" s="7"/>
      <c r="R471" s="7"/>
      <c r="S471" s="7"/>
      <c r="T471" s="7"/>
      <c r="U471" s="7"/>
      <c r="V471" s="7"/>
      <c r="W471" s="7"/>
      <c r="X471" s="7"/>
      <c r="Y471" s="7"/>
    </row>
    <row r="472" spans="3:25" ht="19.5" customHeight="1">
      <c r="C472" s="7"/>
      <c r="D472" s="7"/>
      <c r="E472" s="7"/>
      <c r="F472" s="7"/>
      <c r="G472" s="7"/>
      <c r="H472" s="7"/>
      <c r="I472" s="7"/>
      <c r="J472" s="7"/>
      <c r="K472" s="7"/>
      <c r="L472" s="7"/>
      <c r="M472" s="7"/>
      <c r="N472" s="7"/>
      <c r="O472" s="7"/>
      <c r="P472" s="7"/>
      <c r="Q472" s="7"/>
      <c r="R472" s="7"/>
      <c r="S472" s="7"/>
      <c r="T472" s="7"/>
      <c r="U472" s="7"/>
      <c r="V472" s="7"/>
      <c r="W472" s="7"/>
      <c r="X472" s="7"/>
      <c r="Y472" s="7"/>
    </row>
    <row r="473" spans="3:25" ht="19.5" customHeight="1">
      <c r="C473" s="7"/>
      <c r="D473" s="7"/>
      <c r="E473" s="7"/>
      <c r="F473" s="7"/>
      <c r="G473" s="7"/>
      <c r="H473" s="7"/>
      <c r="I473" s="7"/>
      <c r="J473" s="7"/>
      <c r="K473" s="7"/>
      <c r="L473" s="7"/>
      <c r="M473" s="7"/>
      <c r="N473" s="7"/>
      <c r="O473" s="7"/>
      <c r="P473" s="7"/>
      <c r="Q473" s="7"/>
      <c r="R473" s="7"/>
      <c r="S473" s="7"/>
      <c r="T473" s="7"/>
      <c r="U473" s="7"/>
      <c r="V473" s="7"/>
      <c r="W473" s="7"/>
      <c r="X473" s="7"/>
      <c r="Y473" s="7"/>
    </row>
    <row r="474" spans="3:25" ht="19.5" customHeight="1">
      <c r="C474" s="7"/>
      <c r="D474" s="7"/>
      <c r="E474" s="7"/>
      <c r="F474" s="7"/>
      <c r="G474" s="7"/>
      <c r="H474" s="7"/>
      <c r="I474" s="7"/>
      <c r="J474" s="7"/>
      <c r="K474" s="7"/>
      <c r="L474" s="7"/>
      <c r="M474" s="7"/>
      <c r="N474" s="7"/>
      <c r="O474" s="7"/>
      <c r="P474" s="7"/>
      <c r="Q474" s="7"/>
      <c r="R474" s="7"/>
      <c r="S474" s="7"/>
      <c r="T474" s="7"/>
      <c r="U474" s="7"/>
      <c r="V474" s="7"/>
      <c r="W474" s="7"/>
      <c r="X474" s="7"/>
      <c r="Y474" s="7"/>
    </row>
    <row r="475" spans="3:25" ht="19.5" customHeight="1">
      <c r="C475" s="7"/>
      <c r="D475" s="7"/>
      <c r="E475" s="7"/>
      <c r="F475" s="7"/>
      <c r="G475" s="7"/>
      <c r="H475" s="7"/>
      <c r="I475" s="7"/>
      <c r="J475" s="7"/>
      <c r="K475" s="7"/>
      <c r="L475" s="7"/>
      <c r="M475" s="7"/>
      <c r="N475" s="7"/>
      <c r="O475" s="7"/>
      <c r="P475" s="7"/>
      <c r="Q475" s="7"/>
      <c r="R475" s="7"/>
      <c r="S475" s="7"/>
      <c r="T475" s="7"/>
      <c r="U475" s="7"/>
      <c r="V475" s="7"/>
      <c r="W475" s="7"/>
      <c r="X475" s="7"/>
      <c r="Y475" s="7"/>
    </row>
    <row r="476" spans="3:25" ht="19.5" customHeight="1">
      <c r="C476" s="7"/>
      <c r="D476" s="7"/>
      <c r="E476" s="7"/>
      <c r="F476" s="7"/>
      <c r="G476" s="7"/>
      <c r="H476" s="7"/>
      <c r="I476" s="7"/>
      <c r="J476" s="7"/>
      <c r="K476" s="7"/>
      <c r="L476" s="7"/>
      <c r="M476" s="7"/>
      <c r="N476" s="7"/>
      <c r="O476" s="7"/>
      <c r="P476" s="7"/>
      <c r="Q476" s="7"/>
      <c r="R476" s="7"/>
      <c r="S476" s="7"/>
      <c r="T476" s="7"/>
      <c r="U476" s="7"/>
      <c r="V476" s="7"/>
      <c r="W476" s="7"/>
      <c r="X476" s="7"/>
      <c r="Y476" s="7"/>
    </row>
    <row r="477" spans="3:25" ht="19.5" customHeight="1">
      <c r="C477" s="7"/>
      <c r="D477" s="7"/>
      <c r="E477" s="7"/>
      <c r="F477" s="7"/>
      <c r="G477" s="7"/>
      <c r="H477" s="7"/>
      <c r="I477" s="7"/>
      <c r="J477" s="7"/>
      <c r="K477" s="7"/>
      <c r="L477" s="7"/>
      <c r="M477" s="7"/>
      <c r="N477" s="7"/>
      <c r="O477" s="7"/>
      <c r="P477" s="7"/>
      <c r="Q477" s="7"/>
      <c r="R477" s="7"/>
      <c r="S477" s="7"/>
      <c r="T477" s="7"/>
      <c r="U477" s="7"/>
      <c r="V477" s="7"/>
      <c r="W477" s="7"/>
      <c r="X477" s="7"/>
      <c r="Y477" s="7"/>
    </row>
    <row r="478" spans="3:25" ht="19.5" customHeight="1">
      <c r="C478" s="7"/>
      <c r="D478" s="7"/>
      <c r="E478" s="7"/>
      <c r="F478" s="7"/>
      <c r="G478" s="7"/>
      <c r="H478" s="7"/>
      <c r="I478" s="7"/>
      <c r="J478" s="7"/>
      <c r="K478" s="7"/>
      <c r="L478" s="7"/>
      <c r="M478" s="7"/>
      <c r="N478" s="7"/>
      <c r="O478" s="7"/>
      <c r="P478" s="7"/>
      <c r="Q478" s="7"/>
      <c r="R478" s="7"/>
      <c r="S478" s="7"/>
      <c r="T478" s="7"/>
      <c r="U478" s="7"/>
      <c r="V478" s="7"/>
      <c r="W478" s="7"/>
      <c r="X478" s="7"/>
      <c r="Y478" s="7"/>
    </row>
    <row r="479" spans="3:25" ht="19.5" customHeight="1">
      <c r="C479" s="7"/>
      <c r="D479" s="7"/>
      <c r="E479" s="7"/>
      <c r="F479" s="7"/>
      <c r="G479" s="7"/>
      <c r="H479" s="7"/>
      <c r="I479" s="7"/>
      <c r="J479" s="7"/>
      <c r="K479" s="7"/>
      <c r="L479" s="7"/>
      <c r="M479" s="7"/>
      <c r="N479" s="7"/>
      <c r="O479" s="7"/>
      <c r="P479" s="7"/>
      <c r="Q479" s="7"/>
      <c r="R479" s="7"/>
      <c r="S479" s="7"/>
      <c r="T479" s="7"/>
      <c r="U479" s="7"/>
      <c r="V479" s="7"/>
      <c r="W479" s="7"/>
      <c r="X479" s="7"/>
      <c r="Y479" s="7"/>
    </row>
    <row r="480" spans="3:25" ht="19.5" customHeight="1">
      <c r="C480" s="7"/>
      <c r="D480" s="7"/>
      <c r="E480" s="7"/>
      <c r="F480" s="7"/>
      <c r="G480" s="7"/>
      <c r="H480" s="7"/>
      <c r="I480" s="7"/>
      <c r="J480" s="7"/>
      <c r="K480" s="7"/>
      <c r="L480" s="7"/>
      <c r="M480" s="7"/>
      <c r="N480" s="7"/>
      <c r="O480" s="7"/>
      <c r="P480" s="7"/>
      <c r="Q480" s="7"/>
      <c r="R480" s="7"/>
      <c r="S480" s="7"/>
      <c r="T480" s="7"/>
      <c r="U480" s="7"/>
      <c r="V480" s="7"/>
      <c r="W480" s="7"/>
      <c r="X480" s="7"/>
      <c r="Y480" s="7"/>
    </row>
    <row r="481" spans="3:25" ht="19.5" customHeight="1">
      <c r="C481" s="7"/>
      <c r="D481" s="7"/>
      <c r="E481" s="7"/>
      <c r="F481" s="7"/>
      <c r="G481" s="7"/>
      <c r="H481" s="7"/>
      <c r="I481" s="7"/>
      <c r="J481" s="7"/>
      <c r="K481" s="7"/>
      <c r="L481" s="7"/>
      <c r="M481" s="7"/>
      <c r="N481" s="7"/>
      <c r="O481" s="7"/>
      <c r="P481" s="7"/>
      <c r="Q481" s="7"/>
      <c r="R481" s="7"/>
      <c r="S481" s="7"/>
      <c r="T481" s="7"/>
      <c r="U481" s="7"/>
      <c r="V481" s="7"/>
      <c r="W481" s="7"/>
      <c r="X481" s="7"/>
      <c r="Y481" s="7"/>
    </row>
    <row r="482" spans="3:25" ht="19.5" customHeight="1">
      <c r="C482" s="7"/>
      <c r="D482" s="7"/>
      <c r="E482" s="7"/>
      <c r="F482" s="7"/>
      <c r="G482" s="7"/>
      <c r="H482" s="7"/>
      <c r="I482" s="7"/>
      <c r="J482" s="7"/>
      <c r="K482" s="7"/>
      <c r="L482" s="7"/>
      <c r="M482" s="7"/>
      <c r="N482" s="7"/>
      <c r="O482" s="7"/>
      <c r="P482" s="7"/>
      <c r="Q482" s="7"/>
      <c r="R482" s="7"/>
      <c r="S482" s="7"/>
      <c r="T482" s="7"/>
      <c r="U482" s="7"/>
      <c r="V482" s="7"/>
      <c r="W482" s="7"/>
      <c r="X482" s="7"/>
      <c r="Y482" s="7"/>
    </row>
    <row r="483" spans="3:25" ht="19.5" customHeight="1">
      <c r="C483" s="7"/>
      <c r="D483" s="7"/>
      <c r="E483" s="7"/>
      <c r="F483" s="7"/>
      <c r="G483" s="7"/>
      <c r="H483" s="7"/>
      <c r="I483" s="7"/>
      <c r="J483" s="7"/>
      <c r="K483" s="7"/>
      <c r="L483" s="7"/>
      <c r="M483" s="7"/>
      <c r="N483" s="7"/>
      <c r="O483" s="7"/>
      <c r="P483" s="7"/>
      <c r="Q483" s="7"/>
      <c r="R483" s="7"/>
      <c r="S483" s="7"/>
      <c r="T483" s="7"/>
      <c r="U483" s="7"/>
      <c r="V483" s="7"/>
      <c r="W483" s="7"/>
      <c r="X483" s="7"/>
      <c r="Y483" s="7"/>
    </row>
    <row r="484" spans="3:25" ht="19.5" customHeight="1">
      <c r="C484" s="7"/>
      <c r="D484" s="7"/>
      <c r="E484" s="7"/>
      <c r="F484" s="7"/>
      <c r="G484" s="7"/>
      <c r="H484" s="7"/>
      <c r="I484" s="7"/>
      <c r="J484" s="7"/>
      <c r="K484" s="7"/>
      <c r="L484" s="7"/>
      <c r="M484" s="7"/>
      <c r="N484" s="7"/>
      <c r="O484" s="7"/>
      <c r="P484" s="7"/>
      <c r="Q484" s="7"/>
      <c r="R484" s="7"/>
      <c r="S484" s="7"/>
      <c r="T484" s="7"/>
      <c r="U484" s="7"/>
      <c r="V484" s="7"/>
      <c r="W484" s="7"/>
      <c r="X484" s="7"/>
      <c r="Y484" s="7"/>
    </row>
    <row r="485" spans="3:25" ht="19.5" customHeight="1">
      <c r="C485" s="7"/>
      <c r="D485" s="7"/>
      <c r="E485" s="7"/>
      <c r="F485" s="7"/>
      <c r="G485" s="7"/>
      <c r="H485" s="7"/>
      <c r="I485" s="7"/>
      <c r="J485" s="7"/>
      <c r="K485" s="7"/>
      <c r="L485" s="7"/>
      <c r="M485" s="7"/>
      <c r="N485" s="7"/>
      <c r="O485" s="7"/>
      <c r="P485" s="7"/>
      <c r="Q485" s="7"/>
      <c r="R485" s="7"/>
      <c r="S485" s="7"/>
      <c r="T485" s="7"/>
      <c r="U485" s="7"/>
      <c r="V485" s="7"/>
      <c r="W485" s="7"/>
      <c r="X485" s="7"/>
      <c r="Y485" s="7"/>
    </row>
    <row r="486" spans="3:25" ht="19.5" customHeight="1">
      <c r="C486" s="7"/>
      <c r="D486" s="7"/>
      <c r="E486" s="7"/>
      <c r="F486" s="7"/>
      <c r="G486" s="7"/>
      <c r="H486" s="7"/>
      <c r="I486" s="7"/>
      <c r="J486" s="7"/>
      <c r="K486" s="7"/>
      <c r="L486" s="7"/>
      <c r="M486" s="7"/>
      <c r="N486" s="7"/>
      <c r="O486" s="7"/>
      <c r="P486" s="7"/>
      <c r="Q486" s="7"/>
      <c r="R486" s="7"/>
      <c r="S486" s="7"/>
      <c r="T486" s="7"/>
      <c r="U486" s="7"/>
      <c r="V486" s="7"/>
      <c r="W486" s="7"/>
      <c r="X486" s="7"/>
      <c r="Y486" s="7"/>
    </row>
    <row r="487" spans="3:25" ht="19.5" customHeight="1">
      <c r="C487" s="7"/>
      <c r="D487" s="7"/>
      <c r="E487" s="7"/>
      <c r="F487" s="7"/>
      <c r="G487" s="7"/>
      <c r="H487" s="7"/>
      <c r="I487" s="7"/>
      <c r="J487" s="7"/>
      <c r="K487" s="7"/>
      <c r="L487" s="7"/>
      <c r="M487" s="7"/>
      <c r="N487" s="7"/>
      <c r="O487" s="7"/>
      <c r="P487" s="7"/>
      <c r="Q487" s="7"/>
      <c r="R487" s="7"/>
      <c r="S487" s="7"/>
      <c r="T487" s="7"/>
      <c r="U487" s="7"/>
      <c r="V487" s="7"/>
      <c r="W487" s="7"/>
      <c r="X487" s="7"/>
      <c r="Y487" s="7"/>
    </row>
    <row r="488" spans="3:25" ht="19.5" customHeight="1">
      <c r="C488" s="7"/>
      <c r="D488" s="7"/>
      <c r="E488" s="7"/>
      <c r="F488" s="7"/>
      <c r="G488" s="7"/>
      <c r="H488" s="7"/>
      <c r="I488" s="7"/>
      <c r="J488" s="7"/>
      <c r="K488" s="7"/>
      <c r="L488" s="7"/>
      <c r="M488" s="7"/>
      <c r="N488" s="7"/>
      <c r="O488" s="7"/>
      <c r="P488" s="7"/>
      <c r="Q488" s="7"/>
      <c r="R488" s="7"/>
      <c r="S488" s="7"/>
      <c r="T488" s="7"/>
      <c r="U488" s="7"/>
      <c r="V488" s="7"/>
      <c r="W488" s="7"/>
      <c r="X488" s="7"/>
      <c r="Y488" s="7"/>
    </row>
    <row r="489" spans="3:25" ht="19.5" customHeight="1">
      <c r="C489" s="7"/>
      <c r="D489" s="7"/>
      <c r="E489" s="7"/>
      <c r="F489" s="7"/>
      <c r="G489" s="7"/>
      <c r="H489" s="7"/>
      <c r="I489" s="7"/>
      <c r="J489" s="7"/>
      <c r="K489" s="7"/>
      <c r="L489" s="7"/>
      <c r="M489" s="7"/>
      <c r="N489" s="7"/>
      <c r="O489" s="7"/>
      <c r="P489" s="7"/>
      <c r="Q489" s="7"/>
      <c r="R489" s="7"/>
      <c r="S489" s="7"/>
      <c r="T489" s="7"/>
      <c r="U489" s="7"/>
      <c r="V489" s="7"/>
      <c r="W489" s="7"/>
      <c r="X489" s="7"/>
      <c r="Y489" s="7"/>
    </row>
    <row r="490" spans="3:25" ht="19.5" customHeight="1">
      <c r="C490" s="7"/>
      <c r="D490" s="7"/>
      <c r="E490" s="7"/>
      <c r="F490" s="7"/>
      <c r="G490" s="7"/>
      <c r="H490" s="7"/>
      <c r="I490" s="7"/>
      <c r="J490" s="7"/>
      <c r="K490" s="7"/>
      <c r="L490" s="7"/>
      <c r="M490" s="7"/>
      <c r="N490" s="7"/>
      <c r="O490" s="7"/>
      <c r="P490" s="7"/>
      <c r="Q490" s="7"/>
      <c r="R490" s="7"/>
      <c r="S490" s="7"/>
      <c r="T490" s="7"/>
      <c r="U490" s="7"/>
      <c r="V490" s="7"/>
      <c r="W490" s="7"/>
      <c r="X490" s="7"/>
      <c r="Y490" s="7"/>
    </row>
    <row r="491" spans="3:25" ht="19.5" customHeight="1">
      <c r="C491" s="7"/>
      <c r="D491" s="7"/>
      <c r="E491" s="7"/>
      <c r="F491" s="7"/>
      <c r="G491" s="7"/>
      <c r="H491" s="7"/>
      <c r="I491" s="7"/>
      <c r="J491" s="7"/>
      <c r="K491" s="7"/>
      <c r="L491" s="7"/>
      <c r="M491" s="7"/>
      <c r="N491" s="7"/>
      <c r="O491" s="7"/>
      <c r="P491" s="7"/>
      <c r="Q491" s="7"/>
      <c r="R491" s="7"/>
      <c r="S491" s="7"/>
      <c r="T491" s="7"/>
      <c r="U491" s="7"/>
      <c r="V491" s="7"/>
      <c r="W491" s="7"/>
      <c r="X491" s="7"/>
      <c r="Y491" s="7"/>
    </row>
    <row r="492" spans="3:25" ht="19.5" customHeight="1">
      <c r="C492" s="7"/>
      <c r="D492" s="7"/>
      <c r="E492" s="7"/>
      <c r="F492" s="7"/>
      <c r="G492" s="7"/>
      <c r="H492" s="7"/>
      <c r="I492" s="7"/>
      <c r="J492" s="7"/>
      <c r="K492" s="7"/>
      <c r="L492" s="7"/>
      <c r="M492" s="7"/>
      <c r="N492" s="7"/>
      <c r="O492" s="7"/>
      <c r="P492" s="7"/>
      <c r="Q492" s="7"/>
      <c r="R492" s="7"/>
      <c r="S492" s="7"/>
      <c r="T492" s="7"/>
      <c r="U492" s="7"/>
      <c r="V492" s="7"/>
      <c r="W492" s="7"/>
      <c r="X492" s="7"/>
      <c r="Y492" s="7"/>
    </row>
    <row r="493" spans="3:25" ht="19.5" customHeight="1">
      <c r="C493" s="7"/>
      <c r="D493" s="7"/>
      <c r="E493" s="7"/>
      <c r="F493" s="7"/>
      <c r="G493" s="7"/>
      <c r="H493" s="7"/>
      <c r="I493" s="7"/>
      <c r="J493" s="7"/>
      <c r="K493" s="7"/>
      <c r="L493" s="7"/>
      <c r="M493" s="7"/>
      <c r="N493" s="7"/>
      <c r="O493" s="7"/>
      <c r="P493" s="7"/>
      <c r="Q493" s="7"/>
      <c r="R493" s="7"/>
      <c r="S493" s="7"/>
      <c r="T493" s="7"/>
      <c r="U493" s="7"/>
      <c r="V493" s="7"/>
      <c r="W493" s="7"/>
      <c r="X493" s="7"/>
      <c r="Y493" s="7"/>
    </row>
    <row r="494" spans="3:25" ht="19.5" customHeight="1">
      <c r="C494" s="7"/>
      <c r="D494" s="7"/>
      <c r="E494" s="7"/>
      <c r="F494" s="7"/>
      <c r="G494" s="7"/>
      <c r="H494" s="7"/>
      <c r="I494" s="7"/>
      <c r="J494" s="7"/>
      <c r="K494" s="7"/>
      <c r="L494" s="7"/>
      <c r="M494" s="7"/>
      <c r="N494" s="7"/>
      <c r="O494" s="7"/>
      <c r="P494" s="7"/>
      <c r="Q494" s="7"/>
      <c r="R494" s="7"/>
      <c r="S494" s="7"/>
      <c r="T494" s="7"/>
      <c r="U494" s="7"/>
      <c r="V494" s="7"/>
      <c r="W494" s="7"/>
      <c r="X494" s="7"/>
      <c r="Y494" s="7"/>
    </row>
    <row r="495" spans="3:25" ht="19.5" customHeight="1">
      <c r="C495" s="7"/>
      <c r="D495" s="7"/>
      <c r="E495" s="7"/>
      <c r="F495" s="7"/>
      <c r="G495" s="7"/>
      <c r="H495" s="7"/>
      <c r="I495" s="7"/>
      <c r="J495" s="7"/>
      <c r="K495" s="7"/>
      <c r="L495" s="7"/>
      <c r="M495" s="7"/>
      <c r="N495" s="7"/>
      <c r="O495" s="7"/>
      <c r="P495" s="7"/>
      <c r="Q495" s="7"/>
      <c r="R495" s="7"/>
      <c r="S495" s="7"/>
      <c r="T495" s="7"/>
      <c r="U495" s="7"/>
      <c r="V495" s="7"/>
      <c r="W495" s="7"/>
      <c r="X495" s="7"/>
      <c r="Y495" s="7"/>
    </row>
    <row r="496" spans="3:25" ht="19.5" customHeight="1">
      <c r="C496" s="7"/>
      <c r="D496" s="7"/>
      <c r="E496" s="7"/>
      <c r="F496" s="7"/>
      <c r="G496" s="7"/>
      <c r="H496" s="7"/>
      <c r="I496" s="7"/>
      <c r="J496" s="7"/>
      <c r="K496" s="7"/>
      <c r="L496" s="7"/>
      <c r="M496" s="7"/>
      <c r="N496" s="7"/>
      <c r="O496" s="7"/>
      <c r="P496" s="7"/>
      <c r="Q496" s="7"/>
      <c r="R496" s="7"/>
      <c r="S496" s="7"/>
      <c r="T496" s="7"/>
      <c r="U496" s="7"/>
      <c r="V496" s="7"/>
      <c r="W496" s="7"/>
      <c r="X496" s="7"/>
      <c r="Y496" s="7"/>
    </row>
    <row r="497" spans="3:25" ht="19.5" customHeight="1">
      <c r="C497" s="7"/>
      <c r="D497" s="7"/>
      <c r="E497" s="7"/>
      <c r="F497" s="7"/>
      <c r="G497" s="7"/>
      <c r="H497" s="7"/>
      <c r="I497" s="7"/>
      <c r="J497" s="7"/>
      <c r="K497" s="7"/>
      <c r="L497" s="7"/>
      <c r="M497" s="7"/>
      <c r="N497" s="7"/>
      <c r="O497" s="7"/>
      <c r="P497" s="7"/>
      <c r="Q497" s="7"/>
      <c r="R497" s="7"/>
      <c r="S497" s="7"/>
      <c r="T497" s="7"/>
      <c r="U497" s="7"/>
      <c r="V497" s="7"/>
      <c r="W497" s="7"/>
      <c r="X497" s="7"/>
      <c r="Y497" s="7"/>
    </row>
    <row r="498" spans="3:25" ht="19.5" customHeight="1">
      <c r="C498" s="7"/>
      <c r="D498" s="7"/>
      <c r="E498" s="7"/>
      <c r="F498" s="7"/>
      <c r="G498" s="7"/>
      <c r="H498" s="7"/>
      <c r="I498" s="7"/>
      <c r="J498" s="7"/>
      <c r="K498" s="7"/>
      <c r="L498" s="7"/>
      <c r="M498" s="7"/>
      <c r="N498" s="7"/>
      <c r="O498" s="7"/>
      <c r="P498" s="7"/>
      <c r="Q498" s="7"/>
      <c r="R498" s="7"/>
      <c r="S498" s="7"/>
      <c r="T498" s="7"/>
      <c r="U498" s="7"/>
      <c r="V498" s="7"/>
      <c r="W498" s="7"/>
      <c r="X498" s="7"/>
      <c r="Y498" s="7"/>
    </row>
    <row r="499" spans="3:25" ht="19.5" customHeight="1">
      <c r="C499" s="7"/>
      <c r="D499" s="7"/>
      <c r="E499" s="7"/>
      <c r="F499" s="7"/>
      <c r="G499" s="7"/>
      <c r="H499" s="7"/>
      <c r="I499" s="7"/>
      <c r="J499" s="7"/>
      <c r="K499" s="7"/>
      <c r="L499" s="7"/>
      <c r="M499" s="7"/>
      <c r="N499" s="7"/>
      <c r="O499" s="7"/>
      <c r="P499" s="7"/>
      <c r="Q499" s="7"/>
      <c r="R499" s="7"/>
      <c r="S499" s="7"/>
      <c r="T499" s="7"/>
      <c r="U499" s="7"/>
      <c r="V499" s="7"/>
      <c r="W499" s="7"/>
      <c r="X499" s="7"/>
      <c r="Y499" s="7"/>
    </row>
    <row r="500" spans="3:25" ht="19.5" customHeight="1">
      <c r="C500" s="7"/>
      <c r="D500" s="7"/>
      <c r="E500" s="7"/>
      <c r="F500" s="7"/>
      <c r="G500" s="7"/>
      <c r="H500" s="7"/>
      <c r="I500" s="7"/>
      <c r="J500" s="7"/>
      <c r="K500" s="7"/>
      <c r="L500" s="7"/>
      <c r="M500" s="7"/>
      <c r="N500" s="7"/>
      <c r="O500" s="7"/>
      <c r="P500" s="7"/>
      <c r="Q500" s="7"/>
      <c r="R500" s="7"/>
      <c r="S500" s="7"/>
      <c r="T500" s="7"/>
      <c r="U500" s="7"/>
      <c r="V500" s="7"/>
      <c r="W500" s="7"/>
      <c r="X500" s="7"/>
      <c r="Y500" s="7"/>
    </row>
    <row r="501" spans="3:25" ht="19.5" customHeight="1">
      <c r="C501" s="7"/>
      <c r="D501" s="7"/>
      <c r="E501" s="7"/>
      <c r="F501" s="7"/>
      <c r="G501" s="7"/>
      <c r="H501" s="7"/>
      <c r="I501" s="7"/>
      <c r="J501" s="7"/>
      <c r="K501" s="7"/>
      <c r="L501" s="7"/>
      <c r="M501" s="7"/>
      <c r="N501" s="7"/>
      <c r="O501" s="7"/>
      <c r="P501" s="7"/>
      <c r="Q501" s="7"/>
      <c r="R501" s="7"/>
      <c r="S501" s="7"/>
      <c r="T501" s="7"/>
      <c r="U501" s="7"/>
      <c r="V501" s="7"/>
      <c r="W501" s="7"/>
      <c r="X501" s="7"/>
      <c r="Y501" s="7"/>
    </row>
    <row r="502" spans="3:25" ht="19.5" customHeight="1">
      <c r="C502" s="7"/>
      <c r="D502" s="7"/>
      <c r="E502" s="7"/>
      <c r="F502" s="7"/>
      <c r="G502" s="7"/>
      <c r="H502" s="7"/>
      <c r="I502" s="7"/>
      <c r="J502" s="7"/>
      <c r="K502" s="7"/>
      <c r="L502" s="7"/>
      <c r="M502" s="7"/>
      <c r="N502" s="7"/>
      <c r="O502" s="7"/>
      <c r="P502" s="7"/>
      <c r="Q502" s="7"/>
      <c r="R502" s="7"/>
      <c r="S502" s="7"/>
      <c r="T502" s="7"/>
      <c r="U502" s="7"/>
      <c r="V502" s="7"/>
      <c r="W502" s="7"/>
      <c r="X502" s="7"/>
      <c r="Y502" s="7"/>
    </row>
    <row r="503" spans="3:25" ht="19.5" customHeight="1">
      <c r="C503" s="7"/>
      <c r="D503" s="7"/>
      <c r="E503" s="7"/>
      <c r="F503" s="7"/>
      <c r="G503" s="7"/>
      <c r="H503" s="7"/>
      <c r="I503" s="7"/>
      <c r="J503" s="7"/>
      <c r="K503" s="7"/>
      <c r="L503" s="7"/>
      <c r="M503" s="7"/>
      <c r="N503" s="7"/>
      <c r="O503" s="7"/>
      <c r="P503" s="7"/>
      <c r="Q503" s="7"/>
      <c r="R503" s="7"/>
      <c r="S503" s="7"/>
      <c r="T503" s="7"/>
      <c r="U503" s="7"/>
      <c r="V503" s="7"/>
      <c r="W503" s="7"/>
      <c r="X503" s="7"/>
      <c r="Y503" s="7"/>
    </row>
    <row r="504" spans="3:25" ht="19.5" customHeight="1">
      <c r="C504" s="7"/>
      <c r="D504" s="7"/>
      <c r="E504" s="7"/>
      <c r="F504" s="7"/>
      <c r="G504" s="7"/>
      <c r="H504" s="7"/>
      <c r="I504" s="7"/>
      <c r="J504" s="7"/>
      <c r="K504" s="7"/>
      <c r="L504" s="7"/>
      <c r="M504" s="7"/>
      <c r="N504" s="7"/>
      <c r="O504" s="7"/>
      <c r="P504" s="7"/>
      <c r="Q504" s="7"/>
      <c r="R504" s="7"/>
      <c r="S504" s="7"/>
      <c r="T504" s="7"/>
      <c r="U504" s="7"/>
      <c r="V504" s="7"/>
      <c r="W504" s="7"/>
      <c r="X504" s="7"/>
      <c r="Y504" s="7"/>
    </row>
    <row r="505" spans="3:25" ht="19.5" customHeight="1">
      <c r="C505" s="7"/>
      <c r="D505" s="7"/>
      <c r="E505" s="7"/>
      <c r="F505" s="7"/>
      <c r="G505" s="7"/>
      <c r="H505" s="7"/>
      <c r="I505" s="7"/>
      <c r="J505" s="7"/>
      <c r="K505" s="7"/>
      <c r="L505" s="7"/>
      <c r="M505" s="7"/>
      <c r="N505" s="7"/>
      <c r="O505" s="7"/>
      <c r="P505" s="7"/>
      <c r="Q505" s="7"/>
      <c r="R505" s="7"/>
      <c r="S505" s="7"/>
      <c r="T505" s="7"/>
      <c r="U505" s="7"/>
      <c r="V505" s="7"/>
      <c r="W505" s="7"/>
      <c r="X505" s="7"/>
      <c r="Y505" s="7"/>
    </row>
    <row r="506" spans="3:25" ht="19.5" customHeight="1">
      <c r="C506" s="7"/>
      <c r="D506" s="7"/>
      <c r="E506" s="7"/>
      <c r="F506" s="7"/>
      <c r="G506" s="7"/>
      <c r="H506" s="7"/>
      <c r="I506" s="7"/>
      <c r="J506" s="7"/>
      <c r="K506" s="7"/>
      <c r="L506" s="7"/>
      <c r="M506" s="7"/>
      <c r="N506" s="7"/>
      <c r="O506" s="7"/>
      <c r="P506" s="7"/>
      <c r="Q506" s="7"/>
      <c r="R506" s="7"/>
      <c r="S506" s="7"/>
      <c r="T506" s="7"/>
      <c r="U506" s="7"/>
      <c r="V506" s="7"/>
      <c r="W506" s="7"/>
      <c r="X506" s="7"/>
      <c r="Y506" s="7"/>
    </row>
    <row r="507" spans="3:25" ht="19.5" customHeight="1">
      <c r="C507" s="7"/>
      <c r="D507" s="7"/>
      <c r="E507" s="7"/>
      <c r="F507" s="7"/>
      <c r="G507" s="7"/>
      <c r="H507" s="7"/>
      <c r="I507" s="7"/>
      <c r="J507" s="7"/>
      <c r="K507" s="7"/>
      <c r="L507" s="7"/>
      <c r="M507" s="7"/>
      <c r="N507" s="7"/>
      <c r="O507" s="7"/>
      <c r="P507" s="7"/>
      <c r="Q507" s="7"/>
      <c r="R507" s="7"/>
      <c r="S507" s="7"/>
      <c r="T507" s="7"/>
      <c r="U507" s="7"/>
      <c r="V507" s="7"/>
      <c r="W507" s="7"/>
      <c r="X507" s="7"/>
      <c r="Y507" s="7"/>
    </row>
    <row r="508" spans="3:25" ht="19.5" customHeight="1">
      <c r="C508" s="7"/>
      <c r="D508" s="7"/>
      <c r="E508" s="7"/>
      <c r="F508" s="7"/>
      <c r="G508" s="7"/>
      <c r="H508" s="7"/>
      <c r="I508" s="7"/>
      <c r="J508" s="7"/>
      <c r="K508" s="7"/>
      <c r="L508" s="7"/>
      <c r="M508" s="7"/>
      <c r="N508" s="7"/>
      <c r="O508" s="7"/>
      <c r="P508" s="7"/>
      <c r="Q508" s="7"/>
      <c r="R508" s="7"/>
      <c r="S508" s="7"/>
      <c r="T508" s="7"/>
      <c r="U508" s="7"/>
      <c r="V508" s="7"/>
      <c r="W508" s="7"/>
      <c r="X508" s="7"/>
      <c r="Y508" s="7"/>
    </row>
    <row r="509" spans="3:25" ht="19.5" customHeight="1">
      <c r="C509" s="7"/>
      <c r="D509" s="7"/>
      <c r="E509" s="7"/>
      <c r="F509" s="7"/>
      <c r="G509" s="7"/>
      <c r="H509" s="7"/>
      <c r="I509" s="7"/>
      <c r="J509" s="7"/>
      <c r="K509" s="7"/>
      <c r="L509" s="7"/>
      <c r="M509" s="7"/>
      <c r="N509" s="7"/>
      <c r="O509" s="7"/>
      <c r="P509" s="7"/>
      <c r="Q509" s="7"/>
      <c r="R509" s="7"/>
      <c r="S509" s="7"/>
      <c r="T509" s="7"/>
      <c r="U509" s="7"/>
      <c r="V509" s="7"/>
      <c r="W509" s="7"/>
      <c r="X509" s="7"/>
      <c r="Y509" s="7"/>
    </row>
    <row r="510" spans="3:25" ht="19.5" customHeight="1">
      <c r="C510" s="7"/>
      <c r="D510" s="7"/>
      <c r="E510" s="7"/>
      <c r="F510" s="7"/>
      <c r="G510" s="7"/>
      <c r="H510" s="7"/>
      <c r="I510" s="7"/>
      <c r="J510" s="7"/>
      <c r="K510" s="7"/>
      <c r="L510" s="7"/>
      <c r="M510" s="7"/>
      <c r="N510" s="7"/>
      <c r="O510" s="7"/>
      <c r="P510" s="7"/>
      <c r="Q510" s="7"/>
      <c r="R510" s="7"/>
      <c r="S510" s="7"/>
      <c r="T510" s="7"/>
      <c r="U510" s="7"/>
      <c r="V510" s="7"/>
      <c r="W510" s="7"/>
      <c r="X510" s="7"/>
      <c r="Y510" s="7"/>
    </row>
    <row r="511" spans="3:25" ht="19.5" customHeight="1">
      <c r="C511" s="7"/>
      <c r="D511" s="7"/>
      <c r="E511" s="7"/>
      <c r="F511" s="7"/>
      <c r="G511" s="7"/>
      <c r="H511" s="7"/>
      <c r="I511" s="7"/>
      <c r="J511" s="7"/>
      <c r="K511" s="7"/>
      <c r="L511" s="7"/>
      <c r="M511" s="7"/>
      <c r="N511" s="7"/>
      <c r="O511" s="7"/>
      <c r="P511" s="7"/>
      <c r="Q511" s="7"/>
      <c r="R511" s="7"/>
      <c r="S511" s="7"/>
      <c r="T511" s="7"/>
      <c r="U511" s="7"/>
      <c r="V511" s="7"/>
      <c r="W511" s="7"/>
      <c r="X511" s="7"/>
      <c r="Y511" s="7"/>
    </row>
    <row r="512" spans="3:25" ht="19.5" customHeight="1">
      <c r="C512" s="7"/>
      <c r="D512" s="7"/>
      <c r="E512" s="7"/>
      <c r="F512" s="7"/>
      <c r="G512" s="7"/>
      <c r="H512" s="7"/>
      <c r="I512" s="7"/>
      <c r="J512" s="7"/>
      <c r="K512" s="7"/>
      <c r="L512" s="7"/>
      <c r="M512" s="7"/>
      <c r="N512" s="7"/>
      <c r="O512" s="7"/>
      <c r="P512" s="7"/>
      <c r="Q512" s="7"/>
      <c r="R512" s="7"/>
      <c r="S512" s="7"/>
      <c r="T512" s="7"/>
      <c r="U512" s="7"/>
      <c r="V512" s="7"/>
      <c r="W512" s="7"/>
      <c r="X512" s="7"/>
      <c r="Y512" s="7"/>
    </row>
    <row r="513" spans="3:25" ht="19.5" customHeight="1">
      <c r="C513" s="7"/>
      <c r="D513" s="7"/>
      <c r="E513" s="7"/>
      <c r="F513" s="7"/>
      <c r="G513" s="7"/>
      <c r="H513" s="7"/>
      <c r="I513" s="7"/>
      <c r="J513" s="7"/>
      <c r="K513" s="7"/>
      <c r="L513" s="7"/>
      <c r="M513" s="7"/>
      <c r="N513" s="7"/>
      <c r="O513" s="7"/>
      <c r="P513" s="7"/>
      <c r="Q513" s="7"/>
      <c r="R513" s="7"/>
      <c r="S513" s="7"/>
      <c r="T513" s="7"/>
      <c r="U513" s="7"/>
      <c r="V513" s="7"/>
      <c r="W513" s="7"/>
      <c r="X513" s="7"/>
      <c r="Y513" s="7"/>
    </row>
    <row r="514" spans="3:25" ht="19.5" customHeight="1">
      <c r="C514" s="7"/>
      <c r="D514" s="7"/>
      <c r="E514" s="7"/>
      <c r="F514" s="7"/>
      <c r="G514" s="7"/>
      <c r="H514" s="7"/>
      <c r="I514" s="7"/>
      <c r="J514" s="7"/>
      <c r="K514" s="7"/>
      <c r="L514" s="7"/>
      <c r="M514" s="7"/>
      <c r="N514" s="7"/>
      <c r="O514" s="7"/>
      <c r="P514" s="7"/>
      <c r="Q514" s="7"/>
      <c r="R514" s="7"/>
      <c r="S514" s="7"/>
      <c r="T514" s="7"/>
      <c r="U514" s="7"/>
      <c r="V514" s="7"/>
      <c r="W514" s="7"/>
      <c r="X514" s="7"/>
      <c r="Y514" s="7"/>
    </row>
    <row r="515" spans="3:25" ht="19.5" customHeight="1">
      <c r="C515" s="7"/>
      <c r="D515" s="7"/>
      <c r="E515" s="7"/>
      <c r="F515" s="7"/>
      <c r="G515" s="7"/>
      <c r="H515" s="7"/>
      <c r="I515" s="7"/>
      <c r="J515" s="7"/>
      <c r="K515" s="7"/>
      <c r="L515" s="7"/>
      <c r="M515" s="7"/>
      <c r="N515" s="7"/>
      <c r="O515" s="7"/>
      <c r="P515" s="7"/>
      <c r="Q515" s="7"/>
      <c r="R515" s="7"/>
      <c r="S515" s="7"/>
      <c r="T515" s="7"/>
      <c r="U515" s="7"/>
      <c r="V515" s="7"/>
      <c r="W515" s="7"/>
      <c r="X515" s="7"/>
      <c r="Y515" s="7"/>
    </row>
    <row r="516" spans="3:25" ht="19.5" customHeight="1">
      <c r="C516" s="7"/>
      <c r="D516" s="7"/>
      <c r="E516" s="7"/>
      <c r="F516" s="7"/>
      <c r="G516" s="7"/>
      <c r="H516" s="7"/>
      <c r="I516" s="7"/>
      <c r="J516" s="7"/>
      <c r="K516" s="7"/>
      <c r="L516" s="7"/>
      <c r="M516" s="7"/>
      <c r="N516" s="7"/>
      <c r="O516" s="7"/>
      <c r="P516" s="7"/>
      <c r="Q516" s="7"/>
      <c r="R516" s="7"/>
      <c r="S516" s="7"/>
      <c r="T516" s="7"/>
      <c r="U516" s="7"/>
      <c r="V516" s="7"/>
      <c r="W516" s="7"/>
      <c r="X516" s="7"/>
      <c r="Y516" s="7"/>
    </row>
    <row r="517" spans="3:25" ht="19.5" customHeight="1">
      <c r="C517" s="7"/>
      <c r="D517" s="7"/>
      <c r="E517" s="7"/>
      <c r="F517" s="7"/>
      <c r="G517" s="7"/>
      <c r="H517" s="7"/>
      <c r="I517" s="7"/>
      <c r="J517" s="7"/>
      <c r="K517" s="7"/>
      <c r="L517" s="7"/>
      <c r="M517" s="7"/>
      <c r="N517" s="7"/>
      <c r="O517" s="7"/>
      <c r="P517" s="7"/>
      <c r="Q517" s="7"/>
      <c r="R517" s="7"/>
      <c r="S517" s="7"/>
      <c r="T517" s="7"/>
      <c r="U517" s="7"/>
      <c r="V517" s="7"/>
      <c r="W517" s="7"/>
      <c r="X517" s="7"/>
      <c r="Y517" s="7"/>
    </row>
    <row r="518" spans="3:25" ht="19.5" customHeight="1">
      <c r="C518" s="7"/>
      <c r="D518" s="7"/>
      <c r="E518" s="7"/>
      <c r="F518" s="7"/>
      <c r="G518" s="7"/>
      <c r="H518" s="7"/>
      <c r="I518" s="7"/>
      <c r="J518" s="7"/>
      <c r="K518" s="7"/>
      <c r="L518" s="7"/>
      <c r="M518" s="7"/>
      <c r="N518" s="7"/>
      <c r="O518" s="7"/>
      <c r="P518" s="7"/>
      <c r="Q518" s="7"/>
      <c r="R518" s="7"/>
      <c r="S518" s="7"/>
      <c r="T518" s="7"/>
      <c r="U518" s="7"/>
      <c r="V518" s="7"/>
      <c r="W518" s="7"/>
      <c r="X518" s="7"/>
      <c r="Y518" s="7"/>
    </row>
    <row r="519" spans="3:25" ht="19.5" customHeight="1">
      <c r="C519" s="7"/>
      <c r="D519" s="7"/>
      <c r="E519" s="7"/>
      <c r="F519" s="7"/>
      <c r="G519" s="7"/>
      <c r="H519" s="7"/>
      <c r="I519" s="7"/>
      <c r="J519" s="7"/>
      <c r="K519" s="7"/>
      <c r="L519" s="7"/>
      <c r="M519" s="7"/>
      <c r="N519" s="7"/>
      <c r="O519" s="7"/>
      <c r="P519" s="7"/>
      <c r="Q519" s="7"/>
      <c r="R519" s="7"/>
      <c r="S519" s="7"/>
      <c r="T519" s="7"/>
      <c r="U519" s="7"/>
      <c r="V519" s="7"/>
      <c r="W519" s="7"/>
      <c r="X519" s="7"/>
      <c r="Y519" s="7"/>
    </row>
    <row r="520" spans="3:25" ht="19.5" customHeight="1">
      <c r="C520" s="7"/>
      <c r="D520" s="7"/>
      <c r="E520" s="7"/>
      <c r="F520" s="7"/>
      <c r="G520" s="7"/>
      <c r="H520" s="7"/>
      <c r="I520" s="7"/>
      <c r="J520" s="7"/>
      <c r="K520" s="7"/>
      <c r="L520" s="7"/>
      <c r="M520" s="7"/>
      <c r="N520" s="7"/>
      <c r="O520" s="7"/>
      <c r="P520" s="7"/>
      <c r="Q520" s="7"/>
      <c r="R520" s="7"/>
      <c r="S520" s="7"/>
      <c r="T520" s="7"/>
      <c r="U520" s="7"/>
      <c r="V520" s="7"/>
      <c r="W520" s="7"/>
      <c r="X520" s="7"/>
      <c r="Y520" s="7"/>
    </row>
    <row r="521" spans="3:25" ht="19.5" customHeight="1">
      <c r="C521" s="7"/>
      <c r="D521" s="7"/>
      <c r="E521" s="7"/>
      <c r="F521" s="7"/>
      <c r="G521" s="7"/>
      <c r="H521" s="7"/>
      <c r="I521" s="7"/>
      <c r="J521" s="7"/>
      <c r="K521" s="7"/>
      <c r="L521" s="7"/>
      <c r="M521" s="7"/>
      <c r="N521" s="7"/>
      <c r="O521" s="7"/>
      <c r="P521" s="7"/>
      <c r="Q521" s="7"/>
      <c r="R521" s="7"/>
      <c r="S521" s="7"/>
      <c r="T521" s="7"/>
      <c r="U521" s="7"/>
      <c r="V521" s="7"/>
      <c r="W521" s="7"/>
      <c r="X521" s="7"/>
      <c r="Y521" s="7"/>
    </row>
    <row r="522" spans="3:25" ht="19.5" customHeight="1">
      <c r="C522" s="7"/>
      <c r="D522" s="7"/>
      <c r="E522" s="7"/>
      <c r="F522" s="7"/>
      <c r="G522" s="7"/>
      <c r="H522" s="7"/>
      <c r="I522" s="7"/>
      <c r="J522" s="7"/>
      <c r="K522" s="7"/>
      <c r="L522" s="7"/>
      <c r="M522" s="7"/>
      <c r="N522" s="7"/>
      <c r="O522" s="7"/>
      <c r="P522" s="7"/>
      <c r="Q522" s="7"/>
      <c r="R522" s="7"/>
      <c r="S522" s="7"/>
      <c r="T522" s="7"/>
      <c r="U522" s="7"/>
      <c r="V522" s="7"/>
      <c r="W522" s="7"/>
      <c r="X522" s="7"/>
      <c r="Y522" s="7"/>
    </row>
    <row r="523" spans="3:25" ht="19.5" customHeight="1">
      <c r="C523" s="7"/>
      <c r="D523" s="7"/>
      <c r="E523" s="7"/>
      <c r="F523" s="7"/>
      <c r="G523" s="7"/>
      <c r="H523" s="7"/>
      <c r="I523" s="7"/>
      <c r="J523" s="7"/>
      <c r="K523" s="7"/>
      <c r="L523" s="7"/>
      <c r="M523" s="7"/>
      <c r="N523" s="7"/>
      <c r="O523" s="7"/>
      <c r="P523" s="7"/>
      <c r="Q523" s="7"/>
      <c r="R523" s="7"/>
      <c r="S523" s="7"/>
      <c r="T523" s="7"/>
      <c r="U523" s="7"/>
      <c r="V523" s="7"/>
      <c r="W523" s="7"/>
      <c r="X523" s="7"/>
      <c r="Y523" s="7"/>
    </row>
    <row r="524" spans="3:25" ht="19.5" customHeight="1">
      <c r="C524" s="7"/>
      <c r="D524" s="7"/>
      <c r="E524" s="7"/>
      <c r="F524" s="7"/>
      <c r="G524" s="7"/>
      <c r="H524" s="7"/>
      <c r="I524" s="7"/>
      <c r="J524" s="7"/>
      <c r="K524" s="7"/>
      <c r="L524" s="7"/>
      <c r="M524" s="7"/>
      <c r="N524" s="7"/>
      <c r="O524" s="7"/>
      <c r="P524" s="7"/>
      <c r="Q524" s="7"/>
      <c r="R524" s="7"/>
      <c r="S524" s="7"/>
      <c r="T524" s="7"/>
      <c r="U524" s="7"/>
      <c r="V524" s="7"/>
      <c r="W524" s="7"/>
      <c r="X524" s="7"/>
      <c r="Y524" s="7"/>
    </row>
    <row r="525" spans="3:25" ht="19.5" customHeight="1">
      <c r="C525" s="7"/>
      <c r="D525" s="7"/>
      <c r="E525" s="7"/>
      <c r="F525" s="7"/>
      <c r="G525" s="7"/>
      <c r="H525" s="7"/>
      <c r="I525" s="7"/>
      <c r="J525" s="7"/>
      <c r="K525" s="7"/>
      <c r="L525" s="7"/>
      <c r="M525" s="7"/>
      <c r="N525" s="7"/>
      <c r="O525" s="7"/>
      <c r="P525" s="7"/>
      <c r="Q525" s="7"/>
      <c r="R525" s="7"/>
      <c r="S525" s="7"/>
      <c r="T525" s="7"/>
      <c r="U525" s="7"/>
      <c r="V525" s="7"/>
      <c r="W525" s="7"/>
      <c r="X525" s="7"/>
      <c r="Y525" s="7"/>
    </row>
    <row r="526" spans="3:25" ht="19.5" customHeight="1">
      <c r="C526" s="7"/>
      <c r="D526" s="7"/>
      <c r="E526" s="7"/>
      <c r="F526" s="7"/>
      <c r="G526" s="7"/>
      <c r="H526" s="7"/>
      <c r="I526" s="7"/>
      <c r="J526" s="7"/>
      <c r="K526" s="7"/>
      <c r="L526" s="7"/>
      <c r="M526" s="7"/>
      <c r="N526" s="7"/>
      <c r="O526" s="7"/>
      <c r="P526" s="7"/>
      <c r="Q526" s="7"/>
      <c r="R526" s="7"/>
      <c r="S526" s="7"/>
      <c r="T526" s="7"/>
      <c r="U526" s="7"/>
      <c r="V526" s="7"/>
      <c r="W526" s="7"/>
      <c r="X526" s="7"/>
      <c r="Y526" s="7"/>
    </row>
    <row r="527" spans="3:25" ht="19.5" customHeight="1">
      <c r="C527" s="7"/>
      <c r="D527" s="7"/>
      <c r="E527" s="7"/>
      <c r="F527" s="7"/>
      <c r="G527" s="7"/>
      <c r="H527" s="7"/>
      <c r="I527" s="7"/>
      <c r="J527" s="7"/>
      <c r="K527" s="7"/>
      <c r="L527" s="7"/>
      <c r="M527" s="7"/>
      <c r="N527" s="7"/>
      <c r="O527" s="7"/>
      <c r="P527" s="7"/>
      <c r="Q527" s="7"/>
      <c r="R527" s="7"/>
      <c r="S527" s="7"/>
      <c r="T527" s="7"/>
      <c r="U527" s="7"/>
      <c r="V527" s="7"/>
      <c r="W527" s="7"/>
      <c r="X527" s="7"/>
      <c r="Y527" s="7"/>
    </row>
    <row r="528" spans="3:25" ht="19.5" customHeight="1">
      <c r="C528" s="7"/>
      <c r="D528" s="7"/>
      <c r="E528" s="7"/>
      <c r="F528" s="7"/>
      <c r="G528" s="7"/>
      <c r="H528" s="7"/>
      <c r="I528" s="7"/>
      <c r="J528" s="7"/>
      <c r="K528" s="7"/>
      <c r="L528" s="7"/>
      <c r="M528" s="7"/>
      <c r="N528" s="7"/>
      <c r="O528" s="7"/>
      <c r="P528" s="7"/>
      <c r="Q528" s="7"/>
      <c r="R528" s="7"/>
      <c r="S528" s="7"/>
      <c r="T528" s="7"/>
      <c r="U528" s="7"/>
      <c r="V528" s="7"/>
      <c r="W528" s="7"/>
      <c r="X528" s="7"/>
      <c r="Y528" s="7"/>
    </row>
    <row r="529" spans="3:25" ht="19.5" customHeight="1">
      <c r="C529" s="7"/>
      <c r="D529" s="7"/>
      <c r="E529" s="7"/>
      <c r="F529" s="7"/>
      <c r="G529" s="7"/>
      <c r="H529" s="7"/>
      <c r="I529" s="7"/>
      <c r="J529" s="7"/>
      <c r="K529" s="7"/>
      <c r="L529" s="7"/>
      <c r="M529" s="7"/>
      <c r="N529" s="7"/>
      <c r="O529" s="7"/>
      <c r="P529" s="7"/>
      <c r="Q529" s="7"/>
      <c r="R529" s="7"/>
      <c r="S529" s="7"/>
      <c r="T529" s="7"/>
      <c r="U529" s="7"/>
      <c r="V529" s="7"/>
      <c r="W529" s="7"/>
      <c r="X529" s="7"/>
      <c r="Y529" s="7"/>
    </row>
    <row r="530" spans="3:25" ht="19.5" customHeight="1">
      <c r="C530" s="7"/>
      <c r="D530" s="7"/>
      <c r="E530" s="7"/>
      <c r="F530" s="7"/>
      <c r="G530" s="7"/>
      <c r="H530" s="7"/>
      <c r="I530" s="7"/>
      <c r="J530" s="7"/>
      <c r="K530" s="7"/>
      <c r="L530" s="7"/>
      <c r="M530" s="7"/>
      <c r="N530" s="7"/>
      <c r="O530" s="7"/>
      <c r="P530" s="7"/>
      <c r="Q530" s="7"/>
      <c r="R530" s="7"/>
      <c r="S530" s="7"/>
      <c r="T530" s="7"/>
      <c r="U530" s="7"/>
      <c r="V530" s="7"/>
      <c r="W530" s="7"/>
      <c r="X530" s="7"/>
      <c r="Y530" s="7"/>
    </row>
    <row r="531" spans="3:25" ht="19.5" customHeight="1">
      <c r="C531" s="7"/>
      <c r="D531" s="7"/>
      <c r="E531" s="7"/>
      <c r="F531" s="7"/>
      <c r="G531" s="7"/>
      <c r="H531" s="7"/>
      <c r="I531" s="7"/>
      <c r="J531" s="7"/>
      <c r="K531" s="7"/>
      <c r="L531" s="7"/>
      <c r="M531" s="7"/>
      <c r="N531" s="7"/>
      <c r="O531" s="7"/>
      <c r="P531" s="7"/>
      <c r="Q531" s="7"/>
      <c r="R531" s="7"/>
      <c r="S531" s="7"/>
      <c r="T531" s="7"/>
      <c r="U531" s="7"/>
      <c r="V531" s="7"/>
      <c r="W531" s="7"/>
      <c r="X531" s="7"/>
      <c r="Y531" s="7"/>
    </row>
    <row r="532" spans="3:25" ht="19.5" customHeight="1">
      <c r="C532" s="7"/>
      <c r="D532" s="7"/>
      <c r="E532" s="7"/>
      <c r="F532" s="7"/>
      <c r="G532" s="7"/>
      <c r="H532" s="7"/>
      <c r="I532" s="7"/>
      <c r="J532" s="7"/>
      <c r="K532" s="7"/>
      <c r="L532" s="7"/>
      <c r="M532" s="7"/>
      <c r="N532" s="7"/>
      <c r="O532" s="7"/>
      <c r="P532" s="7"/>
      <c r="Q532" s="7"/>
      <c r="R532" s="7"/>
      <c r="S532" s="7"/>
      <c r="T532" s="7"/>
      <c r="U532" s="7"/>
      <c r="V532" s="7"/>
      <c r="W532" s="7"/>
      <c r="X532" s="7"/>
      <c r="Y532" s="7"/>
    </row>
    <row r="533" spans="3:25" ht="19.5" customHeight="1">
      <c r="C533" s="7"/>
      <c r="D533" s="7"/>
      <c r="E533" s="7"/>
      <c r="F533" s="7"/>
      <c r="G533" s="7"/>
      <c r="H533" s="7"/>
      <c r="I533" s="7"/>
      <c r="J533" s="7"/>
      <c r="K533" s="7"/>
      <c r="L533" s="7"/>
      <c r="M533" s="7"/>
      <c r="N533" s="7"/>
      <c r="O533" s="7"/>
      <c r="P533" s="7"/>
      <c r="Q533" s="7"/>
      <c r="R533" s="7"/>
      <c r="S533" s="7"/>
      <c r="T533" s="7"/>
      <c r="U533" s="7"/>
      <c r="V533" s="7"/>
      <c r="W533" s="7"/>
      <c r="X533" s="7"/>
      <c r="Y533" s="7"/>
    </row>
    <row r="534" spans="3:25" ht="19.5" customHeight="1">
      <c r="C534" s="7"/>
      <c r="D534" s="7"/>
      <c r="E534" s="7"/>
      <c r="F534" s="7"/>
      <c r="G534" s="7"/>
      <c r="H534" s="7"/>
      <c r="I534" s="7"/>
      <c r="J534" s="7"/>
      <c r="K534" s="7"/>
      <c r="L534" s="7"/>
      <c r="M534" s="7"/>
      <c r="N534" s="7"/>
      <c r="O534" s="7"/>
      <c r="P534" s="7"/>
      <c r="Q534" s="7"/>
      <c r="R534" s="7"/>
      <c r="S534" s="7"/>
      <c r="T534" s="7"/>
      <c r="U534" s="7"/>
      <c r="V534" s="7"/>
      <c r="W534" s="7"/>
      <c r="X534" s="7"/>
      <c r="Y534" s="7"/>
    </row>
    <row r="535" spans="3:25" ht="19.5" customHeight="1">
      <c r="C535" s="7"/>
      <c r="D535" s="7"/>
      <c r="E535" s="7"/>
      <c r="F535" s="7"/>
      <c r="G535" s="7"/>
      <c r="H535" s="7"/>
      <c r="I535" s="7"/>
      <c r="J535" s="7"/>
      <c r="K535" s="7"/>
      <c r="L535" s="7"/>
      <c r="M535" s="7"/>
      <c r="N535" s="7"/>
      <c r="O535" s="7"/>
      <c r="P535" s="7"/>
      <c r="Q535" s="7"/>
      <c r="R535" s="7"/>
      <c r="S535" s="7"/>
      <c r="T535" s="7"/>
      <c r="U535" s="7"/>
      <c r="V535" s="7"/>
      <c r="W535" s="7"/>
      <c r="X535" s="7"/>
      <c r="Y535" s="7"/>
    </row>
    <row r="536" spans="3:25" ht="19.5" customHeight="1">
      <c r="C536" s="7"/>
      <c r="D536" s="7"/>
      <c r="E536" s="7"/>
      <c r="F536" s="7"/>
      <c r="G536" s="7"/>
      <c r="H536" s="7"/>
      <c r="I536" s="7"/>
      <c r="J536" s="7"/>
      <c r="K536" s="7"/>
      <c r="L536" s="7"/>
      <c r="M536" s="7"/>
      <c r="N536" s="7"/>
      <c r="O536" s="7"/>
      <c r="P536" s="7"/>
      <c r="Q536" s="7"/>
      <c r="R536" s="7"/>
      <c r="S536" s="7"/>
      <c r="T536" s="7"/>
      <c r="U536" s="7"/>
      <c r="V536" s="7"/>
      <c r="W536" s="7"/>
      <c r="X536" s="7"/>
      <c r="Y536" s="7"/>
    </row>
    <row r="537" spans="3:25" ht="19.5" customHeight="1">
      <c r="C537" s="7"/>
      <c r="D537" s="7"/>
      <c r="E537" s="7"/>
      <c r="F537" s="7"/>
      <c r="G537" s="7"/>
      <c r="H537" s="7"/>
      <c r="I537" s="7"/>
      <c r="J537" s="7"/>
      <c r="K537" s="7"/>
      <c r="L537" s="7"/>
      <c r="M537" s="7"/>
      <c r="N537" s="7"/>
      <c r="O537" s="7"/>
      <c r="P537" s="7"/>
      <c r="Q537" s="7"/>
      <c r="R537" s="7"/>
      <c r="S537" s="7"/>
      <c r="T537" s="7"/>
      <c r="U537" s="7"/>
      <c r="V537" s="7"/>
      <c r="W537" s="7"/>
      <c r="X537" s="7"/>
      <c r="Y537" s="7"/>
    </row>
    <row r="538" spans="3:25" ht="19.5" customHeight="1">
      <c r="C538" s="7"/>
      <c r="D538" s="7"/>
      <c r="E538" s="7"/>
      <c r="F538" s="7"/>
      <c r="G538" s="7"/>
      <c r="H538" s="7"/>
      <c r="I538" s="7"/>
      <c r="J538" s="7"/>
      <c r="K538" s="7"/>
      <c r="L538" s="7"/>
      <c r="M538" s="7"/>
      <c r="N538" s="7"/>
      <c r="O538" s="7"/>
      <c r="P538" s="7"/>
      <c r="Q538" s="7"/>
      <c r="R538" s="7"/>
      <c r="S538" s="7"/>
      <c r="T538" s="7"/>
      <c r="U538" s="7"/>
      <c r="V538" s="7"/>
      <c r="W538" s="7"/>
      <c r="X538" s="7"/>
      <c r="Y538" s="7"/>
    </row>
    <row r="539" spans="3:25" ht="19.5" customHeight="1">
      <c r="C539" s="7"/>
      <c r="D539" s="7"/>
      <c r="E539" s="7"/>
      <c r="F539" s="7"/>
      <c r="G539" s="7"/>
      <c r="H539" s="7"/>
      <c r="I539" s="7"/>
      <c r="J539" s="7"/>
      <c r="K539" s="7"/>
      <c r="L539" s="7"/>
      <c r="M539" s="7"/>
      <c r="N539" s="7"/>
      <c r="O539" s="7"/>
      <c r="P539" s="7"/>
      <c r="Q539" s="7"/>
      <c r="R539" s="7"/>
      <c r="S539" s="7"/>
      <c r="T539" s="7"/>
      <c r="U539" s="7"/>
      <c r="V539" s="7"/>
      <c r="W539" s="7"/>
      <c r="X539" s="7"/>
      <c r="Y539" s="7"/>
    </row>
    <row r="540" spans="3:25" ht="19.5" customHeight="1">
      <c r="C540" s="7"/>
      <c r="D540" s="7"/>
      <c r="E540" s="7"/>
      <c r="F540" s="7"/>
      <c r="G540" s="7"/>
      <c r="H540" s="7"/>
      <c r="I540" s="7"/>
      <c r="J540" s="7"/>
      <c r="K540" s="7"/>
      <c r="L540" s="7"/>
      <c r="M540" s="7"/>
      <c r="N540" s="7"/>
      <c r="O540" s="7"/>
      <c r="P540" s="7"/>
      <c r="Q540" s="7"/>
      <c r="R540" s="7"/>
      <c r="S540" s="7"/>
      <c r="T540" s="7"/>
      <c r="U540" s="7"/>
      <c r="V540" s="7"/>
      <c r="W540" s="7"/>
      <c r="X540" s="7"/>
      <c r="Y540" s="7"/>
    </row>
    <row r="541" spans="3:25" ht="19.5" customHeight="1">
      <c r="C541" s="7"/>
      <c r="D541" s="7"/>
      <c r="E541" s="7"/>
      <c r="F541" s="7"/>
      <c r="G541" s="7"/>
      <c r="H541" s="7"/>
      <c r="I541" s="7"/>
      <c r="J541" s="7"/>
      <c r="K541" s="7"/>
      <c r="L541" s="7"/>
      <c r="M541" s="7"/>
      <c r="N541" s="7"/>
      <c r="O541" s="7"/>
      <c r="P541" s="7"/>
      <c r="Q541" s="7"/>
      <c r="R541" s="7"/>
      <c r="S541" s="7"/>
      <c r="T541" s="7"/>
      <c r="U541" s="7"/>
      <c r="V541" s="7"/>
      <c r="W541" s="7"/>
      <c r="X541" s="7"/>
      <c r="Y541" s="7"/>
    </row>
    <row r="542" spans="3:25" ht="19.5" customHeight="1">
      <c r="C542" s="7"/>
      <c r="D542" s="7"/>
      <c r="E542" s="7"/>
      <c r="F542" s="7"/>
      <c r="G542" s="7"/>
      <c r="H542" s="7"/>
      <c r="I542" s="7"/>
      <c r="J542" s="7"/>
      <c r="K542" s="7"/>
      <c r="L542" s="7"/>
      <c r="M542" s="7"/>
      <c r="N542" s="7"/>
      <c r="O542" s="7"/>
      <c r="P542" s="7"/>
      <c r="Q542" s="7"/>
      <c r="R542" s="7"/>
      <c r="S542" s="7"/>
      <c r="T542" s="7"/>
      <c r="U542" s="7"/>
      <c r="V542" s="7"/>
      <c r="W542" s="7"/>
      <c r="X542" s="7"/>
      <c r="Y542" s="7"/>
    </row>
    <row r="543" spans="3:25" ht="19.5" customHeight="1">
      <c r="C543" s="7"/>
      <c r="D543" s="7"/>
      <c r="E543" s="7"/>
      <c r="F543" s="7"/>
      <c r="G543" s="7"/>
      <c r="H543" s="7"/>
      <c r="I543" s="7"/>
      <c r="J543" s="7"/>
      <c r="K543" s="7"/>
      <c r="L543" s="7"/>
      <c r="M543" s="7"/>
      <c r="N543" s="7"/>
      <c r="O543" s="7"/>
      <c r="P543" s="7"/>
      <c r="Q543" s="7"/>
      <c r="R543" s="7"/>
      <c r="S543" s="7"/>
      <c r="T543" s="7"/>
      <c r="U543" s="7"/>
      <c r="V543" s="7"/>
      <c r="W543" s="7"/>
      <c r="X543" s="7"/>
      <c r="Y543" s="7"/>
    </row>
    <row r="544" spans="3:25" ht="19.5" customHeight="1">
      <c r="C544" s="7"/>
      <c r="D544" s="7"/>
      <c r="E544" s="7"/>
      <c r="F544" s="7"/>
      <c r="G544" s="7"/>
      <c r="H544" s="7"/>
      <c r="I544" s="7"/>
      <c r="J544" s="7"/>
      <c r="K544" s="7"/>
      <c r="L544" s="7"/>
      <c r="M544" s="7"/>
      <c r="N544" s="7"/>
      <c r="O544" s="7"/>
      <c r="P544" s="7"/>
      <c r="Q544" s="7"/>
      <c r="R544" s="7"/>
      <c r="S544" s="7"/>
      <c r="T544" s="7"/>
      <c r="U544" s="7"/>
      <c r="V544" s="7"/>
      <c r="W544" s="7"/>
      <c r="X544" s="7"/>
      <c r="Y544" s="7"/>
    </row>
    <row r="545" spans="3:25" ht="19.5" customHeight="1">
      <c r="C545" s="7"/>
      <c r="D545" s="7"/>
      <c r="E545" s="7"/>
      <c r="F545" s="7"/>
      <c r="G545" s="7"/>
      <c r="H545" s="7"/>
      <c r="I545" s="7"/>
      <c r="J545" s="7"/>
      <c r="K545" s="7"/>
      <c r="L545" s="7"/>
      <c r="M545" s="7"/>
      <c r="N545" s="7"/>
      <c r="O545" s="7"/>
      <c r="P545" s="7"/>
      <c r="Q545" s="7"/>
      <c r="R545" s="7"/>
      <c r="S545" s="7"/>
      <c r="T545" s="7"/>
      <c r="U545" s="7"/>
      <c r="V545" s="7"/>
      <c r="W545" s="7"/>
      <c r="X545" s="7"/>
      <c r="Y545" s="7"/>
    </row>
    <row r="546" spans="3:25" ht="19.5" customHeight="1">
      <c r="C546" s="7"/>
      <c r="D546" s="7"/>
      <c r="E546" s="7"/>
      <c r="F546" s="7"/>
      <c r="G546" s="7"/>
      <c r="H546" s="7"/>
      <c r="I546" s="7"/>
      <c r="J546" s="7"/>
      <c r="K546" s="7"/>
      <c r="L546" s="7"/>
      <c r="M546" s="7"/>
      <c r="N546" s="7"/>
      <c r="O546" s="7"/>
      <c r="P546" s="7"/>
      <c r="Q546" s="7"/>
      <c r="R546" s="7"/>
      <c r="S546" s="7"/>
      <c r="T546" s="7"/>
      <c r="U546" s="7"/>
      <c r="V546" s="7"/>
      <c r="W546" s="7"/>
      <c r="X546" s="7"/>
      <c r="Y546" s="7"/>
    </row>
    <row r="547" spans="3:25" ht="19.5" customHeight="1">
      <c r="C547" s="7"/>
      <c r="D547" s="7"/>
      <c r="E547" s="7"/>
      <c r="F547" s="7"/>
      <c r="G547" s="7"/>
      <c r="H547" s="7"/>
      <c r="I547" s="7"/>
      <c r="J547" s="7"/>
      <c r="K547" s="7"/>
      <c r="L547" s="7"/>
      <c r="M547" s="7"/>
      <c r="N547" s="7"/>
      <c r="O547" s="7"/>
      <c r="P547" s="7"/>
      <c r="Q547" s="7"/>
      <c r="R547" s="7"/>
      <c r="S547" s="7"/>
      <c r="T547" s="7"/>
      <c r="U547" s="7"/>
      <c r="V547" s="7"/>
      <c r="W547" s="7"/>
      <c r="X547" s="7"/>
      <c r="Y547" s="7"/>
    </row>
    <row r="548" spans="3:25" ht="19.5" customHeight="1">
      <c r="C548" s="7"/>
      <c r="D548" s="7"/>
      <c r="E548" s="7"/>
      <c r="F548" s="7"/>
      <c r="G548" s="7"/>
      <c r="H548" s="7"/>
      <c r="I548" s="7"/>
      <c r="J548" s="7"/>
      <c r="K548" s="7"/>
      <c r="L548" s="7"/>
      <c r="M548" s="7"/>
      <c r="N548" s="7"/>
      <c r="O548" s="7"/>
      <c r="P548" s="7"/>
      <c r="Q548" s="7"/>
      <c r="R548" s="7"/>
      <c r="S548" s="7"/>
      <c r="T548" s="7"/>
      <c r="U548" s="7"/>
      <c r="V548" s="7"/>
      <c r="W548" s="7"/>
      <c r="X548" s="7"/>
      <c r="Y548" s="7"/>
    </row>
    <row r="549" spans="3:25" ht="19.5" customHeight="1">
      <c r="C549" s="7"/>
      <c r="D549" s="7"/>
      <c r="E549" s="7"/>
      <c r="F549" s="7"/>
      <c r="G549" s="7"/>
      <c r="H549" s="7"/>
      <c r="I549" s="7"/>
      <c r="J549" s="7"/>
      <c r="K549" s="7"/>
      <c r="L549" s="7"/>
      <c r="M549" s="7"/>
      <c r="N549" s="7"/>
      <c r="O549" s="7"/>
      <c r="P549" s="7"/>
      <c r="Q549" s="7"/>
      <c r="R549" s="7"/>
      <c r="S549" s="7"/>
      <c r="T549" s="7"/>
      <c r="U549" s="7"/>
      <c r="V549" s="7"/>
      <c r="W549" s="7"/>
      <c r="X549" s="7"/>
      <c r="Y549" s="7"/>
    </row>
    <row r="550" spans="3:25" ht="19.5" customHeight="1">
      <c r="C550" s="7"/>
      <c r="D550" s="7"/>
      <c r="E550" s="7"/>
      <c r="F550" s="7"/>
      <c r="G550" s="7"/>
      <c r="H550" s="7"/>
      <c r="I550" s="7"/>
      <c r="J550" s="7"/>
      <c r="K550" s="7"/>
      <c r="L550" s="7"/>
      <c r="M550" s="7"/>
      <c r="N550" s="7"/>
      <c r="O550" s="7"/>
      <c r="P550" s="7"/>
      <c r="Q550" s="7"/>
      <c r="R550" s="7"/>
      <c r="S550" s="7"/>
      <c r="T550" s="7"/>
      <c r="U550" s="7"/>
      <c r="V550" s="7"/>
      <c r="W550" s="7"/>
      <c r="X550" s="7"/>
      <c r="Y550" s="7"/>
    </row>
    <row r="551" spans="3:25" ht="19.5" customHeight="1">
      <c r="C551" s="7"/>
      <c r="D551" s="7"/>
      <c r="E551" s="7"/>
      <c r="F551" s="7"/>
      <c r="G551" s="7"/>
      <c r="H551" s="7"/>
      <c r="I551" s="7"/>
      <c r="J551" s="7"/>
      <c r="K551" s="7"/>
      <c r="L551" s="7"/>
      <c r="M551" s="7"/>
      <c r="N551" s="7"/>
      <c r="O551" s="7"/>
      <c r="P551" s="7"/>
      <c r="Q551" s="7"/>
      <c r="R551" s="7"/>
      <c r="S551" s="7"/>
      <c r="T551" s="7"/>
      <c r="U551" s="7"/>
      <c r="V551" s="7"/>
      <c r="W551" s="7"/>
      <c r="X551" s="7"/>
      <c r="Y551" s="7"/>
    </row>
    <row r="552" spans="3:25" ht="19.5" customHeight="1">
      <c r="C552" s="7"/>
      <c r="D552" s="7"/>
      <c r="E552" s="7"/>
      <c r="F552" s="7"/>
      <c r="G552" s="7"/>
      <c r="H552" s="7"/>
      <c r="I552" s="7"/>
      <c r="J552" s="7"/>
      <c r="K552" s="7"/>
      <c r="L552" s="7"/>
      <c r="M552" s="7"/>
      <c r="N552" s="7"/>
      <c r="O552" s="7"/>
      <c r="P552" s="7"/>
      <c r="Q552" s="7"/>
      <c r="R552" s="7"/>
      <c r="S552" s="7"/>
      <c r="T552" s="7"/>
      <c r="U552" s="7"/>
      <c r="V552" s="7"/>
      <c r="W552" s="7"/>
      <c r="X552" s="7"/>
      <c r="Y552" s="7"/>
    </row>
    <row r="553" spans="3:25" ht="19.5" customHeight="1">
      <c r="C553" s="7"/>
      <c r="D553" s="7"/>
      <c r="E553" s="7"/>
      <c r="F553" s="7"/>
      <c r="G553" s="7"/>
      <c r="H553" s="7"/>
      <c r="I553" s="7"/>
      <c r="J553" s="7"/>
      <c r="K553" s="7"/>
      <c r="L553" s="7"/>
      <c r="M553" s="7"/>
      <c r="N553" s="7"/>
      <c r="O553" s="7"/>
      <c r="P553" s="7"/>
      <c r="Q553" s="7"/>
      <c r="R553" s="7"/>
      <c r="S553" s="7"/>
      <c r="T553" s="7"/>
      <c r="U553" s="7"/>
      <c r="V553" s="7"/>
      <c r="W553" s="7"/>
      <c r="X553" s="7"/>
      <c r="Y553" s="7"/>
    </row>
    <row r="554" spans="3:25" ht="19.5" customHeight="1">
      <c r="C554" s="7"/>
      <c r="D554" s="7"/>
      <c r="E554" s="7"/>
      <c r="F554" s="7"/>
      <c r="G554" s="7"/>
      <c r="H554" s="7"/>
      <c r="I554" s="7"/>
      <c r="J554" s="7"/>
      <c r="K554" s="7"/>
      <c r="L554" s="7"/>
      <c r="M554" s="7"/>
      <c r="N554" s="7"/>
      <c r="O554" s="7"/>
      <c r="P554" s="7"/>
      <c r="Q554" s="7"/>
      <c r="R554" s="7"/>
      <c r="S554" s="7"/>
      <c r="T554" s="7"/>
      <c r="U554" s="7"/>
      <c r="V554" s="7"/>
      <c r="W554" s="7"/>
      <c r="X554" s="7"/>
      <c r="Y554" s="7"/>
    </row>
    <row r="555" spans="3:25" ht="19.5" customHeight="1">
      <c r="C555" s="7"/>
      <c r="D555" s="7"/>
      <c r="E555" s="7"/>
      <c r="F555" s="7"/>
      <c r="G555" s="7"/>
      <c r="H555" s="7"/>
      <c r="I555" s="7"/>
      <c r="J555" s="7"/>
      <c r="K555" s="7"/>
      <c r="L555" s="7"/>
      <c r="M555" s="7"/>
      <c r="N555" s="7"/>
      <c r="O555" s="7"/>
      <c r="P555" s="7"/>
      <c r="Q555" s="7"/>
      <c r="R555" s="7"/>
      <c r="S555" s="7"/>
      <c r="T555" s="7"/>
      <c r="U555" s="7"/>
      <c r="V555" s="7"/>
      <c r="W555" s="7"/>
      <c r="X555" s="7"/>
      <c r="Y555" s="7"/>
    </row>
    <row r="556" spans="3:25" ht="19.5" customHeight="1">
      <c r="C556" s="7"/>
      <c r="D556" s="7"/>
      <c r="E556" s="7"/>
      <c r="F556" s="7"/>
      <c r="G556" s="7"/>
      <c r="H556" s="7"/>
      <c r="I556" s="7"/>
      <c r="J556" s="7"/>
      <c r="K556" s="7"/>
      <c r="L556" s="7"/>
      <c r="M556" s="7"/>
      <c r="N556" s="7"/>
      <c r="O556" s="7"/>
      <c r="P556" s="7"/>
      <c r="Q556" s="7"/>
      <c r="R556" s="7"/>
      <c r="S556" s="7"/>
      <c r="T556" s="7"/>
      <c r="U556" s="7"/>
      <c r="V556" s="7"/>
      <c r="W556" s="7"/>
      <c r="X556" s="7"/>
      <c r="Y556" s="7"/>
    </row>
    <row r="557" spans="3:25" ht="19.5" customHeight="1">
      <c r="C557" s="7"/>
      <c r="D557" s="7"/>
      <c r="E557" s="7"/>
      <c r="F557" s="7"/>
      <c r="G557" s="7"/>
      <c r="H557" s="7"/>
      <c r="I557" s="7"/>
      <c r="J557" s="7"/>
      <c r="K557" s="7"/>
      <c r="L557" s="7"/>
      <c r="M557" s="7"/>
      <c r="N557" s="7"/>
      <c r="O557" s="7"/>
      <c r="P557" s="7"/>
      <c r="Q557" s="7"/>
      <c r="R557" s="7"/>
      <c r="S557" s="7"/>
      <c r="T557" s="7"/>
      <c r="U557" s="7"/>
      <c r="V557" s="7"/>
      <c r="W557" s="7"/>
      <c r="X557" s="7"/>
      <c r="Y557" s="7"/>
    </row>
    <row r="558" spans="3:25" ht="19.5" customHeight="1">
      <c r="C558" s="7"/>
      <c r="D558" s="7"/>
      <c r="E558" s="7"/>
      <c r="F558" s="7"/>
      <c r="G558" s="7"/>
      <c r="H558" s="7"/>
      <c r="I558" s="7"/>
      <c r="J558" s="7"/>
      <c r="K558" s="7"/>
      <c r="L558" s="7"/>
      <c r="M558" s="7"/>
      <c r="N558" s="7"/>
      <c r="O558" s="7"/>
      <c r="P558" s="7"/>
      <c r="Q558" s="7"/>
      <c r="R558" s="7"/>
      <c r="S558" s="7"/>
      <c r="T558" s="7"/>
      <c r="U558" s="7"/>
      <c r="V558" s="7"/>
      <c r="W558" s="7"/>
      <c r="X558" s="7"/>
      <c r="Y558" s="7"/>
    </row>
    <row r="559" spans="3:25" ht="19.5" customHeight="1">
      <c r="C559" s="7"/>
      <c r="D559" s="7"/>
      <c r="E559" s="7"/>
      <c r="F559" s="7"/>
      <c r="G559" s="7"/>
      <c r="H559" s="7"/>
      <c r="I559" s="7"/>
      <c r="J559" s="7"/>
      <c r="K559" s="7"/>
      <c r="L559" s="7"/>
      <c r="M559" s="7"/>
      <c r="N559" s="7"/>
      <c r="O559" s="7"/>
      <c r="P559" s="7"/>
      <c r="Q559" s="7"/>
      <c r="R559" s="7"/>
      <c r="S559" s="7"/>
      <c r="T559" s="7"/>
      <c r="U559" s="7"/>
      <c r="V559" s="7"/>
      <c r="W559" s="7"/>
      <c r="X559" s="7"/>
      <c r="Y559" s="7"/>
    </row>
    <row r="560" spans="3:25" ht="19.5" customHeight="1">
      <c r="C560" s="7"/>
      <c r="D560" s="7"/>
      <c r="E560" s="7"/>
      <c r="F560" s="7"/>
      <c r="G560" s="7"/>
      <c r="H560" s="7"/>
      <c r="I560" s="7"/>
      <c r="J560" s="7"/>
      <c r="K560" s="7"/>
      <c r="L560" s="7"/>
      <c r="M560" s="7"/>
      <c r="N560" s="7"/>
      <c r="O560" s="7"/>
      <c r="P560" s="7"/>
      <c r="Q560" s="7"/>
      <c r="R560" s="7"/>
      <c r="S560" s="7"/>
      <c r="T560" s="7"/>
      <c r="U560" s="7"/>
      <c r="V560" s="7"/>
      <c r="W560" s="7"/>
      <c r="X560" s="7"/>
      <c r="Y560" s="7"/>
    </row>
    <row r="561" spans="3:25" ht="19.5" customHeight="1">
      <c r="C561" s="7"/>
      <c r="D561" s="7"/>
      <c r="E561" s="7"/>
      <c r="F561" s="7"/>
      <c r="G561" s="7"/>
      <c r="H561" s="7"/>
      <c r="I561" s="7"/>
      <c r="J561" s="7"/>
      <c r="K561" s="7"/>
      <c r="L561" s="7"/>
      <c r="M561" s="7"/>
      <c r="N561" s="7"/>
      <c r="O561" s="7"/>
      <c r="P561" s="7"/>
      <c r="Q561" s="7"/>
      <c r="R561" s="7"/>
      <c r="S561" s="7"/>
      <c r="T561" s="7"/>
      <c r="U561" s="7"/>
      <c r="V561" s="7"/>
      <c r="W561" s="7"/>
      <c r="X561" s="7"/>
      <c r="Y561" s="7"/>
    </row>
    <row r="562" spans="3:25" ht="19.5" customHeight="1">
      <c r="C562" s="7"/>
      <c r="D562" s="7"/>
      <c r="E562" s="7"/>
      <c r="F562" s="7"/>
      <c r="G562" s="7"/>
      <c r="H562" s="7"/>
      <c r="I562" s="7"/>
      <c r="J562" s="7"/>
      <c r="K562" s="7"/>
      <c r="L562" s="7"/>
      <c r="M562" s="7"/>
      <c r="N562" s="7"/>
      <c r="O562" s="7"/>
      <c r="P562" s="7"/>
      <c r="Q562" s="7"/>
      <c r="R562" s="7"/>
      <c r="S562" s="7"/>
      <c r="T562" s="7"/>
      <c r="U562" s="7"/>
      <c r="V562" s="7"/>
      <c r="W562" s="7"/>
      <c r="X562" s="7"/>
      <c r="Y562" s="7"/>
    </row>
    <row r="563" spans="3:25" ht="19.5" customHeight="1">
      <c r="C563" s="7"/>
      <c r="D563" s="7"/>
      <c r="E563" s="7"/>
      <c r="F563" s="7"/>
      <c r="G563" s="7"/>
      <c r="H563" s="7"/>
      <c r="I563" s="7"/>
      <c r="J563" s="7"/>
      <c r="K563" s="7"/>
      <c r="L563" s="7"/>
      <c r="M563" s="7"/>
      <c r="N563" s="7"/>
      <c r="O563" s="7"/>
      <c r="P563" s="7"/>
      <c r="Q563" s="7"/>
      <c r="R563" s="7"/>
      <c r="S563" s="7"/>
      <c r="T563" s="7"/>
      <c r="U563" s="7"/>
      <c r="V563" s="7"/>
      <c r="W563" s="7"/>
      <c r="X563" s="7"/>
      <c r="Y563" s="7"/>
    </row>
    <row r="564" spans="3:25" ht="19.5" customHeight="1">
      <c r="C564" s="7"/>
      <c r="D564" s="7"/>
      <c r="E564" s="7"/>
      <c r="F564" s="7"/>
      <c r="G564" s="7"/>
      <c r="H564" s="7"/>
      <c r="I564" s="7"/>
      <c r="J564" s="7"/>
      <c r="K564" s="7"/>
      <c r="L564" s="7"/>
      <c r="M564" s="7"/>
      <c r="N564" s="7"/>
      <c r="O564" s="7"/>
      <c r="P564" s="7"/>
      <c r="Q564" s="7"/>
      <c r="R564" s="7"/>
      <c r="S564" s="7"/>
      <c r="T564" s="7"/>
      <c r="U564" s="7"/>
      <c r="V564" s="7"/>
      <c r="W564" s="7"/>
      <c r="X564" s="7"/>
      <c r="Y564" s="7"/>
    </row>
    <row r="565" spans="3:25" ht="19.5" customHeight="1">
      <c r="C565" s="7"/>
      <c r="D565" s="7"/>
      <c r="E565" s="7"/>
      <c r="F565" s="7"/>
      <c r="G565" s="7"/>
      <c r="H565" s="7"/>
      <c r="I565" s="7"/>
      <c r="J565" s="7"/>
      <c r="K565" s="7"/>
      <c r="L565" s="7"/>
      <c r="M565" s="7"/>
      <c r="N565" s="7"/>
      <c r="O565" s="7"/>
      <c r="P565" s="7"/>
      <c r="Q565" s="7"/>
      <c r="R565" s="7"/>
      <c r="S565" s="7"/>
      <c r="T565" s="7"/>
      <c r="U565" s="7"/>
      <c r="V565" s="7"/>
      <c r="W565" s="7"/>
      <c r="X565" s="7"/>
      <c r="Y565" s="7"/>
    </row>
    <row r="566" spans="3:25" ht="19.5" customHeight="1">
      <c r="C566" s="7"/>
      <c r="D566" s="7"/>
      <c r="E566" s="7"/>
      <c r="F566" s="7"/>
      <c r="G566" s="7"/>
      <c r="H566" s="7"/>
      <c r="I566" s="7"/>
      <c r="J566" s="7"/>
      <c r="K566" s="7"/>
      <c r="L566" s="7"/>
      <c r="M566" s="7"/>
      <c r="N566" s="7"/>
      <c r="O566" s="7"/>
      <c r="P566" s="7"/>
      <c r="Q566" s="7"/>
      <c r="R566" s="7"/>
      <c r="S566" s="7"/>
      <c r="T566" s="7"/>
      <c r="U566" s="7"/>
      <c r="V566" s="7"/>
      <c r="W566" s="7"/>
      <c r="X566" s="7"/>
      <c r="Y566" s="7"/>
    </row>
    <row r="567" spans="3:25" ht="19.5" customHeight="1">
      <c r="C567" s="7"/>
      <c r="D567" s="7"/>
      <c r="E567" s="7"/>
      <c r="F567" s="7"/>
      <c r="G567" s="7"/>
      <c r="H567" s="7"/>
      <c r="I567" s="7"/>
      <c r="J567" s="7"/>
      <c r="K567" s="7"/>
      <c r="L567" s="7"/>
      <c r="M567" s="7"/>
      <c r="N567" s="7"/>
      <c r="O567" s="7"/>
      <c r="P567" s="7"/>
      <c r="Q567" s="7"/>
      <c r="R567" s="7"/>
      <c r="S567" s="7"/>
      <c r="T567" s="7"/>
      <c r="U567" s="7"/>
      <c r="V567" s="7"/>
      <c r="W567" s="7"/>
      <c r="X567" s="7"/>
      <c r="Y567" s="7"/>
    </row>
    <row r="568" spans="3:25" ht="19.5" customHeight="1">
      <c r="C568" s="7"/>
      <c r="D568" s="7"/>
      <c r="E568" s="7"/>
      <c r="F568" s="7"/>
      <c r="G568" s="7"/>
      <c r="H568" s="7"/>
      <c r="I568" s="7"/>
      <c r="J568" s="7"/>
      <c r="K568" s="7"/>
      <c r="L568" s="7"/>
      <c r="M568" s="7"/>
      <c r="N568" s="7"/>
      <c r="O568" s="7"/>
      <c r="P568" s="7"/>
      <c r="Q568" s="7"/>
      <c r="R568" s="7"/>
      <c r="S568" s="7"/>
      <c r="T568" s="7"/>
      <c r="U568" s="7"/>
      <c r="V568" s="7"/>
      <c r="W568" s="7"/>
      <c r="X568" s="7"/>
      <c r="Y568" s="7"/>
    </row>
    <row r="569" spans="3:25" ht="19.5" customHeight="1">
      <c r="C569" s="7"/>
      <c r="D569" s="7"/>
      <c r="E569" s="7"/>
      <c r="F569" s="7"/>
      <c r="G569" s="7"/>
      <c r="H569" s="7"/>
      <c r="I569" s="7"/>
      <c r="J569" s="7"/>
      <c r="K569" s="7"/>
      <c r="L569" s="7"/>
      <c r="M569" s="7"/>
      <c r="N569" s="7"/>
      <c r="O569" s="7"/>
      <c r="P569" s="7"/>
      <c r="Q569" s="7"/>
      <c r="R569" s="7"/>
      <c r="S569" s="7"/>
      <c r="T569" s="7"/>
      <c r="U569" s="7"/>
      <c r="V569" s="7"/>
      <c r="W569" s="7"/>
      <c r="X569" s="7"/>
      <c r="Y569" s="7"/>
    </row>
    <row r="570" spans="3:25" ht="19.5" customHeight="1">
      <c r="C570" s="7"/>
      <c r="D570" s="7"/>
      <c r="E570" s="7"/>
      <c r="F570" s="7"/>
      <c r="G570" s="7"/>
      <c r="H570" s="7"/>
      <c r="I570" s="7"/>
      <c r="J570" s="7"/>
      <c r="K570" s="7"/>
      <c r="L570" s="7"/>
      <c r="M570" s="7"/>
      <c r="N570" s="7"/>
      <c r="O570" s="7"/>
      <c r="P570" s="7"/>
      <c r="Q570" s="7"/>
      <c r="R570" s="7"/>
      <c r="S570" s="7"/>
      <c r="T570" s="7"/>
      <c r="U570" s="7"/>
      <c r="V570" s="7"/>
      <c r="W570" s="7"/>
      <c r="X570" s="7"/>
      <c r="Y570" s="7"/>
    </row>
    <row r="571" spans="3:25" ht="19.5" customHeight="1">
      <c r="C571" s="7"/>
      <c r="D571" s="7"/>
      <c r="E571" s="7"/>
      <c r="F571" s="7"/>
      <c r="G571" s="7"/>
      <c r="H571" s="7"/>
      <c r="I571" s="7"/>
      <c r="J571" s="7"/>
      <c r="K571" s="7"/>
      <c r="L571" s="7"/>
      <c r="M571" s="7"/>
      <c r="N571" s="7"/>
      <c r="O571" s="7"/>
      <c r="P571" s="7"/>
      <c r="Q571" s="7"/>
      <c r="R571" s="7"/>
      <c r="S571" s="7"/>
      <c r="T571" s="7"/>
      <c r="U571" s="7"/>
      <c r="V571" s="7"/>
      <c r="W571" s="7"/>
      <c r="X571" s="7"/>
      <c r="Y571" s="7"/>
    </row>
    <row r="572" spans="3:25" ht="19.5" customHeight="1">
      <c r="C572" s="7"/>
      <c r="D572" s="7"/>
      <c r="E572" s="7"/>
      <c r="F572" s="7"/>
      <c r="G572" s="7"/>
      <c r="H572" s="7"/>
      <c r="I572" s="7"/>
      <c r="J572" s="7"/>
      <c r="K572" s="7"/>
      <c r="L572" s="7"/>
      <c r="M572" s="7"/>
      <c r="N572" s="7"/>
      <c r="O572" s="7"/>
      <c r="P572" s="7"/>
      <c r="Q572" s="7"/>
      <c r="R572" s="7"/>
      <c r="S572" s="7"/>
      <c r="T572" s="7"/>
      <c r="U572" s="7"/>
      <c r="V572" s="7"/>
      <c r="W572" s="7"/>
      <c r="X572" s="7"/>
      <c r="Y572" s="7"/>
    </row>
    <row r="573" spans="3:25" ht="19.5" customHeight="1">
      <c r="C573" s="7"/>
      <c r="D573" s="7"/>
      <c r="E573" s="7"/>
      <c r="F573" s="7"/>
      <c r="G573" s="7"/>
      <c r="H573" s="7"/>
      <c r="I573" s="7"/>
      <c r="J573" s="7"/>
      <c r="K573" s="7"/>
      <c r="L573" s="7"/>
      <c r="M573" s="7"/>
      <c r="N573" s="7"/>
      <c r="O573" s="7"/>
      <c r="P573" s="7"/>
      <c r="Q573" s="7"/>
      <c r="R573" s="7"/>
      <c r="S573" s="7"/>
      <c r="T573" s="7"/>
      <c r="U573" s="7"/>
      <c r="V573" s="7"/>
      <c r="W573" s="7"/>
      <c r="X573" s="7"/>
      <c r="Y573" s="7"/>
    </row>
    <row r="574" spans="3:25" ht="19.5" customHeight="1">
      <c r="C574" s="7"/>
      <c r="D574" s="7"/>
      <c r="E574" s="7"/>
      <c r="F574" s="7"/>
      <c r="G574" s="7"/>
      <c r="H574" s="7"/>
      <c r="I574" s="7"/>
      <c r="J574" s="7"/>
      <c r="K574" s="7"/>
      <c r="L574" s="7"/>
      <c r="M574" s="7"/>
      <c r="N574" s="7"/>
      <c r="O574" s="7"/>
      <c r="P574" s="7"/>
      <c r="Q574" s="7"/>
      <c r="R574" s="7"/>
      <c r="S574" s="7"/>
      <c r="T574" s="7"/>
      <c r="U574" s="7"/>
      <c r="V574" s="7"/>
      <c r="W574" s="7"/>
      <c r="X574" s="7"/>
      <c r="Y574" s="7"/>
    </row>
    <row r="575" spans="3:25" ht="19.5" customHeight="1">
      <c r="C575" s="7"/>
      <c r="D575" s="7"/>
      <c r="E575" s="7"/>
      <c r="F575" s="7"/>
      <c r="G575" s="7"/>
      <c r="H575" s="7"/>
      <c r="I575" s="7"/>
      <c r="J575" s="7"/>
      <c r="K575" s="7"/>
      <c r="L575" s="7"/>
      <c r="M575" s="7"/>
      <c r="N575" s="7"/>
      <c r="O575" s="7"/>
      <c r="P575" s="7"/>
      <c r="Q575" s="7"/>
      <c r="R575" s="7"/>
      <c r="S575" s="7"/>
      <c r="T575" s="7"/>
      <c r="U575" s="7"/>
      <c r="V575" s="7"/>
      <c r="W575" s="7"/>
      <c r="X575" s="7"/>
      <c r="Y575" s="7"/>
    </row>
    <row r="576" spans="3:25" ht="19.5" customHeight="1">
      <c r="C576" s="7"/>
      <c r="D576" s="7"/>
      <c r="E576" s="7"/>
      <c r="F576" s="7"/>
      <c r="G576" s="7"/>
      <c r="H576" s="7"/>
      <c r="I576" s="7"/>
      <c r="J576" s="7"/>
      <c r="K576" s="7"/>
      <c r="L576" s="7"/>
      <c r="M576" s="7"/>
      <c r="N576" s="7"/>
      <c r="O576" s="7"/>
      <c r="P576" s="7"/>
      <c r="Q576" s="7"/>
      <c r="R576" s="7"/>
      <c r="S576" s="7"/>
      <c r="T576" s="7"/>
      <c r="U576" s="7"/>
      <c r="V576" s="7"/>
      <c r="W576" s="7"/>
      <c r="X576" s="7"/>
      <c r="Y576" s="7"/>
    </row>
    <row r="577" spans="3:25" ht="19.5" customHeight="1">
      <c r="C577" s="7"/>
      <c r="D577" s="7"/>
      <c r="E577" s="7"/>
      <c r="F577" s="7"/>
      <c r="G577" s="7"/>
      <c r="H577" s="7"/>
      <c r="I577" s="7"/>
      <c r="J577" s="7"/>
      <c r="K577" s="7"/>
      <c r="L577" s="7"/>
      <c r="M577" s="7"/>
      <c r="N577" s="7"/>
      <c r="O577" s="7"/>
      <c r="P577" s="7"/>
      <c r="Q577" s="7"/>
      <c r="R577" s="7"/>
      <c r="S577" s="7"/>
      <c r="T577" s="7"/>
      <c r="U577" s="7"/>
      <c r="V577" s="7"/>
      <c r="W577" s="7"/>
      <c r="X577" s="7"/>
      <c r="Y577" s="7"/>
    </row>
    <row r="578" spans="3:25" ht="19.5" customHeight="1">
      <c r="C578" s="7"/>
      <c r="D578" s="7"/>
      <c r="E578" s="7"/>
      <c r="F578" s="7"/>
      <c r="G578" s="7"/>
      <c r="H578" s="7"/>
      <c r="I578" s="7"/>
      <c r="J578" s="7"/>
      <c r="K578" s="7"/>
      <c r="L578" s="7"/>
      <c r="M578" s="7"/>
      <c r="N578" s="7"/>
      <c r="O578" s="7"/>
      <c r="P578" s="7"/>
      <c r="Q578" s="7"/>
      <c r="R578" s="7"/>
      <c r="S578" s="7"/>
      <c r="T578" s="7"/>
      <c r="U578" s="7"/>
      <c r="V578" s="7"/>
      <c r="W578" s="7"/>
      <c r="X578" s="7"/>
      <c r="Y578" s="7"/>
    </row>
    <row r="579" spans="3:25" ht="19.5" customHeight="1">
      <c r="C579" s="7"/>
      <c r="D579" s="7"/>
      <c r="E579" s="7"/>
      <c r="F579" s="7"/>
      <c r="G579" s="7"/>
      <c r="H579" s="7"/>
      <c r="I579" s="7"/>
      <c r="J579" s="7"/>
      <c r="K579" s="7"/>
      <c r="L579" s="7"/>
      <c r="M579" s="7"/>
      <c r="N579" s="7"/>
      <c r="O579" s="7"/>
      <c r="P579" s="7"/>
      <c r="Q579" s="7"/>
      <c r="R579" s="7"/>
      <c r="S579" s="7"/>
      <c r="T579" s="7"/>
      <c r="U579" s="7"/>
      <c r="V579" s="7"/>
      <c r="W579" s="7"/>
      <c r="X579" s="7"/>
      <c r="Y579" s="7"/>
    </row>
    <row r="580" spans="3:25" ht="19.5" customHeight="1">
      <c r="C580" s="7"/>
      <c r="D580" s="7"/>
      <c r="E580" s="7"/>
      <c r="F580" s="7"/>
      <c r="G580" s="7"/>
      <c r="H580" s="7"/>
      <c r="I580" s="7"/>
      <c r="J580" s="7"/>
      <c r="K580" s="7"/>
      <c r="L580" s="7"/>
      <c r="M580" s="7"/>
      <c r="N580" s="7"/>
      <c r="O580" s="7"/>
      <c r="P580" s="7"/>
      <c r="Q580" s="7"/>
      <c r="R580" s="7"/>
      <c r="S580" s="7"/>
      <c r="T580" s="7"/>
      <c r="U580" s="7"/>
      <c r="V580" s="7"/>
      <c r="W580" s="7"/>
      <c r="X580" s="7"/>
      <c r="Y580" s="7"/>
    </row>
    <row r="581" spans="3:25" ht="19.5" customHeight="1">
      <c r="C581" s="7"/>
      <c r="D581" s="7"/>
      <c r="E581" s="7"/>
      <c r="F581" s="7"/>
      <c r="G581" s="7"/>
      <c r="H581" s="7"/>
      <c r="I581" s="7"/>
      <c r="J581" s="7"/>
      <c r="K581" s="7"/>
      <c r="L581" s="7"/>
      <c r="M581" s="7"/>
      <c r="N581" s="7"/>
      <c r="O581" s="7"/>
      <c r="P581" s="7"/>
      <c r="Q581" s="7"/>
      <c r="R581" s="7"/>
      <c r="S581" s="7"/>
      <c r="T581" s="7"/>
      <c r="U581" s="7"/>
      <c r="V581" s="7"/>
      <c r="W581" s="7"/>
      <c r="X581" s="7"/>
      <c r="Y581" s="7"/>
    </row>
    <row r="582" spans="3:25" ht="19.5" customHeight="1">
      <c r="C582" s="7"/>
      <c r="D582" s="7"/>
      <c r="E582" s="7"/>
      <c r="F582" s="7"/>
      <c r="G582" s="7"/>
      <c r="H582" s="7"/>
      <c r="I582" s="7"/>
      <c r="J582" s="7"/>
      <c r="K582" s="7"/>
      <c r="L582" s="7"/>
      <c r="M582" s="7"/>
      <c r="N582" s="7"/>
      <c r="O582" s="7"/>
      <c r="P582" s="7"/>
      <c r="Q582" s="7"/>
      <c r="R582" s="7"/>
      <c r="S582" s="7"/>
      <c r="T582" s="7"/>
      <c r="U582" s="7"/>
      <c r="V582" s="7"/>
      <c r="W582" s="7"/>
      <c r="X582" s="7"/>
      <c r="Y582" s="7"/>
    </row>
    <row r="583" spans="3:25" ht="19.5" customHeight="1">
      <c r="C583" s="7"/>
      <c r="D583" s="7"/>
      <c r="E583" s="7"/>
      <c r="F583" s="7"/>
      <c r="G583" s="7"/>
      <c r="H583" s="7"/>
      <c r="I583" s="7"/>
      <c r="J583" s="7"/>
      <c r="K583" s="7"/>
      <c r="L583" s="7"/>
      <c r="M583" s="7"/>
      <c r="N583" s="7"/>
      <c r="O583" s="7"/>
      <c r="P583" s="7"/>
      <c r="Q583" s="7"/>
      <c r="R583" s="7"/>
      <c r="S583" s="7"/>
      <c r="T583" s="7"/>
      <c r="U583" s="7"/>
      <c r="V583" s="7"/>
      <c r="W583" s="7"/>
      <c r="X583" s="7"/>
      <c r="Y583" s="7"/>
    </row>
    <row r="584" spans="3:25" ht="19.5" customHeight="1">
      <c r="C584" s="7"/>
      <c r="D584" s="7"/>
      <c r="E584" s="7"/>
      <c r="F584" s="7"/>
      <c r="G584" s="7"/>
      <c r="H584" s="7"/>
      <c r="I584" s="7"/>
      <c r="J584" s="7"/>
      <c r="K584" s="7"/>
      <c r="L584" s="7"/>
      <c r="M584" s="7"/>
      <c r="N584" s="7"/>
      <c r="O584" s="7"/>
      <c r="P584" s="7"/>
      <c r="Q584" s="7"/>
      <c r="R584" s="7"/>
      <c r="S584" s="7"/>
      <c r="T584" s="7"/>
      <c r="U584" s="7"/>
      <c r="V584" s="7"/>
      <c r="W584" s="7"/>
      <c r="X584" s="7"/>
      <c r="Y584" s="7"/>
    </row>
    <row r="585" spans="3:25" ht="19.5" customHeight="1">
      <c r="C585" s="7"/>
      <c r="D585" s="7"/>
      <c r="E585" s="7"/>
      <c r="F585" s="7"/>
      <c r="G585" s="7"/>
      <c r="H585" s="7"/>
      <c r="I585" s="7"/>
      <c r="J585" s="7"/>
      <c r="K585" s="7"/>
      <c r="L585" s="7"/>
      <c r="M585" s="7"/>
      <c r="N585" s="7"/>
      <c r="O585" s="7"/>
      <c r="P585" s="7"/>
      <c r="Q585" s="7"/>
      <c r="R585" s="7"/>
      <c r="S585" s="7"/>
      <c r="T585" s="7"/>
      <c r="U585" s="7"/>
      <c r="V585" s="7"/>
      <c r="W585" s="7"/>
      <c r="X585" s="7"/>
      <c r="Y585" s="7"/>
    </row>
    <row r="586" spans="3:25" ht="19.5" customHeight="1">
      <c r="C586" s="7"/>
      <c r="D586" s="7"/>
      <c r="E586" s="7"/>
      <c r="F586" s="7"/>
      <c r="G586" s="7"/>
      <c r="H586" s="7"/>
      <c r="I586" s="7"/>
      <c r="J586" s="7"/>
      <c r="K586" s="7"/>
      <c r="L586" s="7"/>
      <c r="M586" s="7"/>
      <c r="N586" s="7"/>
      <c r="O586" s="7"/>
      <c r="P586" s="7"/>
      <c r="Q586" s="7"/>
      <c r="R586" s="7"/>
      <c r="S586" s="7"/>
      <c r="T586" s="7"/>
      <c r="U586" s="7"/>
      <c r="V586" s="7"/>
      <c r="W586" s="7"/>
      <c r="X586" s="7"/>
      <c r="Y586" s="7"/>
    </row>
    <row r="587" spans="3:25" ht="19.5" customHeight="1">
      <c r="C587" s="7"/>
      <c r="D587" s="7"/>
      <c r="E587" s="7"/>
      <c r="F587" s="7"/>
      <c r="G587" s="7"/>
      <c r="H587" s="7"/>
      <c r="I587" s="7"/>
      <c r="J587" s="7"/>
      <c r="K587" s="7"/>
      <c r="L587" s="7"/>
      <c r="M587" s="7"/>
      <c r="N587" s="7"/>
      <c r="O587" s="7"/>
      <c r="P587" s="7"/>
      <c r="Q587" s="7"/>
      <c r="R587" s="7"/>
      <c r="S587" s="7"/>
      <c r="T587" s="7"/>
      <c r="U587" s="7"/>
      <c r="V587" s="7"/>
      <c r="W587" s="7"/>
      <c r="X587" s="7"/>
      <c r="Y587" s="7"/>
    </row>
    <row r="588" spans="3:25" ht="19.5" customHeight="1">
      <c r="C588" s="7"/>
      <c r="D588" s="7"/>
      <c r="E588" s="7"/>
      <c r="F588" s="7"/>
      <c r="G588" s="7"/>
      <c r="H588" s="7"/>
      <c r="I588" s="7"/>
      <c r="J588" s="7"/>
      <c r="K588" s="7"/>
      <c r="L588" s="7"/>
      <c r="M588" s="7"/>
      <c r="N588" s="7"/>
      <c r="O588" s="7"/>
      <c r="P588" s="7"/>
      <c r="Q588" s="7"/>
      <c r="R588" s="7"/>
      <c r="S588" s="7"/>
      <c r="T588" s="7"/>
      <c r="U588" s="7"/>
      <c r="V588" s="7"/>
      <c r="W588" s="7"/>
      <c r="X588" s="7"/>
      <c r="Y588" s="7"/>
    </row>
    <row r="589" spans="3:25" ht="19.5" customHeight="1">
      <c r="C589" s="7"/>
      <c r="D589" s="7"/>
      <c r="E589" s="7"/>
      <c r="F589" s="7"/>
      <c r="G589" s="7"/>
      <c r="H589" s="7"/>
      <c r="I589" s="7"/>
      <c r="J589" s="7"/>
      <c r="K589" s="7"/>
      <c r="L589" s="7"/>
      <c r="M589" s="7"/>
      <c r="N589" s="7"/>
      <c r="O589" s="7"/>
      <c r="P589" s="7"/>
      <c r="Q589" s="7"/>
      <c r="R589" s="7"/>
      <c r="S589" s="7"/>
      <c r="T589" s="7"/>
      <c r="U589" s="7"/>
      <c r="V589" s="7"/>
      <c r="W589" s="7"/>
      <c r="X589" s="7"/>
      <c r="Y589" s="7"/>
    </row>
    <row r="590" spans="3:25" ht="19.5" customHeight="1">
      <c r="C590" s="7"/>
      <c r="D590" s="7"/>
      <c r="E590" s="7"/>
      <c r="F590" s="7"/>
      <c r="G590" s="7"/>
      <c r="H590" s="7"/>
      <c r="I590" s="7"/>
      <c r="J590" s="7"/>
      <c r="K590" s="7"/>
      <c r="L590" s="7"/>
      <c r="M590" s="7"/>
      <c r="N590" s="7"/>
      <c r="O590" s="7"/>
      <c r="P590" s="7"/>
      <c r="Q590" s="7"/>
      <c r="R590" s="7"/>
      <c r="S590" s="7"/>
      <c r="T590" s="7"/>
      <c r="U590" s="7"/>
      <c r="V590" s="7"/>
      <c r="W590" s="7"/>
      <c r="X590" s="7"/>
      <c r="Y590" s="7"/>
    </row>
    <row r="591" spans="3:25" ht="19.5" customHeight="1">
      <c r="C591" s="7"/>
      <c r="D591" s="7"/>
      <c r="E591" s="7"/>
      <c r="F591" s="7"/>
      <c r="G591" s="7"/>
      <c r="H591" s="7"/>
      <c r="I591" s="7"/>
      <c r="J591" s="7"/>
      <c r="K591" s="7"/>
      <c r="L591" s="7"/>
      <c r="M591" s="7"/>
      <c r="N591" s="7"/>
      <c r="O591" s="7"/>
      <c r="P591" s="7"/>
      <c r="Q591" s="7"/>
      <c r="R591" s="7"/>
      <c r="S591" s="7"/>
      <c r="T591" s="7"/>
      <c r="U591" s="7"/>
      <c r="V591" s="7"/>
      <c r="W591" s="7"/>
      <c r="X591" s="7"/>
      <c r="Y591" s="7"/>
    </row>
    <row r="592" spans="3:25" ht="19.5" customHeight="1">
      <c r="C592" s="7"/>
      <c r="D592" s="7"/>
      <c r="E592" s="7"/>
      <c r="F592" s="7"/>
      <c r="G592" s="7"/>
      <c r="H592" s="7"/>
      <c r="I592" s="7"/>
      <c r="J592" s="7"/>
      <c r="K592" s="7"/>
      <c r="L592" s="7"/>
      <c r="M592" s="7"/>
      <c r="N592" s="7"/>
      <c r="O592" s="7"/>
      <c r="P592" s="7"/>
      <c r="Q592" s="7"/>
      <c r="R592" s="7"/>
      <c r="S592" s="7"/>
      <c r="T592" s="7"/>
      <c r="U592" s="7"/>
      <c r="V592" s="7"/>
      <c r="W592" s="7"/>
      <c r="X592" s="7"/>
      <c r="Y592" s="7"/>
    </row>
    <row r="593" spans="3:25" ht="19.5" customHeight="1">
      <c r="C593" s="7"/>
      <c r="D593" s="7"/>
      <c r="E593" s="7"/>
      <c r="F593" s="7"/>
      <c r="G593" s="7"/>
      <c r="H593" s="7"/>
      <c r="I593" s="7"/>
      <c r="J593" s="7"/>
      <c r="K593" s="7"/>
      <c r="L593" s="7"/>
      <c r="M593" s="7"/>
      <c r="N593" s="7"/>
      <c r="O593" s="7"/>
      <c r="P593" s="7"/>
      <c r="Q593" s="7"/>
      <c r="R593" s="7"/>
      <c r="S593" s="7"/>
      <c r="T593" s="7"/>
      <c r="U593" s="7"/>
      <c r="V593" s="7"/>
      <c r="W593" s="7"/>
      <c r="X593" s="7"/>
      <c r="Y593" s="7"/>
    </row>
    <row r="594" spans="3:25" ht="19.5" customHeight="1">
      <c r="C594" s="7"/>
      <c r="D594" s="7"/>
      <c r="E594" s="7"/>
      <c r="F594" s="7"/>
      <c r="G594" s="7"/>
      <c r="H594" s="7"/>
      <c r="I594" s="7"/>
      <c r="J594" s="7"/>
      <c r="K594" s="7"/>
      <c r="L594" s="7"/>
      <c r="M594" s="7"/>
      <c r="N594" s="7"/>
      <c r="O594" s="7"/>
      <c r="P594" s="7"/>
      <c r="Q594" s="7"/>
      <c r="R594" s="7"/>
      <c r="S594" s="7"/>
      <c r="T594" s="7"/>
      <c r="U594" s="7"/>
      <c r="V594" s="7"/>
      <c r="W594" s="7"/>
      <c r="X594" s="7"/>
      <c r="Y594" s="7"/>
    </row>
    <row r="595" spans="3:25" ht="19.5" customHeight="1">
      <c r="C595" s="7"/>
      <c r="D595" s="7"/>
      <c r="E595" s="7"/>
      <c r="F595" s="7"/>
      <c r="G595" s="7"/>
      <c r="H595" s="7"/>
      <c r="I595" s="7"/>
      <c r="J595" s="7"/>
      <c r="K595" s="7"/>
      <c r="L595" s="7"/>
      <c r="M595" s="7"/>
      <c r="N595" s="7"/>
      <c r="O595" s="7"/>
      <c r="P595" s="7"/>
      <c r="Q595" s="7"/>
      <c r="R595" s="7"/>
      <c r="S595" s="7"/>
      <c r="T595" s="7"/>
      <c r="U595" s="7"/>
      <c r="V595" s="7"/>
      <c r="W595" s="7"/>
      <c r="X595" s="7"/>
      <c r="Y595" s="7"/>
    </row>
    <row r="596" spans="3:25" ht="19.5" customHeight="1">
      <c r="C596" s="7"/>
      <c r="D596" s="7"/>
      <c r="E596" s="7"/>
      <c r="F596" s="7"/>
      <c r="G596" s="7"/>
      <c r="H596" s="7"/>
      <c r="I596" s="7"/>
      <c r="J596" s="7"/>
      <c r="K596" s="7"/>
      <c r="L596" s="7"/>
      <c r="M596" s="7"/>
      <c r="N596" s="7"/>
      <c r="O596" s="7"/>
      <c r="P596" s="7"/>
      <c r="Q596" s="7"/>
      <c r="R596" s="7"/>
      <c r="S596" s="7"/>
      <c r="T596" s="7"/>
      <c r="U596" s="7"/>
      <c r="V596" s="7"/>
      <c r="W596" s="7"/>
      <c r="X596" s="7"/>
      <c r="Y596" s="7"/>
    </row>
    <row r="597" spans="3:25" ht="19.5" customHeight="1">
      <c r="C597" s="7"/>
      <c r="D597" s="7"/>
      <c r="E597" s="7"/>
      <c r="F597" s="7"/>
      <c r="G597" s="7"/>
      <c r="H597" s="7"/>
      <c r="I597" s="7"/>
      <c r="J597" s="7"/>
      <c r="K597" s="7"/>
      <c r="L597" s="7"/>
      <c r="M597" s="7"/>
      <c r="N597" s="7"/>
      <c r="O597" s="7"/>
      <c r="P597" s="7"/>
      <c r="Q597" s="7"/>
      <c r="R597" s="7"/>
      <c r="S597" s="7"/>
      <c r="T597" s="7"/>
      <c r="U597" s="7"/>
      <c r="V597" s="7"/>
      <c r="W597" s="7"/>
      <c r="X597" s="7"/>
      <c r="Y597" s="7"/>
    </row>
    <row r="598" spans="3:25" ht="19.5" customHeight="1">
      <c r="C598" s="7"/>
      <c r="D598" s="7"/>
      <c r="E598" s="7"/>
      <c r="F598" s="7"/>
      <c r="G598" s="7"/>
      <c r="H598" s="7"/>
      <c r="I598" s="7"/>
      <c r="J598" s="7"/>
      <c r="K598" s="7"/>
      <c r="L598" s="7"/>
      <c r="M598" s="7"/>
      <c r="N598" s="7"/>
      <c r="O598" s="7"/>
      <c r="P598" s="7"/>
      <c r="Q598" s="7"/>
      <c r="R598" s="7"/>
      <c r="S598" s="7"/>
      <c r="T598" s="7"/>
      <c r="U598" s="7"/>
      <c r="V598" s="7"/>
      <c r="W598" s="7"/>
      <c r="X598" s="7"/>
      <c r="Y598" s="7"/>
    </row>
    <row r="599" spans="3:25" ht="19.5" customHeight="1">
      <c r="C599" s="7"/>
      <c r="D599" s="7"/>
      <c r="E599" s="7"/>
      <c r="F599" s="7"/>
      <c r="G599" s="7"/>
      <c r="H599" s="7"/>
      <c r="I599" s="7"/>
      <c r="J599" s="7"/>
      <c r="K599" s="7"/>
      <c r="L599" s="7"/>
      <c r="M599" s="7"/>
      <c r="N599" s="7"/>
      <c r="O599" s="7"/>
      <c r="P599" s="7"/>
      <c r="Q599" s="7"/>
      <c r="R599" s="7"/>
      <c r="S599" s="7"/>
      <c r="T599" s="7"/>
      <c r="U599" s="7"/>
      <c r="V599" s="7"/>
      <c r="W599" s="7"/>
      <c r="X599" s="7"/>
      <c r="Y599" s="7"/>
    </row>
    <row r="600" spans="3:25" ht="19.5" customHeight="1">
      <c r="C600" s="7"/>
      <c r="D600" s="7"/>
      <c r="E600" s="7"/>
      <c r="F600" s="7"/>
      <c r="G600" s="7"/>
      <c r="H600" s="7"/>
      <c r="I600" s="7"/>
      <c r="J600" s="7"/>
      <c r="K600" s="7"/>
      <c r="L600" s="7"/>
      <c r="M600" s="7"/>
      <c r="N600" s="7"/>
      <c r="O600" s="7"/>
      <c r="P600" s="7"/>
      <c r="Q600" s="7"/>
      <c r="R600" s="7"/>
      <c r="S600" s="7"/>
      <c r="T600" s="7"/>
      <c r="U600" s="7"/>
      <c r="V600" s="7"/>
      <c r="W600" s="7"/>
      <c r="X600" s="7"/>
      <c r="Y600" s="7"/>
    </row>
    <row r="601" spans="3:25" ht="19.5" customHeight="1">
      <c r="C601" s="7"/>
      <c r="D601" s="7"/>
      <c r="E601" s="7"/>
      <c r="F601" s="7"/>
      <c r="G601" s="7"/>
      <c r="H601" s="7"/>
      <c r="I601" s="7"/>
      <c r="J601" s="7"/>
      <c r="K601" s="7"/>
      <c r="L601" s="7"/>
      <c r="M601" s="7"/>
      <c r="N601" s="7"/>
      <c r="O601" s="7"/>
      <c r="P601" s="7"/>
      <c r="Q601" s="7"/>
      <c r="R601" s="7"/>
      <c r="S601" s="7"/>
      <c r="T601" s="7"/>
      <c r="U601" s="7"/>
      <c r="V601" s="7"/>
      <c r="W601" s="7"/>
      <c r="X601" s="7"/>
      <c r="Y601" s="7"/>
    </row>
    <row r="602" spans="3:25" ht="19.5" customHeight="1">
      <c r="C602" s="7"/>
      <c r="D602" s="7"/>
      <c r="E602" s="7"/>
      <c r="F602" s="7"/>
      <c r="G602" s="7"/>
      <c r="H602" s="7"/>
      <c r="I602" s="7"/>
      <c r="J602" s="7"/>
      <c r="K602" s="7"/>
      <c r="L602" s="7"/>
      <c r="M602" s="7"/>
      <c r="N602" s="7"/>
      <c r="O602" s="7"/>
      <c r="P602" s="7"/>
      <c r="Q602" s="7"/>
      <c r="R602" s="7"/>
      <c r="S602" s="7"/>
      <c r="T602" s="7"/>
      <c r="U602" s="7"/>
      <c r="V602" s="7"/>
      <c r="W602" s="7"/>
      <c r="X602" s="7"/>
      <c r="Y602" s="7"/>
    </row>
    <row r="603" spans="3:25" ht="19.5" customHeight="1">
      <c r="C603" s="7"/>
      <c r="D603" s="7"/>
      <c r="E603" s="7"/>
      <c r="F603" s="7"/>
      <c r="G603" s="7"/>
      <c r="H603" s="7"/>
      <c r="I603" s="7"/>
      <c r="J603" s="7"/>
      <c r="K603" s="7"/>
      <c r="L603" s="7"/>
      <c r="M603" s="7"/>
      <c r="N603" s="7"/>
      <c r="O603" s="7"/>
      <c r="P603" s="7"/>
      <c r="Q603" s="7"/>
      <c r="R603" s="7"/>
      <c r="S603" s="7"/>
      <c r="T603" s="7"/>
      <c r="U603" s="7"/>
      <c r="V603" s="7"/>
      <c r="W603" s="7"/>
      <c r="X603" s="7"/>
      <c r="Y603" s="7"/>
    </row>
    <row r="604" spans="3:25" ht="19.5" customHeight="1">
      <c r="C604" s="7"/>
      <c r="D604" s="7"/>
      <c r="E604" s="7"/>
      <c r="F604" s="7"/>
      <c r="G604" s="7"/>
      <c r="H604" s="7"/>
      <c r="I604" s="7"/>
      <c r="J604" s="7"/>
      <c r="K604" s="7"/>
      <c r="L604" s="7"/>
      <c r="M604" s="7"/>
      <c r="N604" s="7"/>
      <c r="O604" s="7"/>
      <c r="P604" s="7"/>
      <c r="Q604" s="7"/>
      <c r="R604" s="7"/>
      <c r="S604" s="7"/>
      <c r="T604" s="7"/>
      <c r="U604" s="7"/>
      <c r="V604" s="7"/>
      <c r="W604" s="7"/>
      <c r="X604" s="7"/>
      <c r="Y604" s="7"/>
    </row>
    <row r="605" spans="3:25" ht="19.5" customHeight="1">
      <c r="C605" s="7"/>
      <c r="D605" s="7"/>
      <c r="E605" s="7"/>
      <c r="F605" s="7"/>
      <c r="G605" s="7"/>
      <c r="H605" s="7"/>
      <c r="I605" s="7"/>
      <c r="J605" s="7"/>
      <c r="K605" s="7"/>
      <c r="L605" s="7"/>
      <c r="M605" s="7"/>
      <c r="N605" s="7"/>
      <c r="O605" s="7"/>
      <c r="P605" s="7"/>
      <c r="Q605" s="7"/>
      <c r="R605" s="7"/>
      <c r="S605" s="7"/>
      <c r="T605" s="7"/>
      <c r="U605" s="7"/>
      <c r="V605" s="7"/>
      <c r="W605" s="7"/>
      <c r="X605" s="7"/>
      <c r="Y605" s="7"/>
    </row>
    <row r="606" spans="3:25" ht="19.5" customHeight="1">
      <c r="C606" s="7"/>
      <c r="D606" s="7"/>
      <c r="E606" s="7"/>
      <c r="F606" s="7"/>
      <c r="G606" s="7"/>
      <c r="H606" s="7"/>
      <c r="I606" s="7"/>
      <c r="J606" s="7"/>
      <c r="K606" s="7"/>
      <c r="L606" s="7"/>
      <c r="M606" s="7"/>
      <c r="N606" s="7"/>
      <c r="O606" s="7"/>
      <c r="P606" s="7"/>
      <c r="Q606" s="7"/>
      <c r="R606" s="7"/>
      <c r="S606" s="7"/>
      <c r="T606" s="7"/>
      <c r="U606" s="7"/>
      <c r="V606" s="7"/>
      <c r="W606" s="7"/>
      <c r="X606" s="7"/>
      <c r="Y606" s="7"/>
    </row>
    <row r="607" spans="3:25" ht="19.5" customHeight="1">
      <c r="C607" s="7"/>
      <c r="D607" s="7"/>
      <c r="E607" s="7"/>
      <c r="F607" s="7"/>
      <c r="G607" s="7"/>
      <c r="H607" s="7"/>
      <c r="I607" s="7"/>
      <c r="J607" s="7"/>
      <c r="K607" s="7"/>
      <c r="L607" s="7"/>
      <c r="M607" s="7"/>
      <c r="N607" s="7"/>
      <c r="O607" s="7"/>
      <c r="P607" s="7"/>
      <c r="Q607" s="7"/>
      <c r="R607" s="7"/>
      <c r="S607" s="7"/>
      <c r="T607" s="7"/>
      <c r="U607" s="7"/>
      <c r="V607" s="7"/>
      <c r="W607" s="7"/>
      <c r="X607" s="7"/>
      <c r="Y607" s="7"/>
    </row>
    <row r="608" spans="3:25" ht="19.5" customHeight="1">
      <c r="C608" s="7"/>
      <c r="D608" s="7"/>
      <c r="E608" s="7"/>
      <c r="F608" s="7"/>
      <c r="G608" s="7"/>
      <c r="H608" s="7"/>
      <c r="I608" s="7"/>
      <c r="J608" s="7"/>
      <c r="K608" s="7"/>
      <c r="L608" s="7"/>
      <c r="M608" s="7"/>
      <c r="N608" s="7"/>
      <c r="O608" s="7"/>
      <c r="P608" s="7"/>
      <c r="Q608" s="7"/>
      <c r="R608" s="7"/>
      <c r="S608" s="7"/>
      <c r="T608" s="7"/>
      <c r="U608" s="7"/>
      <c r="V608" s="7"/>
      <c r="W608" s="7"/>
      <c r="X608" s="7"/>
      <c r="Y608" s="7"/>
    </row>
    <row r="609" spans="3:25" ht="19.5" customHeight="1">
      <c r="C609" s="7"/>
      <c r="D609" s="7"/>
      <c r="E609" s="7"/>
      <c r="F609" s="7"/>
      <c r="G609" s="7"/>
      <c r="H609" s="7"/>
      <c r="I609" s="7"/>
      <c r="J609" s="7"/>
      <c r="K609" s="7"/>
      <c r="L609" s="7"/>
      <c r="M609" s="7"/>
      <c r="N609" s="7"/>
      <c r="O609" s="7"/>
      <c r="P609" s="7"/>
      <c r="Q609" s="7"/>
      <c r="R609" s="7"/>
      <c r="S609" s="7"/>
      <c r="T609" s="7"/>
      <c r="U609" s="7"/>
      <c r="V609" s="7"/>
      <c r="W609" s="7"/>
      <c r="X609" s="7"/>
      <c r="Y609" s="7"/>
    </row>
    <row r="610" spans="3:25" ht="19.5" customHeight="1">
      <c r="C610" s="7"/>
      <c r="D610" s="7"/>
      <c r="E610" s="7"/>
      <c r="F610" s="7"/>
      <c r="G610" s="7"/>
      <c r="H610" s="7"/>
      <c r="I610" s="7"/>
      <c r="J610" s="7"/>
      <c r="K610" s="7"/>
      <c r="L610" s="7"/>
      <c r="M610" s="7"/>
      <c r="N610" s="7"/>
      <c r="O610" s="7"/>
      <c r="P610" s="7"/>
      <c r="Q610" s="7"/>
      <c r="R610" s="7"/>
      <c r="S610" s="7"/>
      <c r="T610" s="7"/>
      <c r="U610" s="7"/>
      <c r="V610" s="7"/>
      <c r="W610" s="7"/>
      <c r="X610" s="7"/>
      <c r="Y610" s="7"/>
    </row>
    <row r="611" spans="3:25" ht="19.5" customHeight="1">
      <c r="C611" s="7"/>
      <c r="D611" s="7"/>
      <c r="E611" s="7"/>
      <c r="F611" s="7"/>
      <c r="G611" s="7"/>
      <c r="H611" s="7"/>
      <c r="I611" s="7"/>
      <c r="J611" s="7"/>
      <c r="K611" s="7"/>
      <c r="L611" s="7"/>
      <c r="M611" s="7"/>
      <c r="N611" s="7"/>
      <c r="O611" s="7"/>
      <c r="P611" s="7"/>
      <c r="Q611" s="7"/>
      <c r="R611" s="7"/>
      <c r="S611" s="7"/>
      <c r="T611" s="7"/>
      <c r="U611" s="7"/>
      <c r="V611" s="7"/>
      <c r="W611" s="7"/>
      <c r="X611" s="7"/>
      <c r="Y611" s="7"/>
    </row>
    <row r="612" spans="3:25" ht="19.5" customHeight="1">
      <c r="C612" s="7"/>
      <c r="D612" s="7"/>
      <c r="E612" s="7"/>
      <c r="F612" s="7"/>
      <c r="G612" s="7"/>
      <c r="H612" s="7"/>
      <c r="I612" s="7"/>
      <c r="J612" s="7"/>
      <c r="K612" s="7"/>
      <c r="L612" s="7"/>
      <c r="M612" s="7"/>
      <c r="N612" s="7"/>
      <c r="O612" s="7"/>
      <c r="P612" s="7"/>
      <c r="Q612" s="7"/>
      <c r="R612" s="7"/>
      <c r="S612" s="7"/>
      <c r="T612" s="7"/>
      <c r="U612" s="7"/>
      <c r="V612" s="7"/>
      <c r="W612" s="7"/>
      <c r="X612" s="7"/>
      <c r="Y612" s="7"/>
    </row>
    <row r="613" spans="3:25" ht="19.5" customHeight="1">
      <c r="C613" s="7"/>
      <c r="D613" s="7"/>
      <c r="E613" s="7"/>
      <c r="F613" s="7"/>
      <c r="G613" s="7"/>
      <c r="H613" s="7"/>
      <c r="I613" s="7"/>
      <c r="J613" s="7"/>
      <c r="K613" s="7"/>
      <c r="L613" s="7"/>
      <c r="M613" s="7"/>
      <c r="N613" s="7"/>
      <c r="O613" s="7"/>
      <c r="P613" s="7"/>
      <c r="Q613" s="7"/>
      <c r="R613" s="7"/>
      <c r="S613" s="7"/>
      <c r="T613" s="7"/>
      <c r="U613" s="7"/>
      <c r="V613" s="7"/>
      <c r="W613" s="7"/>
      <c r="X613" s="7"/>
      <c r="Y613" s="7"/>
    </row>
    <row r="614" spans="3:25" ht="19.5" customHeight="1">
      <c r="C614" s="7"/>
      <c r="D614" s="7"/>
      <c r="E614" s="7"/>
      <c r="F614" s="7"/>
      <c r="G614" s="7"/>
      <c r="H614" s="7"/>
      <c r="I614" s="7"/>
      <c r="J614" s="7"/>
      <c r="K614" s="7"/>
      <c r="L614" s="7"/>
      <c r="M614" s="7"/>
      <c r="N614" s="7"/>
      <c r="O614" s="7"/>
      <c r="P614" s="7"/>
      <c r="Q614" s="7"/>
      <c r="R614" s="7"/>
      <c r="S614" s="7"/>
      <c r="T614" s="7"/>
      <c r="U614" s="7"/>
      <c r="V614" s="7"/>
      <c r="W614" s="7"/>
      <c r="X614" s="7"/>
      <c r="Y614" s="7"/>
    </row>
    <row r="615" spans="3:25" ht="19.5" customHeight="1">
      <c r="C615" s="7"/>
      <c r="D615" s="7"/>
      <c r="E615" s="7"/>
      <c r="F615" s="7"/>
      <c r="G615" s="7"/>
      <c r="H615" s="7"/>
      <c r="I615" s="7"/>
      <c r="J615" s="7"/>
      <c r="K615" s="7"/>
      <c r="L615" s="7"/>
      <c r="M615" s="7"/>
      <c r="N615" s="7"/>
      <c r="O615" s="7"/>
      <c r="P615" s="7"/>
      <c r="Q615" s="7"/>
      <c r="R615" s="7"/>
      <c r="S615" s="7"/>
      <c r="T615" s="7"/>
      <c r="U615" s="7"/>
      <c r="V615" s="7"/>
      <c r="W615" s="7"/>
      <c r="X615" s="7"/>
      <c r="Y615" s="7"/>
    </row>
    <row r="616" spans="3:25" ht="19.5" customHeight="1">
      <c r="C616" s="7"/>
      <c r="D616" s="7"/>
      <c r="E616" s="7"/>
      <c r="F616" s="7"/>
      <c r="G616" s="7"/>
      <c r="H616" s="7"/>
      <c r="I616" s="7"/>
      <c r="J616" s="7"/>
      <c r="K616" s="7"/>
      <c r="L616" s="7"/>
      <c r="M616" s="7"/>
      <c r="N616" s="7"/>
      <c r="O616" s="7"/>
      <c r="P616" s="7"/>
      <c r="Q616" s="7"/>
      <c r="R616" s="7"/>
      <c r="S616" s="7"/>
      <c r="T616" s="7"/>
      <c r="U616" s="7"/>
      <c r="V616" s="7"/>
      <c r="W616" s="7"/>
      <c r="X616" s="7"/>
      <c r="Y616" s="7"/>
    </row>
    <row r="617" spans="3:25" ht="19.5" customHeight="1">
      <c r="C617" s="7"/>
      <c r="D617" s="7"/>
      <c r="E617" s="7"/>
      <c r="F617" s="7"/>
      <c r="G617" s="7"/>
      <c r="H617" s="7"/>
      <c r="I617" s="7"/>
      <c r="J617" s="7"/>
      <c r="K617" s="7"/>
      <c r="L617" s="7"/>
      <c r="M617" s="7"/>
      <c r="N617" s="7"/>
      <c r="O617" s="7"/>
      <c r="P617" s="7"/>
      <c r="Q617" s="7"/>
      <c r="R617" s="7"/>
      <c r="S617" s="7"/>
      <c r="T617" s="7"/>
      <c r="U617" s="7"/>
      <c r="V617" s="7"/>
      <c r="W617" s="7"/>
      <c r="X617" s="7"/>
      <c r="Y617" s="7"/>
    </row>
    <row r="618" spans="3:25" ht="19.5" customHeight="1">
      <c r="C618" s="7"/>
      <c r="D618" s="7"/>
      <c r="E618" s="7"/>
      <c r="F618" s="7"/>
      <c r="G618" s="7"/>
      <c r="H618" s="7"/>
      <c r="I618" s="7"/>
      <c r="J618" s="7"/>
      <c r="K618" s="7"/>
      <c r="L618" s="7"/>
      <c r="M618" s="7"/>
      <c r="N618" s="7"/>
      <c r="O618" s="7"/>
      <c r="P618" s="7"/>
      <c r="Q618" s="7"/>
      <c r="R618" s="7"/>
      <c r="S618" s="7"/>
      <c r="T618" s="7"/>
      <c r="U618" s="7"/>
      <c r="V618" s="7"/>
      <c r="W618" s="7"/>
      <c r="X618" s="7"/>
      <c r="Y618" s="7"/>
    </row>
    <row r="619" spans="3:25" ht="19.5" customHeight="1">
      <c r="C619" s="7"/>
      <c r="D619" s="7"/>
      <c r="E619" s="7"/>
      <c r="F619" s="7"/>
      <c r="G619" s="7"/>
      <c r="H619" s="7"/>
      <c r="I619" s="7"/>
      <c r="J619" s="7"/>
      <c r="K619" s="7"/>
      <c r="L619" s="7"/>
      <c r="M619" s="7"/>
      <c r="N619" s="7"/>
      <c r="O619" s="7"/>
      <c r="P619" s="7"/>
      <c r="Q619" s="7"/>
      <c r="R619" s="7"/>
      <c r="S619" s="7"/>
      <c r="T619" s="7"/>
      <c r="U619" s="7"/>
      <c r="V619" s="7"/>
      <c r="W619" s="7"/>
      <c r="X619" s="7"/>
      <c r="Y619" s="7"/>
    </row>
    <row r="620" spans="3:25" ht="19.5" customHeight="1">
      <c r="C620" s="7"/>
      <c r="D620" s="7"/>
      <c r="E620" s="7"/>
      <c r="F620" s="7"/>
      <c r="G620" s="7"/>
      <c r="H620" s="7"/>
      <c r="I620" s="7"/>
      <c r="J620" s="7"/>
      <c r="K620" s="7"/>
      <c r="L620" s="7"/>
      <c r="M620" s="7"/>
      <c r="N620" s="7"/>
      <c r="O620" s="7"/>
      <c r="P620" s="7"/>
      <c r="Q620" s="7"/>
      <c r="R620" s="7"/>
      <c r="S620" s="7"/>
      <c r="T620" s="7"/>
      <c r="U620" s="7"/>
      <c r="V620" s="7"/>
      <c r="W620" s="7"/>
      <c r="X620" s="7"/>
      <c r="Y620" s="7"/>
    </row>
    <row r="621" spans="3:25" ht="19.5" customHeight="1">
      <c r="C621" s="7"/>
      <c r="D621" s="7"/>
      <c r="E621" s="7"/>
      <c r="F621" s="7"/>
      <c r="G621" s="7"/>
      <c r="H621" s="7"/>
      <c r="I621" s="7"/>
      <c r="J621" s="7"/>
      <c r="K621" s="7"/>
      <c r="L621" s="7"/>
      <c r="M621" s="7"/>
      <c r="N621" s="7"/>
      <c r="O621" s="7"/>
      <c r="P621" s="7"/>
      <c r="Q621" s="7"/>
      <c r="R621" s="7"/>
      <c r="S621" s="7"/>
      <c r="T621" s="7"/>
      <c r="U621" s="7"/>
      <c r="V621" s="7"/>
      <c r="W621" s="7"/>
      <c r="X621" s="7"/>
      <c r="Y621" s="7"/>
    </row>
    <row r="622" spans="3:25" ht="19.5" customHeight="1">
      <c r="C622" s="7"/>
      <c r="D622" s="7"/>
      <c r="E622" s="7"/>
      <c r="F622" s="7"/>
      <c r="G622" s="7"/>
      <c r="H622" s="7"/>
      <c r="I622" s="7"/>
      <c r="J622" s="7"/>
      <c r="K622" s="7"/>
      <c r="L622" s="7"/>
      <c r="M622" s="7"/>
      <c r="N622" s="7"/>
      <c r="O622" s="7"/>
      <c r="P622" s="7"/>
      <c r="Q622" s="7"/>
      <c r="R622" s="7"/>
      <c r="S622" s="7"/>
      <c r="T622" s="7"/>
      <c r="U622" s="7"/>
      <c r="V622" s="7"/>
      <c r="W622" s="7"/>
      <c r="X622" s="7"/>
      <c r="Y622" s="7"/>
    </row>
    <row r="623" spans="3:25" ht="19.5" customHeight="1">
      <c r="C623" s="7"/>
      <c r="D623" s="7"/>
      <c r="E623" s="7"/>
      <c r="F623" s="7"/>
      <c r="G623" s="7"/>
      <c r="H623" s="7"/>
      <c r="I623" s="7"/>
      <c r="J623" s="7"/>
      <c r="K623" s="7"/>
      <c r="L623" s="7"/>
      <c r="M623" s="7"/>
      <c r="N623" s="7"/>
      <c r="O623" s="7"/>
      <c r="P623" s="7"/>
      <c r="Q623" s="7"/>
      <c r="R623" s="7"/>
      <c r="S623" s="7"/>
      <c r="T623" s="7"/>
      <c r="U623" s="7"/>
      <c r="V623" s="7"/>
      <c r="W623" s="7"/>
      <c r="X623" s="7"/>
      <c r="Y623" s="7"/>
    </row>
    <row r="624" spans="3:25" ht="19.5" customHeight="1">
      <c r="C624" s="7"/>
      <c r="D624" s="7"/>
      <c r="E624" s="7"/>
      <c r="F624" s="7"/>
      <c r="G624" s="7"/>
      <c r="H624" s="7"/>
      <c r="I624" s="7"/>
      <c r="J624" s="7"/>
      <c r="K624" s="7"/>
      <c r="L624" s="7"/>
      <c r="M624" s="7"/>
      <c r="N624" s="7"/>
      <c r="O624" s="7"/>
      <c r="P624" s="7"/>
      <c r="Q624" s="7"/>
      <c r="R624" s="7"/>
      <c r="S624" s="7"/>
      <c r="T624" s="7"/>
      <c r="U624" s="7"/>
      <c r="V624" s="7"/>
      <c r="W624" s="7"/>
      <c r="X624" s="7"/>
      <c r="Y624" s="7"/>
    </row>
    <row r="625" spans="3:25" ht="19.5" customHeight="1">
      <c r="C625" s="7"/>
      <c r="D625" s="7"/>
      <c r="E625" s="7"/>
      <c r="F625" s="7"/>
      <c r="G625" s="7"/>
      <c r="H625" s="7"/>
      <c r="I625" s="7"/>
      <c r="J625" s="7"/>
      <c r="K625" s="7"/>
      <c r="L625" s="7"/>
      <c r="M625" s="7"/>
      <c r="N625" s="7"/>
      <c r="O625" s="7"/>
      <c r="P625" s="7"/>
      <c r="Q625" s="7"/>
      <c r="R625" s="7"/>
      <c r="S625" s="7"/>
      <c r="T625" s="7"/>
      <c r="U625" s="7"/>
      <c r="V625" s="7"/>
      <c r="W625" s="7"/>
      <c r="X625" s="7"/>
      <c r="Y625" s="7"/>
    </row>
    <row r="626" spans="3:25" ht="19.5" customHeight="1">
      <c r="C626" s="7"/>
      <c r="D626" s="7"/>
      <c r="E626" s="7"/>
      <c r="F626" s="7"/>
      <c r="G626" s="7"/>
      <c r="H626" s="7"/>
      <c r="I626" s="7"/>
      <c r="J626" s="7"/>
      <c r="K626" s="7"/>
      <c r="L626" s="7"/>
      <c r="M626" s="7"/>
      <c r="N626" s="7"/>
      <c r="O626" s="7"/>
      <c r="P626" s="7"/>
      <c r="Q626" s="7"/>
      <c r="R626" s="7"/>
      <c r="S626" s="7"/>
      <c r="T626" s="7"/>
      <c r="U626" s="7"/>
      <c r="V626" s="7"/>
      <c r="W626" s="7"/>
      <c r="X626" s="7"/>
      <c r="Y626" s="7"/>
    </row>
    <row r="627" spans="3:25" ht="19.5" customHeight="1">
      <c r="C627" s="7"/>
      <c r="D627" s="7"/>
      <c r="E627" s="7"/>
      <c r="F627" s="7"/>
      <c r="G627" s="7"/>
      <c r="H627" s="7"/>
      <c r="I627" s="7"/>
      <c r="J627" s="7"/>
      <c r="K627" s="7"/>
      <c r="L627" s="7"/>
      <c r="M627" s="7"/>
      <c r="N627" s="7"/>
      <c r="O627" s="7"/>
      <c r="P627" s="7"/>
      <c r="Q627" s="7"/>
      <c r="R627" s="7"/>
      <c r="S627" s="7"/>
      <c r="T627" s="7"/>
      <c r="U627" s="7"/>
      <c r="V627" s="7"/>
      <c r="W627" s="7"/>
      <c r="X627" s="7"/>
      <c r="Y627" s="7"/>
    </row>
    <row r="628" spans="3:25" ht="19.5" customHeight="1">
      <c r="C628" s="7"/>
      <c r="D628" s="7"/>
      <c r="E628" s="7"/>
      <c r="F628" s="7"/>
      <c r="G628" s="7"/>
      <c r="H628" s="7"/>
      <c r="I628" s="7"/>
      <c r="J628" s="7"/>
      <c r="K628" s="7"/>
      <c r="L628" s="7"/>
      <c r="M628" s="7"/>
      <c r="N628" s="7"/>
      <c r="O628" s="7"/>
      <c r="P628" s="7"/>
      <c r="Q628" s="7"/>
      <c r="R628" s="7"/>
      <c r="S628" s="7"/>
      <c r="T628" s="7"/>
      <c r="U628" s="7"/>
      <c r="V628" s="7"/>
      <c r="W628" s="7"/>
      <c r="X628" s="7"/>
      <c r="Y628" s="7"/>
    </row>
    <row r="629" spans="3:25" ht="19.5" customHeight="1">
      <c r="C629" s="7"/>
      <c r="D629" s="7"/>
      <c r="E629" s="7"/>
      <c r="F629" s="7"/>
      <c r="G629" s="7"/>
      <c r="H629" s="7"/>
      <c r="I629" s="7"/>
      <c r="J629" s="7"/>
      <c r="K629" s="7"/>
      <c r="L629" s="7"/>
      <c r="M629" s="7"/>
      <c r="N629" s="7"/>
      <c r="O629" s="7"/>
      <c r="P629" s="7"/>
      <c r="Q629" s="7"/>
      <c r="R629" s="7"/>
      <c r="S629" s="7"/>
      <c r="T629" s="7"/>
      <c r="U629" s="7"/>
      <c r="V629" s="7"/>
      <c r="W629" s="7"/>
      <c r="X629" s="7"/>
      <c r="Y629" s="7"/>
    </row>
    <row r="630" spans="3:25" ht="19.5" customHeight="1">
      <c r="C630" s="7"/>
      <c r="D630" s="7"/>
      <c r="E630" s="7"/>
      <c r="F630" s="7"/>
      <c r="G630" s="7"/>
      <c r="H630" s="7"/>
      <c r="I630" s="7"/>
      <c r="J630" s="7"/>
      <c r="K630" s="7"/>
      <c r="L630" s="7"/>
      <c r="M630" s="7"/>
      <c r="N630" s="7"/>
      <c r="O630" s="7"/>
      <c r="P630" s="7"/>
      <c r="Q630" s="7"/>
      <c r="R630" s="7"/>
      <c r="S630" s="7"/>
      <c r="T630" s="7"/>
      <c r="U630" s="7"/>
      <c r="V630" s="7"/>
      <c r="W630" s="7"/>
      <c r="X630" s="7"/>
      <c r="Y630" s="7"/>
    </row>
    <row r="631" spans="3:25" ht="19.5" customHeight="1">
      <c r="C631" s="7"/>
      <c r="D631" s="7"/>
      <c r="E631" s="7"/>
      <c r="F631" s="7"/>
      <c r="G631" s="7"/>
      <c r="H631" s="7"/>
      <c r="I631" s="7"/>
      <c r="J631" s="7"/>
      <c r="K631" s="7"/>
      <c r="L631" s="7"/>
      <c r="M631" s="7"/>
      <c r="N631" s="7"/>
      <c r="O631" s="7"/>
      <c r="P631" s="7"/>
      <c r="Q631" s="7"/>
      <c r="R631" s="7"/>
      <c r="S631" s="7"/>
      <c r="T631" s="7"/>
      <c r="U631" s="7"/>
      <c r="V631" s="7"/>
      <c r="W631" s="7"/>
      <c r="X631" s="7"/>
      <c r="Y631" s="7"/>
    </row>
    <row r="632" spans="3:25" ht="19.5" customHeight="1">
      <c r="C632" s="7"/>
      <c r="D632" s="7"/>
      <c r="E632" s="7"/>
      <c r="F632" s="7"/>
      <c r="G632" s="7"/>
      <c r="H632" s="7"/>
      <c r="I632" s="7"/>
      <c r="J632" s="7"/>
      <c r="K632" s="7"/>
      <c r="L632" s="7"/>
      <c r="M632" s="7"/>
      <c r="N632" s="7"/>
      <c r="O632" s="7"/>
      <c r="P632" s="7"/>
      <c r="Q632" s="7"/>
      <c r="R632" s="7"/>
      <c r="S632" s="7"/>
      <c r="T632" s="7"/>
      <c r="U632" s="7"/>
      <c r="V632" s="7"/>
      <c r="W632" s="7"/>
      <c r="X632" s="7"/>
      <c r="Y632" s="7"/>
    </row>
    <row r="633" spans="3:25" ht="19.5" customHeight="1">
      <c r="C633" s="7"/>
      <c r="D633" s="7"/>
      <c r="E633" s="7"/>
      <c r="F633" s="7"/>
      <c r="G633" s="7"/>
      <c r="H633" s="7"/>
      <c r="I633" s="7"/>
      <c r="J633" s="7"/>
      <c r="K633" s="7"/>
      <c r="L633" s="7"/>
      <c r="M633" s="7"/>
      <c r="N633" s="7"/>
      <c r="O633" s="7"/>
      <c r="P633" s="7"/>
      <c r="Q633" s="7"/>
      <c r="R633" s="7"/>
      <c r="S633" s="7"/>
      <c r="T633" s="7"/>
      <c r="U633" s="7"/>
      <c r="V633" s="7"/>
      <c r="W633" s="7"/>
      <c r="X633" s="7"/>
      <c r="Y633" s="7"/>
    </row>
    <row r="634" spans="3:25" ht="19.5" customHeight="1">
      <c r="C634" s="7"/>
      <c r="D634" s="7"/>
      <c r="E634" s="7"/>
      <c r="F634" s="7"/>
      <c r="G634" s="7"/>
      <c r="H634" s="7"/>
      <c r="I634" s="7"/>
      <c r="J634" s="7"/>
      <c r="K634" s="7"/>
      <c r="L634" s="7"/>
      <c r="M634" s="7"/>
      <c r="N634" s="7"/>
      <c r="O634" s="7"/>
      <c r="P634" s="7"/>
      <c r="Q634" s="7"/>
      <c r="R634" s="7"/>
      <c r="S634" s="7"/>
      <c r="T634" s="7"/>
      <c r="U634" s="7"/>
      <c r="V634" s="7"/>
      <c r="W634" s="7"/>
      <c r="X634" s="7"/>
      <c r="Y634" s="7"/>
    </row>
    <row r="635" spans="3:25" ht="19.5" customHeight="1">
      <c r="C635" s="7"/>
      <c r="D635" s="7"/>
      <c r="E635" s="7"/>
      <c r="F635" s="7"/>
      <c r="G635" s="7"/>
      <c r="H635" s="7"/>
      <c r="I635" s="7"/>
      <c r="J635" s="7"/>
      <c r="K635" s="7"/>
      <c r="L635" s="7"/>
      <c r="M635" s="7"/>
      <c r="N635" s="7"/>
      <c r="O635" s="7"/>
      <c r="P635" s="7"/>
      <c r="Q635" s="7"/>
      <c r="R635" s="7"/>
      <c r="S635" s="7"/>
      <c r="T635" s="7"/>
      <c r="U635" s="7"/>
      <c r="V635" s="7"/>
      <c r="W635" s="7"/>
      <c r="X635" s="7"/>
      <c r="Y635" s="7"/>
    </row>
    <row r="636" spans="3:25" ht="19.5" customHeight="1">
      <c r="C636" s="7"/>
      <c r="D636" s="7"/>
      <c r="E636" s="7"/>
      <c r="F636" s="7"/>
      <c r="G636" s="7"/>
      <c r="H636" s="7"/>
      <c r="I636" s="7"/>
      <c r="J636" s="7"/>
      <c r="K636" s="7"/>
      <c r="L636" s="7"/>
      <c r="M636" s="7"/>
      <c r="N636" s="7"/>
      <c r="O636" s="7"/>
      <c r="P636" s="7"/>
      <c r="Q636" s="7"/>
      <c r="R636" s="7"/>
      <c r="S636" s="7"/>
      <c r="T636" s="7"/>
      <c r="U636" s="7"/>
      <c r="V636" s="7"/>
      <c r="W636" s="7"/>
      <c r="X636" s="7"/>
      <c r="Y636" s="7"/>
    </row>
    <row r="637" spans="3:25" ht="19.5" customHeight="1">
      <c r="C637" s="7"/>
      <c r="D637" s="7"/>
      <c r="E637" s="7"/>
      <c r="F637" s="7"/>
      <c r="G637" s="7"/>
      <c r="H637" s="7"/>
      <c r="I637" s="7"/>
      <c r="J637" s="7"/>
      <c r="K637" s="7"/>
      <c r="L637" s="7"/>
      <c r="M637" s="7"/>
      <c r="N637" s="7"/>
      <c r="O637" s="7"/>
      <c r="P637" s="7"/>
      <c r="Q637" s="7"/>
      <c r="R637" s="7"/>
      <c r="S637" s="7"/>
      <c r="T637" s="7"/>
      <c r="U637" s="7"/>
      <c r="V637" s="7"/>
      <c r="W637" s="7"/>
      <c r="X637" s="7"/>
      <c r="Y637" s="7"/>
    </row>
    <row r="638" spans="3:25" ht="19.5" customHeight="1">
      <c r="C638" s="7"/>
      <c r="D638" s="7"/>
      <c r="E638" s="7"/>
      <c r="F638" s="7"/>
      <c r="G638" s="7"/>
      <c r="H638" s="7"/>
      <c r="I638" s="7"/>
      <c r="J638" s="7"/>
      <c r="K638" s="7"/>
      <c r="L638" s="7"/>
      <c r="M638" s="7"/>
      <c r="N638" s="7"/>
      <c r="O638" s="7"/>
      <c r="P638" s="7"/>
      <c r="Q638" s="7"/>
      <c r="R638" s="7"/>
      <c r="S638" s="7"/>
      <c r="T638" s="7"/>
      <c r="U638" s="7"/>
      <c r="V638" s="7"/>
      <c r="W638" s="7"/>
      <c r="X638" s="7"/>
      <c r="Y638" s="7"/>
    </row>
    <row r="639" spans="3:25" ht="19.5" customHeight="1">
      <c r="C639" s="7"/>
      <c r="D639" s="7"/>
      <c r="E639" s="7"/>
      <c r="F639" s="7"/>
      <c r="G639" s="7"/>
      <c r="H639" s="7"/>
      <c r="I639" s="7"/>
      <c r="J639" s="7"/>
      <c r="K639" s="7"/>
      <c r="L639" s="7"/>
      <c r="M639" s="7"/>
      <c r="N639" s="7"/>
      <c r="O639" s="7"/>
      <c r="P639" s="7"/>
      <c r="Q639" s="7"/>
      <c r="R639" s="7"/>
      <c r="S639" s="7"/>
      <c r="T639" s="7"/>
      <c r="U639" s="7"/>
      <c r="V639" s="7"/>
      <c r="W639" s="7"/>
      <c r="X639" s="7"/>
      <c r="Y639" s="7"/>
    </row>
    <row r="640" spans="3:25" ht="19.5" customHeight="1">
      <c r="C640" s="7"/>
      <c r="D640" s="7"/>
      <c r="E640" s="7"/>
      <c r="F640" s="7"/>
      <c r="G640" s="7"/>
      <c r="H640" s="7"/>
      <c r="I640" s="7"/>
      <c r="J640" s="7"/>
      <c r="K640" s="7"/>
      <c r="L640" s="7"/>
      <c r="M640" s="7"/>
      <c r="N640" s="7"/>
      <c r="O640" s="7"/>
      <c r="P640" s="7"/>
      <c r="Q640" s="7"/>
      <c r="R640" s="7"/>
      <c r="S640" s="7"/>
      <c r="T640" s="7"/>
      <c r="U640" s="7"/>
      <c r="V640" s="7"/>
      <c r="W640" s="7"/>
      <c r="X640" s="7"/>
      <c r="Y640" s="7"/>
    </row>
    <row r="641" spans="3:25" ht="19.5" customHeight="1">
      <c r="C641" s="7"/>
      <c r="D641" s="7"/>
      <c r="E641" s="7"/>
      <c r="F641" s="7"/>
      <c r="G641" s="7"/>
      <c r="H641" s="7"/>
      <c r="I641" s="7"/>
      <c r="J641" s="7"/>
      <c r="K641" s="7"/>
      <c r="L641" s="7"/>
      <c r="M641" s="7"/>
      <c r="N641" s="7"/>
      <c r="O641" s="7"/>
      <c r="P641" s="7"/>
      <c r="Q641" s="7"/>
      <c r="R641" s="7"/>
      <c r="S641" s="7"/>
      <c r="T641" s="7"/>
      <c r="U641" s="7"/>
      <c r="V641" s="7"/>
      <c r="W641" s="7"/>
      <c r="X641" s="7"/>
      <c r="Y641" s="7"/>
    </row>
    <row r="642" spans="3:25" ht="19.5" customHeight="1">
      <c r="C642" s="7"/>
      <c r="D642" s="7"/>
      <c r="E642" s="7"/>
      <c r="F642" s="7"/>
      <c r="G642" s="7"/>
      <c r="H642" s="7"/>
      <c r="I642" s="7"/>
      <c r="J642" s="7"/>
      <c r="K642" s="7"/>
      <c r="L642" s="7"/>
      <c r="M642" s="7"/>
      <c r="N642" s="7"/>
      <c r="O642" s="7"/>
      <c r="P642" s="7"/>
      <c r="Q642" s="7"/>
      <c r="R642" s="7"/>
      <c r="S642" s="7"/>
      <c r="T642" s="7"/>
      <c r="U642" s="7"/>
      <c r="V642" s="7"/>
      <c r="W642" s="7"/>
      <c r="X642" s="7"/>
      <c r="Y642" s="7"/>
    </row>
    <row r="643" spans="3:25" ht="19.5" customHeight="1">
      <c r="C643" s="7"/>
      <c r="D643" s="7"/>
      <c r="E643" s="7"/>
      <c r="F643" s="7"/>
      <c r="G643" s="7"/>
      <c r="H643" s="7"/>
      <c r="I643" s="7"/>
      <c r="J643" s="7"/>
      <c r="K643" s="7"/>
      <c r="L643" s="7"/>
      <c r="M643" s="7"/>
      <c r="N643" s="7"/>
      <c r="O643" s="7"/>
      <c r="P643" s="7"/>
      <c r="Q643" s="7"/>
      <c r="R643" s="7"/>
      <c r="S643" s="7"/>
      <c r="T643" s="7"/>
      <c r="U643" s="7"/>
      <c r="V643" s="7"/>
      <c r="W643" s="7"/>
      <c r="X643" s="7"/>
      <c r="Y643" s="7"/>
    </row>
    <row r="644" spans="3:25" ht="19.5" customHeight="1">
      <c r="C644" s="7"/>
      <c r="D644" s="7"/>
      <c r="E644" s="7"/>
      <c r="F644" s="7"/>
      <c r="G644" s="7"/>
      <c r="H644" s="7"/>
      <c r="I644" s="7"/>
      <c r="J644" s="7"/>
      <c r="K644" s="7"/>
      <c r="L644" s="7"/>
      <c r="M644" s="7"/>
      <c r="N644" s="7"/>
      <c r="O644" s="7"/>
      <c r="P644" s="7"/>
      <c r="Q644" s="7"/>
      <c r="R644" s="7"/>
      <c r="S644" s="7"/>
      <c r="T644" s="7"/>
      <c r="U644" s="7"/>
      <c r="V644" s="7"/>
      <c r="W644" s="7"/>
      <c r="X644" s="7"/>
      <c r="Y644" s="7"/>
    </row>
    <row r="645" spans="3:25" ht="19.5" customHeight="1">
      <c r="C645" s="7"/>
      <c r="D645" s="7"/>
      <c r="E645" s="7"/>
      <c r="F645" s="7"/>
      <c r="G645" s="7"/>
      <c r="H645" s="7"/>
      <c r="I645" s="7"/>
      <c r="J645" s="7"/>
      <c r="K645" s="7"/>
      <c r="L645" s="7"/>
      <c r="M645" s="7"/>
      <c r="N645" s="7"/>
      <c r="O645" s="7"/>
      <c r="P645" s="7"/>
      <c r="Q645" s="7"/>
      <c r="R645" s="7"/>
      <c r="S645" s="7"/>
      <c r="T645" s="7"/>
      <c r="U645" s="7"/>
      <c r="V645" s="7"/>
      <c r="W645" s="7"/>
      <c r="X645" s="7"/>
      <c r="Y645" s="7"/>
    </row>
    <row r="646" spans="3:25" ht="19.5" customHeight="1">
      <c r="C646" s="7"/>
      <c r="D646" s="7"/>
      <c r="E646" s="7"/>
      <c r="F646" s="7"/>
      <c r="G646" s="7"/>
      <c r="H646" s="7"/>
      <c r="I646" s="7"/>
      <c r="J646" s="7"/>
      <c r="K646" s="7"/>
      <c r="L646" s="7"/>
      <c r="M646" s="7"/>
      <c r="N646" s="7"/>
      <c r="O646" s="7"/>
      <c r="P646" s="7"/>
      <c r="Q646" s="7"/>
      <c r="R646" s="7"/>
      <c r="S646" s="7"/>
      <c r="T646" s="7"/>
      <c r="U646" s="7"/>
      <c r="V646" s="7"/>
      <c r="W646" s="7"/>
      <c r="X646" s="7"/>
      <c r="Y646" s="7"/>
    </row>
    <row r="647" spans="3:25" ht="19.5" customHeight="1">
      <c r="C647" s="7"/>
      <c r="D647" s="7"/>
      <c r="E647" s="7"/>
      <c r="F647" s="7"/>
      <c r="G647" s="7"/>
      <c r="H647" s="7"/>
      <c r="I647" s="7"/>
      <c r="J647" s="7"/>
      <c r="K647" s="7"/>
      <c r="L647" s="7"/>
      <c r="M647" s="7"/>
      <c r="N647" s="7"/>
      <c r="O647" s="7"/>
      <c r="P647" s="7"/>
      <c r="Q647" s="7"/>
      <c r="R647" s="7"/>
      <c r="S647" s="7"/>
      <c r="T647" s="7"/>
      <c r="U647" s="7"/>
      <c r="V647" s="7"/>
      <c r="W647" s="7"/>
      <c r="X647" s="7"/>
      <c r="Y647" s="7"/>
    </row>
    <row r="648" spans="3:25" ht="19.5" customHeight="1">
      <c r="C648" s="7"/>
      <c r="D648" s="7"/>
      <c r="E648" s="7"/>
      <c r="F648" s="7"/>
      <c r="G648" s="7"/>
      <c r="H648" s="7"/>
      <c r="I648" s="7"/>
      <c r="J648" s="7"/>
      <c r="K648" s="7"/>
      <c r="L648" s="7"/>
      <c r="M648" s="7"/>
      <c r="N648" s="7"/>
      <c r="O648" s="7"/>
      <c r="P648" s="7"/>
      <c r="Q648" s="7"/>
      <c r="R648" s="7"/>
      <c r="S648" s="7"/>
      <c r="T648" s="7"/>
      <c r="U648" s="7"/>
      <c r="V648" s="7"/>
      <c r="W648" s="7"/>
      <c r="X648" s="7"/>
      <c r="Y648" s="7"/>
    </row>
    <row r="649" spans="3:25" ht="19.5" customHeight="1">
      <c r="C649" s="7"/>
      <c r="D649" s="7"/>
      <c r="E649" s="7"/>
      <c r="F649" s="7"/>
      <c r="G649" s="7"/>
      <c r="H649" s="7"/>
      <c r="I649" s="7"/>
      <c r="J649" s="7"/>
      <c r="K649" s="7"/>
      <c r="L649" s="7"/>
      <c r="M649" s="7"/>
      <c r="N649" s="7"/>
      <c r="O649" s="7"/>
      <c r="P649" s="7"/>
      <c r="Q649" s="7"/>
      <c r="R649" s="7"/>
      <c r="S649" s="7"/>
      <c r="T649" s="7"/>
      <c r="U649" s="7"/>
      <c r="V649" s="7"/>
      <c r="W649" s="7"/>
      <c r="X649" s="7"/>
      <c r="Y649" s="7"/>
    </row>
    <row r="650" spans="3:25" ht="19.5" customHeight="1">
      <c r="C650" s="7"/>
      <c r="D650" s="7"/>
      <c r="E650" s="7"/>
      <c r="F650" s="7"/>
      <c r="G650" s="7"/>
      <c r="H650" s="7"/>
      <c r="I650" s="7"/>
      <c r="J650" s="7"/>
      <c r="K650" s="7"/>
      <c r="L650" s="7"/>
      <c r="M650" s="7"/>
      <c r="N650" s="7"/>
      <c r="O650" s="7"/>
      <c r="P650" s="7"/>
      <c r="Q650" s="7"/>
      <c r="R650" s="7"/>
      <c r="S650" s="7"/>
      <c r="T650" s="7"/>
      <c r="U650" s="7"/>
      <c r="V650" s="7"/>
      <c r="W650" s="7"/>
      <c r="X650" s="7"/>
      <c r="Y650" s="7"/>
    </row>
    <row r="651" spans="3:25" ht="19.5" customHeight="1">
      <c r="C651" s="7"/>
      <c r="D651" s="7"/>
      <c r="E651" s="7"/>
      <c r="F651" s="7"/>
      <c r="G651" s="7"/>
      <c r="H651" s="7"/>
      <c r="I651" s="7"/>
      <c r="J651" s="7"/>
      <c r="K651" s="7"/>
      <c r="L651" s="7"/>
      <c r="M651" s="7"/>
      <c r="N651" s="7"/>
      <c r="O651" s="7"/>
      <c r="P651" s="7"/>
      <c r="Q651" s="7"/>
      <c r="R651" s="7"/>
      <c r="S651" s="7"/>
      <c r="T651" s="7"/>
      <c r="U651" s="7"/>
      <c r="V651" s="7"/>
      <c r="W651" s="7"/>
      <c r="X651" s="7"/>
      <c r="Y651" s="7"/>
    </row>
    <row r="652" spans="3:25" ht="19.5" customHeight="1">
      <c r="C652" s="7"/>
      <c r="D652" s="7"/>
      <c r="E652" s="7"/>
      <c r="F652" s="7"/>
      <c r="G652" s="7"/>
      <c r="H652" s="7"/>
      <c r="I652" s="7"/>
      <c r="J652" s="7"/>
      <c r="K652" s="7"/>
      <c r="L652" s="7"/>
      <c r="M652" s="7"/>
      <c r="N652" s="7"/>
      <c r="O652" s="7"/>
      <c r="P652" s="7"/>
      <c r="Q652" s="7"/>
      <c r="R652" s="7"/>
      <c r="S652" s="7"/>
      <c r="T652" s="7"/>
      <c r="U652" s="7"/>
      <c r="V652" s="7"/>
      <c r="W652" s="7"/>
      <c r="X652" s="7"/>
      <c r="Y652" s="7"/>
    </row>
    <row r="653" spans="3:25" ht="19.5" customHeight="1">
      <c r="C653" s="7"/>
      <c r="D653" s="7"/>
      <c r="E653" s="7"/>
      <c r="F653" s="7"/>
      <c r="G653" s="7"/>
      <c r="H653" s="7"/>
      <c r="I653" s="7"/>
      <c r="J653" s="7"/>
      <c r="K653" s="7"/>
      <c r="L653" s="7"/>
      <c r="M653" s="7"/>
      <c r="N653" s="7"/>
      <c r="O653" s="7"/>
      <c r="P653" s="7"/>
      <c r="Q653" s="7"/>
      <c r="R653" s="7"/>
      <c r="S653" s="7"/>
      <c r="T653" s="7"/>
      <c r="U653" s="7"/>
      <c r="V653" s="7"/>
      <c r="W653" s="7"/>
      <c r="X653" s="7"/>
      <c r="Y653" s="7"/>
    </row>
    <row r="654" spans="3:25" ht="19.5" customHeight="1">
      <c r="C654" s="7"/>
      <c r="D654" s="7"/>
      <c r="E654" s="7"/>
      <c r="F654" s="7"/>
      <c r="G654" s="7"/>
      <c r="H654" s="7"/>
      <c r="I654" s="7"/>
      <c r="J654" s="7"/>
      <c r="K654" s="7"/>
      <c r="L654" s="7"/>
      <c r="M654" s="7"/>
      <c r="N654" s="7"/>
      <c r="O654" s="7"/>
      <c r="P654" s="7"/>
      <c r="Q654" s="7"/>
      <c r="R654" s="7"/>
      <c r="S654" s="7"/>
      <c r="T654" s="7"/>
      <c r="U654" s="7"/>
      <c r="V654" s="7"/>
      <c r="W654" s="7"/>
      <c r="X654" s="7"/>
      <c r="Y654" s="7"/>
    </row>
    <row r="655" spans="3:25" ht="19.5" customHeight="1">
      <c r="C655" s="7"/>
      <c r="D655" s="7"/>
      <c r="E655" s="7"/>
      <c r="F655" s="7"/>
      <c r="G655" s="7"/>
      <c r="H655" s="7"/>
      <c r="I655" s="7"/>
      <c r="J655" s="7"/>
      <c r="K655" s="7"/>
      <c r="L655" s="7"/>
      <c r="M655" s="7"/>
      <c r="N655" s="7"/>
      <c r="O655" s="7"/>
      <c r="P655" s="7"/>
      <c r="Q655" s="7"/>
      <c r="R655" s="7"/>
      <c r="S655" s="7"/>
      <c r="T655" s="7"/>
      <c r="U655" s="7"/>
      <c r="V655" s="7"/>
      <c r="W655" s="7"/>
      <c r="X655" s="7"/>
      <c r="Y655" s="7"/>
    </row>
    <row r="656" spans="3:25" ht="19.5" customHeight="1">
      <c r="C656" s="7"/>
      <c r="D656" s="7"/>
      <c r="E656" s="7"/>
      <c r="F656" s="7"/>
      <c r="G656" s="7"/>
      <c r="H656" s="7"/>
      <c r="I656" s="7"/>
      <c r="J656" s="7"/>
      <c r="K656" s="7"/>
      <c r="L656" s="7"/>
      <c r="M656" s="7"/>
      <c r="N656" s="7"/>
      <c r="O656" s="7"/>
      <c r="P656" s="7"/>
      <c r="Q656" s="7"/>
      <c r="R656" s="7"/>
      <c r="S656" s="7"/>
      <c r="T656" s="7"/>
      <c r="U656" s="7"/>
      <c r="V656" s="7"/>
      <c r="W656" s="7"/>
      <c r="X656" s="7"/>
      <c r="Y656" s="7"/>
    </row>
    <row r="657" spans="3:25" ht="19.5" customHeight="1">
      <c r="C657" s="7"/>
      <c r="D657" s="7"/>
      <c r="E657" s="7"/>
      <c r="F657" s="7"/>
      <c r="G657" s="7"/>
      <c r="H657" s="7"/>
      <c r="I657" s="7"/>
      <c r="J657" s="7"/>
      <c r="K657" s="7"/>
      <c r="L657" s="7"/>
      <c r="M657" s="7"/>
      <c r="N657" s="7"/>
      <c r="O657" s="7"/>
      <c r="P657" s="7"/>
      <c r="Q657" s="7"/>
      <c r="R657" s="7"/>
      <c r="S657" s="7"/>
      <c r="T657" s="7"/>
      <c r="U657" s="7"/>
      <c r="V657" s="7"/>
      <c r="W657" s="7"/>
      <c r="X657" s="7"/>
      <c r="Y657" s="7"/>
    </row>
    <row r="658" spans="3:25" ht="19.5" customHeight="1">
      <c r="C658" s="7"/>
      <c r="D658" s="7"/>
      <c r="E658" s="7"/>
      <c r="F658" s="7"/>
      <c r="G658" s="7"/>
      <c r="H658" s="7"/>
      <c r="I658" s="7"/>
      <c r="J658" s="7"/>
      <c r="K658" s="7"/>
      <c r="L658" s="7"/>
      <c r="M658" s="7"/>
      <c r="N658" s="7"/>
      <c r="O658" s="7"/>
      <c r="P658" s="7"/>
      <c r="Q658" s="7"/>
      <c r="R658" s="7"/>
      <c r="S658" s="7"/>
      <c r="T658" s="7"/>
      <c r="U658" s="7"/>
      <c r="V658" s="7"/>
      <c r="W658" s="7"/>
      <c r="X658" s="7"/>
      <c r="Y658" s="7"/>
    </row>
    <row r="659" spans="3:25" ht="19.5" customHeight="1">
      <c r="C659" s="7"/>
      <c r="D659" s="7"/>
      <c r="E659" s="7"/>
      <c r="F659" s="7"/>
      <c r="G659" s="7"/>
      <c r="H659" s="7"/>
      <c r="I659" s="7"/>
      <c r="J659" s="7"/>
      <c r="K659" s="7"/>
      <c r="L659" s="7"/>
      <c r="M659" s="7"/>
      <c r="N659" s="7"/>
      <c r="O659" s="7"/>
      <c r="P659" s="7"/>
      <c r="Q659" s="7"/>
      <c r="R659" s="7"/>
      <c r="S659" s="7"/>
      <c r="T659" s="7"/>
      <c r="U659" s="7"/>
      <c r="V659" s="7"/>
      <c r="W659" s="7"/>
      <c r="X659" s="7"/>
      <c r="Y659" s="7"/>
    </row>
    <row r="660" spans="3:25" ht="19.5" customHeight="1">
      <c r="C660" s="7"/>
      <c r="D660" s="7"/>
      <c r="E660" s="7"/>
      <c r="F660" s="7"/>
      <c r="G660" s="7"/>
      <c r="H660" s="7"/>
      <c r="I660" s="7"/>
      <c r="J660" s="7"/>
      <c r="K660" s="7"/>
      <c r="L660" s="7"/>
      <c r="M660" s="7"/>
      <c r="N660" s="7"/>
      <c r="O660" s="7"/>
      <c r="P660" s="7"/>
      <c r="Q660" s="7"/>
      <c r="R660" s="7"/>
      <c r="S660" s="7"/>
      <c r="T660" s="7"/>
      <c r="U660" s="7"/>
      <c r="V660" s="7"/>
      <c r="W660" s="7"/>
      <c r="X660" s="7"/>
      <c r="Y660" s="7"/>
    </row>
    <row r="661" spans="3:25" ht="19.5" customHeight="1">
      <c r="C661" s="7"/>
      <c r="D661" s="7"/>
      <c r="E661" s="7"/>
      <c r="F661" s="7"/>
      <c r="G661" s="7"/>
      <c r="H661" s="7"/>
      <c r="I661" s="7"/>
      <c r="J661" s="7"/>
      <c r="K661" s="7"/>
      <c r="L661" s="7"/>
      <c r="M661" s="7"/>
      <c r="N661" s="7"/>
      <c r="O661" s="7"/>
      <c r="P661" s="7"/>
      <c r="Q661" s="7"/>
      <c r="R661" s="7"/>
      <c r="S661" s="7"/>
      <c r="T661" s="7"/>
      <c r="U661" s="7"/>
      <c r="V661" s="7"/>
      <c r="W661" s="7"/>
      <c r="X661" s="7"/>
      <c r="Y661" s="7"/>
    </row>
    <row r="662" spans="3:25" ht="19.5" customHeight="1">
      <c r="C662" s="7"/>
      <c r="D662" s="7"/>
      <c r="E662" s="7"/>
      <c r="F662" s="7"/>
      <c r="G662" s="7"/>
      <c r="H662" s="7"/>
      <c r="I662" s="7"/>
      <c r="J662" s="7"/>
      <c r="K662" s="7"/>
      <c r="L662" s="7"/>
      <c r="M662" s="7"/>
      <c r="N662" s="7"/>
      <c r="O662" s="7"/>
      <c r="P662" s="7"/>
      <c r="Q662" s="7"/>
      <c r="R662" s="7"/>
      <c r="S662" s="7"/>
      <c r="T662" s="7"/>
      <c r="U662" s="7"/>
      <c r="V662" s="7"/>
      <c r="W662" s="7"/>
      <c r="X662" s="7"/>
      <c r="Y662" s="7"/>
    </row>
    <row r="663" spans="3:25" ht="19.5" customHeight="1">
      <c r="C663" s="7"/>
      <c r="D663" s="7"/>
      <c r="E663" s="7"/>
      <c r="F663" s="7"/>
      <c r="G663" s="7"/>
      <c r="H663" s="7"/>
      <c r="I663" s="7"/>
      <c r="J663" s="7"/>
      <c r="K663" s="7"/>
      <c r="L663" s="7"/>
      <c r="M663" s="7"/>
      <c r="N663" s="7"/>
      <c r="O663" s="7"/>
      <c r="P663" s="7"/>
      <c r="Q663" s="7"/>
      <c r="R663" s="7"/>
      <c r="S663" s="7"/>
      <c r="T663" s="7"/>
      <c r="U663" s="7"/>
      <c r="V663" s="7"/>
      <c r="W663" s="7"/>
      <c r="X663" s="7"/>
      <c r="Y663" s="7"/>
    </row>
    <row r="664" spans="3:25" ht="19.5" customHeight="1">
      <c r="C664" s="7"/>
      <c r="D664" s="7"/>
      <c r="E664" s="7"/>
      <c r="F664" s="7"/>
      <c r="G664" s="7"/>
      <c r="H664" s="7"/>
      <c r="I664" s="7"/>
      <c r="J664" s="7"/>
      <c r="K664" s="7"/>
      <c r="L664" s="7"/>
      <c r="M664" s="7"/>
      <c r="N664" s="7"/>
      <c r="O664" s="7"/>
      <c r="P664" s="7"/>
      <c r="Q664" s="7"/>
      <c r="R664" s="7"/>
      <c r="S664" s="7"/>
      <c r="T664" s="7"/>
      <c r="U664" s="7"/>
      <c r="V664" s="7"/>
      <c r="W664" s="7"/>
      <c r="X664" s="7"/>
      <c r="Y664" s="7"/>
    </row>
    <row r="665" spans="3:25" ht="19.5" customHeight="1">
      <c r="C665" s="7"/>
      <c r="D665" s="7"/>
      <c r="E665" s="7"/>
      <c r="F665" s="7"/>
      <c r="G665" s="7"/>
      <c r="H665" s="7"/>
      <c r="I665" s="7"/>
      <c r="J665" s="7"/>
      <c r="K665" s="7"/>
      <c r="L665" s="7"/>
      <c r="M665" s="7"/>
      <c r="N665" s="7"/>
      <c r="O665" s="7"/>
      <c r="P665" s="7"/>
      <c r="Q665" s="7"/>
      <c r="R665" s="7"/>
      <c r="S665" s="7"/>
      <c r="T665" s="7"/>
      <c r="U665" s="7"/>
      <c r="V665" s="7"/>
      <c r="W665" s="7"/>
      <c r="X665" s="7"/>
      <c r="Y665" s="7"/>
    </row>
    <row r="666" spans="3:25" ht="19.5" customHeight="1">
      <c r="C666" s="7"/>
      <c r="D666" s="7"/>
      <c r="E666" s="7"/>
      <c r="F666" s="7"/>
      <c r="G666" s="7"/>
      <c r="H666" s="7"/>
      <c r="I666" s="7"/>
      <c r="J666" s="7"/>
      <c r="K666" s="7"/>
      <c r="L666" s="7"/>
      <c r="M666" s="7"/>
      <c r="N666" s="7"/>
      <c r="O666" s="7"/>
      <c r="P666" s="7"/>
      <c r="Q666" s="7"/>
      <c r="R666" s="7"/>
      <c r="S666" s="7"/>
      <c r="T666" s="7"/>
      <c r="U666" s="7"/>
      <c r="V666" s="7"/>
      <c r="W666" s="7"/>
      <c r="X666" s="7"/>
      <c r="Y666" s="7"/>
    </row>
    <row r="667" spans="3:25" ht="19.5" customHeight="1">
      <c r="C667" s="7"/>
      <c r="D667" s="7"/>
      <c r="E667" s="7"/>
      <c r="F667" s="7"/>
      <c r="G667" s="7"/>
      <c r="H667" s="7"/>
      <c r="I667" s="7"/>
      <c r="J667" s="7"/>
      <c r="K667" s="7"/>
      <c r="L667" s="7"/>
      <c r="M667" s="7"/>
      <c r="N667" s="7"/>
      <c r="O667" s="7"/>
      <c r="P667" s="7"/>
      <c r="Q667" s="7"/>
      <c r="R667" s="7"/>
      <c r="S667" s="7"/>
      <c r="T667" s="7"/>
      <c r="U667" s="7"/>
      <c r="V667" s="7"/>
      <c r="W667" s="7"/>
      <c r="X667" s="7"/>
      <c r="Y667" s="7"/>
    </row>
    <row r="668" spans="3:25" ht="19.5" customHeight="1">
      <c r="C668" s="7"/>
      <c r="D668" s="7"/>
      <c r="E668" s="7"/>
      <c r="F668" s="7"/>
      <c r="G668" s="7"/>
      <c r="H668" s="7"/>
      <c r="I668" s="7"/>
      <c r="J668" s="7"/>
      <c r="K668" s="7"/>
      <c r="L668" s="7"/>
      <c r="M668" s="7"/>
      <c r="N668" s="7"/>
      <c r="O668" s="7"/>
      <c r="P668" s="7"/>
      <c r="Q668" s="7"/>
      <c r="R668" s="7"/>
      <c r="S668" s="7"/>
      <c r="T668" s="7"/>
      <c r="U668" s="7"/>
      <c r="V668" s="7"/>
      <c r="W668" s="7"/>
      <c r="X668" s="7"/>
      <c r="Y668" s="7"/>
    </row>
    <row r="669" spans="3:25" ht="19.5" customHeight="1">
      <c r="C669" s="7"/>
      <c r="D669" s="7"/>
      <c r="E669" s="7"/>
      <c r="F669" s="7"/>
      <c r="G669" s="7"/>
      <c r="H669" s="7"/>
      <c r="I669" s="7"/>
      <c r="J669" s="7"/>
      <c r="K669" s="7"/>
      <c r="L669" s="7"/>
      <c r="M669" s="7"/>
      <c r="N669" s="7"/>
      <c r="O669" s="7"/>
      <c r="P669" s="7"/>
      <c r="Q669" s="7"/>
      <c r="R669" s="7"/>
      <c r="S669" s="7"/>
      <c r="T669" s="7"/>
      <c r="U669" s="7"/>
      <c r="V669" s="7"/>
      <c r="W669" s="7"/>
      <c r="X669" s="7"/>
      <c r="Y669" s="7"/>
    </row>
    <row r="670" spans="3:25" ht="19.5" customHeight="1">
      <c r="C670" s="7"/>
      <c r="D670" s="7"/>
      <c r="E670" s="7"/>
      <c r="F670" s="7"/>
      <c r="G670" s="7"/>
      <c r="H670" s="7"/>
      <c r="I670" s="7"/>
      <c r="J670" s="7"/>
      <c r="K670" s="7"/>
      <c r="L670" s="7"/>
      <c r="M670" s="7"/>
      <c r="N670" s="7"/>
      <c r="O670" s="7"/>
      <c r="P670" s="7"/>
      <c r="Q670" s="7"/>
      <c r="R670" s="7"/>
      <c r="S670" s="7"/>
      <c r="T670" s="7"/>
      <c r="U670" s="7"/>
      <c r="V670" s="7"/>
      <c r="W670" s="7"/>
      <c r="X670" s="7"/>
      <c r="Y670" s="7"/>
    </row>
    <row r="671" spans="3:25" ht="19.5" customHeight="1">
      <c r="C671" s="7"/>
      <c r="D671" s="7"/>
      <c r="E671" s="7"/>
      <c r="F671" s="7"/>
      <c r="G671" s="7"/>
      <c r="H671" s="7"/>
      <c r="I671" s="7"/>
      <c r="J671" s="7"/>
      <c r="K671" s="7"/>
      <c r="L671" s="7"/>
      <c r="M671" s="7"/>
      <c r="N671" s="7"/>
      <c r="O671" s="7"/>
      <c r="P671" s="7"/>
      <c r="Q671" s="7"/>
      <c r="R671" s="7"/>
      <c r="S671" s="7"/>
      <c r="T671" s="7"/>
      <c r="U671" s="7"/>
      <c r="V671" s="7"/>
      <c r="W671" s="7"/>
      <c r="X671" s="7"/>
      <c r="Y671" s="7"/>
    </row>
    <row r="672" spans="3:25" ht="19.5" customHeight="1">
      <c r="C672" s="7"/>
      <c r="D672" s="7"/>
      <c r="E672" s="7"/>
      <c r="F672" s="7"/>
      <c r="G672" s="7"/>
      <c r="H672" s="7"/>
      <c r="I672" s="7"/>
      <c r="J672" s="7"/>
      <c r="K672" s="7"/>
      <c r="L672" s="7"/>
      <c r="M672" s="7"/>
      <c r="N672" s="7"/>
      <c r="O672" s="7"/>
      <c r="P672" s="7"/>
      <c r="Q672" s="7"/>
      <c r="R672" s="7"/>
      <c r="S672" s="7"/>
      <c r="T672" s="7"/>
      <c r="U672" s="7"/>
      <c r="V672" s="7"/>
      <c r="W672" s="7"/>
      <c r="X672" s="7"/>
      <c r="Y672" s="7"/>
    </row>
    <row r="673" spans="3:25" ht="19.5" customHeight="1">
      <c r="C673" s="7"/>
      <c r="D673" s="7"/>
      <c r="E673" s="7"/>
      <c r="F673" s="7"/>
      <c r="G673" s="7"/>
      <c r="H673" s="7"/>
      <c r="I673" s="7"/>
      <c r="J673" s="7"/>
      <c r="K673" s="7"/>
      <c r="L673" s="7"/>
      <c r="M673" s="7"/>
      <c r="N673" s="7"/>
      <c r="O673" s="7"/>
      <c r="P673" s="7"/>
      <c r="Q673" s="7"/>
      <c r="R673" s="7"/>
      <c r="S673" s="7"/>
      <c r="T673" s="7"/>
      <c r="U673" s="7"/>
      <c r="V673" s="7"/>
      <c r="W673" s="7"/>
      <c r="X673" s="7"/>
      <c r="Y673" s="7"/>
    </row>
    <row r="674" spans="3:25" ht="19.5" customHeight="1">
      <c r="C674" s="7"/>
      <c r="D674" s="7"/>
      <c r="E674" s="7"/>
      <c r="F674" s="7"/>
      <c r="G674" s="7"/>
      <c r="H674" s="7"/>
      <c r="I674" s="7"/>
      <c r="J674" s="7"/>
      <c r="K674" s="7"/>
      <c r="L674" s="7"/>
      <c r="M674" s="7"/>
      <c r="N674" s="7"/>
      <c r="O674" s="7"/>
      <c r="P674" s="7"/>
      <c r="Q674" s="7"/>
      <c r="R674" s="7"/>
      <c r="S674" s="7"/>
      <c r="T674" s="7"/>
      <c r="U674" s="7"/>
      <c r="V674" s="7"/>
      <c r="W674" s="7"/>
      <c r="X674" s="7"/>
      <c r="Y674" s="7"/>
    </row>
    <row r="675" spans="3:25" ht="19.5" customHeight="1">
      <c r="C675" s="7"/>
      <c r="D675" s="7"/>
      <c r="E675" s="7"/>
      <c r="F675" s="7"/>
      <c r="G675" s="7"/>
      <c r="H675" s="7"/>
      <c r="I675" s="7"/>
      <c r="J675" s="7"/>
      <c r="K675" s="7"/>
      <c r="L675" s="7"/>
      <c r="M675" s="7"/>
      <c r="N675" s="7"/>
      <c r="O675" s="7"/>
      <c r="P675" s="7"/>
      <c r="Q675" s="7"/>
      <c r="R675" s="7"/>
      <c r="S675" s="7"/>
      <c r="T675" s="7"/>
      <c r="U675" s="7"/>
      <c r="V675" s="7"/>
      <c r="W675" s="7"/>
      <c r="X675" s="7"/>
      <c r="Y675" s="7"/>
    </row>
    <row r="676" spans="3:25" ht="19.5" customHeight="1">
      <c r="C676" s="7"/>
      <c r="D676" s="7"/>
      <c r="E676" s="7"/>
      <c r="F676" s="7"/>
      <c r="G676" s="7"/>
      <c r="H676" s="7"/>
      <c r="I676" s="7"/>
      <c r="J676" s="7"/>
      <c r="K676" s="7"/>
      <c r="L676" s="7"/>
      <c r="M676" s="7"/>
      <c r="N676" s="7"/>
      <c r="O676" s="7"/>
      <c r="P676" s="7"/>
      <c r="Q676" s="7"/>
      <c r="R676" s="7"/>
      <c r="S676" s="7"/>
      <c r="T676" s="7"/>
      <c r="U676" s="7"/>
      <c r="V676" s="7"/>
      <c r="W676" s="7"/>
      <c r="X676" s="7"/>
      <c r="Y676" s="7"/>
    </row>
    <row r="677" spans="3:25" ht="19.5" customHeight="1">
      <c r="C677" s="7"/>
      <c r="D677" s="7"/>
      <c r="E677" s="7"/>
      <c r="F677" s="7"/>
      <c r="G677" s="7"/>
      <c r="H677" s="7"/>
      <c r="I677" s="7"/>
      <c r="J677" s="7"/>
      <c r="K677" s="7"/>
      <c r="L677" s="7"/>
      <c r="M677" s="7"/>
      <c r="N677" s="7"/>
      <c r="O677" s="7"/>
      <c r="P677" s="7"/>
      <c r="Q677" s="7"/>
      <c r="R677" s="7"/>
      <c r="S677" s="7"/>
      <c r="T677" s="7"/>
      <c r="U677" s="7"/>
      <c r="V677" s="7"/>
      <c r="W677" s="7"/>
      <c r="X677" s="7"/>
      <c r="Y677" s="7"/>
    </row>
    <row r="678" spans="3:25" ht="19.5" customHeight="1">
      <c r="C678" s="7"/>
      <c r="D678" s="7"/>
      <c r="E678" s="7"/>
      <c r="F678" s="7"/>
      <c r="G678" s="7"/>
      <c r="H678" s="7"/>
      <c r="I678" s="7"/>
      <c r="J678" s="7"/>
      <c r="K678" s="7"/>
      <c r="L678" s="7"/>
      <c r="M678" s="7"/>
      <c r="N678" s="7"/>
      <c r="O678" s="7"/>
      <c r="P678" s="7"/>
      <c r="Q678" s="7"/>
      <c r="R678" s="7"/>
      <c r="S678" s="7"/>
      <c r="T678" s="7"/>
      <c r="U678" s="7"/>
      <c r="V678" s="7"/>
      <c r="W678" s="7"/>
      <c r="X678" s="7"/>
      <c r="Y678" s="7"/>
    </row>
    <row r="679" spans="3:25" ht="19.5" customHeight="1">
      <c r="C679" s="7"/>
      <c r="D679" s="7"/>
      <c r="E679" s="7"/>
      <c r="F679" s="7"/>
      <c r="G679" s="7"/>
      <c r="H679" s="7"/>
      <c r="I679" s="7"/>
      <c r="J679" s="7"/>
      <c r="K679" s="7"/>
      <c r="L679" s="7"/>
      <c r="M679" s="7"/>
      <c r="N679" s="7"/>
      <c r="O679" s="7"/>
      <c r="P679" s="7"/>
      <c r="Q679" s="7"/>
      <c r="R679" s="7"/>
      <c r="S679" s="7"/>
      <c r="T679" s="7"/>
      <c r="U679" s="7"/>
      <c r="V679" s="7"/>
      <c r="W679" s="7"/>
      <c r="X679" s="7"/>
      <c r="Y679" s="7"/>
    </row>
    <row r="680" spans="3:25" ht="19.5" customHeight="1">
      <c r="C680" s="7"/>
      <c r="D680" s="7"/>
      <c r="E680" s="7"/>
      <c r="F680" s="7"/>
      <c r="G680" s="7"/>
      <c r="H680" s="7"/>
      <c r="I680" s="7"/>
      <c r="J680" s="7"/>
      <c r="K680" s="7"/>
      <c r="L680" s="7"/>
      <c r="M680" s="7"/>
      <c r="N680" s="7"/>
      <c r="O680" s="7"/>
      <c r="P680" s="7"/>
      <c r="Q680" s="7"/>
      <c r="R680" s="7"/>
      <c r="S680" s="7"/>
      <c r="T680" s="7"/>
      <c r="U680" s="7"/>
      <c r="V680" s="7"/>
      <c r="W680" s="7"/>
      <c r="X680" s="7"/>
      <c r="Y680" s="7"/>
    </row>
    <row r="681" spans="3:25" ht="19.5" customHeight="1">
      <c r="C681" s="7"/>
      <c r="D681" s="7"/>
      <c r="E681" s="7"/>
      <c r="F681" s="7"/>
      <c r="G681" s="7"/>
      <c r="H681" s="7"/>
      <c r="I681" s="7"/>
      <c r="J681" s="7"/>
      <c r="K681" s="7"/>
      <c r="L681" s="7"/>
      <c r="M681" s="7"/>
      <c r="N681" s="7"/>
      <c r="O681" s="7"/>
      <c r="P681" s="7"/>
      <c r="Q681" s="7"/>
      <c r="R681" s="7"/>
      <c r="S681" s="7"/>
      <c r="T681" s="7"/>
      <c r="U681" s="7"/>
      <c r="V681" s="7"/>
      <c r="W681" s="7"/>
      <c r="X681" s="7"/>
      <c r="Y681" s="7"/>
    </row>
    <row r="682" spans="3:25" ht="19.5" customHeight="1">
      <c r="C682" s="7"/>
      <c r="D682" s="7"/>
      <c r="E682" s="7"/>
      <c r="F682" s="7"/>
      <c r="G682" s="7"/>
      <c r="H682" s="7"/>
      <c r="I682" s="7"/>
      <c r="J682" s="7"/>
      <c r="K682" s="7"/>
      <c r="L682" s="7"/>
      <c r="M682" s="7"/>
      <c r="N682" s="7"/>
      <c r="O682" s="7"/>
      <c r="P682" s="7"/>
      <c r="Q682" s="7"/>
      <c r="R682" s="7"/>
      <c r="S682" s="7"/>
      <c r="T682" s="7"/>
      <c r="U682" s="7"/>
      <c r="V682" s="7"/>
      <c r="W682" s="7"/>
      <c r="X682" s="7"/>
      <c r="Y682" s="7"/>
    </row>
    <row r="683" spans="3:25" ht="19.5" customHeight="1">
      <c r="C683" s="7"/>
      <c r="D683" s="7"/>
      <c r="E683" s="7"/>
      <c r="F683" s="7"/>
      <c r="G683" s="7"/>
      <c r="H683" s="7"/>
      <c r="I683" s="7"/>
      <c r="J683" s="7"/>
      <c r="K683" s="7"/>
      <c r="L683" s="7"/>
      <c r="M683" s="7"/>
      <c r="N683" s="7"/>
      <c r="O683" s="7"/>
      <c r="P683" s="7"/>
      <c r="Q683" s="7"/>
      <c r="R683" s="7"/>
      <c r="S683" s="7"/>
      <c r="T683" s="7"/>
      <c r="U683" s="7"/>
      <c r="V683" s="7"/>
      <c r="W683" s="7"/>
      <c r="X683" s="7"/>
      <c r="Y683" s="7"/>
    </row>
    <row r="684" spans="3:25" ht="19.5" customHeight="1">
      <c r="C684" s="7"/>
      <c r="D684" s="7"/>
      <c r="E684" s="7"/>
      <c r="F684" s="7"/>
      <c r="G684" s="7"/>
      <c r="H684" s="7"/>
      <c r="I684" s="7"/>
      <c r="J684" s="7"/>
      <c r="K684" s="7"/>
      <c r="L684" s="7"/>
      <c r="M684" s="7"/>
      <c r="N684" s="7"/>
      <c r="O684" s="7"/>
      <c r="P684" s="7"/>
      <c r="Q684" s="7"/>
      <c r="R684" s="7"/>
      <c r="S684" s="7"/>
      <c r="T684" s="7"/>
      <c r="U684" s="7"/>
      <c r="V684" s="7"/>
      <c r="W684" s="7"/>
      <c r="X684" s="7"/>
      <c r="Y684" s="7"/>
    </row>
    <row r="685" spans="3:25" ht="19.5" customHeight="1">
      <c r="C685" s="7"/>
      <c r="D685" s="7"/>
      <c r="E685" s="7"/>
      <c r="F685" s="7"/>
      <c r="G685" s="7"/>
      <c r="H685" s="7"/>
      <c r="I685" s="7"/>
      <c r="J685" s="7"/>
      <c r="K685" s="7"/>
      <c r="L685" s="7"/>
      <c r="M685" s="7"/>
      <c r="N685" s="7"/>
      <c r="O685" s="7"/>
      <c r="P685" s="7"/>
      <c r="Q685" s="7"/>
      <c r="R685" s="7"/>
      <c r="S685" s="7"/>
      <c r="T685" s="7"/>
      <c r="U685" s="7"/>
      <c r="V685" s="7"/>
      <c r="W685" s="7"/>
      <c r="X685" s="7"/>
      <c r="Y685" s="7"/>
    </row>
    <row r="686" spans="3:25" ht="19.5" customHeight="1">
      <c r="C686" s="7"/>
      <c r="D686" s="7"/>
      <c r="E686" s="7"/>
      <c r="F686" s="7"/>
      <c r="G686" s="7"/>
      <c r="H686" s="7"/>
      <c r="I686" s="7"/>
      <c r="J686" s="7"/>
      <c r="K686" s="7"/>
      <c r="L686" s="7"/>
      <c r="M686" s="7"/>
      <c r="N686" s="7"/>
      <c r="O686" s="7"/>
      <c r="P686" s="7"/>
      <c r="Q686" s="7"/>
      <c r="R686" s="7"/>
      <c r="S686" s="7"/>
      <c r="T686" s="7"/>
      <c r="U686" s="7"/>
      <c r="V686" s="7"/>
      <c r="W686" s="7"/>
      <c r="X686" s="7"/>
      <c r="Y686" s="7"/>
    </row>
    <row r="687" spans="3:25" ht="19.5" customHeight="1">
      <c r="C687" s="7"/>
      <c r="D687" s="7"/>
      <c r="E687" s="7"/>
      <c r="F687" s="7"/>
      <c r="G687" s="7"/>
      <c r="H687" s="7"/>
      <c r="I687" s="7"/>
      <c r="J687" s="7"/>
      <c r="K687" s="7"/>
      <c r="L687" s="7"/>
      <c r="M687" s="7"/>
      <c r="N687" s="7"/>
      <c r="O687" s="7"/>
      <c r="P687" s="7"/>
      <c r="Q687" s="7"/>
      <c r="R687" s="7"/>
      <c r="S687" s="7"/>
      <c r="T687" s="7"/>
      <c r="U687" s="7"/>
      <c r="V687" s="7"/>
      <c r="W687" s="7"/>
      <c r="X687" s="7"/>
      <c r="Y687" s="7"/>
    </row>
    <row r="688" spans="3:25" ht="19.5" customHeight="1">
      <c r="C688" s="7"/>
      <c r="D688" s="7"/>
      <c r="E688" s="7"/>
      <c r="F688" s="7"/>
      <c r="G688" s="7"/>
      <c r="H688" s="7"/>
      <c r="I688" s="7"/>
      <c r="J688" s="7"/>
      <c r="K688" s="7"/>
      <c r="L688" s="7"/>
      <c r="M688" s="7"/>
      <c r="N688" s="7"/>
      <c r="O688" s="7"/>
      <c r="P688" s="7"/>
      <c r="Q688" s="7"/>
      <c r="R688" s="7"/>
      <c r="S688" s="7"/>
      <c r="T688" s="7"/>
      <c r="U688" s="7"/>
      <c r="V688" s="7"/>
      <c r="W688" s="7"/>
      <c r="X688" s="7"/>
      <c r="Y688" s="7"/>
    </row>
    <row r="689" spans="3:25" ht="19.5" customHeight="1">
      <c r="C689" s="7"/>
      <c r="D689" s="7"/>
      <c r="E689" s="7"/>
      <c r="F689" s="7"/>
      <c r="G689" s="7"/>
      <c r="H689" s="7"/>
      <c r="I689" s="7"/>
      <c r="J689" s="7"/>
      <c r="K689" s="7"/>
      <c r="L689" s="7"/>
      <c r="M689" s="7"/>
      <c r="N689" s="7"/>
      <c r="O689" s="7"/>
      <c r="P689" s="7"/>
      <c r="Q689" s="7"/>
      <c r="R689" s="7"/>
      <c r="S689" s="7"/>
      <c r="T689" s="7"/>
      <c r="U689" s="7"/>
      <c r="V689" s="7"/>
      <c r="W689" s="7"/>
      <c r="X689" s="7"/>
      <c r="Y689" s="7"/>
    </row>
    <row r="690" spans="3:25" ht="19.5" customHeight="1">
      <c r="C690" s="7"/>
      <c r="D690" s="7"/>
      <c r="E690" s="7"/>
      <c r="F690" s="7"/>
      <c r="G690" s="7"/>
      <c r="H690" s="7"/>
      <c r="I690" s="7"/>
      <c r="J690" s="7"/>
      <c r="K690" s="7"/>
      <c r="L690" s="7"/>
      <c r="M690" s="7"/>
      <c r="N690" s="7"/>
      <c r="O690" s="7"/>
      <c r="P690" s="7"/>
      <c r="Q690" s="7"/>
      <c r="R690" s="7"/>
      <c r="S690" s="7"/>
      <c r="T690" s="7"/>
      <c r="U690" s="7"/>
      <c r="V690" s="7"/>
      <c r="W690" s="7"/>
      <c r="X690" s="7"/>
      <c r="Y690" s="7"/>
    </row>
    <row r="691" spans="3:25" ht="19.5" customHeight="1">
      <c r="C691" s="7"/>
      <c r="D691" s="7"/>
      <c r="E691" s="7"/>
      <c r="F691" s="7"/>
      <c r="G691" s="7"/>
      <c r="H691" s="7"/>
      <c r="I691" s="7"/>
      <c r="J691" s="7"/>
      <c r="K691" s="7"/>
      <c r="L691" s="7"/>
      <c r="M691" s="7"/>
      <c r="N691" s="7"/>
      <c r="O691" s="7"/>
      <c r="P691" s="7"/>
      <c r="Q691" s="7"/>
      <c r="R691" s="7"/>
      <c r="S691" s="7"/>
      <c r="T691" s="7"/>
      <c r="U691" s="7"/>
      <c r="V691" s="7"/>
      <c r="W691" s="7"/>
      <c r="X691" s="7"/>
      <c r="Y691" s="7"/>
    </row>
    <row r="692" spans="3:25" ht="19.5" customHeight="1">
      <c r="C692" s="7"/>
      <c r="D692" s="7"/>
      <c r="E692" s="7"/>
      <c r="F692" s="7"/>
      <c r="G692" s="7"/>
      <c r="H692" s="7"/>
      <c r="I692" s="7"/>
      <c r="J692" s="7"/>
      <c r="K692" s="7"/>
      <c r="L692" s="7"/>
      <c r="M692" s="7"/>
      <c r="N692" s="7"/>
      <c r="O692" s="7"/>
      <c r="P692" s="7"/>
      <c r="Q692" s="7"/>
      <c r="R692" s="7"/>
      <c r="S692" s="7"/>
      <c r="T692" s="7"/>
      <c r="U692" s="7"/>
      <c r="V692" s="7"/>
      <c r="W692" s="7"/>
      <c r="X692" s="7"/>
      <c r="Y692" s="7"/>
    </row>
    <row r="693" spans="3:25" ht="19.5" customHeight="1">
      <c r="C693" s="7"/>
      <c r="D693" s="7"/>
      <c r="E693" s="7"/>
      <c r="F693" s="7"/>
      <c r="G693" s="7"/>
      <c r="H693" s="7"/>
      <c r="I693" s="7"/>
      <c r="J693" s="7"/>
      <c r="K693" s="7"/>
      <c r="L693" s="7"/>
      <c r="M693" s="7"/>
      <c r="N693" s="7"/>
      <c r="O693" s="7"/>
      <c r="P693" s="7"/>
      <c r="Q693" s="7"/>
      <c r="R693" s="7"/>
      <c r="S693" s="7"/>
      <c r="T693" s="7"/>
      <c r="U693" s="7"/>
      <c r="V693" s="7"/>
      <c r="W693" s="7"/>
      <c r="X693" s="7"/>
      <c r="Y693" s="7"/>
    </row>
    <row r="694" spans="3:25" ht="19.5" customHeight="1">
      <c r="C694" s="7"/>
      <c r="D694" s="7"/>
      <c r="E694" s="7"/>
      <c r="F694" s="7"/>
      <c r="G694" s="7"/>
      <c r="H694" s="7"/>
      <c r="I694" s="7"/>
      <c r="J694" s="7"/>
      <c r="K694" s="7"/>
      <c r="L694" s="7"/>
      <c r="M694" s="7"/>
      <c r="N694" s="7"/>
      <c r="O694" s="7"/>
      <c r="P694" s="7"/>
      <c r="Q694" s="7"/>
      <c r="R694" s="7"/>
      <c r="S694" s="7"/>
      <c r="T694" s="7"/>
      <c r="U694" s="7"/>
      <c r="V694" s="7"/>
      <c r="W694" s="7"/>
      <c r="X694" s="7"/>
      <c r="Y694" s="7"/>
    </row>
    <row r="695" spans="3:25" ht="19.5" customHeight="1">
      <c r="C695" s="7"/>
      <c r="D695" s="7"/>
      <c r="E695" s="7"/>
      <c r="F695" s="7"/>
      <c r="G695" s="7"/>
      <c r="H695" s="7"/>
      <c r="I695" s="7"/>
      <c r="J695" s="7"/>
      <c r="K695" s="7"/>
      <c r="L695" s="7"/>
      <c r="M695" s="7"/>
      <c r="N695" s="7"/>
      <c r="O695" s="7"/>
      <c r="P695" s="7"/>
      <c r="Q695" s="7"/>
      <c r="R695" s="7"/>
      <c r="S695" s="7"/>
      <c r="T695" s="7"/>
      <c r="U695" s="7"/>
      <c r="V695" s="7"/>
      <c r="W695" s="7"/>
      <c r="X695" s="7"/>
      <c r="Y695" s="7"/>
    </row>
    <row r="696" spans="3:25" ht="19.5" customHeight="1">
      <c r="C696" s="7"/>
      <c r="D696" s="7"/>
      <c r="E696" s="7"/>
      <c r="F696" s="7"/>
      <c r="G696" s="7"/>
      <c r="H696" s="7"/>
      <c r="I696" s="7"/>
      <c r="J696" s="7"/>
      <c r="K696" s="7"/>
      <c r="L696" s="7"/>
      <c r="M696" s="7"/>
      <c r="N696" s="7"/>
      <c r="O696" s="7"/>
      <c r="P696" s="7"/>
      <c r="Q696" s="7"/>
      <c r="R696" s="7"/>
      <c r="S696" s="7"/>
      <c r="T696" s="7"/>
      <c r="U696" s="7"/>
      <c r="V696" s="7"/>
      <c r="W696" s="7"/>
      <c r="X696" s="7"/>
      <c r="Y696" s="7"/>
    </row>
    <row r="697" spans="3:25" ht="19.5" customHeight="1">
      <c r="C697" s="7"/>
      <c r="D697" s="7"/>
      <c r="E697" s="7"/>
      <c r="F697" s="7"/>
      <c r="G697" s="7"/>
      <c r="H697" s="7"/>
      <c r="I697" s="7"/>
      <c r="J697" s="7"/>
      <c r="K697" s="7"/>
      <c r="L697" s="7"/>
      <c r="M697" s="7"/>
      <c r="N697" s="7"/>
      <c r="O697" s="7"/>
      <c r="P697" s="7"/>
      <c r="Q697" s="7"/>
      <c r="R697" s="7"/>
      <c r="S697" s="7"/>
      <c r="T697" s="7"/>
      <c r="U697" s="7"/>
      <c r="V697" s="7"/>
      <c r="W697" s="7"/>
      <c r="X697" s="7"/>
      <c r="Y697" s="7"/>
    </row>
    <row r="698" spans="3:25" ht="19.5" customHeight="1">
      <c r="C698" s="7"/>
      <c r="D698" s="7"/>
      <c r="E698" s="7"/>
      <c r="F698" s="7"/>
      <c r="G698" s="7"/>
      <c r="H698" s="7"/>
      <c r="I698" s="7"/>
      <c r="J698" s="7"/>
      <c r="K698" s="7"/>
      <c r="L698" s="7"/>
      <c r="M698" s="7"/>
      <c r="N698" s="7"/>
      <c r="O698" s="7"/>
      <c r="P698" s="7"/>
      <c r="Q698" s="7"/>
      <c r="R698" s="7"/>
      <c r="S698" s="7"/>
      <c r="T698" s="7"/>
      <c r="U698" s="7"/>
      <c r="V698" s="7"/>
      <c r="W698" s="7"/>
      <c r="X698" s="7"/>
      <c r="Y698" s="7"/>
    </row>
    <row r="699" spans="3:25" ht="19.5" customHeight="1">
      <c r="C699" s="7"/>
      <c r="D699" s="7"/>
      <c r="E699" s="7"/>
      <c r="F699" s="7"/>
      <c r="G699" s="7"/>
      <c r="H699" s="7"/>
      <c r="I699" s="7"/>
      <c r="J699" s="7"/>
      <c r="K699" s="7"/>
      <c r="L699" s="7"/>
      <c r="M699" s="7"/>
      <c r="N699" s="7"/>
      <c r="O699" s="7"/>
      <c r="P699" s="7"/>
      <c r="Q699" s="7"/>
      <c r="R699" s="7"/>
      <c r="S699" s="7"/>
      <c r="T699" s="7"/>
      <c r="U699" s="7"/>
      <c r="V699" s="7"/>
      <c r="W699" s="7"/>
      <c r="X699" s="7"/>
      <c r="Y699" s="7"/>
    </row>
    <row r="700" spans="3:25" ht="19.5" customHeight="1">
      <c r="C700" s="7"/>
      <c r="D700" s="7"/>
      <c r="E700" s="7"/>
      <c r="F700" s="7"/>
      <c r="G700" s="7"/>
      <c r="H700" s="7"/>
      <c r="I700" s="7"/>
      <c r="J700" s="7"/>
      <c r="K700" s="7"/>
      <c r="L700" s="7"/>
      <c r="M700" s="7"/>
      <c r="N700" s="7"/>
      <c r="O700" s="7"/>
      <c r="P700" s="7"/>
      <c r="Q700" s="7"/>
      <c r="R700" s="7"/>
      <c r="S700" s="7"/>
      <c r="T700" s="7"/>
      <c r="U700" s="7"/>
      <c r="V700" s="7"/>
      <c r="W700" s="7"/>
      <c r="X700" s="7"/>
      <c r="Y700" s="7"/>
    </row>
    <row r="701" spans="3:25" ht="19.5" customHeight="1">
      <c r="C701" s="7"/>
      <c r="D701" s="7"/>
      <c r="E701" s="7"/>
      <c r="F701" s="7"/>
      <c r="G701" s="7"/>
      <c r="H701" s="7"/>
      <c r="I701" s="7"/>
      <c r="J701" s="7"/>
      <c r="K701" s="7"/>
      <c r="L701" s="7"/>
      <c r="M701" s="7"/>
      <c r="N701" s="7"/>
      <c r="O701" s="7"/>
      <c r="P701" s="7"/>
      <c r="Q701" s="7"/>
      <c r="R701" s="7"/>
      <c r="S701" s="7"/>
      <c r="T701" s="7"/>
      <c r="U701" s="7"/>
      <c r="V701" s="7"/>
      <c r="W701" s="7"/>
      <c r="X701" s="7"/>
      <c r="Y701" s="7"/>
    </row>
    <row r="702" spans="3:25" ht="19.5" customHeight="1">
      <c r="C702" s="7"/>
      <c r="D702" s="7"/>
      <c r="E702" s="7"/>
      <c r="F702" s="7"/>
      <c r="G702" s="7"/>
      <c r="H702" s="7"/>
      <c r="I702" s="7"/>
      <c r="J702" s="7"/>
      <c r="K702" s="7"/>
      <c r="L702" s="7"/>
      <c r="M702" s="7"/>
      <c r="N702" s="7"/>
      <c r="O702" s="7"/>
      <c r="P702" s="7"/>
      <c r="Q702" s="7"/>
      <c r="R702" s="7"/>
      <c r="S702" s="7"/>
      <c r="T702" s="7"/>
      <c r="U702" s="7"/>
      <c r="V702" s="7"/>
      <c r="W702" s="7"/>
      <c r="X702" s="7"/>
      <c r="Y702" s="7"/>
    </row>
    <row r="703" spans="3:25" ht="19.5" customHeight="1">
      <c r="C703" s="7"/>
      <c r="D703" s="7"/>
      <c r="E703" s="7"/>
      <c r="F703" s="7"/>
      <c r="G703" s="7"/>
      <c r="H703" s="7"/>
      <c r="I703" s="7"/>
      <c r="J703" s="7"/>
      <c r="K703" s="7"/>
      <c r="L703" s="7"/>
      <c r="M703" s="7"/>
      <c r="N703" s="7"/>
      <c r="O703" s="7"/>
      <c r="P703" s="7"/>
      <c r="Q703" s="7"/>
      <c r="R703" s="7"/>
      <c r="S703" s="7"/>
      <c r="T703" s="7"/>
      <c r="U703" s="7"/>
      <c r="V703" s="7"/>
      <c r="W703" s="7"/>
      <c r="X703" s="7"/>
      <c r="Y703" s="7"/>
    </row>
    <row r="704" spans="3:25" ht="19.5" customHeight="1">
      <c r="C704" s="7"/>
      <c r="D704" s="7"/>
      <c r="E704" s="7"/>
      <c r="F704" s="7"/>
      <c r="G704" s="7"/>
      <c r="H704" s="7"/>
      <c r="I704" s="7"/>
      <c r="J704" s="7"/>
      <c r="K704" s="7"/>
      <c r="L704" s="7"/>
      <c r="M704" s="7"/>
      <c r="N704" s="7"/>
      <c r="O704" s="7"/>
      <c r="P704" s="7"/>
      <c r="Q704" s="7"/>
      <c r="R704" s="7"/>
      <c r="S704" s="7"/>
      <c r="T704" s="7"/>
      <c r="U704" s="7"/>
      <c r="V704" s="7"/>
      <c r="W704" s="7"/>
      <c r="X704" s="7"/>
      <c r="Y704" s="7"/>
    </row>
    <row r="705" spans="3:25" ht="19.5" customHeight="1">
      <c r="C705" s="7"/>
      <c r="D705" s="7"/>
      <c r="E705" s="7"/>
      <c r="F705" s="7"/>
      <c r="G705" s="7"/>
      <c r="H705" s="7"/>
      <c r="I705" s="7"/>
      <c r="J705" s="7"/>
      <c r="K705" s="7"/>
      <c r="L705" s="7"/>
      <c r="M705" s="7"/>
      <c r="N705" s="7"/>
      <c r="O705" s="7"/>
      <c r="P705" s="7"/>
      <c r="Q705" s="7"/>
      <c r="R705" s="7"/>
      <c r="S705" s="7"/>
      <c r="T705" s="7"/>
      <c r="U705" s="7"/>
      <c r="V705" s="7"/>
      <c r="W705" s="7"/>
      <c r="X705" s="7"/>
      <c r="Y705" s="7"/>
    </row>
    <row r="706" spans="3:25" ht="19.5" customHeight="1">
      <c r="C706" s="7"/>
      <c r="D706" s="7"/>
      <c r="E706" s="7"/>
      <c r="F706" s="7"/>
      <c r="G706" s="7"/>
      <c r="H706" s="7"/>
      <c r="I706" s="7"/>
      <c r="J706" s="7"/>
      <c r="K706" s="7"/>
      <c r="L706" s="7"/>
      <c r="M706" s="7"/>
      <c r="N706" s="7"/>
      <c r="O706" s="7"/>
      <c r="P706" s="7"/>
      <c r="Q706" s="7"/>
      <c r="R706" s="7"/>
      <c r="S706" s="7"/>
      <c r="T706" s="7"/>
      <c r="U706" s="7"/>
      <c r="V706" s="7"/>
      <c r="W706" s="7"/>
      <c r="X706" s="7"/>
      <c r="Y706" s="7"/>
    </row>
    <row r="707" spans="3:25" ht="19.5" customHeight="1">
      <c r="C707" s="7"/>
      <c r="D707" s="7"/>
      <c r="E707" s="7"/>
      <c r="F707" s="7"/>
      <c r="G707" s="7"/>
      <c r="H707" s="7"/>
      <c r="I707" s="7"/>
      <c r="J707" s="7"/>
      <c r="K707" s="7"/>
      <c r="L707" s="7"/>
      <c r="M707" s="7"/>
      <c r="N707" s="7"/>
      <c r="O707" s="7"/>
      <c r="P707" s="7"/>
      <c r="Q707" s="7"/>
      <c r="R707" s="7"/>
      <c r="S707" s="7"/>
      <c r="T707" s="7"/>
      <c r="U707" s="7"/>
      <c r="V707" s="7"/>
      <c r="W707" s="7"/>
      <c r="X707" s="7"/>
      <c r="Y707" s="7"/>
    </row>
    <row r="708" spans="3:25" ht="19.5" customHeight="1">
      <c r="C708" s="7"/>
      <c r="D708" s="7"/>
      <c r="E708" s="7"/>
      <c r="F708" s="7"/>
      <c r="G708" s="7"/>
      <c r="H708" s="7"/>
      <c r="I708" s="7"/>
      <c r="J708" s="7"/>
      <c r="K708" s="7"/>
      <c r="L708" s="7"/>
      <c r="M708" s="7"/>
      <c r="N708" s="7"/>
      <c r="O708" s="7"/>
      <c r="P708" s="7"/>
      <c r="Q708" s="7"/>
      <c r="R708" s="7"/>
      <c r="S708" s="7"/>
      <c r="T708" s="7"/>
      <c r="U708" s="7"/>
      <c r="V708" s="7"/>
      <c r="W708" s="7"/>
      <c r="X708" s="7"/>
      <c r="Y708" s="7"/>
    </row>
    <row r="709" spans="3:25" ht="19.5" customHeight="1">
      <c r="C709" s="7"/>
      <c r="D709" s="7"/>
      <c r="E709" s="7"/>
      <c r="F709" s="7"/>
      <c r="G709" s="7"/>
      <c r="H709" s="7"/>
      <c r="I709" s="7"/>
      <c r="J709" s="7"/>
      <c r="K709" s="7"/>
      <c r="L709" s="7"/>
      <c r="M709" s="7"/>
      <c r="N709" s="7"/>
      <c r="O709" s="7"/>
      <c r="P709" s="7"/>
      <c r="Q709" s="7"/>
      <c r="R709" s="7"/>
      <c r="S709" s="7"/>
      <c r="T709" s="7"/>
      <c r="U709" s="7"/>
      <c r="V709" s="7"/>
      <c r="W709" s="7"/>
      <c r="X709" s="7"/>
      <c r="Y709" s="7"/>
    </row>
    <row r="710" spans="3:25" ht="19.5" customHeight="1">
      <c r="C710" s="7"/>
      <c r="D710" s="7"/>
      <c r="E710" s="7"/>
      <c r="F710" s="7"/>
      <c r="G710" s="7"/>
      <c r="H710" s="7"/>
      <c r="I710" s="7"/>
      <c r="J710" s="7"/>
      <c r="K710" s="7"/>
      <c r="L710" s="7"/>
      <c r="M710" s="7"/>
      <c r="N710" s="7"/>
      <c r="O710" s="7"/>
      <c r="P710" s="7"/>
      <c r="Q710" s="7"/>
      <c r="R710" s="7"/>
      <c r="S710" s="7"/>
      <c r="T710" s="7"/>
      <c r="U710" s="7"/>
      <c r="V710" s="7"/>
      <c r="W710" s="7"/>
      <c r="X710" s="7"/>
      <c r="Y710" s="7"/>
    </row>
    <row r="711" spans="3:25" ht="19.5" customHeight="1">
      <c r="C711" s="7"/>
      <c r="D711" s="7"/>
      <c r="E711" s="7"/>
      <c r="F711" s="7"/>
      <c r="G711" s="7"/>
      <c r="H711" s="7"/>
      <c r="I711" s="7"/>
      <c r="J711" s="7"/>
      <c r="K711" s="7"/>
      <c r="L711" s="7"/>
      <c r="M711" s="7"/>
      <c r="N711" s="7"/>
      <c r="O711" s="7"/>
      <c r="P711" s="7"/>
      <c r="Q711" s="7"/>
      <c r="R711" s="7"/>
      <c r="S711" s="7"/>
      <c r="T711" s="7"/>
      <c r="U711" s="7"/>
      <c r="V711" s="7"/>
      <c r="W711" s="7"/>
      <c r="X711" s="7"/>
      <c r="Y711" s="7"/>
    </row>
    <row r="712" spans="3:25" ht="19.5" customHeight="1">
      <c r="C712" s="7"/>
      <c r="D712" s="7"/>
      <c r="E712" s="7"/>
      <c r="F712" s="7"/>
      <c r="G712" s="7"/>
      <c r="H712" s="7"/>
      <c r="I712" s="7"/>
      <c r="J712" s="7"/>
      <c r="K712" s="7"/>
      <c r="L712" s="7"/>
      <c r="M712" s="7"/>
      <c r="N712" s="7"/>
      <c r="O712" s="7"/>
      <c r="P712" s="7"/>
      <c r="Q712" s="7"/>
      <c r="R712" s="7"/>
      <c r="S712" s="7"/>
      <c r="T712" s="7"/>
      <c r="U712" s="7"/>
      <c r="V712" s="7"/>
      <c r="W712" s="7"/>
      <c r="X712" s="7"/>
      <c r="Y712" s="7"/>
    </row>
    <row r="713" spans="3:25" ht="19.5" customHeight="1">
      <c r="C713" s="7"/>
      <c r="D713" s="7"/>
      <c r="E713" s="7"/>
      <c r="F713" s="7"/>
      <c r="G713" s="7"/>
      <c r="H713" s="7"/>
      <c r="I713" s="7"/>
      <c r="J713" s="7"/>
      <c r="K713" s="7"/>
      <c r="L713" s="7"/>
      <c r="M713" s="7"/>
      <c r="N713" s="7"/>
      <c r="O713" s="7"/>
      <c r="P713" s="7"/>
      <c r="Q713" s="7"/>
      <c r="R713" s="7"/>
      <c r="S713" s="7"/>
      <c r="T713" s="7"/>
      <c r="U713" s="7"/>
      <c r="V713" s="7"/>
      <c r="W713" s="7"/>
      <c r="X713" s="7"/>
      <c r="Y713" s="7"/>
    </row>
    <row r="714" spans="3:25" ht="19.5" customHeight="1">
      <c r="C714" s="7"/>
      <c r="D714" s="7"/>
      <c r="E714" s="7"/>
      <c r="F714" s="7"/>
      <c r="G714" s="7"/>
      <c r="H714" s="7"/>
      <c r="I714" s="7"/>
      <c r="J714" s="7"/>
      <c r="K714" s="7"/>
      <c r="L714" s="7"/>
      <c r="M714" s="7"/>
      <c r="N714" s="7"/>
      <c r="O714" s="7"/>
      <c r="P714" s="7"/>
      <c r="Q714" s="7"/>
      <c r="R714" s="7"/>
      <c r="S714" s="7"/>
      <c r="T714" s="7"/>
      <c r="U714" s="7"/>
      <c r="V714" s="7"/>
      <c r="W714" s="7"/>
      <c r="X714" s="7"/>
      <c r="Y714" s="7"/>
    </row>
    <row r="715" spans="3:25" ht="19.5" customHeight="1">
      <c r="C715" s="7"/>
      <c r="D715" s="7"/>
      <c r="E715" s="7"/>
      <c r="F715" s="7"/>
      <c r="G715" s="7"/>
      <c r="H715" s="7"/>
      <c r="I715" s="7"/>
      <c r="J715" s="7"/>
      <c r="K715" s="7"/>
      <c r="L715" s="7"/>
      <c r="M715" s="7"/>
      <c r="N715" s="7"/>
      <c r="O715" s="7"/>
      <c r="P715" s="7"/>
      <c r="Q715" s="7"/>
      <c r="R715" s="7"/>
      <c r="S715" s="7"/>
      <c r="T715" s="7"/>
      <c r="U715" s="7"/>
      <c r="V715" s="7"/>
      <c r="W715" s="7"/>
      <c r="X715" s="7"/>
      <c r="Y715" s="7"/>
    </row>
    <row r="716" spans="3:25" ht="19.5" customHeight="1">
      <c r="C716" s="7"/>
      <c r="D716" s="7"/>
      <c r="E716" s="7"/>
      <c r="F716" s="7"/>
      <c r="G716" s="7"/>
      <c r="H716" s="7"/>
      <c r="I716" s="7"/>
      <c r="J716" s="7"/>
      <c r="K716" s="7"/>
      <c r="L716" s="7"/>
      <c r="M716" s="7"/>
      <c r="N716" s="7"/>
      <c r="O716" s="7"/>
      <c r="P716" s="7"/>
      <c r="Q716" s="7"/>
      <c r="R716" s="7"/>
      <c r="S716" s="7"/>
      <c r="T716" s="7"/>
      <c r="U716" s="7"/>
      <c r="V716" s="7"/>
      <c r="W716" s="7"/>
      <c r="X716" s="7"/>
      <c r="Y716" s="7"/>
    </row>
    <row r="717" spans="3:25" ht="19.5" customHeight="1">
      <c r="C717" s="7"/>
      <c r="D717" s="7"/>
      <c r="E717" s="7"/>
      <c r="F717" s="7"/>
      <c r="G717" s="7"/>
      <c r="H717" s="7"/>
      <c r="I717" s="7"/>
      <c r="J717" s="7"/>
      <c r="K717" s="7"/>
      <c r="L717" s="7"/>
      <c r="M717" s="7"/>
      <c r="N717" s="7"/>
      <c r="O717" s="7"/>
      <c r="P717" s="7"/>
      <c r="Q717" s="7"/>
      <c r="R717" s="7"/>
      <c r="S717" s="7"/>
      <c r="T717" s="7"/>
      <c r="U717" s="7"/>
      <c r="V717" s="7"/>
      <c r="W717" s="7"/>
      <c r="X717" s="7"/>
      <c r="Y717" s="7"/>
    </row>
    <row r="718" spans="3:25" ht="19.5" customHeight="1">
      <c r="C718" s="7"/>
      <c r="D718" s="7"/>
      <c r="E718" s="7"/>
      <c r="F718" s="7"/>
      <c r="G718" s="7"/>
      <c r="H718" s="7"/>
      <c r="I718" s="7"/>
      <c r="J718" s="7"/>
      <c r="K718" s="7"/>
      <c r="L718" s="7"/>
      <c r="M718" s="7"/>
      <c r="N718" s="7"/>
      <c r="O718" s="7"/>
      <c r="P718" s="7"/>
      <c r="Q718" s="7"/>
      <c r="R718" s="7"/>
      <c r="S718" s="7"/>
      <c r="T718" s="7"/>
      <c r="U718" s="7"/>
      <c r="V718" s="7"/>
      <c r="W718" s="7"/>
      <c r="X718" s="7"/>
      <c r="Y718" s="7"/>
    </row>
    <row r="719" spans="3:25" ht="19.5" customHeight="1">
      <c r="C719" s="7"/>
      <c r="D719" s="7"/>
      <c r="E719" s="7"/>
      <c r="F719" s="7"/>
      <c r="G719" s="7"/>
      <c r="H719" s="7"/>
      <c r="I719" s="7"/>
      <c r="J719" s="7"/>
      <c r="K719" s="7"/>
      <c r="L719" s="7"/>
      <c r="M719" s="7"/>
      <c r="N719" s="7"/>
      <c r="O719" s="7"/>
      <c r="P719" s="7"/>
      <c r="Q719" s="7"/>
      <c r="R719" s="7"/>
      <c r="S719" s="7"/>
      <c r="T719" s="7"/>
      <c r="U719" s="7"/>
      <c r="V719" s="7"/>
      <c r="W719" s="7"/>
      <c r="X719" s="7"/>
      <c r="Y719" s="7"/>
    </row>
    <row r="720" spans="3:25" ht="19.5" customHeight="1">
      <c r="C720" s="7"/>
      <c r="D720" s="7"/>
      <c r="E720" s="7"/>
      <c r="F720" s="7"/>
      <c r="G720" s="7"/>
      <c r="H720" s="7"/>
      <c r="I720" s="7"/>
      <c r="J720" s="7"/>
      <c r="K720" s="7"/>
      <c r="L720" s="7"/>
      <c r="M720" s="7"/>
      <c r="N720" s="7"/>
      <c r="O720" s="7"/>
      <c r="P720" s="7"/>
      <c r="Q720" s="7"/>
      <c r="R720" s="7"/>
      <c r="S720" s="7"/>
      <c r="T720" s="7"/>
      <c r="U720" s="7"/>
      <c r="V720" s="7"/>
      <c r="W720" s="7"/>
      <c r="X720" s="7"/>
      <c r="Y720" s="7"/>
    </row>
    <row r="721" spans="3:25" ht="19.5" customHeight="1">
      <c r="C721" s="7"/>
      <c r="D721" s="7"/>
      <c r="E721" s="7"/>
      <c r="F721" s="7"/>
      <c r="G721" s="7"/>
      <c r="H721" s="7"/>
      <c r="I721" s="7"/>
      <c r="J721" s="7"/>
      <c r="K721" s="7"/>
      <c r="L721" s="7"/>
      <c r="M721" s="7"/>
      <c r="N721" s="7"/>
      <c r="O721" s="7"/>
      <c r="P721" s="7"/>
      <c r="Q721" s="7"/>
      <c r="R721" s="7"/>
      <c r="S721" s="7"/>
      <c r="T721" s="7"/>
      <c r="U721" s="7"/>
      <c r="V721" s="7"/>
      <c r="W721" s="7"/>
      <c r="X721" s="7"/>
      <c r="Y721" s="7"/>
    </row>
    <row r="722" spans="3:25" ht="19.5" customHeight="1">
      <c r="C722" s="7"/>
      <c r="D722" s="7"/>
      <c r="E722" s="7"/>
      <c r="F722" s="7"/>
      <c r="G722" s="7"/>
      <c r="H722" s="7"/>
      <c r="I722" s="7"/>
      <c r="J722" s="7"/>
      <c r="K722" s="7"/>
      <c r="L722" s="7"/>
      <c r="M722" s="7"/>
      <c r="N722" s="7"/>
      <c r="O722" s="7"/>
      <c r="P722" s="7"/>
      <c r="Q722" s="7"/>
      <c r="R722" s="7"/>
      <c r="S722" s="7"/>
      <c r="T722" s="7"/>
      <c r="U722" s="7"/>
      <c r="V722" s="7"/>
      <c r="W722" s="7"/>
      <c r="X722" s="7"/>
      <c r="Y722" s="7"/>
    </row>
    <row r="723" spans="3:25" ht="19.5" customHeight="1">
      <c r="C723" s="7"/>
      <c r="D723" s="7"/>
      <c r="E723" s="7"/>
      <c r="F723" s="7"/>
      <c r="G723" s="7"/>
      <c r="H723" s="7"/>
      <c r="I723" s="7"/>
      <c r="J723" s="7"/>
      <c r="K723" s="7"/>
      <c r="L723" s="7"/>
      <c r="M723" s="7"/>
      <c r="N723" s="7"/>
      <c r="O723" s="7"/>
      <c r="P723" s="7"/>
      <c r="Q723" s="7"/>
      <c r="R723" s="7"/>
      <c r="S723" s="7"/>
      <c r="T723" s="7"/>
      <c r="U723" s="7"/>
      <c r="V723" s="7"/>
      <c r="W723" s="7"/>
      <c r="X723" s="7"/>
      <c r="Y723" s="7"/>
    </row>
    <row r="724" spans="3:25" ht="19.5" customHeight="1">
      <c r="C724" s="7"/>
      <c r="D724" s="7"/>
      <c r="E724" s="7"/>
      <c r="F724" s="7"/>
      <c r="G724" s="7"/>
      <c r="H724" s="7"/>
      <c r="I724" s="7"/>
      <c r="J724" s="7"/>
      <c r="K724" s="7"/>
      <c r="L724" s="7"/>
      <c r="M724" s="7"/>
      <c r="N724" s="7"/>
      <c r="O724" s="7"/>
      <c r="P724" s="7"/>
      <c r="Q724" s="7"/>
      <c r="R724" s="7"/>
      <c r="S724" s="7"/>
      <c r="T724" s="7"/>
      <c r="U724" s="7"/>
      <c r="V724" s="7"/>
      <c r="W724" s="7"/>
      <c r="X724" s="7"/>
      <c r="Y724" s="7"/>
    </row>
    <row r="725" spans="3:25" ht="19.5" customHeight="1">
      <c r="C725" s="7"/>
      <c r="D725" s="7"/>
      <c r="E725" s="7"/>
      <c r="F725" s="7"/>
      <c r="G725" s="7"/>
      <c r="H725" s="7"/>
      <c r="I725" s="7"/>
      <c r="J725" s="7"/>
      <c r="K725" s="7"/>
      <c r="L725" s="7"/>
      <c r="M725" s="7"/>
      <c r="N725" s="7"/>
      <c r="O725" s="7"/>
      <c r="P725" s="7"/>
      <c r="Q725" s="7"/>
      <c r="R725" s="7"/>
      <c r="S725" s="7"/>
      <c r="T725" s="7"/>
      <c r="U725" s="7"/>
      <c r="V725" s="7"/>
      <c r="W725" s="7"/>
      <c r="X725" s="7"/>
      <c r="Y725" s="7"/>
    </row>
    <row r="726" spans="3:25" ht="19.5" customHeight="1">
      <c r="C726" s="7"/>
      <c r="D726" s="7"/>
      <c r="E726" s="7"/>
      <c r="F726" s="7"/>
      <c r="G726" s="7"/>
      <c r="H726" s="7"/>
      <c r="I726" s="7"/>
      <c r="J726" s="7"/>
      <c r="K726" s="7"/>
      <c r="L726" s="7"/>
      <c r="M726" s="7"/>
      <c r="N726" s="7"/>
      <c r="O726" s="7"/>
      <c r="P726" s="7"/>
      <c r="Q726" s="7"/>
      <c r="R726" s="7"/>
      <c r="S726" s="7"/>
      <c r="T726" s="7"/>
      <c r="U726" s="7"/>
      <c r="V726" s="7"/>
      <c r="W726" s="7"/>
      <c r="X726" s="7"/>
      <c r="Y726" s="7"/>
    </row>
    <row r="727" spans="3:25" ht="19.5" customHeight="1">
      <c r="C727" s="7"/>
      <c r="D727" s="7"/>
      <c r="E727" s="7"/>
      <c r="F727" s="7"/>
      <c r="G727" s="7"/>
      <c r="H727" s="7"/>
      <c r="I727" s="7"/>
      <c r="J727" s="7"/>
      <c r="K727" s="7"/>
      <c r="L727" s="7"/>
      <c r="M727" s="7"/>
      <c r="N727" s="7"/>
      <c r="O727" s="7"/>
      <c r="P727" s="7"/>
      <c r="Q727" s="7"/>
      <c r="R727" s="7"/>
      <c r="S727" s="7"/>
      <c r="T727" s="7"/>
      <c r="U727" s="7"/>
      <c r="V727" s="7"/>
      <c r="W727" s="7"/>
      <c r="X727" s="7"/>
      <c r="Y727" s="7"/>
    </row>
    <row r="728" spans="3:25" ht="19.5" customHeight="1">
      <c r="C728" s="7"/>
      <c r="D728" s="7"/>
      <c r="E728" s="7"/>
      <c r="F728" s="7"/>
      <c r="G728" s="7"/>
      <c r="H728" s="7"/>
      <c r="I728" s="7"/>
      <c r="J728" s="7"/>
      <c r="K728" s="7"/>
      <c r="L728" s="7"/>
      <c r="M728" s="7"/>
      <c r="N728" s="7"/>
      <c r="O728" s="7"/>
      <c r="P728" s="7"/>
      <c r="Q728" s="7"/>
      <c r="R728" s="7"/>
      <c r="S728" s="7"/>
      <c r="T728" s="7"/>
      <c r="U728" s="7"/>
      <c r="V728" s="7"/>
      <c r="W728" s="7"/>
      <c r="X728" s="7"/>
      <c r="Y728" s="7"/>
    </row>
    <row r="729" spans="3:25" ht="19.5" customHeight="1">
      <c r="C729" s="7"/>
      <c r="D729" s="7"/>
      <c r="E729" s="7"/>
      <c r="F729" s="7"/>
      <c r="G729" s="7"/>
      <c r="H729" s="7"/>
      <c r="I729" s="7"/>
      <c r="J729" s="7"/>
      <c r="K729" s="7"/>
      <c r="L729" s="7"/>
      <c r="M729" s="7"/>
      <c r="N729" s="7"/>
      <c r="O729" s="7"/>
      <c r="P729" s="7"/>
      <c r="Q729" s="7"/>
      <c r="R729" s="7"/>
      <c r="S729" s="7"/>
      <c r="T729" s="7"/>
      <c r="U729" s="7"/>
      <c r="V729" s="7"/>
      <c r="W729" s="7"/>
      <c r="X729" s="7"/>
      <c r="Y729" s="7"/>
    </row>
    <row r="730" spans="3:25" ht="19.5" customHeight="1">
      <c r="C730" s="7"/>
      <c r="D730" s="7"/>
      <c r="E730" s="7"/>
      <c r="F730" s="7"/>
      <c r="G730" s="7"/>
      <c r="H730" s="7"/>
      <c r="I730" s="7"/>
      <c r="J730" s="7"/>
      <c r="K730" s="7"/>
      <c r="L730" s="7"/>
      <c r="M730" s="7"/>
      <c r="N730" s="7"/>
      <c r="O730" s="7"/>
      <c r="P730" s="7"/>
      <c r="Q730" s="7"/>
      <c r="R730" s="7"/>
      <c r="S730" s="7"/>
      <c r="T730" s="7"/>
      <c r="U730" s="7"/>
      <c r="V730" s="7"/>
      <c r="W730" s="7"/>
      <c r="X730" s="7"/>
      <c r="Y730" s="7"/>
    </row>
    <row r="731" spans="3:25" ht="19.5" customHeight="1">
      <c r="C731" s="7"/>
      <c r="D731" s="7"/>
      <c r="E731" s="7"/>
      <c r="F731" s="7"/>
      <c r="G731" s="7"/>
      <c r="H731" s="7"/>
      <c r="I731" s="7"/>
      <c r="J731" s="7"/>
      <c r="K731" s="7"/>
      <c r="L731" s="7"/>
      <c r="M731" s="7"/>
      <c r="N731" s="7"/>
      <c r="O731" s="7"/>
      <c r="P731" s="7"/>
      <c r="Q731" s="7"/>
      <c r="R731" s="7"/>
      <c r="S731" s="7"/>
      <c r="T731" s="7"/>
      <c r="U731" s="7"/>
      <c r="V731" s="7"/>
      <c r="W731" s="7"/>
      <c r="X731" s="7"/>
      <c r="Y731" s="7"/>
    </row>
    <row r="732" spans="3:25" ht="19.5" customHeight="1">
      <c r="C732" s="7"/>
      <c r="D732" s="7"/>
      <c r="E732" s="7"/>
      <c r="F732" s="7"/>
      <c r="G732" s="7"/>
      <c r="H732" s="7"/>
      <c r="I732" s="7"/>
      <c r="J732" s="7"/>
      <c r="K732" s="7"/>
      <c r="L732" s="7"/>
      <c r="M732" s="7"/>
      <c r="N732" s="7"/>
      <c r="O732" s="7"/>
      <c r="P732" s="7"/>
      <c r="Q732" s="7"/>
      <c r="R732" s="7"/>
      <c r="S732" s="7"/>
      <c r="T732" s="7"/>
      <c r="U732" s="7"/>
      <c r="V732" s="7"/>
      <c r="W732" s="7"/>
      <c r="X732" s="7"/>
      <c r="Y732" s="7"/>
    </row>
    <row r="733" spans="3:25" ht="19.5" customHeight="1">
      <c r="C733" s="7"/>
      <c r="D733" s="7"/>
      <c r="E733" s="7"/>
      <c r="F733" s="7"/>
      <c r="G733" s="7"/>
      <c r="H733" s="7"/>
      <c r="I733" s="7"/>
      <c r="J733" s="7"/>
      <c r="K733" s="7"/>
      <c r="L733" s="7"/>
      <c r="M733" s="7"/>
      <c r="N733" s="7"/>
      <c r="O733" s="7"/>
      <c r="P733" s="7"/>
      <c r="Q733" s="7"/>
      <c r="R733" s="7"/>
      <c r="S733" s="7"/>
      <c r="T733" s="7"/>
      <c r="U733" s="7"/>
      <c r="V733" s="7"/>
      <c r="W733" s="7"/>
      <c r="X733" s="7"/>
      <c r="Y733" s="7"/>
    </row>
    <row r="734" spans="3:25" ht="19.5" customHeight="1">
      <c r="C734" s="7"/>
      <c r="D734" s="7"/>
      <c r="E734" s="7"/>
      <c r="F734" s="7"/>
      <c r="G734" s="7"/>
      <c r="H734" s="7"/>
      <c r="I734" s="7"/>
      <c r="J734" s="7"/>
      <c r="K734" s="7"/>
      <c r="L734" s="7"/>
      <c r="M734" s="7"/>
      <c r="N734" s="7"/>
      <c r="O734" s="7"/>
      <c r="P734" s="7"/>
      <c r="Q734" s="7"/>
      <c r="R734" s="7"/>
      <c r="S734" s="7"/>
      <c r="T734" s="7"/>
      <c r="U734" s="7"/>
      <c r="V734" s="7"/>
      <c r="W734" s="7"/>
      <c r="X734" s="7"/>
      <c r="Y734" s="7"/>
    </row>
    <row r="735" spans="3:25" ht="19.5" customHeight="1">
      <c r="C735" s="7"/>
      <c r="D735" s="7"/>
      <c r="E735" s="7"/>
      <c r="F735" s="7"/>
      <c r="G735" s="7"/>
      <c r="H735" s="7"/>
      <c r="I735" s="7"/>
      <c r="J735" s="7"/>
      <c r="K735" s="7"/>
      <c r="L735" s="7"/>
      <c r="M735" s="7"/>
      <c r="N735" s="7"/>
      <c r="O735" s="7"/>
      <c r="P735" s="7"/>
      <c r="Q735" s="7"/>
      <c r="R735" s="7"/>
      <c r="S735" s="7"/>
      <c r="T735" s="7"/>
      <c r="U735" s="7"/>
      <c r="V735" s="7"/>
      <c r="W735" s="7"/>
      <c r="X735" s="7"/>
      <c r="Y735" s="7"/>
    </row>
    <row r="736" spans="3:25" ht="19.5" customHeight="1">
      <c r="C736" s="7"/>
      <c r="D736" s="7"/>
      <c r="E736" s="7"/>
      <c r="F736" s="7"/>
      <c r="G736" s="7"/>
      <c r="H736" s="7"/>
      <c r="I736" s="7"/>
      <c r="J736" s="7"/>
      <c r="K736" s="7"/>
      <c r="L736" s="7"/>
      <c r="M736" s="7"/>
      <c r="N736" s="7"/>
      <c r="O736" s="7"/>
      <c r="P736" s="7"/>
      <c r="Q736" s="7"/>
      <c r="R736" s="7"/>
      <c r="S736" s="7"/>
      <c r="T736" s="7"/>
      <c r="U736" s="7"/>
      <c r="V736" s="7"/>
      <c r="W736" s="7"/>
      <c r="X736" s="7"/>
      <c r="Y736" s="7"/>
    </row>
    <row r="737" spans="3:25" ht="19.5" customHeight="1">
      <c r="C737" s="7"/>
      <c r="D737" s="7"/>
      <c r="E737" s="7"/>
      <c r="F737" s="7"/>
      <c r="G737" s="7"/>
      <c r="H737" s="7"/>
      <c r="I737" s="7"/>
      <c r="J737" s="7"/>
      <c r="K737" s="7"/>
      <c r="L737" s="7"/>
      <c r="M737" s="7"/>
      <c r="N737" s="7"/>
      <c r="O737" s="7"/>
      <c r="P737" s="7"/>
      <c r="Q737" s="7"/>
      <c r="R737" s="7"/>
      <c r="S737" s="7"/>
      <c r="T737" s="7"/>
      <c r="U737" s="7"/>
      <c r="V737" s="7"/>
      <c r="W737" s="7"/>
      <c r="X737" s="7"/>
      <c r="Y737" s="7"/>
    </row>
    <row r="738" spans="3:25" ht="19.5" customHeight="1">
      <c r="C738" s="7"/>
      <c r="D738" s="7"/>
      <c r="E738" s="7"/>
      <c r="F738" s="7"/>
      <c r="G738" s="7"/>
      <c r="H738" s="7"/>
      <c r="I738" s="7"/>
      <c r="J738" s="7"/>
      <c r="K738" s="7"/>
      <c r="L738" s="7"/>
      <c r="M738" s="7"/>
      <c r="N738" s="7"/>
      <c r="O738" s="7"/>
      <c r="P738" s="7"/>
      <c r="Q738" s="7"/>
      <c r="R738" s="7"/>
      <c r="S738" s="7"/>
      <c r="T738" s="7"/>
      <c r="U738" s="7"/>
      <c r="V738" s="7"/>
      <c r="W738" s="7"/>
      <c r="X738" s="7"/>
      <c r="Y738" s="7"/>
    </row>
    <row r="739" spans="3:25" ht="19.5" customHeight="1">
      <c r="C739" s="7"/>
      <c r="D739" s="7"/>
      <c r="E739" s="7"/>
      <c r="F739" s="7"/>
      <c r="G739" s="7"/>
      <c r="H739" s="7"/>
      <c r="I739" s="7"/>
      <c r="J739" s="7"/>
      <c r="K739" s="7"/>
      <c r="L739" s="7"/>
      <c r="M739" s="7"/>
      <c r="N739" s="7"/>
      <c r="O739" s="7"/>
      <c r="P739" s="7"/>
      <c r="Q739" s="7"/>
      <c r="R739" s="7"/>
      <c r="S739" s="7"/>
      <c r="T739" s="7"/>
      <c r="U739" s="7"/>
      <c r="V739" s="7"/>
      <c r="W739" s="7"/>
      <c r="X739" s="7"/>
      <c r="Y739" s="7"/>
    </row>
    <row r="740" spans="3:25" ht="19.5" customHeight="1">
      <c r="C740" s="7"/>
      <c r="D740" s="7"/>
      <c r="E740" s="7"/>
      <c r="F740" s="7"/>
      <c r="G740" s="7"/>
      <c r="H740" s="7"/>
      <c r="I740" s="7"/>
      <c r="J740" s="7"/>
      <c r="K740" s="7"/>
      <c r="L740" s="7"/>
      <c r="M740" s="7"/>
      <c r="N740" s="7"/>
      <c r="O740" s="7"/>
      <c r="P740" s="7"/>
      <c r="Q740" s="7"/>
      <c r="R740" s="7"/>
      <c r="S740" s="7"/>
      <c r="T740" s="7"/>
      <c r="U740" s="7"/>
      <c r="V740" s="7"/>
      <c r="W740" s="7"/>
      <c r="X740" s="7"/>
      <c r="Y740" s="7"/>
    </row>
    <row r="741" spans="3:25" ht="19.5" customHeight="1">
      <c r="C741" s="7"/>
      <c r="D741" s="7"/>
      <c r="E741" s="7"/>
      <c r="F741" s="7"/>
      <c r="G741" s="7"/>
      <c r="H741" s="7"/>
      <c r="I741" s="7"/>
      <c r="J741" s="7"/>
      <c r="K741" s="7"/>
      <c r="L741" s="7"/>
      <c r="M741" s="7"/>
      <c r="N741" s="7"/>
      <c r="O741" s="7"/>
      <c r="P741" s="7"/>
      <c r="Q741" s="7"/>
      <c r="R741" s="7"/>
      <c r="S741" s="7"/>
      <c r="T741" s="7"/>
      <c r="U741" s="7"/>
      <c r="V741" s="7"/>
      <c r="W741" s="7"/>
      <c r="X741" s="7"/>
      <c r="Y741" s="7"/>
    </row>
    <row r="742" spans="3:25" ht="19.5" customHeight="1">
      <c r="C742" s="7"/>
      <c r="D742" s="7"/>
      <c r="E742" s="7"/>
      <c r="F742" s="7"/>
      <c r="G742" s="7"/>
      <c r="H742" s="7"/>
      <c r="I742" s="7"/>
      <c r="J742" s="7"/>
      <c r="K742" s="7"/>
      <c r="L742" s="7"/>
      <c r="M742" s="7"/>
      <c r="N742" s="7"/>
      <c r="O742" s="7"/>
      <c r="P742" s="7"/>
      <c r="Q742" s="7"/>
      <c r="R742" s="7"/>
      <c r="S742" s="7"/>
      <c r="T742" s="7"/>
      <c r="U742" s="7"/>
      <c r="V742" s="7"/>
      <c r="W742" s="7"/>
      <c r="X742" s="7"/>
      <c r="Y742" s="7"/>
    </row>
    <row r="743" spans="3:25" ht="19.5" customHeight="1">
      <c r="C743" s="7"/>
      <c r="D743" s="7"/>
      <c r="E743" s="7"/>
      <c r="F743" s="7"/>
      <c r="G743" s="7"/>
      <c r="H743" s="7"/>
      <c r="I743" s="7"/>
      <c r="J743" s="7"/>
      <c r="K743" s="7"/>
      <c r="L743" s="7"/>
      <c r="M743" s="7"/>
      <c r="N743" s="7"/>
      <c r="O743" s="7"/>
      <c r="P743" s="7"/>
      <c r="Q743" s="7"/>
      <c r="R743" s="7"/>
      <c r="S743" s="7"/>
      <c r="T743" s="7"/>
      <c r="U743" s="7"/>
      <c r="V743" s="7"/>
      <c r="W743" s="7"/>
      <c r="X743" s="7"/>
      <c r="Y743" s="7"/>
    </row>
    <row r="744" spans="3:25" ht="19.5" customHeight="1">
      <c r="C744" s="7"/>
      <c r="D744" s="7"/>
      <c r="E744" s="7"/>
      <c r="F744" s="7"/>
      <c r="G744" s="7"/>
      <c r="H744" s="7"/>
      <c r="I744" s="7"/>
      <c r="J744" s="7"/>
      <c r="K744" s="7"/>
      <c r="L744" s="7"/>
      <c r="M744" s="7"/>
      <c r="N744" s="7"/>
      <c r="O744" s="7"/>
      <c r="P744" s="7"/>
      <c r="Q744" s="7"/>
      <c r="R744" s="7"/>
      <c r="S744" s="7"/>
      <c r="T744" s="7"/>
      <c r="U744" s="7"/>
      <c r="V744" s="7"/>
      <c r="W744" s="7"/>
      <c r="X744" s="7"/>
      <c r="Y744" s="7"/>
    </row>
    <row r="745" spans="3:25" ht="19.5" customHeight="1">
      <c r="C745" s="7"/>
      <c r="D745" s="7"/>
      <c r="E745" s="7"/>
      <c r="F745" s="7"/>
      <c r="G745" s="7"/>
      <c r="H745" s="7"/>
      <c r="I745" s="7"/>
      <c r="J745" s="7"/>
      <c r="K745" s="7"/>
      <c r="L745" s="7"/>
      <c r="M745" s="7"/>
      <c r="N745" s="7"/>
      <c r="O745" s="7"/>
      <c r="P745" s="7"/>
      <c r="Q745" s="7"/>
      <c r="R745" s="7"/>
      <c r="S745" s="7"/>
      <c r="T745" s="7"/>
      <c r="U745" s="7"/>
      <c r="V745" s="7"/>
      <c r="W745" s="7"/>
      <c r="X745" s="7"/>
      <c r="Y745" s="7"/>
    </row>
    <row r="746" spans="3:25" ht="19.5" customHeight="1">
      <c r="C746" s="7"/>
      <c r="D746" s="7"/>
      <c r="E746" s="7"/>
      <c r="F746" s="7"/>
      <c r="G746" s="7"/>
      <c r="H746" s="7"/>
      <c r="I746" s="7"/>
      <c r="J746" s="7"/>
      <c r="K746" s="7"/>
      <c r="L746" s="7"/>
      <c r="M746" s="7"/>
      <c r="N746" s="7"/>
      <c r="O746" s="7"/>
      <c r="P746" s="7"/>
      <c r="Q746" s="7"/>
      <c r="R746" s="7"/>
      <c r="S746" s="7"/>
      <c r="T746" s="7"/>
      <c r="U746" s="7"/>
      <c r="V746" s="7"/>
      <c r="W746" s="7"/>
      <c r="X746" s="7"/>
      <c r="Y746" s="7"/>
    </row>
    <row r="747" spans="3:25" ht="19.5" customHeight="1">
      <c r="C747" s="7"/>
      <c r="D747" s="7"/>
      <c r="E747" s="7"/>
      <c r="F747" s="7"/>
      <c r="G747" s="7"/>
      <c r="H747" s="7"/>
      <c r="I747" s="7"/>
      <c r="J747" s="7"/>
      <c r="K747" s="7"/>
      <c r="L747" s="7"/>
      <c r="M747" s="7"/>
      <c r="N747" s="7"/>
      <c r="O747" s="7"/>
      <c r="P747" s="7"/>
      <c r="Q747" s="7"/>
      <c r="R747" s="7"/>
      <c r="S747" s="7"/>
      <c r="T747" s="7"/>
      <c r="U747" s="7"/>
      <c r="V747" s="7"/>
      <c r="W747" s="7"/>
      <c r="X747" s="7"/>
      <c r="Y747" s="7"/>
    </row>
    <row r="748" spans="3:25" ht="19.5" customHeight="1">
      <c r="C748" s="7"/>
      <c r="D748" s="7"/>
      <c r="E748" s="7"/>
      <c r="F748" s="7"/>
      <c r="G748" s="7"/>
      <c r="H748" s="7"/>
      <c r="I748" s="7"/>
      <c r="J748" s="7"/>
      <c r="K748" s="7"/>
      <c r="L748" s="7"/>
      <c r="M748" s="7"/>
      <c r="N748" s="7"/>
      <c r="O748" s="7"/>
      <c r="P748" s="7"/>
      <c r="Q748" s="7"/>
      <c r="R748" s="7"/>
      <c r="S748" s="7"/>
      <c r="T748" s="7"/>
      <c r="U748" s="7"/>
      <c r="V748" s="7"/>
      <c r="W748" s="7"/>
      <c r="X748" s="7"/>
      <c r="Y748" s="7"/>
    </row>
    <row r="749" spans="3:25" ht="19.5" customHeight="1">
      <c r="C749" s="7"/>
      <c r="D749" s="7"/>
      <c r="E749" s="7"/>
      <c r="F749" s="7"/>
      <c r="G749" s="7"/>
      <c r="H749" s="7"/>
      <c r="I749" s="7"/>
      <c r="J749" s="7"/>
      <c r="K749" s="7"/>
      <c r="L749" s="7"/>
      <c r="M749" s="7"/>
      <c r="N749" s="7"/>
      <c r="O749" s="7"/>
      <c r="P749" s="7"/>
      <c r="Q749" s="7"/>
      <c r="R749" s="7"/>
      <c r="S749" s="7"/>
      <c r="T749" s="7"/>
      <c r="U749" s="7"/>
      <c r="V749" s="7"/>
      <c r="W749" s="7"/>
      <c r="X749" s="7"/>
      <c r="Y749" s="7"/>
    </row>
    <row r="750" spans="3:25" ht="19.5" customHeight="1">
      <c r="C750" s="7"/>
      <c r="D750" s="7"/>
      <c r="E750" s="7"/>
      <c r="F750" s="7"/>
      <c r="G750" s="7"/>
      <c r="H750" s="7"/>
      <c r="I750" s="7"/>
      <c r="J750" s="7"/>
      <c r="K750" s="7"/>
      <c r="L750" s="7"/>
      <c r="M750" s="7"/>
      <c r="N750" s="7"/>
      <c r="O750" s="7"/>
      <c r="P750" s="7"/>
      <c r="Q750" s="7"/>
      <c r="R750" s="7"/>
      <c r="S750" s="7"/>
      <c r="T750" s="7"/>
      <c r="U750" s="7"/>
      <c r="V750" s="7"/>
      <c r="W750" s="7"/>
      <c r="X750" s="7"/>
      <c r="Y750" s="7"/>
    </row>
    <row r="751" spans="3:25" ht="19.5" customHeight="1">
      <c r="C751" s="7"/>
      <c r="D751" s="7"/>
      <c r="E751" s="7"/>
      <c r="F751" s="7"/>
      <c r="G751" s="7"/>
      <c r="H751" s="7"/>
      <c r="I751" s="7"/>
      <c r="J751" s="7"/>
      <c r="K751" s="7"/>
      <c r="L751" s="7"/>
      <c r="M751" s="7"/>
      <c r="N751" s="7"/>
      <c r="O751" s="7"/>
      <c r="P751" s="7"/>
      <c r="Q751" s="7"/>
      <c r="R751" s="7"/>
      <c r="S751" s="7"/>
      <c r="T751" s="7"/>
      <c r="U751" s="7"/>
      <c r="V751" s="7"/>
      <c r="W751" s="7"/>
      <c r="X751" s="7"/>
      <c r="Y751" s="7"/>
    </row>
    <row r="752" spans="3:25" ht="19.5" customHeight="1">
      <c r="C752" s="7"/>
      <c r="D752" s="7"/>
      <c r="E752" s="7"/>
      <c r="F752" s="7"/>
      <c r="G752" s="7"/>
      <c r="H752" s="7"/>
      <c r="I752" s="7"/>
      <c r="J752" s="7"/>
      <c r="K752" s="7"/>
      <c r="L752" s="7"/>
      <c r="M752" s="7"/>
      <c r="N752" s="7"/>
      <c r="O752" s="7"/>
      <c r="P752" s="7"/>
      <c r="Q752" s="7"/>
      <c r="R752" s="7"/>
      <c r="S752" s="7"/>
      <c r="T752" s="7"/>
      <c r="U752" s="7"/>
      <c r="V752" s="7"/>
      <c r="W752" s="7"/>
      <c r="X752" s="7"/>
      <c r="Y752" s="7"/>
    </row>
    <row r="753" spans="3:25" ht="19.5" customHeight="1">
      <c r="C753" s="7"/>
      <c r="D753" s="7"/>
      <c r="E753" s="7"/>
      <c r="F753" s="7"/>
      <c r="G753" s="7"/>
      <c r="H753" s="7"/>
      <c r="I753" s="7"/>
      <c r="J753" s="7"/>
      <c r="K753" s="7"/>
      <c r="L753" s="7"/>
      <c r="M753" s="7"/>
      <c r="N753" s="7"/>
      <c r="O753" s="7"/>
      <c r="P753" s="7"/>
      <c r="Q753" s="7"/>
      <c r="R753" s="7"/>
      <c r="S753" s="7"/>
      <c r="T753" s="7"/>
      <c r="U753" s="7"/>
      <c r="V753" s="7"/>
      <c r="W753" s="7"/>
      <c r="X753" s="7"/>
      <c r="Y753" s="7"/>
    </row>
    <row r="754" spans="3:25" ht="19.5" customHeight="1">
      <c r="C754" s="7"/>
      <c r="D754" s="7"/>
      <c r="E754" s="7"/>
      <c r="F754" s="7"/>
      <c r="G754" s="7"/>
      <c r="H754" s="7"/>
      <c r="I754" s="7"/>
      <c r="J754" s="7"/>
      <c r="K754" s="7"/>
      <c r="L754" s="7"/>
      <c r="M754" s="7"/>
      <c r="N754" s="7"/>
      <c r="O754" s="7"/>
      <c r="P754" s="7"/>
      <c r="Q754" s="7"/>
      <c r="R754" s="7"/>
      <c r="S754" s="7"/>
      <c r="T754" s="7"/>
      <c r="U754" s="7"/>
      <c r="V754" s="7"/>
      <c r="W754" s="7"/>
      <c r="X754" s="7"/>
      <c r="Y754" s="7"/>
    </row>
    <row r="755" spans="3:25" ht="19.5" customHeight="1">
      <c r="C755" s="7"/>
      <c r="D755" s="7"/>
      <c r="E755" s="7"/>
      <c r="F755" s="7"/>
      <c r="G755" s="7"/>
      <c r="H755" s="7"/>
      <c r="I755" s="7"/>
      <c r="J755" s="7"/>
      <c r="K755" s="7"/>
      <c r="L755" s="7"/>
      <c r="M755" s="7"/>
      <c r="N755" s="7"/>
      <c r="O755" s="7"/>
      <c r="P755" s="7"/>
      <c r="Q755" s="7"/>
      <c r="R755" s="7"/>
      <c r="S755" s="7"/>
      <c r="T755" s="7"/>
      <c r="U755" s="7"/>
      <c r="V755" s="7"/>
      <c r="W755" s="7"/>
      <c r="X755" s="7"/>
      <c r="Y755" s="7"/>
    </row>
    <row r="756" spans="3:25" ht="19.5" customHeight="1">
      <c r="C756" s="7"/>
      <c r="D756" s="7"/>
      <c r="E756" s="7"/>
      <c r="F756" s="7"/>
      <c r="G756" s="7"/>
      <c r="H756" s="7"/>
      <c r="I756" s="7"/>
      <c r="J756" s="7"/>
      <c r="K756" s="7"/>
      <c r="L756" s="7"/>
      <c r="M756" s="7"/>
      <c r="N756" s="7"/>
      <c r="O756" s="7"/>
      <c r="P756" s="7"/>
      <c r="Q756" s="7"/>
      <c r="R756" s="7"/>
      <c r="S756" s="7"/>
      <c r="T756" s="7"/>
      <c r="U756" s="7"/>
      <c r="V756" s="7"/>
      <c r="W756" s="7"/>
      <c r="X756" s="7"/>
      <c r="Y756" s="7"/>
    </row>
    <row r="757" spans="3:25" ht="19.5" customHeight="1">
      <c r="C757" s="7"/>
      <c r="D757" s="7"/>
      <c r="E757" s="7"/>
      <c r="F757" s="7"/>
      <c r="G757" s="7"/>
      <c r="H757" s="7"/>
      <c r="I757" s="7"/>
      <c r="J757" s="7"/>
      <c r="K757" s="7"/>
      <c r="L757" s="7"/>
      <c r="M757" s="7"/>
      <c r="N757" s="7"/>
      <c r="O757" s="7"/>
      <c r="P757" s="7"/>
      <c r="Q757" s="7"/>
      <c r="R757" s="7"/>
      <c r="S757" s="7"/>
      <c r="T757" s="7"/>
      <c r="U757" s="7"/>
      <c r="V757" s="7"/>
      <c r="W757" s="7"/>
      <c r="X757" s="7"/>
      <c r="Y757" s="7"/>
    </row>
    <row r="758" spans="3:25" ht="19.5" customHeight="1">
      <c r="C758" s="7"/>
      <c r="D758" s="7"/>
      <c r="E758" s="7"/>
      <c r="F758" s="7"/>
      <c r="G758" s="7"/>
      <c r="H758" s="7"/>
      <c r="I758" s="7"/>
      <c r="J758" s="7"/>
      <c r="K758" s="7"/>
      <c r="L758" s="7"/>
      <c r="M758" s="7"/>
      <c r="N758" s="7"/>
      <c r="O758" s="7"/>
      <c r="P758" s="7"/>
      <c r="Q758" s="7"/>
      <c r="R758" s="7"/>
      <c r="S758" s="7"/>
      <c r="T758" s="7"/>
      <c r="U758" s="7"/>
      <c r="V758" s="7"/>
      <c r="W758" s="7"/>
      <c r="X758" s="7"/>
      <c r="Y758" s="7"/>
    </row>
    <row r="759" spans="3:25" ht="19.5" customHeight="1">
      <c r="C759" s="7"/>
      <c r="D759" s="7"/>
      <c r="E759" s="7"/>
      <c r="F759" s="7"/>
      <c r="G759" s="7"/>
      <c r="H759" s="7"/>
      <c r="I759" s="7"/>
      <c r="J759" s="7"/>
      <c r="K759" s="7"/>
      <c r="L759" s="7"/>
      <c r="M759" s="7"/>
      <c r="N759" s="7"/>
      <c r="O759" s="7"/>
      <c r="P759" s="7"/>
      <c r="Q759" s="7"/>
      <c r="R759" s="7"/>
      <c r="S759" s="7"/>
      <c r="T759" s="7"/>
      <c r="U759" s="7"/>
      <c r="V759" s="7"/>
      <c r="W759" s="7"/>
      <c r="X759" s="7"/>
      <c r="Y759" s="7"/>
    </row>
    <row r="760" spans="3:25" ht="19.5" customHeight="1">
      <c r="C760" s="7"/>
      <c r="D760" s="7"/>
      <c r="E760" s="7"/>
      <c r="F760" s="7"/>
      <c r="G760" s="7"/>
      <c r="H760" s="7"/>
      <c r="I760" s="7"/>
      <c r="J760" s="7"/>
      <c r="K760" s="7"/>
      <c r="L760" s="7"/>
      <c r="M760" s="7"/>
      <c r="N760" s="7"/>
      <c r="O760" s="7"/>
      <c r="P760" s="7"/>
      <c r="Q760" s="7"/>
      <c r="R760" s="7"/>
      <c r="S760" s="7"/>
      <c r="T760" s="7"/>
      <c r="U760" s="7"/>
      <c r="V760" s="7"/>
      <c r="W760" s="7"/>
      <c r="X760" s="7"/>
      <c r="Y760" s="7"/>
    </row>
    <row r="761" spans="3:25" ht="19.5" customHeight="1">
      <c r="C761" s="7"/>
      <c r="D761" s="7"/>
      <c r="E761" s="7"/>
      <c r="F761" s="7"/>
      <c r="G761" s="7"/>
      <c r="H761" s="7"/>
      <c r="I761" s="7"/>
      <c r="J761" s="7"/>
      <c r="K761" s="7"/>
      <c r="L761" s="7"/>
      <c r="M761" s="7"/>
      <c r="N761" s="7"/>
      <c r="O761" s="7"/>
      <c r="P761" s="7"/>
      <c r="Q761" s="7"/>
      <c r="R761" s="7"/>
      <c r="S761" s="7"/>
      <c r="T761" s="7"/>
      <c r="U761" s="7"/>
      <c r="V761" s="7"/>
      <c r="W761" s="7"/>
      <c r="X761" s="7"/>
      <c r="Y761" s="7"/>
    </row>
    <row r="762" spans="3:25" ht="19.5" customHeight="1">
      <c r="C762" s="7"/>
      <c r="D762" s="7"/>
      <c r="E762" s="7"/>
      <c r="F762" s="7"/>
      <c r="G762" s="7"/>
      <c r="H762" s="7"/>
      <c r="I762" s="7"/>
      <c r="J762" s="7"/>
      <c r="K762" s="7"/>
      <c r="L762" s="7"/>
      <c r="M762" s="7"/>
      <c r="N762" s="7"/>
      <c r="O762" s="7"/>
      <c r="P762" s="7"/>
      <c r="Q762" s="7"/>
      <c r="R762" s="7"/>
      <c r="S762" s="7"/>
      <c r="T762" s="7"/>
      <c r="U762" s="7"/>
      <c r="V762" s="7"/>
      <c r="W762" s="7"/>
      <c r="X762" s="7"/>
      <c r="Y762" s="7"/>
    </row>
    <row r="763" spans="3:25" ht="19.5" customHeight="1">
      <c r="C763" s="7"/>
      <c r="D763" s="7"/>
      <c r="E763" s="7"/>
      <c r="F763" s="7"/>
      <c r="G763" s="7"/>
      <c r="H763" s="7"/>
      <c r="I763" s="7"/>
      <c r="J763" s="7"/>
      <c r="K763" s="7"/>
      <c r="L763" s="7"/>
      <c r="M763" s="7"/>
      <c r="N763" s="7"/>
      <c r="O763" s="7"/>
      <c r="P763" s="7"/>
      <c r="Q763" s="7"/>
      <c r="R763" s="7"/>
      <c r="S763" s="7"/>
      <c r="T763" s="7"/>
      <c r="U763" s="7"/>
      <c r="V763" s="7"/>
      <c r="W763" s="7"/>
      <c r="X763" s="7"/>
      <c r="Y763" s="7"/>
    </row>
    <row r="764" spans="3:25" ht="19.5" customHeight="1">
      <c r="C764" s="7"/>
      <c r="D764" s="7"/>
      <c r="E764" s="7"/>
      <c r="F764" s="7"/>
      <c r="G764" s="7"/>
      <c r="H764" s="7"/>
      <c r="I764" s="7"/>
      <c r="J764" s="7"/>
      <c r="K764" s="7"/>
      <c r="L764" s="7"/>
      <c r="M764" s="7"/>
      <c r="N764" s="7"/>
      <c r="O764" s="7"/>
      <c r="P764" s="7"/>
      <c r="Q764" s="7"/>
      <c r="R764" s="7"/>
      <c r="S764" s="7"/>
      <c r="T764" s="7"/>
      <c r="U764" s="7"/>
      <c r="V764" s="7"/>
      <c r="W764" s="7"/>
      <c r="X764" s="7"/>
      <c r="Y764" s="7"/>
    </row>
    <row r="765" spans="3:25" ht="19.5" customHeight="1">
      <c r="C765" s="7"/>
      <c r="D765" s="7"/>
      <c r="E765" s="7"/>
      <c r="F765" s="7"/>
      <c r="G765" s="7"/>
      <c r="H765" s="7"/>
      <c r="I765" s="7"/>
      <c r="J765" s="7"/>
      <c r="K765" s="7"/>
      <c r="L765" s="7"/>
      <c r="M765" s="7"/>
      <c r="N765" s="7"/>
      <c r="O765" s="7"/>
      <c r="P765" s="7"/>
      <c r="Q765" s="7"/>
      <c r="R765" s="7"/>
      <c r="S765" s="7"/>
      <c r="T765" s="7"/>
      <c r="U765" s="7"/>
      <c r="V765" s="7"/>
      <c r="W765" s="7"/>
      <c r="X765" s="7"/>
      <c r="Y765" s="7"/>
    </row>
    <row r="766" spans="3:25" ht="19.5" customHeight="1">
      <c r="C766" s="7"/>
      <c r="D766" s="7"/>
      <c r="E766" s="7"/>
      <c r="F766" s="7"/>
      <c r="G766" s="7"/>
      <c r="H766" s="7"/>
      <c r="I766" s="7"/>
      <c r="J766" s="7"/>
      <c r="K766" s="7"/>
      <c r="L766" s="7"/>
      <c r="M766" s="7"/>
      <c r="N766" s="7"/>
      <c r="O766" s="7"/>
      <c r="P766" s="7"/>
      <c r="Q766" s="7"/>
      <c r="R766" s="7"/>
      <c r="S766" s="7"/>
      <c r="T766" s="7"/>
      <c r="U766" s="7"/>
      <c r="V766" s="7"/>
      <c r="W766" s="7"/>
      <c r="X766" s="7"/>
      <c r="Y766" s="7"/>
    </row>
    <row r="767" spans="3:25" ht="19.5" customHeight="1">
      <c r="C767" s="7"/>
      <c r="D767" s="7"/>
      <c r="E767" s="7"/>
      <c r="F767" s="7"/>
      <c r="G767" s="7"/>
      <c r="H767" s="7"/>
      <c r="I767" s="7"/>
      <c r="J767" s="7"/>
      <c r="K767" s="7"/>
      <c r="L767" s="7"/>
      <c r="M767" s="7"/>
      <c r="N767" s="7"/>
      <c r="O767" s="7"/>
      <c r="P767" s="7"/>
      <c r="Q767" s="7"/>
      <c r="R767" s="7"/>
      <c r="S767" s="7"/>
      <c r="T767" s="7"/>
      <c r="U767" s="7"/>
      <c r="V767" s="7"/>
      <c r="W767" s="7"/>
      <c r="X767" s="7"/>
      <c r="Y767" s="7"/>
    </row>
    <row r="768" spans="3:25" ht="19.5" customHeight="1">
      <c r="C768" s="7"/>
      <c r="D768" s="7"/>
      <c r="E768" s="7"/>
      <c r="F768" s="7"/>
      <c r="G768" s="7"/>
      <c r="H768" s="7"/>
      <c r="I768" s="7"/>
      <c r="J768" s="7"/>
      <c r="K768" s="7"/>
      <c r="L768" s="7"/>
      <c r="M768" s="7"/>
      <c r="N768" s="7"/>
      <c r="O768" s="7"/>
      <c r="P768" s="7"/>
      <c r="Q768" s="7"/>
      <c r="R768" s="7"/>
      <c r="S768" s="7"/>
      <c r="T768" s="7"/>
      <c r="U768" s="7"/>
      <c r="V768" s="7"/>
      <c r="W768" s="7"/>
      <c r="X768" s="7"/>
      <c r="Y768" s="7"/>
    </row>
    <row r="769" spans="3:25" ht="19.5" customHeight="1">
      <c r="C769" s="7"/>
      <c r="D769" s="7"/>
      <c r="E769" s="7"/>
      <c r="F769" s="7"/>
      <c r="G769" s="7"/>
      <c r="H769" s="7"/>
      <c r="I769" s="7"/>
      <c r="J769" s="7"/>
      <c r="K769" s="7"/>
      <c r="L769" s="7"/>
      <c r="M769" s="7"/>
      <c r="N769" s="7"/>
      <c r="O769" s="7"/>
      <c r="P769" s="7"/>
      <c r="Q769" s="7"/>
      <c r="R769" s="7"/>
      <c r="S769" s="7"/>
      <c r="T769" s="7"/>
      <c r="U769" s="7"/>
      <c r="V769" s="7"/>
      <c r="W769" s="7"/>
      <c r="X769" s="7"/>
      <c r="Y769" s="7"/>
    </row>
    <row r="770" spans="3:25" ht="19.5" customHeight="1">
      <c r="C770" s="7"/>
      <c r="D770" s="7"/>
      <c r="E770" s="7"/>
      <c r="F770" s="7"/>
      <c r="G770" s="7"/>
      <c r="H770" s="7"/>
      <c r="I770" s="7"/>
      <c r="J770" s="7"/>
      <c r="K770" s="7"/>
      <c r="L770" s="7"/>
      <c r="M770" s="7"/>
      <c r="N770" s="7"/>
      <c r="O770" s="7"/>
      <c r="P770" s="7"/>
      <c r="Q770" s="7"/>
      <c r="R770" s="7"/>
      <c r="S770" s="7"/>
      <c r="T770" s="7"/>
      <c r="U770" s="7"/>
      <c r="V770" s="7"/>
      <c r="W770" s="7"/>
      <c r="X770" s="7"/>
      <c r="Y770" s="7"/>
    </row>
    <row r="771" spans="3:25" ht="19.5" customHeight="1">
      <c r="C771" s="7"/>
      <c r="D771" s="7"/>
      <c r="E771" s="7"/>
      <c r="F771" s="7"/>
      <c r="G771" s="7"/>
      <c r="H771" s="7"/>
      <c r="I771" s="7"/>
      <c r="J771" s="7"/>
      <c r="K771" s="7"/>
      <c r="L771" s="7"/>
      <c r="M771" s="7"/>
      <c r="N771" s="7"/>
      <c r="O771" s="7"/>
      <c r="P771" s="7"/>
      <c r="Q771" s="7"/>
      <c r="R771" s="7"/>
      <c r="S771" s="7"/>
      <c r="T771" s="7"/>
      <c r="U771" s="7"/>
      <c r="V771" s="7"/>
      <c r="W771" s="7"/>
      <c r="X771" s="7"/>
      <c r="Y771" s="7"/>
    </row>
    <row r="772" spans="3:25" ht="19.5" customHeight="1">
      <c r="C772" s="7"/>
      <c r="D772" s="7"/>
      <c r="E772" s="7"/>
      <c r="F772" s="7"/>
      <c r="G772" s="7"/>
      <c r="H772" s="7"/>
      <c r="I772" s="7"/>
      <c r="J772" s="7"/>
      <c r="K772" s="7"/>
      <c r="L772" s="7"/>
      <c r="M772" s="7"/>
      <c r="N772" s="7"/>
      <c r="O772" s="7"/>
      <c r="P772" s="7"/>
      <c r="Q772" s="7"/>
      <c r="R772" s="7"/>
      <c r="S772" s="7"/>
      <c r="T772" s="7"/>
      <c r="U772" s="7"/>
      <c r="V772" s="7"/>
      <c r="W772" s="7"/>
      <c r="X772" s="7"/>
      <c r="Y772" s="7"/>
    </row>
    <row r="773" spans="3:25" ht="19.5" customHeight="1">
      <c r="C773" s="7"/>
      <c r="D773" s="7"/>
      <c r="E773" s="7"/>
      <c r="F773" s="7"/>
      <c r="G773" s="7"/>
      <c r="H773" s="7"/>
      <c r="I773" s="7"/>
      <c r="J773" s="7"/>
      <c r="K773" s="7"/>
      <c r="L773" s="7"/>
      <c r="M773" s="7"/>
      <c r="N773" s="7"/>
      <c r="O773" s="7"/>
      <c r="P773" s="7"/>
      <c r="Q773" s="7"/>
      <c r="R773" s="7"/>
      <c r="S773" s="7"/>
      <c r="T773" s="7"/>
      <c r="U773" s="7"/>
      <c r="V773" s="7"/>
      <c r="W773" s="7"/>
      <c r="X773" s="7"/>
      <c r="Y773" s="7"/>
    </row>
    <row r="774" spans="3:25" ht="19.5" customHeight="1">
      <c r="C774" s="7"/>
      <c r="D774" s="7"/>
      <c r="E774" s="7"/>
      <c r="F774" s="7"/>
      <c r="G774" s="7"/>
      <c r="H774" s="7"/>
      <c r="I774" s="7"/>
      <c r="J774" s="7"/>
      <c r="K774" s="7"/>
      <c r="L774" s="7"/>
      <c r="M774" s="7"/>
      <c r="N774" s="7"/>
      <c r="O774" s="7"/>
      <c r="P774" s="7"/>
      <c r="Q774" s="7"/>
      <c r="R774" s="7"/>
      <c r="S774" s="7"/>
      <c r="T774" s="7"/>
      <c r="U774" s="7"/>
      <c r="V774" s="7"/>
      <c r="W774" s="7"/>
      <c r="X774" s="7"/>
      <c r="Y774" s="7"/>
    </row>
    <row r="775" spans="3:25" ht="19.5" customHeight="1">
      <c r="C775" s="7"/>
      <c r="D775" s="7"/>
      <c r="E775" s="7"/>
      <c r="F775" s="7"/>
      <c r="G775" s="7"/>
      <c r="H775" s="7"/>
      <c r="I775" s="7"/>
      <c r="J775" s="7"/>
      <c r="K775" s="7"/>
      <c r="L775" s="7"/>
      <c r="M775" s="7"/>
      <c r="N775" s="7"/>
      <c r="O775" s="7"/>
      <c r="P775" s="7"/>
      <c r="Q775" s="7"/>
      <c r="R775" s="7"/>
      <c r="S775" s="7"/>
      <c r="T775" s="7"/>
      <c r="U775" s="7"/>
      <c r="V775" s="7"/>
      <c r="W775" s="7"/>
      <c r="X775" s="7"/>
      <c r="Y775" s="7"/>
    </row>
    <row r="776" spans="3:25" ht="19.5" customHeight="1">
      <c r="C776" s="7"/>
      <c r="D776" s="7"/>
      <c r="E776" s="7"/>
      <c r="F776" s="7"/>
      <c r="G776" s="7"/>
      <c r="H776" s="7"/>
      <c r="I776" s="7"/>
      <c r="J776" s="7"/>
      <c r="K776" s="7"/>
      <c r="L776" s="7"/>
      <c r="M776" s="7"/>
      <c r="N776" s="7"/>
      <c r="O776" s="7"/>
      <c r="P776" s="7"/>
      <c r="Q776" s="7"/>
      <c r="R776" s="7"/>
      <c r="S776" s="7"/>
      <c r="T776" s="7"/>
      <c r="U776" s="7"/>
      <c r="V776" s="7"/>
      <c r="W776" s="7"/>
      <c r="X776" s="7"/>
      <c r="Y776" s="7"/>
    </row>
    <row r="777" spans="3:25" ht="19.5" customHeight="1">
      <c r="C777" s="7"/>
      <c r="D777" s="7"/>
      <c r="E777" s="7"/>
      <c r="F777" s="7"/>
      <c r="G777" s="7"/>
      <c r="H777" s="7"/>
      <c r="I777" s="7"/>
      <c r="J777" s="7"/>
      <c r="K777" s="7"/>
      <c r="L777" s="7"/>
      <c r="M777" s="7"/>
      <c r="N777" s="7"/>
      <c r="O777" s="7"/>
      <c r="P777" s="7"/>
      <c r="Q777" s="7"/>
      <c r="R777" s="7"/>
      <c r="S777" s="7"/>
      <c r="T777" s="7"/>
      <c r="U777" s="7"/>
      <c r="V777" s="7"/>
      <c r="W777" s="7"/>
      <c r="X777" s="7"/>
      <c r="Y777" s="7"/>
    </row>
    <row r="778" spans="3:25" ht="19.5" customHeight="1">
      <c r="C778" s="7"/>
      <c r="D778" s="7"/>
      <c r="E778" s="7"/>
      <c r="F778" s="7"/>
      <c r="G778" s="7"/>
      <c r="H778" s="7"/>
      <c r="I778" s="7"/>
      <c r="J778" s="7"/>
      <c r="K778" s="7"/>
      <c r="L778" s="7"/>
      <c r="M778" s="7"/>
      <c r="N778" s="7"/>
      <c r="O778" s="7"/>
      <c r="P778" s="7"/>
      <c r="Q778" s="7"/>
      <c r="R778" s="7"/>
      <c r="S778" s="7"/>
      <c r="T778" s="7"/>
      <c r="U778" s="7"/>
      <c r="V778" s="7"/>
      <c r="W778" s="7"/>
      <c r="X778" s="7"/>
      <c r="Y778" s="7"/>
    </row>
    <row r="779" spans="3:25" ht="19.5" customHeight="1">
      <c r="C779" s="7"/>
      <c r="D779" s="7"/>
      <c r="E779" s="7"/>
      <c r="F779" s="7"/>
      <c r="G779" s="7"/>
      <c r="H779" s="7"/>
      <c r="I779" s="7"/>
      <c r="J779" s="7"/>
      <c r="K779" s="7"/>
      <c r="L779" s="7"/>
      <c r="M779" s="7"/>
      <c r="N779" s="7"/>
      <c r="O779" s="7"/>
      <c r="P779" s="7"/>
      <c r="Q779" s="7"/>
      <c r="R779" s="7"/>
      <c r="S779" s="7"/>
      <c r="T779" s="7"/>
      <c r="U779" s="7"/>
      <c r="V779" s="7"/>
      <c r="W779" s="7"/>
      <c r="X779" s="7"/>
      <c r="Y779" s="7"/>
    </row>
    <row r="780" spans="3:25" ht="19.5" customHeight="1">
      <c r="C780" s="7"/>
      <c r="D780" s="7"/>
      <c r="E780" s="7"/>
      <c r="F780" s="7"/>
      <c r="G780" s="7"/>
      <c r="H780" s="7"/>
      <c r="I780" s="7"/>
      <c r="J780" s="7"/>
      <c r="K780" s="7"/>
      <c r="L780" s="7"/>
      <c r="M780" s="7"/>
      <c r="N780" s="7"/>
      <c r="O780" s="7"/>
      <c r="P780" s="7"/>
      <c r="Q780" s="7"/>
      <c r="R780" s="7"/>
      <c r="S780" s="7"/>
      <c r="T780" s="7"/>
      <c r="U780" s="7"/>
      <c r="V780" s="7"/>
      <c r="W780" s="7"/>
      <c r="X780" s="7"/>
      <c r="Y780" s="7"/>
    </row>
    <row r="781" spans="3:25" ht="19.5" customHeight="1">
      <c r="C781" s="7"/>
      <c r="D781" s="7"/>
      <c r="E781" s="7"/>
      <c r="F781" s="7"/>
      <c r="G781" s="7"/>
      <c r="H781" s="7"/>
      <c r="I781" s="7"/>
      <c r="J781" s="7"/>
      <c r="K781" s="7"/>
      <c r="L781" s="7"/>
      <c r="M781" s="7"/>
      <c r="N781" s="7"/>
      <c r="O781" s="7"/>
      <c r="P781" s="7"/>
      <c r="Q781" s="7"/>
      <c r="R781" s="7"/>
      <c r="S781" s="7"/>
      <c r="T781" s="7"/>
      <c r="U781" s="7"/>
      <c r="V781" s="7"/>
      <c r="W781" s="7"/>
      <c r="X781" s="7"/>
      <c r="Y781" s="7"/>
    </row>
    <row r="782" spans="3:25" ht="19.5" customHeight="1">
      <c r="C782" s="7"/>
      <c r="D782" s="7"/>
      <c r="E782" s="7"/>
      <c r="F782" s="7"/>
      <c r="G782" s="7"/>
      <c r="H782" s="7"/>
      <c r="I782" s="7"/>
      <c r="J782" s="7"/>
      <c r="K782" s="7"/>
      <c r="L782" s="7"/>
      <c r="M782" s="7"/>
      <c r="N782" s="7"/>
      <c r="O782" s="7"/>
      <c r="P782" s="7"/>
      <c r="Q782" s="7"/>
      <c r="R782" s="7"/>
      <c r="S782" s="7"/>
      <c r="T782" s="7"/>
      <c r="U782" s="7"/>
      <c r="V782" s="7"/>
      <c r="W782" s="7"/>
      <c r="X782" s="7"/>
      <c r="Y782" s="7"/>
    </row>
    <row r="783" spans="3:25" ht="19.5" customHeight="1">
      <c r="C783" s="7"/>
      <c r="D783" s="7"/>
      <c r="E783" s="7"/>
      <c r="F783" s="7"/>
      <c r="G783" s="7"/>
      <c r="H783" s="7"/>
      <c r="I783" s="7"/>
      <c r="J783" s="7"/>
      <c r="K783" s="7"/>
      <c r="L783" s="7"/>
      <c r="M783" s="7"/>
      <c r="N783" s="7"/>
      <c r="O783" s="7"/>
      <c r="P783" s="7"/>
      <c r="Q783" s="7"/>
      <c r="R783" s="7"/>
      <c r="S783" s="7"/>
      <c r="T783" s="7"/>
      <c r="U783" s="7"/>
      <c r="V783" s="7"/>
      <c r="W783" s="7"/>
      <c r="X783" s="7"/>
      <c r="Y783" s="7"/>
    </row>
    <row r="784" spans="3:25" ht="19.5" customHeight="1">
      <c r="C784" s="7"/>
      <c r="D784" s="7"/>
      <c r="E784" s="7"/>
      <c r="F784" s="7"/>
      <c r="G784" s="7"/>
      <c r="H784" s="7"/>
      <c r="I784" s="7"/>
      <c r="J784" s="7"/>
      <c r="K784" s="7"/>
      <c r="L784" s="7"/>
      <c r="M784" s="7"/>
      <c r="N784" s="7"/>
      <c r="O784" s="7"/>
      <c r="P784" s="7"/>
      <c r="Q784" s="7"/>
      <c r="R784" s="7"/>
      <c r="S784" s="7"/>
      <c r="T784" s="7"/>
      <c r="U784" s="7"/>
      <c r="V784" s="7"/>
      <c r="W784" s="7"/>
      <c r="X784" s="7"/>
      <c r="Y784" s="7"/>
    </row>
    <row r="785" spans="3:25" ht="19.5" customHeight="1">
      <c r="C785" s="7"/>
      <c r="D785" s="7"/>
      <c r="E785" s="7"/>
      <c r="F785" s="7"/>
      <c r="G785" s="7"/>
      <c r="H785" s="7"/>
      <c r="I785" s="7"/>
      <c r="J785" s="7"/>
      <c r="K785" s="7"/>
      <c r="L785" s="7"/>
      <c r="M785" s="7"/>
      <c r="N785" s="7"/>
      <c r="O785" s="7"/>
      <c r="P785" s="7"/>
      <c r="Q785" s="7"/>
      <c r="R785" s="7"/>
      <c r="S785" s="7"/>
      <c r="T785" s="7"/>
      <c r="U785" s="7"/>
      <c r="V785" s="7"/>
      <c r="W785" s="7"/>
      <c r="X785" s="7"/>
      <c r="Y785" s="7"/>
    </row>
    <row r="786" spans="3:25" ht="19.5" customHeight="1">
      <c r="C786" s="7"/>
      <c r="D786" s="7"/>
      <c r="E786" s="7"/>
      <c r="F786" s="7"/>
      <c r="G786" s="7"/>
      <c r="H786" s="7"/>
      <c r="I786" s="7"/>
      <c r="J786" s="7"/>
      <c r="K786" s="7"/>
      <c r="L786" s="7"/>
      <c r="M786" s="7"/>
      <c r="N786" s="7"/>
      <c r="O786" s="7"/>
      <c r="P786" s="7"/>
      <c r="Q786" s="7"/>
      <c r="R786" s="7"/>
      <c r="S786" s="7"/>
      <c r="T786" s="7"/>
      <c r="U786" s="7"/>
      <c r="V786" s="7"/>
      <c r="W786" s="7"/>
      <c r="X786" s="7"/>
      <c r="Y786" s="7"/>
    </row>
    <row r="787" spans="3:25" ht="19.5" customHeight="1">
      <c r="C787" s="7"/>
      <c r="D787" s="7"/>
      <c r="E787" s="7"/>
      <c r="F787" s="7"/>
      <c r="G787" s="7"/>
      <c r="H787" s="7"/>
      <c r="I787" s="7"/>
      <c r="J787" s="7"/>
      <c r="K787" s="7"/>
      <c r="L787" s="7"/>
      <c r="M787" s="7"/>
      <c r="N787" s="7"/>
      <c r="O787" s="7"/>
      <c r="P787" s="7"/>
      <c r="Q787" s="7"/>
      <c r="R787" s="7"/>
      <c r="S787" s="7"/>
      <c r="T787" s="7"/>
      <c r="U787" s="7"/>
      <c r="V787" s="7"/>
      <c r="W787" s="7"/>
      <c r="X787" s="7"/>
      <c r="Y787" s="7"/>
    </row>
    <row r="788" spans="3:25" ht="19.5" customHeight="1">
      <c r="C788" s="7"/>
      <c r="D788" s="7"/>
      <c r="E788" s="7"/>
      <c r="F788" s="7"/>
      <c r="G788" s="7"/>
      <c r="H788" s="7"/>
      <c r="I788" s="7"/>
      <c r="J788" s="7"/>
      <c r="K788" s="7"/>
      <c r="L788" s="7"/>
      <c r="M788" s="7"/>
      <c r="N788" s="7"/>
      <c r="O788" s="7"/>
      <c r="P788" s="7"/>
      <c r="Q788" s="7"/>
      <c r="R788" s="7"/>
      <c r="S788" s="7"/>
      <c r="T788" s="7"/>
      <c r="U788" s="7"/>
      <c r="V788" s="7"/>
      <c r="W788" s="7"/>
      <c r="X788" s="7"/>
      <c r="Y788" s="7"/>
    </row>
    <row r="789" spans="3:25" ht="19.5" customHeight="1">
      <c r="C789" s="7"/>
      <c r="D789" s="7"/>
      <c r="E789" s="7"/>
      <c r="F789" s="7"/>
      <c r="G789" s="7"/>
      <c r="H789" s="7"/>
      <c r="I789" s="7"/>
      <c r="J789" s="7"/>
      <c r="K789" s="7"/>
      <c r="L789" s="7"/>
      <c r="M789" s="7"/>
      <c r="N789" s="7"/>
      <c r="O789" s="7"/>
      <c r="P789" s="7"/>
      <c r="Q789" s="7"/>
      <c r="R789" s="7"/>
      <c r="S789" s="7"/>
      <c r="T789" s="7"/>
      <c r="U789" s="7"/>
      <c r="V789" s="7"/>
      <c r="W789" s="7"/>
      <c r="X789" s="7"/>
      <c r="Y789" s="7"/>
    </row>
    <row r="790" spans="3:25" ht="19.5" customHeight="1">
      <c r="C790" s="7"/>
      <c r="D790" s="7"/>
      <c r="E790" s="7"/>
      <c r="F790" s="7"/>
      <c r="G790" s="7"/>
      <c r="H790" s="7"/>
      <c r="I790" s="7"/>
      <c r="J790" s="7"/>
      <c r="K790" s="7"/>
      <c r="L790" s="7"/>
      <c r="M790" s="7"/>
      <c r="N790" s="7"/>
      <c r="O790" s="7"/>
      <c r="P790" s="7"/>
      <c r="Q790" s="7"/>
      <c r="R790" s="7"/>
      <c r="S790" s="7"/>
      <c r="T790" s="7"/>
      <c r="U790" s="7"/>
      <c r="V790" s="7"/>
      <c r="W790" s="7"/>
      <c r="X790" s="7"/>
      <c r="Y790" s="7"/>
    </row>
    <row r="791" spans="3:25" ht="19.5" customHeight="1">
      <c r="C791" s="7"/>
      <c r="D791" s="7"/>
      <c r="E791" s="7"/>
      <c r="F791" s="7"/>
      <c r="G791" s="7"/>
      <c r="H791" s="7"/>
      <c r="I791" s="7"/>
      <c r="J791" s="7"/>
      <c r="K791" s="7"/>
      <c r="L791" s="7"/>
      <c r="M791" s="7"/>
      <c r="N791" s="7"/>
      <c r="O791" s="7"/>
      <c r="P791" s="7"/>
      <c r="Q791" s="7"/>
      <c r="R791" s="7"/>
      <c r="S791" s="7"/>
      <c r="T791" s="7"/>
      <c r="U791" s="7"/>
      <c r="V791" s="7"/>
      <c r="W791" s="7"/>
      <c r="X791" s="7"/>
      <c r="Y791" s="7"/>
    </row>
    <row r="792" spans="3:25" ht="19.5" customHeight="1">
      <c r="C792" s="7"/>
      <c r="D792" s="7"/>
      <c r="E792" s="7"/>
      <c r="F792" s="7"/>
      <c r="G792" s="7"/>
      <c r="H792" s="7"/>
      <c r="I792" s="7"/>
      <c r="J792" s="7"/>
      <c r="K792" s="7"/>
      <c r="L792" s="7"/>
      <c r="M792" s="7"/>
      <c r="N792" s="7"/>
      <c r="O792" s="7"/>
      <c r="P792" s="7"/>
      <c r="Q792" s="7"/>
      <c r="R792" s="7"/>
      <c r="S792" s="7"/>
      <c r="T792" s="7"/>
      <c r="U792" s="7"/>
      <c r="V792" s="7"/>
      <c r="W792" s="7"/>
      <c r="X792" s="7"/>
      <c r="Y792" s="7"/>
    </row>
    <row r="793" spans="3:25" ht="19.5" customHeight="1">
      <c r="C793" s="7"/>
      <c r="D793" s="7"/>
      <c r="E793" s="7"/>
      <c r="F793" s="7"/>
      <c r="G793" s="7"/>
      <c r="H793" s="7"/>
      <c r="I793" s="7"/>
      <c r="J793" s="7"/>
      <c r="K793" s="7"/>
      <c r="L793" s="7"/>
      <c r="M793" s="7"/>
      <c r="N793" s="7"/>
      <c r="O793" s="7"/>
      <c r="P793" s="7"/>
      <c r="Q793" s="7"/>
      <c r="R793" s="7"/>
      <c r="S793" s="7"/>
      <c r="T793" s="7"/>
      <c r="U793" s="7"/>
      <c r="V793" s="7"/>
      <c r="W793" s="7"/>
      <c r="X793" s="7"/>
      <c r="Y793" s="7"/>
    </row>
    <row r="794" spans="3:25" ht="19.5" customHeight="1">
      <c r="C794" s="7"/>
      <c r="D794" s="7"/>
      <c r="E794" s="7"/>
      <c r="F794" s="7"/>
      <c r="G794" s="7"/>
      <c r="H794" s="7"/>
      <c r="I794" s="7"/>
      <c r="J794" s="7"/>
      <c r="K794" s="7"/>
      <c r="L794" s="7"/>
      <c r="M794" s="7"/>
      <c r="N794" s="7"/>
      <c r="O794" s="7"/>
      <c r="P794" s="7"/>
      <c r="Q794" s="7"/>
      <c r="R794" s="7"/>
      <c r="S794" s="7"/>
      <c r="T794" s="7"/>
      <c r="U794" s="7"/>
      <c r="V794" s="7"/>
      <c r="W794" s="7"/>
      <c r="X794" s="7"/>
      <c r="Y794" s="7"/>
    </row>
    <row r="795" spans="3:25" ht="19.5" customHeight="1">
      <c r="C795" s="7"/>
      <c r="D795" s="7"/>
      <c r="E795" s="7"/>
      <c r="F795" s="7"/>
      <c r="G795" s="7"/>
      <c r="H795" s="7"/>
      <c r="I795" s="7"/>
      <c r="J795" s="7"/>
      <c r="K795" s="7"/>
      <c r="L795" s="7"/>
      <c r="M795" s="7"/>
      <c r="N795" s="7"/>
      <c r="O795" s="7"/>
      <c r="P795" s="7"/>
      <c r="Q795" s="7"/>
      <c r="R795" s="7"/>
      <c r="S795" s="7"/>
      <c r="T795" s="7"/>
      <c r="U795" s="7"/>
      <c r="V795" s="7"/>
      <c r="W795" s="7"/>
      <c r="X795" s="7"/>
      <c r="Y795" s="7"/>
    </row>
    <row r="796" spans="3:25" ht="19.5" customHeight="1">
      <c r="C796" s="7"/>
      <c r="D796" s="7"/>
      <c r="E796" s="7"/>
      <c r="F796" s="7"/>
      <c r="G796" s="7"/>
      <c r="H796" s="7"/>
      <c r="I796" s="7"/>
      <c r="J796" s="7"/>
      <c r="K796" s="7"/>
      <c r="L796" s="7"/>
      <c r="M796" s="7"/>
      <c r="N796" s="7"/>
      <c r="O796" s="7"/>
      <c r="P796" s="7"/>
      <c r="Q796" s="7"/>
      <c r="R796" s="7"/>
      <c r="S796" s="7"/>
      <c r="T796" s="7"/>
      <c r="U796" s="7"/>
      <c r="V796" s="7"/>
      <c r="W796" s="7"/>
      <c r="X796" s="7"/>
      <c r="Y796" s="7"/>
    </row>
    <row r="797" spans="3:25" ht="19.5" customHeight="1">
      <c r="C797" s="7"/>
      <c r="D797" s="7"/>
      <c r="E797" s="7"/>
      <c r="F797" s="7"/>
      <c r="G797" s="7"/>
      <c r="H797" s="7"/>
      <c r="I797" s="7"/>
      <c r="J797" s="7"/>
      <c r="K797" s="7"/>
      <c r="L797" s="7"/>
      <c r="M797" s="7"/>
      <c r="N797" s="7"/>
      <c r="O797" s="7"/>
      <c r="P797" s="7"/>
      <c r="Q797" s="7"/>
      <c r="R797" s="7"/>
      <c r="S797" s="7"/>
      <c r="T797" s="7"/>
      <c r="U797" s="7"/>
      <c r="V797" s="7"/>
      <c r="W797" s="7"/>
      <c r="X797" s="7"/>
      <c r="Y797" s="7"/>
    </row>
    <row r="798" spans="3:25" ht="19.5" customHeight="1">
      <c r="C798" s="7"/>
      <c r="D798" s="7"/>
      <c r="E798" s="7"/>
      <c r="F798" s="7"/>
      <c r="G798" s="7"/>
      <c r="H798" s="7"/>
      <c r="I798" s="7"/>
      <c r="J798" s="7"/>
      <c r="K798" s="7"/>
      <c r="L798" s="7"/>
      <c r="M798" s="7"/>
      <c r="N798" s="7"/>
      <c r="O798" s="7"/>
      <c r="P798" s="7"/>
      <c r="Q798" s="7"/>
      <c r="R798" s="7"/>
      <c r="S798" s="7"/>
      <c r="T798" s="7"/>
      <c r="U798" s="7"/>
      <c r="V798" s="7"/>
      <c r="W798" s="7"/>
      <c r="X798" s="7"/>
      <c r="Y798" s="7"/>
    </row>
    <row r="799" spans="3:25" ht="19.5" customHeight="1">
      <c r="C799" s="7"/>
      <c r="D799" s="7"/>
      <c r="E799" s="7"/>
      <c r="F799" s="7"/>
      <c r="G799" s="7"/>
      <c r="H799" s="7"/>
      <c r="I799" s="7"/>
      <c r="J799" s="7"/>
      <c r="K799" s="7"/>
      <c r="L799" s="7"/>
      <c r="M799" s="7"/>
      <c r="N799" s="7"/>
      <c r="O799" s="7"/>
      <c r="P799" s="7"/>
      <c r="Q799" s="7"/>
      <c r="R799" s="7"/>
      <c r="S799" s="7"/>
      <c r="T799" s="7"/>
      <c r="U799" s="7"/>
      <c r="V799" s="7"/>
      <c r="W799" s="7"/>
      <c r="X799" s="7"/>
      <c r="Y799" s="7"/>
    </row>
    <row r="800" spans="3:25" ht="19.5" customHeight="1">
      <c r="C800" s="7"/>
      <c r="D800" s="7"/>
      <c r="E800" s="7"/>
      <c r="F800" s="7"/>
      <c r="G800" s="7"/>
      <c r="H800" s="7"/>
      <c r="I800" s="7"/>
      <c r="J800" s="7"/>
      <c r="K800" s="7"/>
      <c r="L800" s="7"/>
      <c r="M800" s="7"/>
      <c r="N800" s="7"/>
      <c r="O800" s="7"/>
      <c r="P800" s="7"/>
      <c r="Q800" s="7"/>
      <c r="R800" s="7"/>
      <c r="S800" s="7"/>
      <c r="T800" s="7"/>
      <c r="U800" s="7"/>
      <c r="V800" s="7"/>
      <c r="W800" s="7"/>
      <c r="X800" s="7"/>
      <c r="Y800" s="7"/>
    </row>
    <row r="801" spans="3:25" ht="19.5" customHeight="1">
      <c r="C801" s="7"/>
      <c r="D801" s="7"/>
      <c r="E801" s="7"/>
      <c r="F801" s="7"/>
      <c r="G801" s="7"/>
      <c r="H801" s="7"/>
      <c r="I801" s="7"/>
      <c r="J801" s="7"/>
      <c r="K801" s="7"/>
      <c r="L801" s="7"/>
      <c r="M801" s="7"/>
      <c r="N801" s="7"/>
      <c r="O801" s="7"/>
      <c r="P801" s="7"/>
      <c r="Q801" s="7"/>
      <c r="R801" s="7"/>
      <c r="S801" s="7"/>
      <c r="T801" s="7"/>
      <c r="U801" s="7"/>
      <c r="V801" s="7"/>
      <c r="W801" s="7"/>
      <c r="X801" s="7"/>
      <c r="Y801" s="7"/>
    </row>
    <row r="802" spans="3:25" ht="19.5" customHeight="1">
      <c r="C802" s="7"/>
      <c r="D802" s="7"/>
      <c r="E802" s="7"/>
      <c r="F802" s="7"/>
      <c r="G802" s="7"/>
      <c r="H802" s="7"/>
      <c r="I802" s="7"/>
      <c r="J802" s="7"/>
      <c r="K802" s="7"/>
      <c r="L802" s="7"/>
      <c r="M802" s="7"/>
      <c r="N802" s="7"/>
      <c r="O802" s="7"/>
      <c r="P802" s="7"/>
      <c r="Q802" s="7"/>
      <c r="R802" s="7"/>
      <c r="S802" s="7"/>
      <c r="T802" s="7"/>
      <c r="U802" s="7"/>
      <c r="V802" s="7"/>
      <c r="W802" s="7"/>
      <c r="X802" s="7"/>
      <c r="Y802" s="7"/>
    </row>
    <row r="803" spans="3:25" ht="19.5" customHeight="1">
      <c r="C803" s="7"/>
      <c r="D803" s="7"/>
      <c r="E803" s="7"/>
      <c r="F803" s="7"/>
      <c r="G803" s="7"/>
      <c r="H803" s="7"/>
      <c r="I803" s="7"/>
      <c r="J803" s="7"/>
      <c r="K803" s="7"/>
      <c r="L803" s="7"/>
      <c r="M803" s="7"/>
      <c r="N803" s="7"/>
      <c r="O803" s="7"/>
      <c r="P803" s="7"/>
      <c r="Q803" s="7"/>
      <c r="R803" s="7"/>
      <c r="S803" s="7"/>
      <c r="T803" s="7"/>
      <c r="U803" s="7"/>
      <c r="V803" s="7"/>
      <c r="W803" s="7"/>
      <c r="X803" s="7"/>
      <c r="Y803" s="7"/>
    </row>
    <row r="804" spans="3:25" ht="19.5" customHeight="1">
      <c r="C804" s="7"/>
      <c r="D804" s="7"/>
      <c r="E804" s="7"/>
      <c r="F804" s="7"/>
      <c r="G804" s="7"/>
      <c r="H804" s="7"/>
      <c r="I804" s="7"/>
      <c r="J804" s="7"/>
      <c r="K804" s="7"/>
      <c r="L804" s="7"/>
      <c r="M804" s="7"/>
      <c r="N804" s="7"/>
      <c r="O804" s="7"/>
      <c r="P804" s="7"/>
      <c r="Q804" s="7"/>
      <c r="R804" s="7"/>
      <c r="S804" s="7"/>
      <c r="T804" s="7"/>
      <c r="U804" s="7"/>
      <c r="V804" s="7"/>
      <c r="W804" s="7"/>
      <c r="X804" s="7"/>
      <c r="Y804" s="7"/>
    </row>
    <row r="805" spans="3:25" ht="19.5" customHeight="1">
      <c r="C805" s="7"/>
      <c r="D805" s="7"/>
      <c r="E805" s="7"/>
      <c r="F805" s="7"/>
      <c r="G805" s="7"/>
      <c r="H805" s="7"/>
      <c r="I805" s="7"/>
      <c r="J805" s="7"/>
      <c r="K805" s="7"/>
      <c r="L805" s="7"/>
      <c r="M805" s="7"/>
      <c r="N805" s="7"/>
      <c r="O805" s="7"/>
      <c r="P805" s="7"/>
      <c r="Q805" s="7"/>
      <c r="R805" s="7"/>
      <c r="S805" s="7"/>
      <c r="T805" s="7"/>
      <c r="U805" s="7"/>
      <c r="V805" s="7"/>
      <c r="W805" s="7"/>
      <c r="X805" s="7"/>
      <c r="Y805" s="7"/>
    </row>
    <row r="806" spans="3:25" ht="19.5" customHeight="1">
      <c r="C806" s="7"/>
      <c r="D806" s="7"/>
      <c r="E806" s="7"/>
      <c r="F806" s="7"/>
      <c r="G806" s="7"/>
      <c r="H806" s="7"/>
      <c r="I806" s="7"/>
      <c r="J806" s="7"/>
      <c r="K806" s="7"/>
      <c r="L806" s="7"/>
      <c r="M806" s="7"/>
      <c r="N806" s="7"/>
      <c r="O806" s="7"/>
      <c r="P806" s="7"/>
      <c r="Q806" s="7"/>
      <c r="R806" s="7"/>
      <c r="S806" s="7"/>
      <c r="T806" s="7"/>
      <c r="U806" s="7"/>
      <c r="V806" s="7"/>
      <c r="W806" s="7"/>
      <c r="X806" s="7"/>
      <c r="Y806" s="7"/>
    </row>
    <row r="807" spans="3:25" ht="19.5" customHeight="1">
      <c r="C807" s="7"/>
      <c r="D807" s="7"/>
      <c r="E807" s="7"/>
      <c r="F807" s="7"/>
      <c r="G807" s="7"/>
      <c r="H807" s="7"/>
      <c r="I807" s="7"/>
      <c r="J807" s="7"/>
      <c r="K807" s="7"/>
      <c r="L807" s="7"/>
      <c r="M807" s="7"/>
      <c r="N807" s="7"/>
      <c r="O807" s="7"/>
      <c r="P807" s="7"/>
      <c r="Q807" s="7"/>
      <c r="R807" s="7"/>
      <c r="S807" s="7"/>
      <c r="T807" s="7"/>
      <c r="U807" s="7"/>
      <c r="V807" s="7"/>
      <c r="W807" s="7"/>
      <c r="X807" s="7"/>
      <c r="Y807" s="7"/>
    </row>
    <row r="808" spans="3:25" ht="19.5" customHeight="1">
      <c r="C808" s="7"/>
      <c r="D808" s="7"/>
      <c r="E808" s="7"/>
      <c r="F808" s="7"/>
      <c r="G808" s="7"/>
      <c r="H808" s="7"/>
      <c r="I808" s="7"/>
      <c r="J808" s="7"/>
      <c r="K808" s="7"/>
      <c r="L808" s="7"/>
      <c r="M808" s="7"/>
      <c r="N808" s="7"/>
      <c r="O808" s="7"/>
      <c r="P808" s="7"/>
      <c r="Q808" s="7"/>
      <c r="R808" s="7"/>
      <c r="S808" s="7"/>
      <c r="T808" s="7"/>
      <c r="U808" s="7"/>
      <c r="V808" s="7"/>
      <c r="W808" s="7"/>
      <c r="X808" s="7"/>
      <c r="Y808" s="7"/>
    </row>
    <row r="809" spans="3:25" ht="19.5" customHeight="1">
      <c r="C809" s="7"/>
      <c r="D809" s="7"/>
      <c r="E809" s="7"/>
      <c r="F809" s="7"/>
      <c r="G809" s="7"/>
      <c r="H809" s="7"/>
      <c r="I809" s="7"/>
      <c r="J809" s="7"/>
      <c r="K809" s="7"/>
      <c r="L809" s="7"/>
      <c r="M809" s="7"/>
      <c r="N809" s="7"/>
      <c r="O809" s="7"/>
      <c r="P809" s="7"/>
      <c r="Q809" s="7"/>
      <c r="R809" s="7"/>
      <c r="S809" s="7"/>
      <c r="T809" s="7"/>
      <c r="U809" s="7"/>
      <c r="V809" s="7"/>
      <c r="W809" s="7"/>
      <c r="X809" s="7"/>
      <c r="Y809" s="7"/>
    </row>
    <row r="810" spans="3:25" ht="19.5" customHeight="1">
      <c r="C810" s="7"/>
      <c r="D810" s="7"/>
      <c r="E810" s="7"/>
      <c r="F810" s="7"/>
      <c r="G810" s="7"/>
      <c r="H810" s="7"/>
      <c r="I810" s="7"/>
      <c r="J810" s="7"/>
      <c r="K810" s="7"/>
      <c r="L810" s="7"/>
      <c r="M810" s="7"/>
      <c r="N810" s="7"/>
      <c r="O810" s="7"/>
      <c r="P810" s="7"/>
      <c r="Q810" s="7"/>
      <c r="R810" s="7"/>
      <c r="S810" s="7"/>
      <c r="T810" s="7"/>
      <c r="U810" s="7"/>
      <c r="V810" s="7"/>
      <c r="W810" s="7"/>
      <c r="X810" s="7"/>
      <c r="Y810" s="7"/>
    </row>
    <row r="811" spans="3:25" ht="19.5" customHeight="1">
      <c r="C811" s="7"/>
      <c r="D811" s="7"/>
      <c r="E811" s="7"/>
      <c r="F811" s="7"/>
      <c r="G811" s="7"/>
      <c r="H811" s="7"/>
      <c r="I811" s="7"/>
      <c r="J811" s="7"/>
      <c r="K811" s="7"/>
      <c r="L811" s="7"/>
      <c r="M811" s="7"/>
      <c r="N811" s="7"/>
      <c r="O811" s="7"/>
      <c r="P811" s="7"/>
      <c r="Q811" s="7"/>
      <c r="R811" s="7"/>
      <c r="S811" s="7"/>
      <c r="T811" s="7"/>
      <c r="U811" s="7"/>
      <c r="V811" s="7"/>
      <c r="W811" s="7"/>
      <c r="X811" s="7"/>
      <c r="Y811" s="7"/>
    </row>
    <row r="812" spans="3:25" ht="19.5" customHeight="1">
      <c r="C812" s="7"/>
      <c r="D812" s="7"/>
      <c r="E812" s="7"/>
      <c r="F812" s="7"/>
      <c r="G812" s="7"/>
      <c r="H812" s="7"/>
      <c r="I812" s="7"/>
      <c r="J812" s="7"/>
      <c r="K812" s="7"/>
      <c r="L812" s="7"/>
      <c r="M812" s="7"/>
      <c r="N812" s="7"/>
      <c r="O812" s="7"/>
      <c r="P812" s="7"/>
      <c r="Q812" s="7"/>
      <c r="R812" s="7"/>
      <c r="S812" s="7"/>
      <c r="T812" s="7"/>
      <c r="U812" s="7"/>
      <c r="V812" s="7"/>
      <c r="W812" s="7"/>
      <c r="X812" s="7"/>
      <c r="Y812" s="7"/>
    </row>
    <row r="813" spans="3:25" ht="19.5" customHeight="1">
      <c r="C813" s="7"/>
      <c r="D813" s="7"/>
      <c r="E813" s="7"/>
      <c r="F813" s="7"/>
      <c r="G813" s="7"/>
      <c r="H813" s="7"/>
      <c r="I813" s="7"/>
      <c r="J813" s="7"/>
      <c r="K813" s="7"/>
      <c r="L813" s="7"/>
      <c r="M813" s="7"/>
      <c r="N813" s="7"/>
      <c r="O813" s="7"/>
      <c r="P813" s="7"/>
      <c r="Q813" s="7"/>
      <c r="R813" s="7"/>
      <c r="S813" s="7"/>
      <c r="T813" s="7"/>
      <c r="U813" s="7"/>
      <c r="V813" s="7"/>
      <c r="W813" s="7"/>
      <c r="X813" s="7"/>
      <c r="Y813" s="7"/>
    </row>
    <row r="814" spans="3:25" ht="19.5" customHeight="1">
      <c r="C814" s="7"/>
      <c r="D814" s="7"/>
      <c r="E814" s="7"/>
      <c r="F814" s="7"/>
      <c r="G814" s="7"/>
      <c r="H814" s="7"/>
      <c r="I814" s="7"/>
      <c r="J814" s="7"/>
      <c r="K814" s="7"/>
      <c r="L814" s="7"/>
      <c r="M814" s="7"/>
      <c r="N814" s="7"/>
      <c r="O814" s="7"/>
      <c r="P814" s="7"/>
      <c r="Q814" s="7"/>
      <c r="R814" s="7"/>
      <c r="S814" s="7"/>
      <c r="T814" s="7"/>
      <c r="U814" s="7"/>
      <c r="V814" s="7"/>
      <c r="W814" s="7"/>
      <c r="X814" s="7"/>
      <c r="Y814" s="7"/>
    </row>
    <row r="815" spans="3:25" ht="19.5" customHeight="1">
      <c r="C815" s="7"/>
      <c r="D815" s="7"/>
      <c r="E815" s="7"/>
      <c r="F815" s="7"/>
      <c r="G815" s="7"/>
      <c r="H815" s="7"/>
      <c r="I815" s="7"/>
      <c r="J815" s="7"/>
      <c r="K815" s="7"/>
      <c r="L815" s="7"/>
      <c r="M815" s="7"/>
      <c r="N815" s="7"/>
      <c r="O815" s="7"/>
      <c r="P815" s="7"/>
      <c r="Q815" s="7"/>
      <c r="R815" s="7"/>
      <c r="S815" s="7"/>
      <c r="T815" s="7"/>
      <c r="U815" s="7"/>
      <c r="V815" s="7"/>
      <c r="W815" s="7"/>
      <c r="X815" s="7"/>
      <c r="Y815" s="7"/>
    </row>
    <row r="816" spans="3:25" ht="19.5" customHeight="1">
      <c r="C816" s="7"/>
      <c r="D816" s="7"/>
      <c r="E816" s="7"/>
      <c r="F816" s="7"/>
      <c r="G816" s="7"/>
      <c r="H816" s="7"/>
      <c r="I816" s="7"/>
      <c r="J816" s="7"/>
      <c r="K816" s="7"/>
      <c r="L816" s="7"/>
      <c r="M816" s="7"/>
      <c r="N816" s="7"/>
      <c r="O816" s="7"/>
      <c r="P816" s="7"/>
      <c r="Q816" s="7"/>
      <c r="R816" s="7"/>
      <c r="S816" s="7"/>
      <c r="T816" s="7"/>
      <c r="U816" s="7"/>
      <c r="V816" s="7"/>
      <c r="W816" s="7"/>
      <c r="X816" s="7"/>
      <c r="Y816" s="7"/>
    </row>
    <row r="817" spans="3:25" ht="19.5" customHeight="1">
      <c r="C817" s="7"/>
      <c r="D817" s="7"/>
      <c r="E817" s="7"/>
      <c r="F817" s="7"/>
      <c r="G817" s="7"/>
      <c r="H817" s="7"/>
      <c r="I817" s="7"/>
      <c r="J817" s="7"/>
      <c r="K817" s="7"/>
      <c r="L817" s="7"/>
      <c r="M817" s="7"/>
      <c r="N817" s="7"/>
      <c r="O817" s="7"/>
      <c r="P817" s="7"/>
      <c r="Q817" s="7"/>
      <c r="R817" s="7"/>
      <c r="S817" s="7"/>
      <c r="T817" s="7"/>
      <c r="U817" s="7"/>
      <c r="V817" s="7"/>
      <c r="W817" s="7"/>
      <c r="X817" s="7"/>
      <c r="Y817" s="7"/>
    </row>
    <row r="818" spans="3:25" ht="19.5" customHeight="1">
      <c r="C818" s="7"/>
      <c r="D818" s="7"/>
      <c r="E818" s="7"/>
      <c r="F818" s="7"/>
      <c r="G818" s="7"/>
      <c r="H818" s="7"/>
      <c r="I818" s="7"/>
      <c r="J818" s="7"/>
      <c r="K818" s="7"/>
      <c r="L818" s="7"/>
      <c r="M818" s="7"/>
      <c r="N818" s="7"/>
      <c r="O818" s="7"/>
      <c r="P818" s="7"/>
      <c r="Q818" s="7"/>
      <c r="R818" s="7"/>
      <c r="S818" s="7"/>
      <c r="T818" s="7"/>
      <c r="U818" s="7"/>
      <c r="V818" s="7"/>
      <c r="W818" s="7"/>
      <c r="X818" s="7"/>
      <c r="Y818" s="7"/>
    </row>
    <row r="819" spans="3:25" ht="19.5" customHeight="1">
      <c r="C819" s="7"/>
      <c r="D819" s="7"/>
      <c r="E819" s="7"/>
      <c r="F819" s="7"/>
      <c r="G819" s="7"/>
      <c r="H819" s="7"/>
      <c r="I819" s="7"/>
      <c r="J819" s="7"/>
      <c r="K819" s="7"/>
      <c r="L819" s="7"/>
      <c r="M819" s="7"/>
      <c r="N819" s="7"/>
      <c r="O819" s="7"/>
      <c r="P819" s="7"/>
      <c r="Q819" s="7"/>
      <c r="R819" s="7"/>
      <c r="S819" s="7"/>
      <c r="T819" s="7"/>
      <c r="U819" s="7"/>
      <c r="V819" s="7"/>
      <c r="W819" s="7"/>
      <c r="X819" s="7"/>
      <c r="Y819" s="7"/>
    </row>
    <row r="820" spans="3:25" ht="19.5" customHeight="1">
      <c r="C820" s="7"/>
      <c r="D820" s="7"/>
      <c r="E820" s="7"/>
      <c r="F820" s="7"/>
      <c r="G820" s="7"/>
      <c r="H820" s="7"/>
      <c r="I820" s="7"/>
      <c r="J820" s="7"/>
      <c r="K820" s="7"/>
      <c r="L820" s="7"/>
      <c r="M820" s="7"/>
      <c r="N820" s="7"/>
      <c r="O820" s="7"/>
      <c r="P820" s="7"/>
      <c r="Q820" s="7"/>
      <c r="R820" s="7"/>
      <c r="S820" s="7"/>
      <c r="T820" s="7"/>
      <c r="U820" s="7"/>
      <c r="V820" s="7"/>
      <c r="W820" s="7"/>
      <c r="X820" s="7"/>
      <c r="Y820" s="7"/>
    </row>
    <row r="821" spans="3:25" ht="19.5" customHeight="1">
      <c r="C821" s="7"/>
      <c r="D821" s="7"/>
      <c r="E821" s="7"/>
      <c r="F821" s="7"/>
      <c r="G821" s="7"/>
      <c r="H821" s="7"/>
      <c r="I821" s="7"/>
      <c r="J821" s="7"/>
      <c r="K821" s="7"/>
      <c r="L821" s="7"/>
      <c r="M821" s="7"/>
      <c r="N821" s="7"/>
      <c r="O821" s="7"/>
      <c r="P821" s="7"/>
      <c r="Q821" s="7"/>
      <c r="R821" s="7"/>
      <c r="S821" s="7"/>
      <c r="T821" s="7"/>
      <c r="U821" s="7"/>
      <c r="V821" s="7"/>
      <c r="W821" s="7"/>
      <c r="X821" s="7"/>
      <c r="Y821" s="7"/>
    </row>
    <row r="822" spans="3:25" ht="19.5" customHeight="1">
      <c r="C822" s="7"/>
      <c r="D822" s="7"/>
      <c r="E822" s="7"/>
      <c r="F822" s="7"/>
      <c r="G822" s="7"/>
      <c r="H822" s="7"/>
      <c r="I822" s="7"/>
      <c r="J822" s="7"/>
      <c r="K822" s="7"/>
      <c r="L822" s="7"/>
      <c r="M822" s="7"/>
      <c r="N822" s="7"/>
      <c r="O822" s="7"/>
      <c r="P822" s="7"/>
      <c r="Q822" s="7"/>
      <c r="R822" s="7"/>
      <c r="S822" s="7"/>
      <c r="T822" s="7"/>
      <c r="U822" s="7"/>
      <c r="V822" s="7"/>
      <c r="W822" s="7"/>
      <c r="X822" s="7"/>
      <c r="Y822" s="7"/>
    </row>
    <row r="823" spans="3:25" ht="19.5" customHeight="1">
      <c r="C823" s="7"/>
      <c r="D823" s="7"/>
      <c r="E823" s="7"/>
      <c r="F823" s="7"/>
      <c r="G823" s="7"/>
      <c r="H823" s="7"/>
      <c r="I823" s="7"/>
      <c r="J823" s="7"/>
      <c r="K823" s="7"/>
      <c r="L823" s="7"/>
      <c r="M823" s="7"/>
      <c r="N823" s="7"/>
      <c r="O823" s="7"/>
      <c r="P823" s="7"/>
      <c r="Q823" s="7"/>
      <c r="R823" s="7"/>
      <c r="S823" s="7"/>
      <c r="T823" s="7"/>
      <c r="U823" s="7"/>
      <c r="V823" s="7"/>
      <c r="W823" s="7"/>
      <c r="X823" s="7"/>
      <c r="Y823" s="7"/>
    </row>
    <row r="824" spans="3:25" ht="19.5" customHeight="1">
      <c r="C824" s="7"/>
      <c r="D824" s="7"/>
      <c r="E824" s="7"/>
      <c r="F824" s="7"/>
      <c r="G824" s="7"/>
      <c r="H824" s="7"/>
      <c r="I824" s="7"/>
      <c r="J824" s="7"/>
      <c r="K824" s="7"/>
      <c r="L824" s="7"/>
      <c r="M824" s="7"/>
      <c r="N824" s="7"/>
      <c r="O824" s="7"/>
      <c r="P824" s="7"/>
      <c r="Q824" s="7"/>
      <c r="R824" s="7"/>
      <c r="S824" s="7"/>
      <c r="T824" s="7"/>
      <c r="U824" s="7"/>
      <c r="V824" s="7"/>
      <c r="W824" s="7"/>
      <c r="X824" s="7"/>
      <c r="Y824" s="7"/>
    </row>
    <row r="825" spans="3:25" ht="19.5" customHeight="1">
      <c r="C825" s="7"/>
      <c r="D825" s="7"/>
      <c r="E825" s="7"/>
      <c r="F825" s="7"/>
      <c r="G825" s="7"/>
      <c r="H825" s="7"/>
      <c r="I825" s="7"/>
      <c r="J825" s="7"/>
      <c r="K825" s="7"/>
      <c r="L825" s="7"/>
      <c r="M825" s="7"/>
      <c r="N825" s="7"/>
      <c r="O825" s="7"/>
      <c r="P825" s="7"/>
      <c r="Q825" s="7"/>
      <c r="R825" s="7"/>
      <c r="S825" s="7"/>
      <c r="T825" s="7"/>
      <c r="U825" s="7"/>
      <c r="V825" s="7"/>
      <c r="W825" s="7"/>
      <c r="X825" s="7"/>
      <c r="Y825" s="7"/>
    </row>
    <row r="826" spans="3:25" ht="19.5" customHeight="1">
      <c r="C826" s="7"/>
      <c r="D826" s="7"/>
      <c r="E826" s="7"/>
      <c r="F826" s="7"/>
      <c r="G826" s="7"/>
      <c r="H826" s="7"/>
      <c r="I826" s="7"/>
      <c r="J826" s="7"/>
      <c r="K826" s="7"/>
      <c r="L826" s="7"/>
      <c r="M826" s="7"/>
      <c r="N826" s="7"/>
      <c r="O826" s="7"/>
      <c r="P826" s="7"/>
      <c r="Q826" s="7"/>
      <c r="R826" s="7"/>
      <c r="S826" s="7"/>
      <c r="T826" s="7"/>
      <c r="U826" s="7"/>
      <c r="V826" s="7"/>
      <c r="W826" s="7"/>
      <c r="X826" s="7"/>
      <c r="Y826" s="7"/>
    </row>
    <row r="827" spans="3:25" ht="19.5" customHeight="1">
      <c r="C827" s="7"/>
      <c r="D827" s="7"/>
      <c r="E827" s="7"/>
      <c r="F827" s="7"/>
      <c r="G827" s="7"/>
      <c r="H827" s="7"/>
      <c r="I827" s="7"/>
      <c r="J827" s="7"/>
      <c r="K827" s="7"/>
      <c r="L827" s="7"/>
      <c r="M827" s="7"/>
      <c r="N827" s="7"/>
      <c r="O827" s="7"/>
      <c r="P827" s="7"/>
      <c r="Q827" s="7"/>
      <c r="R827" s="7"/>
      <c r="S827" s="7"/>
      <c r="T827" s="7"/>
      <c r="U827" s="7"/>
      <c r="V827" s="7"/>
      <c r="W827" s="7"/>
      <c r="X827" s="7"/>
      <c r="Y827" s="7"/>
    </row>
    <row r="828" spans="3:25" ht="19.5" customHeight="1">
      <c r="C828" s="7"/>
      <c r="D828" s="7"/>
      <c r="E828" s="7"/>
      <c r="F828" s="7"/>
      <c r="G828" s="7"/>
      <c r="H828" s="7"/>
      <c r="I828" s="7"/>
      <c r="J828" s="7"/>
      <c r="K828" s="7"/>
      <c r="L828" s="7"/>
      <c r="M828" s="7"/>
      <c r="N828" s="7"/>
      <c r="O828" s="7"/>
      <c r="P828" s="7"/>
      <c r="Q828" s="7"/>
      <c r="R828" s="7"/>
      <c r="S828" s="7"/>
      <c r="T828" s="7"/>
      <c r="U828" s="7"/>
      <c r="V828" s="7"/>
      <c r="W828" s="7"/>
      <c r="X828" s="7"/>
      <c r="Y828" s="7"/>
    </row>
    <row r="829" spans="3:25" ht="19.5" customHeight="1">
      <c r="C829" s="7"/>
      <c r="D829" s="7"/>
      <c r="E829" s="7"/>
      <c r="F829" s="7"/>
      <c r="G829" s="7"/>
      <c r="H829" s="7"/>
      <c r="I829" s="7"/>
      <c r="J829" s="7"/>
      <c r="K829" s="7"/>
      <c r="L829" s="7"/>
      <c r="M829" s="7"/>
      <c r="N829" s="7"/>
      <c r="O829" s="7"/>
      <c r="P829" s="7"/>
      <c r="Q829" s="7"/>
      <c r="R829" s="7"/>
      <c r="S829" s="7"/>
      <c r="T829" s="7"/>
      <c r="U829" s="7"/>
      <c r="V829" s="7"/>
      <c r="W829" s="7"/>
      <c r="X829" s="7"/>
      <c r="Y829" s="7"/>
    </row>
    <row r="830" spans="3:25" ht="19.5" customHeight="1">
      <c r="C830" s="7"/>
      <c r="D830" s="7"/>
      <c r="E830" s="7"/>
      <c r="F830" s="7"/>
      <c r="G830" s="7"/>
      <c r="H830" s="7"/>
      <c r="I830" s="7"/>
      <c r="J830" s="7"/>
      <c r="K830" s="7"/>
      <c r="L830" s="7"/>
      <c r="M830" s="7"/>
      <c r="N830" s="7"/>
      <c r="O830" s="7"/>
      <c r="P830" s="7"/>
      <c r="Q830" s="7"/>
      <c r="R830" s="7"/>
      <c r="S830" s="7"/>
      <c r="T830" s="7"/>
      <c r="U830" s="7"/>
      <c r="V830" s="7"/>
      <c r="W830" s="7"/>
      <c r="X830" s="7"/>
      <c r="Y830" s="7"/>
    </row>
    <row r="831" spans="3:25" ht="19.5" customHeight="1">
      <c r="C831" s="7"/>
      <c r="D831" s="7"/>
      <c r="E831" s="7"/>
      <c r="F831" s="7"/>
      <c r="G831" s="7"/>
      <c r="H831" s="7"/>
      <c r="I831" s="7"/>
      <c r="J831" s="7"/>
      <c r="K831" s="7"/>
      <c r="L831" s="7"/>
      <c r="M831" s="7"/>
      <c r="N831" s="7"/>
      <c r="O831" s="7"/>
      <c r="P831" s="7"/>
      <c r="Q831" s="7"/>
      <c r="R831" s="7"/>
      <c r="S831" s="7"/>
      <c r="T831" s="7"/>
      <c r="U831" s="7"/>
      <c r="V831" s="7"/>
      <c r="W831" s="7"/>
      <c r="X831" s="7"/>
      <c r="Y831" s="7"/>
    </row>
    <row r="832" spans="3:25" ht="19.5" customHeight="1">
      <c r="C832" s="7"/>
      <c r="D832" s="7"/>
      <c r="E832" s="7"/>
      <c r="F832" s="7"/>
      <c r="G832" s="7"/>
      <c r="H832" s="7"/>
      <c r="I832" s="7"/>
      <c r="J832" s="7"/>
      <c r="K832" s="7"/>
      <c r="L832" s="7"/>
      <c r="M832" s="7"/>
      <c r="N832" s="7"/>
      <c r="O832" s="7"/>
      <c r="P832" s="7"/>
      <c r="Q832" s="7"/>
      <c r="R832" s="7"/>
      <c r="S832" s="7"/>
      <c r="T832" s="7"/>
      <c r="U832" s="7"/>
      <c r="V832" s="7"/>
      <c r="W832" s="7"/>
      <c r="X832" s="7"/>
      <c r="Y832" s="7"/>
    </row>
    <row r="833" spans="3:25" ht="19.5" customHeight="1">
      <c r="C833" s="7"/>
      <c r="D833" s="7"/>
      <c r="E833" s="7"/>
      <c r="F833" s="7"/>
      <c r="G833" s="7"/>
      <c r="H833" s="7"/>
      <c r="I833" s="7"/>
      <c r="J833" s="7"/>
      <c r="K833" s="7"/>
      <c r="L833" s="7"/>
      <c r="M833" s="7"/>
      <c r="N833" s="7"/>
      <c r="O833" s="7"/>
      <c r="P833" s="7"/>
      <c r="Q833" s="7"/>
      <c r="R833" s="7"/>
      <c r="S833" s="7"/>
      <c r="T833" s="7"/>
      <c r="U833" s="7"/>
      <c r="V833" s="7"/>
      <c r="W833" s="7"/>
      <c r="X833" s="7"/>
      <c r="Y833" s="7"/>
    </row>
    <row r="834" spans="3:25" ht="19.5" customHeight="1">
      <c r="C834" s="7"/>
      <c r="D834" s="7"/>
      <c r="E834" s="7"/>
      <c r="F834" s="7"/>
      <c r="G834" s="7"/>
      <c r="H834" s="7"/>
      <c r="I834" s="7"/>
      <c r="J834" s="7"/>
      <c r="K834" s="7"/>
      <c r="L834" s="7"/>
      <c r="M834" s="7"/>
      <c r="N834" s="7"/>
      <c r="O834" s="7"/>
      <c r="P834" s="7"/>
      <c r="Q834" s="7"/>
      <c r="R834" s="7"/>
      <c r="S834" s="7"/>
      <c r="T834" s="7"/>
      <c r="U834" s="7"/>
      <c r="V834" s="7"/>
      <c r="W834" s="7"/>
      <c r="X834" s="7"/>
      <c r="Y834" s="7"/>
    </row>
    <row r="835" spans="3:25" ht="19.5" customHeight="1">
      <c r="C835" s="7"/>
      <c r="D835" s="7"/>
      <c r="E835" s="7"/>
      <c r="F835" s="7"/>
      <c r="G835" s="7"/>
      <c r="H835" s="7"/>
      <c r="I835" s="7"/>
      <c r="J835" s="7"/>
      <c r="K835" s="7"/>
      <c r="L835" s="7"/>
      <c r="M835" s="7"/>
      <c r="N835" s="7"/>
      <c r="O835" s="7"/>
      <c r="P835" s="7"/>
      <c r="Q835" s="7"/>
      <c r="R835" s="7"/>
      <c r="S835" s="7"/>
      <c r="T835" s="7"/>
      <c r="U835" s="7"/>
      <c r="V835" s="7"/>
      <c r="W835" s="7"/>
      <c r="X835" s="7"/>
      <c r="Y835" s="7"/>
    </row>
    <row r="836" spans="3:25" ht="19.5" customHeight="1">
      <c r="C836" s="7"/>
      <c r="D836" s="7"/>
      <c r="E836" s="7"/>
      <c r="F836" s="7"/>
      <c r="G836" s="7"/>
      <c r="H836" s="7"/>
      <c r="I836" s="7"/>
      <c r="J836" s="7"/>
      <c r="K836" s="7"/>
      <c r="L836" s="7"/>
      <c r="M836" s="7"/>
      <c r="N836" s="7"/>
      <c r="O836" s="7"/>
      <c r="P836" s="7"/>
      <c r="Q836" s="7"/>
      <c r="R836" s="7"/>
      <c r="S836" s="7"/>
      <c r="T836" s="7"/>
      <c r="U836" s="7"/>
      <c r="V836" s="7"/>
      <c r="W836" s="7"/>
      <c r="X836" s="7"/>
      <c r="Y836" s="7"/>
    </row>
    <row r="837" spans="3:25" ht="19.5" customHeight="1">
      <c r="C837" s="7"/>
      <c r="D837" s="7"/>
      <c r="E837" s="7"/>
      <c r="F837" s="7"/>
      <c r="G837" s="7"/>
      <c r="H837" s="7"/>
      <c r="I837" s="7"/>
      <c r="J837" s="7"/>
      <c r="K837" s="7"/>
      <c r="L837" s="7"/>
      <c r="M837" s="7"/>
      <c r="N837" s="7"/>
      <c r="O837" s="7"/>
      <c r="P837" s="7"/>
      <c r="Q837" s="7"/>
      <c r="R837" s="7"/>
      <c r="S837" s="7"/>
      <c r="T837" s="7"/>
      <c r="U837" s="7"/>
      <c r="V837" s="7"/>
      <c r="W837" s="7"/>
      <c r="X837" s="7"/>
      <c r="Y837" s="7"/>
    </row>
    <row r="838" spans="3:25" ht="19.5" customHeight="1">
      <c r="C838" s="7"/>
      <c r="D838" s="7"/>
      <c r="E838" s="7"/>
      <c r="F838" s="7"/>
      <c r="G838" s="7"/>
      <c r="H838" s="7"/>
      <c r="I838" s="7"/>
      <c r="J838" s="7"/>
      <c r="K838" s="7"/>
      <c r="L838" s="7"/>
      <c r="M838" s="7"/>
      <c r="N838" s="7"/>
      <c r="O838" s="7"/>
      <c r="P838" s="7"/>
      <c r="Q838" s="7"/>
      <c r="R838" s="7"/>
      <c r="S838" s="7"/>
      <c r="T838" s="7"/>
      <c r="U838" s="7"/>
      <c r="V838" s="7"/>
      <c r="W838" s="7"/>
      <c r="X838" s="7"/>
      <c r="Y838" s="7"/>
    </row>
    <row r="839" spans="3:25" ht="19.5" customHeight="1">
      <c r="C839" s="7"/>
      <c r="D839" s="7"/>
      <c r="E839" s="7"/>
      <c r="F839" s="7"/>
      <c r="G839" s="7"/>
      <c r="H839" s="7"/>
      <c r="I839" s="7"/>
      <c r="J839" s="7"/>
      <c r="K839" s="7"/>
      <c r="L839" s="7"/>
      <c r="M839" s="7"/>
      <c r="N839" s="7"/>
      <c r="O839" s="7"/>
      <c r="P839" s="7"/>
      <c r="Q839" s="7"/>
      <c r="R839" s="7"/>
      <c r="S839" s="7"/>
      <c r="T839" s="7"/>
      <c r="U839" s="7"/>
      <c r="V839" s="7"/>
      <c r="W839" s="7"/>
      <c r="X839" s="7"/>
      <c r="Y839" s="7"/>
    </row>
    <row r="840" spans="3:25" ht="19.5" customHeight="1">
      <c r="C840" s="7"/>
      <c r="D840" s="7"/>
      <c r="E840" s="7"/>
      <c r="F840" s="7"/>
      <c r="G840" s="7"/>
      <c r="H840" s="7"/>
      <c r="I840" s="7"/>
      <c r="J840" s="7"/>
      <c r="K840" s="7"/>
      <c r="L840" s="7"/>
      <c r="M840" s="7"/>
      <c r="N840" s="7"/>
      <c r="O840" s="7"/>
      <c r="P840" s="7"/>
      <c r="Q840" s="7"/>
      <c r="R840" s="7"/>
      <c r="S840" s="7"/>
      <c r="T840" s="7"/>
      <c r="U840" s="7"/>
      <c r="V840" s="7"/>
      <c r="W840" s="7"/>
      <c r="X840" s="7"/>
      <c r="Y840" s="7"/>
    </row>
    <row r="841" spans="3:25" ht="19.5" customHeight="1">
      <c r="C841" s="7"/>
      <c r="D841" s="7"/>
      <c r="E841" s="7"/>
      <c r="F841" s="7"/>
      <c r="G841" s="7"/>
      <c r="H841" s="7"/>
      <c r="I841" s="7"/>
      <c r="J841" s="7"/>
      <c r="K841" s="7"/>
      <c r="L841" s="7"/>
      <c r="M841" s="7"/>
      <c r="N841" s="7"/>
      <c r="O841" s="7"/>
      <c r="P841" s="7"/>
      <c r="Q841" s="7"/>
      <c r="R841" s="7"/>
      <c r="S841" s="7"/>
      <c r="T841" s="7"/>
      <c r="U841" s="7"/>
      <c r="V841" s="7"/>
      <c r="W841" s="7"/>
      <c r="X841" s="7"/>
      <c r="Y841" s="7"/>
    </row>
    <row r="842" spans="3:25" ht="19.5" customHeight="1">
      <c r="C842" s="7"/>
      <c r="D842" s="7"/>
      <c r="E842" s="7"/>
      <c r="F842" s="7"/>
      <c r="G842" s="7"/>
      <c r="H842" s="7"/>
      <c r="I842" s="7"/>
      <c r="J842" s="7"/>
      <c r="K842" s="7"/>
      <c r="L842" s="7"/>
      <c r="M842" s="7"/>
      <c r="N842" s="7"/>
      <c r="O842" s="7"/>
      <c r="P842" s="7"/>
      <c r="Q842" s="7"/>
      <c r="R842" s="7"/>
      <c r="S842" s="7"/>
      <c r="T842" s="7"/>
      <c r="U842" s="7"/>
      <c r="V842" s="7"/>
      <c r="W842" s="7"/>
      <c r="X842" s="7"/>
      <c r="Y842" s="7"/>
    </row>
    <row r="843" spans="3:25" ht="19.5" customHeight="1">
      <c r="C843" s="7"/>
      <c r="D843" s="7"/>
      <c r="E843" s="7"/>
      <c r="F843" s="7"/>
      <c r="G843" s="7"/>
      <c r="H843" s="7"/>
      <c r="I843" s="7"/>
      <c r="J843" s="7"/>
      <c r="K843" s="7"/>
      <c r="L843" s="7"/>
      <c r="M843" s="7"/>
      <c r="N843" s="7"/>
      <c r="O843" s="7"/>
      <c r="P843" s="7"/>
      <c r="Q843" s="7"/>
      <c r="R843" s="7"/>
      <c r="S843" s="7"/>
      <c r="T843" s="7"/>
      <c r="U843" s="7"/>
      <c r="V843" s="7"/>
      <c r="W843" s="7"/>
      <c r="X843" s="7"/>
      <c r="Y843" s="7"/>
    </row>
    <row r="844" spans="3:25" ht="19.5" customHeight="1">
      <c r="C844" s="7"/>
      <c r="D844" s="7"/>
      <c r="E844" s="7"/>
      <c r="F844" s="7"/>
      <c r="G844" s="7"/>
      <c r="H844" s="7"/>
      <c r="I844" s="7"/>
      <c r="J844" s="7"/>
      <c r="K844" s="7"/>
      <c r="L844" s="7"/>
      <c r="M844" s="7"/>
      <c r="N844" s="7"/>
      <c r="O844" s="7"/>
      <c r="P844" s="7"/>
      <c r="Q844" s="7"/>
      <c r="R844" s="7"/>
      <c r="S844" s="7"/>
      <c r="T844" s="7"/>
      <c r="U844" s="7"/>
      <c r="V844" s="7"/>
      <c r="W844" s="7"/>
      <c r="X844" s="7"/>
      <c r="Y844" s="7"/>
    </row>
    <row r="845" spans="3:25" ht="19.5" customHeight="1">
      <c r="C845" s="7"/>
      <c r="D845" s="7"/>
      <c r="E845" s="7"/>
      <c r="F845" s="7"/>
      <c r="G845" s="7"/>
      <c r="H845" s="7"/>
      <c r="I845" s="7"/>
      <c r="J845" s="7"/>
      <c r="K845" s="7"/>
      <c r="L845" s="7"/>
      <c r="M845" s="7"/>
      <c r="N845" s="7"/>
      <c r="O845" s="7"/>
      <c r="P845" s="7"/>
      <c r="Q845" s="7"/>
      <c r="R845" s="7"/>
      <c r="S845" s="7"/>
      <c r="T845" s="7"/>
      <c r="U845" s="7"/>
      <c r="V845" s="7"/>
      <c r="W845" s="7"/>
      <c r="X845" s="7"/>
      <c r="Y845" s="7"/>
    </row>
    <row r="846" spans="3:25" ht="19.5" customHeight="1">
      <c r="C846" s="7"/>
      <c r="D846" s="7"/>
      <c r="E846" s="7"/>
      <c r="F846" s="7"/>
      <c r="G846" s="7"/>
      <c r="H846" s="7"/>
      <c r="I846" s="7"/>
      <c r="J846" s="7"/>
      <c r="K846" s="7"/>
      <c r="L846" s="7"/>
      <c r="M846" s="7"/>
      <c r="N846" s="7"/>
      <c r="O846" s="7"/>
      <c r="P846" s="7"/>
      <c r="Q846" s="7"/>
      <c r="R846" s="7"/>
      <c r="S846" s="7"/>
      <c r="T846" s="7"/>
      <c r="U846" s="7"/>
      <c r="V846" s="7"/>
      <c r="W846" s="7"/>
      <c r="X846" s="7"/>
      <c r="Y846" s="7"/>
    </row>
    <row r="847" spans="3:25" ht="19.5" customHeight="1">
      <c r="C847" s="7"/>
      <c r="D847" s="7"/>
      <c r="E847" s="7"/>
      <c r="F847" s="7"/>
      <c r="G847" s="7"/>
      <c r="H847" s="7"/>
      <c r="I847" s="7"/>
      <c r="J847" s="7"/>
      <c r="K847" s="7"/>
      <c r="L847" s="7"/>
      <c r="M847" s="7"/>
      <c r="N847" s="7"/>
      <c r="O847" s="7"/>
      <c r="P847" s="7"/>
      <c r="Q847" s="7"/>
      <c r="R847" s="7"/>
      <c r="S847" s="7"/>
      <c r="T847" s="7"/>
      <c r="U847" s="7"/>
      <c r="V847" s="7"/>
      <c r="W847" s="7"/>
      <c r="X847" s="7"/>
      <c r="Y847" s="7"/>
    </row>
    <row r="848" spans="3:25" ht="19.5" customHeight="1">
      <c r="C848" s="7"/>
      <c r="D848" s="7"/>
      <c r="E848" s="7"/>
      <c r="F848" s="7"/>
      <c r="G848" s="7"/>
      <c r="H848" s="7"/>
      <c r="I848" s="7"/>
      <c r="J848" s="7"/>
      <c r="K848" s="7"/>
      <c r="L848" s="7"/>
      <c r="M848" s="7"/>
      <c r="N848" s="7"/>
      <c r="O848" s="7"/>
      <c r="P848" s="7"/>
      <c r="Q848" s="7"/>
      <c r="R848" s="7"/>
      <c r="S848" s="7"/>
      <c r="T848" s="7"/>
      <c r="U848" s="7"/>
      <c r="V848" s="7"/>
      <c r="W848" s="7"/>
      <c r="X848" s="7"/>
      <c r="Y848" s="7"/>
    </row>
    <row r="849" spans="3:25" ht="19.5" customHeight="1">
      <c r="C849" s="7"/>
      <c r="D849" s="7"/>
      <c r="E849" s="7"/>
      <c r="F849" s="7"/>
      <c r="G849" s="7"/>
      <c r="H849" s="7"/>
      <c r="I849" s="7"/>
      <c r="J849" s="7"/>
      <c r="K849" s="7"/>
      <c r="L849" s="7"/>
      <c r="M849" s="7"/>
      <c r="N849" s="7"/>
      <c r="O849" s="7"/>
      <c r="P849" s="7"/>
      <c r="Q849" s="7"/>
      <c r="R849" s="7"/>
      <c r="S849" s="7"/>
      <c r="T849" s="7"/>
      <c r="U849" s="7"/>
      <c r="V849" s="7"/>
      <c r="W849" s="7"/>
      <c r="X849" s="7"/>
      <c r="Y849" s="7"/>
    </row>
    <row r="850" spans="3:25" ht="19.5" customHeight="1">
      <c r="C850" s="7"/>
      <c r="D850" s="7"/>
      <c r="E850" s="7"/>
      <c r="F850" s="7"/>
      <c r="G850" s="7"/>
      <c r="H850" s="7"/>
      <c r="I850" s="7"/>
      <c r="J850" s="7"/>
      <c r="K850" s="7"/>
      <c r="L850" s="7"/>
      <c r="M850" s="7"/>
      <c r="N850" s="7"/>
      <c r="O850" s="7"/>
      <c r="P850" s="7"/>
      <c r="Q850" s="7"/>
      <c r="R850" s="7"/>
      <c r="S850" s="7"/>
      <c r="T850" s="7"/>
      <c r="U850" s="7"/>
      <c r="V850" s="7"/>
      <c r="W850" s="7"/>
      <c r="X850" s="7"/>
      <c r="Y850" s="7"/>
    </row>
    <row r="851" spans="3:25" ht="19.5" customHeight="1">
      <c r="C851" s="7"/>
      <c r="D851" s="7"/>
      <c r="E851" s="7"/>
      <c r="F851" s="7"/>
      <c r="G851" s="7"/>
      <c r="H851" s="7"/>
      <c r="I851" s="7"/>
      <c r="J851" s="7"/>
      <c r="K851" s="7"/>
      <c r="L851" s="7"/>
      <c r="M851" s="7"/>
      <c r="N851" s="7"/>
      <c r="O851" s="7"/>
      <c r="P851" s="7"/>
      <c r="Q851" s="7"/>
      <c r="R851" s="7"/>
      <c r="S851" s="7"/>
      <c r="T851" s="7"/>
      <c r="U851" s="7"/>
      <c r="V851" s="7"/>
      <c r="W851" s="7"/>
      <c r="X851" s="7"/>
      <c r="Y851" s="7"/>
    </row>
    <row r="852" spans="3:25" ht="19.5" customHeight="1">
      <c r="C852" s="7"/>
      <c r="D852" s="7"/>
      <c r="E852" s="7"/>
      <c r="F852" s="7"/>
      <c r="G852" s="7"/>
      <c r="H852" s="7"/>
      <c r="I852" s="7"/>
      <c r="J852" s="7"/>
      <c r="K852" s="7"/>
      <c r="L852" s="7"/>
      <c r="M852" s="7"/>
      <c r="N852" s="7"/>
      <c r="O852" s="7"/>
      <c r="P852" s="7"/>
      <c r="Q852" s="7"/>
      <c r="R852" s="7"/>
      <c r="S852" s="7"/>
      <c r="T852" s="7"/>
      <c r="U852" s="7"/>
      <c r="V852" s="7"/>
      <c r="W852" s="7"/>
      <c r="X852" s="7"/>
      <c r="Y852" s="7"/>
    </row>
    <row r="853" spans="3:25" ht="19.5" customHeight="1">
      <c r="C853" s="7"/>
      <c r="D853" s="7"/>
      <c r="E853" s="7"/>
      <c r="F853" s="7"/>
      <c r="G853" s="7"/>
      <c r="H853" s="7"/>
      <c r="I853" s="7"/>
      <c r="J853" s="7"/>
      <c r="K853" s="7"/>
      <c r="L853" s="7"/>
      <c r="M853" s="7"/>
      <c r="N853" s="7"/>
      <c r="O853" s="7"/>
      <c r="P853" s="7"/>
      <c r="Q853" s="7"/>
      <c r="R853" s="7"/>
      <c r="S853" s="7"/>
      <c r="T853" s="7"/>
      <c r="U853" s="7"/>
      <c r="V853" s="7"/>
      <c r="W853" s="7"/>
      <c r="X853" s="7"/>
      <c r="Y853" s="7"/>
    </row>
    <row r="854" spans="3:25" ht="19.5" customHeight="1">
      <c r="C854" s="7"/>
      <c r="D854" s="7"/>
      <c r="E854" s="7"/>
      <c r="F854" s="7"/>
      <c r="G854" s="7"/>
      <c r="H854" s="7"/>
      <c r="I854" s="7"/>
      <c r="J854" s="7"/>
      <c r="K854" s="7"/>
      <c r="L854" s="7"/>
      <c r="M854" s="7"/>
      <c r="N854" s="7"/>
      <c r="O854" s="7"/>
      <c r="P854" s="7"/>
      <c r="Q854" s="7"/>
      <c r="R854" s="7"/>
      <c r="S854" s="7"/>
      <c r="T854" s="7"/>
      <c r="U854" s="7"/>
      <c r="V854" s="7"/>
      <c r="W854" s="7"/>
      <c r="X854" s="7"/>
      <c r="Y854" s="7"/>
    </row>
    <row r="855" spans="3:25" ht="19.5" customHeight="1">
      <c r="C855" s="7"/>
      <c r="D855" s="7"/>
      <c r="E855" s="7"/>
      <c r="F855" s="7"/>
      <c r="G855" s="7"/>
      <c r="H855" s="7"/>
      <c r="I855" s="7"/>
      <c r="J855" s="7"/>
      <c r="K855" s="7"/>
      <c r="L855" s="7"/>
      <c r="M855" s="7"/>
      <c r="N855" s="7"/>
      <c r="O855" s="7"/>
      <c r="P855" s="7"/>
      <c r="Q855" s="7"/>
      <c r="R855" s="7"/>
      <c r="S855" s="7"/>
      <c r="T855" s="7"/>
      <c r="U855" s="7"/>
      <c r="V855" s="7"/>
      <c r="W855" s="7"/>
      <c r="X855" s="7"/>
      <c r="Y855" s="7"/>
    </row>
    <row r="856" spans="3:25" ht="19.5" customHeight="1">
      <c r="C856" s="7"/>
      <c r="D856" s="7"/>
      <c r="E856" s="7"/>
      <c r="F856" s="7"/>
      <c r="G856" s="7"/>
      <c r="H856" s="7"/>
      <c r="I856" s="7"/>
      <c r="J856" s="7"/>
      <c r="K856" s="7"/>
      <c r="L856" s="7"/>
      <c r="M856" s="7"/>
      <c r="N856" s="7"/>
      <c r="O856" s="7"/>
      <c r="P856" s="7"/>
      <c r="Q856" s="7"/>
      <c r="R856" s="7"/>
      <c r="S856" s="7"/>
      <c r="T856" s="7"/>
      <c r="U856" s="7"/>
      <c r="V856" s="7"/>
      <c r="W856" s="7"/>
      <c r="X856" s="7"/>
      <c r="Y856" s="7"/>
    </row>
    <row r="857" spans="3:25" ht="19.5" customHeight="1">
      <c r="C857" s="7"/>
      <c r="D857" s="7"/>
      <c r="E857" s="7"/>
      <c r="F857" s="7"/>
      <c r="G857" s="7"/>
      <c r="H857" s="7"/>
      <c r="I857" s="7"/>
      <c r="J857" s="7"/>
      <c r="K857" s="7"/>
      <c r="L857" s="7"/>
      <c r="M857" s="7"/>
      <c r="N857" s="7"/>
      <c r="O857" s="7"/>
      <c r="P857" s="7"/>
      <c r="Q857" s="7"/>
      <c r="R857" s="7"/>
      <c r="S857" s="7"/>
      <c r="T857" s="7"/>
      <c r="U857" s="7"/>
      <c r="V857" s="7"/>
      <c r="W857" s="7"/>
      <c r="X857" s="7"/>
      <c r="Y857" s="7"/>
    </row>
    <row r="858" spans="3:25" ht="19.5" customHeight="1">
      <c r="C858" s="7"/>
      <c r="D858" s="7"/>
      <c r="E858" s="7"/>
      <c r="F858" s="7"/>
      <c r="G858" s="7"/>
      <c r="H858" s="7"/>
      <c r="I858" s="7"/>
      <c r="J858" s="7"/>
      <c r="K858" s="7"/>
      <c r="L858" s="7"/>
      <c r="M858" s="7"/>
      <c r="N858" s="7"/>
      <c r="O858" s="7"/>
      <c r="P858" s="7"/>
      <c r="Q858" s="7"/>
      <c r="R858" s="7"/>
      <c r="S858" s="7"/>
      <c r="T858" s="7"/>
      <c r="U858" s="7"/>
      <c r="V858" s="7"/>
      <c r="W858" s="7"/>
      <c r="X858" s="7"/>
      <c r="Y858" s="7"/>
    </row>
    <row r="859" spans="3:25" ht="19.5" customHeight="1">
      <c r="C859" s="7"/>
      <c r="D859" s="7"/>
      <c r="E859" s="7"/>
      <c r="F859" s="7"/>
      <c r="G859" s="7"/>
      <c r="H859" s="7"/>
      <c r="I859" s="7"/>
      <c r="J859" s="7"/>
      <c r="K859" s="7"/>
      <c r="L859" s="7"/>
      <c r="M859" s="7"/>
      <c r="N859" s="7"/>
      <c r="O859" s="7"/>
      <c r="P859" s="7"/>
      <c r="Q859" s="7"/>
      <c r="R859" s="7"/>
      <c r="S859" s="7"/>
      <c r="T859" s="7"/>
      <c r="U859" s="7"/>
      <c r="V859" s="7"/>
      <c r="W859" s="7"/>
      <c r="X859" s="7"/>
      <c r="Y859" s="7"/>
    </row>
    <row r="860" spans="3:25" ht="19.5" customHeight="1">
      <c r="C860" s="7"/>
      <c r="D860" s="7"/>
      <c r="E860" s="7"/>
      <c r="F860" s="7"/>
      <c r="G860" s="7"/>
      <c r="H860" s="7"/>
      <c r="I860" s="7"/>
      <c r="J860" s="7"/>
      <c r="K860" s="7"/>
      <c r="L860" s="7"/>
      <c r="M860" s="7"/>
      <c r="N860" s="7"/>
      <c r="O860" s="7"/>
      <c r="P860" s="7"/>
      <c r="Q860" s="7"/>
      <c r="R860" s="7"/>
      <c r="S860" s="7"/>
      <c r="T860" s="7"/>
      <c r="U860" s="7"/>
      <c r="V860" s="7"/>
      <c r="W860" s="7"/>
      <c r="X860" s="7"/>
      <c r="Y860" s="7"/>
    </row>
    <row r="861" spans="3:25" ht="19.5" customHeight="1">
      <c r="C861" s="7"/>
      <c r="D861" s="7"/>
      <c r="E861" s="7"/>
      <c r="F861" s="7"/>
      <c r="G861" s="7"/>
      <c r="H861" s="7"/>
      <c r="I861" s="7"/>
      <c r="J861" s="7"/>
      <c r="K861" s="7"/>
      <c r="L861" s="7"/>
      <c r="M861" s="7"/>
      <c r="N861" s="7"/>
      <c r="O861" s="7"/>
      <c r="P861" s="7"/>
      <c r="Q861" s="7"/>
      <c r="R861" s="7"/>
      <c r="S861" s="7"/>
      <c r="T861" s="7"/>
      <c r="U861" s="7"/>
      <c r="V861" s="7"/>
      <c r="W861" s="7"/>
      <c r="X861" s="7"/>
      <c r="Y861" s="7"/>
    </row>
    <row r="862" spans="3:25" ht="19.5" customHeight="1">
      <c r="C862" s="7"/>
      <c r="D862" s="7"/>
      <c r="E862" s="7"/>
      <c r="F862" s="7"/>
      <c r="G862" s="7"/>
      <c r="H862" s="7"/>
      <c r="I862" s="7"/>
      <c r="J862" s="7"/>
      <c r="K862" s="7"/>
      <c r="L862" s="7"/>
      <c r="M862" s="7"/>
      <c r="N862" s="7"/>
      <c r="O862" s="7"/>
      <c r="P862" s="7"/>
      <c r="Q862" s="7"/>
      <c r="R862" s="7"/>
      <c r="S862" s="7"/>
      <c r="T862" s="7"/>
      <c r="U862" s="7"/>
      <c r="V862" s="7"/>
      <c r="W862" s="7"/>
      <c r="X862" s="7"/>
      <c r="Y862" s="7"/>
    </row>
    <row r="863" spans="3:25" ht="19.5" customHeight="1">
      <c r="C863" s="7"/>
      <c r="D863" s="7"/>
      <c r="E863" s="7"/>
      <c r="F863" s="7"/>
      <c r="G863" s="7"/>
      <c r="H863" s="7"/>
      <c r="I863" s="7"/>
      <c r="J863" s="7"/>
      <c r="K863" s="7"/>
      <c r="L863" s="7"/>
      <c r="M863" s="7"/>
      <c r="N863" s="7"/>
      <c r="O863" s="7"/>
      <c r="P863" s="7"/>
      <c r="Q863" s="7"/>
      <c r="R863" s="7"/>
      <c r="S863" s="7"/>
      <c r="T863" s="7"/>
      <c r="U863" s="7"/>
      <c r="V863" s="7"/>
      <c r="W863" s="7"/>
      <c r="X863" s="7"/>
      <c r="Y863" s="7"/>
    </row>
    <row r="864" spans="3:25" ht="19.5" customHeight="1">
      <c r="C864" s="7"/>
      <c r="D864" s="7"/>
      <c r="E864" s="7"/>
      <c r="F864" s="7"/>
      <c r="G864" s="7"/>
      <c r="H864" s="7"/>
      <c r="I864" s="7"/>
      <c r="J864" s="7"/>
      <c r="K864" s="7"/>
      <c r="L864" s="7"/>
      <c r="M864" s="7"/>
      <c r="N864" s="7"/>
      <c r="O864" s="7"/>
      <c r="P864" s="7"/>
      <c r="Q864" s="7"/>
      <c r="R864" s="7"/>
      <c r="S864" s="7"/>
      <c r="T864" s="7"/>
      <c r="U864" s="7"/>
      <c r="V864" s="7"/>
      <c r="W864" s="7"/>
      <c r="X864" s="7"/>
      <c r="Y864" s="7"/>
    </row>
    <row r="865" ht="12.75"/>
    <row r="866" ht="12.75"/>
    <row r="867" ht="12.75"/>
    <row r="868" ht="12.75"/>
    <row r="869" ht="12.75"/>
    <row r="870" ht="12.75"/>
    <row r="871" ht="12.75"/>
    <row r="872" ht="12.75"/>
    <row r="876" ht="12.75"/>
    <row r="877" ht="12.75"/>
    <row r="880" ht="12.75"/>
    <row r="884" ht="12.75"/>
    <row r="885" ht="12.75"/>
    <row r="886" ht="12.75"/>
    <row r="887" ht="12.75"/>
    <row r="889" ht="12.75"/>
    <row r="891" ht="12.75"/>
    <row r="892" ht="12.75"/>
    <row r="893" ht="12.75"/>
    <row r="894" ht="12.75"/>
    <row r="895" ht="12.75"/>
    <row r="896" ht="12.75"/>
    <row r="897" ht="12.75"/>
    <row r="898" ht="12.75"/>
    <row r="899" ht="12.75"/>
    <row r="900" ht="12.75"/>
    <row r="901" ht="12.75"/>
    <row r="902" ht="12.75"/>
    <row r="904" ht="12.75"/>
    <row r="905" ht="12.75"/>
    <row r="906" ht="12.75"/>
    <row r="907" ht="12.75"/>
    <row r="908" ht="12.75"/>
    <row r="912" ht="12.75"/>
    <row r="913" ht="12.75"/>
    <row r="914" ht="12.75"/>
  </sheetData>
  <mergeCells count="3">
    <mergeCell ref="L2:N2"/>
    <mergeCell ref="G22:G23"/>
    <mergeCell ref="B3:E4"/>
  </mergeCells>
  <phoneticPr fontId="126" type="noConversion"/>
  <conditionalFormatting sqref="H10:H15">
    <cfRule type="expression" dxfId="1449" priority="30">
      <formula>IF(I10="grün",TRUE,FALSE)</formula>
    </cfRule>
    <cfRule type="expression" dxfId="1448" priority="31">
      <formula>IF(I10="rot",TRUE,FALSE)</formula>
    </cfRule>
  </conditionalFormatting>
  <conditionalFormatting sqref="E10">
    <cfRule type="expression" dxfId="1447" priority="27">
      <formula>IF($F10="rot",TRUE,FALSE)</formula>
    </cfRule>
    <cfRule type="expression" dxfId="1446" priority="28">
      <formula>IF($F10="grün",TRUE,FALSE)</formula>
    </cfRule>
  </conditionalFormatting>
  <conditionalFormatting sqref="E11:E15">
    <cfRule type="expression" dxfId="1445" priority="21">
      <formula>IF($F11="rot",TRUE,FALSE)</formula>
    </cfRule>
    <cfRule type="expression" dxfId="1444" priority="22">
      <formula>IF($F11="grün",TRUE,FALSE)</formula>
    </cfRule>
  </conditionalFormatting>
  <conditionalFormatting sqref="C10">
    <cfRule type="expression" dxfId="1443" priority="20">
      <formula>IF(MONTH(C10)=MONTH($C$5),FALSE,TRUE)</formula>
    </cfRule>
  </conditionalFormatting>
  <conditionalFormatting sqref="C10">
    <cfRule type="expression" dxfId="1442" priority="19">
      <formula>IF(C10=TODAY(),TRUE,FALSE)</formula>
    </cfRule>
  </conditionalFormatting>
  <conditionalFormatting sqref="C10">
    <cfRule type="expression" dxfId="1441" priority="18">
      <formula>IF(C10="Frei",TRUE,FALSE)</formula>
    </cfRule>
  </conditionalFormatting>
  <conditionalFormatting sqref="C10">
    <cfRule type="expression" dxfId="1440" priority="17">
      <formula>IF(OR(C10="OK 1",C10="OK 2",C10="OK 3",C10="OK",C10="PUSH",C10="PUSH 1",C10="PUSH 2",C10="PUSH 3"),TRUE,FALSE)</formula>
    </cfRule>
  </conditionalFormatting>
  <conditionalFormatting sqref="C10">
    <cfRule type="expression" dxfId="1439" priority="13">
      <formula>IF(OR(C10="GK",C10="GK 1",C10="GK 2",C10="GK 3",C10="GK 4"),TRUE,FALSE)</formula>
    </cfRule>
    <cfRule type="expression" dxfId="1438" priority="14">
      <formula>IF(OR(C10="OK 2+",C10="OK 3+",),TRUE,FALSE)</formula>
    </cfRule>
    <cfRule type="expression" dxfId="1437" priority="15">
      <formula>IF(OR(C10="PULL",C10="PULL 1",C10="PULL 2"),TRUE,FALSE)</formula>
    </cfRule>
    <cfRule type="expression" dxfId="1436" priority="16">
      <formula>IF(OR(C10="UK 1",C10="UK 2",C10="OK",C10="UK 3",C10="Beine",C10="BEINE 1",C10="BEINE 2",C10="BEINE 1"),TRUE,FALSE)</formula>
    </cfRule>
  </conditionalFormatting>
  <conditionalFormatting sqref="C10">
    <cfRule type="expression" dxfId="1435" priority="11">
      <formula>IF(C10="Keine Zeit",TRUE,FALSE)</formula>
    </cfRule>
    <cfRule type="expression" dxfId="1434" priority="12">
      <formula>IF(C10="Skip",TRUE,FALSE)</formula>
    </cfRule>
  </conditionalFormatting>
  <conditionalFormatting sqref="C11:C15">
    <cfRule type="expression" dxfId="1433" priority="10">
      <formula>IF(MONTH(C11)=MONTH($C$5),FALSE,TRUE)</formula>
    </cfRule>
  </conditionalFormatting>
  <conditionalFormatting sqref="C11:C15">
    <cfRule type="expression" dxfId="1432" priority="9">
      <formula>IF(C11=TODAY(),TRUE,FALSE)</formula>
    </cfRule>
  </conditionalFormatting>
  <conditionalFormatting sqref="C11:C15">
    <cfRule type="expression" dxfId="1431" priority="8">
      <formula>IF(C11="Frei",TRUE,FALSE)</formula>
    </cfRule>
  </conditionalFormatting>
  <conditionalFormatting sqref="C11:C15">
    <cfRule type="expression" dxfId="1430" priority="7">
      <formula>IF(OR(C11="OK 1",C11="OK 2",C11="OK 3",C11="OK",C11="PUSH",C11="PUSH 1",C11="PUSH 2",C11="PUSH 3"),TRUE,FALSE)</formula>
    </cfRule>
  </conditionalFormatting>
  <conditionalFormatting sqref="C11:C15">
    <cfRule type="expression" dxfId="1429" priority="3">
      <formula>IF(OR(C11="GK",C11="GK 1",C11="GK 2",C11="GK 3",C11="GK 4"),TRUE,FALSE)</formula>
    </cfRule>
    <cfRule type="expression" dxfId="1428" priority="4">
      <formula>IF(OR(C11="OK 2+",C11="OK 3+",),TRUE,FALSE)</formula>
    </cfRule>
    <cfRule type="expression" dxfId="1427" priority="5">
      <formula>IF(OR(C11="PULL",C11="PULL 1",C11="PULL 2"),TRUE,FALSE)</formula>
    </cfRule>
    <cfRule type="expression" dxfId="1426" priority="6">
      <formula>IF(OR(C11="UK 1",C11="UK 2",C11="OK",C11="UK 3",C11="Beine",C11="BEINE 1",C11="BEINE 2",C11="BEINE 1"),TRUE,FALSE)</formula>
    </cfRule>
  </conditionalFormatting>
  <conditionalFormatting sqref="C11:C15">
    <cfRule type="expression" dxfId="1425" priority="1">
      <formula>IF(C11="Keine Zeit",TRUE,FALSE)</formula>
    </cfRule>
    <cfRule type="expression" dxfId="1424" priority="2">
      <formula>IF(C11="Skip",TRUE,FALSE)</formula>
    </cfRule>
  </conditionalFormatting>
  <pageMargins left="0.7" right="0.7" top="0.78740157499999996" bottom="0.78740157499999996"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6505F679-FC57-42E7-A883-A793F13B4B17}">
          <x14:formula1>
            <xm:f>'Funktions-Tabelle'!$S$60:$S$65</xm:f>
          </x14:formula1>
          <xm:sqref>C10:C15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F2FC1-98A4-4AA0-8F65-A6C354DFE31E}">
  <dimension ref="A1:BI166"/>
  <sheetViews>
    <sheetView zoomScale="73" zoomScaleNormal="73" workbookViewId="0">
      <selection activeCell="C12" sqref="C12"/>
    </sheetView>
  </sheetViews>
  <sheetFormatPr baseColWidth="10" defaultRowHeight="12.75"/>
  <cols>
    <col min="1" max="7" width="25.7109375" customWidth="1"/>
    <col min="8" max="8" width="34" customWidth="1"/>
    <col min="9" max="11" width="25.7109375" customWidth="1"/>
    <col min="12" max="12" width="6.28515625" customWidth="1"/>
    <col min="13" max="13" width="34" customWidth="1"/>
    <col min="14" max="15" width="25.7109375" customWidth="1"/>
    <col min="24" max="24" width="20.85546875" customWidth="1"/>
  </cols>
  <sheetData>
    <row r="1" spans="1:61" ht="30" customHeight="1"/>
    <row r="2" spans="1:61" ht="30" customHeight="1">
      <c r="A2" s="1043" t="s">
        <v>300</v>
      </c>
      <c r="B2" s="1043"/>
      <c r="D2" s="1043" t="s">
        <v>280</v>
      </c>
      <c r="E2" s="1043"/>
      <c r="F2" s="1043"/>
      <c r="G2" s="1033" t="s">
        <v>265</v>
      </c>
      <c r="H2" s="1033"/>
      <c r="I2" s="1033"/>
      <c r="J2" s="1033"/>
      <c r="K2" s="1033" t="s">
        <v>274</v>
      </c>
      <c r="L2" s="1033"/>
      <c r="M2" s="1033"/>
      <c r="N2" s="1033"/>
      <c r="O2" s="1033" t="s">
        <v>353</v>
      </c>
      <c r="P2" s="1033"/>
      <c r="Q2" s="1033"/>
      <c r="R2" s="1033"/>
      <c r="S2" s="1033"/>
      <c r="T2" s="1033"/>
      <c r="U2" s="1033"/>
      <c r="Z2" s="646"/>
      <c r="AA2" s="1042" t="s">
        <v>357</v>
      </c>
      <c r="AB2" s="1042"/>
      <c r="AC2" s="1042"/>
      <c r="AD2" s="1042"/>
      <c r="AE2" s="1042"/>
      <c r="AF2" s="1042"/>
      <c r="AG2" s="1042"/>
      <c r="AH2" s="1042"/>
      <c r="AI2" s="1042"/>
      <c r="AJ2" s="1042"/>
      <c r="AK2" s="1042"/>
      <c r="AP2" s="1042" t="s">
        <v>358</v>
      </c>
      <c r="AQ2" s="1042"/>
      <c r="AR2" s="1042"/>
      <c r="AS2" s="1042"/>
      <c r="AT2" s="1042"/>
      <c r="AU2" s="1042"/>
      <c r="AV2" s="1042"/>
      <c r="AW2" s="647"/>
      <c r="AX2" s="647"/>
      <c r="AY2" s="647"/>
      <c r="AZ2" s="647"/>
      <c r="BB2" s="647"/>
      <c r="BC2" s="1042" t="s">
        <v>359</v>
      </c>
      <c r="BD2" s="1042"/>
      <c r="BE2" s="1042"/>
      <c r="BF2" s="1042"/>
      <c r="BG2" s="1042"/>
      <c r="BH2" s="1042"/>
      <c r="BI2" s="1042"/>
    </row>
    <row r="3" spans="1:61" ht="30" customHeight="1">
      <c r="AN3" s="626" t="s">
        <v>362</v>
      </c>
      <c r="AY3" s="626" t="s">
        <v>362</v>
      </c>
      <c r="BA3" s="626" t="s">
        <v>363</v>
      </c>
    </row>
    <row r="4" spans="1:61" ht="30" customHeight="1">
      <c r="A4" t="s">
        <v>263</v>
      </c>
      <c r="B4" t="s">
        <v>264</v>
      </c>
      <c r="D4" s="301" t="s">
        <v>55</v>
      </c>
      <c r="E4" s="301" t="s">
        <v>263</v>
      </c>
      <c r="F4" s="301"/>
      <c r="H4" s="284" t="s">
        <v>267</v>
      </c>
      <c r="I4" s="284"/>
      <c r="L4" s="1044" t="s">
        <v>274</v>
      </c>
      <c r="M4" s="1044"/>
      <c r="O4" s="488" t="s">
        <v>0</v>
      </c>
      <c r="P4" s="1030" t="s">
        <v>312</v>
      </c>
      <c r="Q4" s="1030"/>
      <c r="R4" s="1030" t="s">
        <v>313</v>
      </c>
      <c r="S4" s="1030"/>
      <c r="T4" s="1030" t="s">
        <v>314</v>
      </c>
      <c r="U4" s="1031"/>
      <c r="X4" s="648" t="str">
        <f ca="1">INDEX(OFFSET(Zyklus!$A$13,1,0),1)</f>
        <v>Übung</v>
      </c>
      <c r="Y4" s="660" t="e">
        <f ca="1">MROUND(INDEX(OFFSET(Zyklus!$I$13,1,0),1),(IF(VLOOKUP($X4,Übungsübersicht!$E$7:$K$80,3)=0,0.1,(VLOOKUP($X4,Übungsübersicht!$E$7:$K$80,3)))))</f>
        <v>#VALUE!</v>
      </c>
      <c r="Z4" s="649"/>
      <c r="AA4" s="649" t="e">
        <f ca="1">IFERROR(IF($Y4=0,2*(VLOOKUP($X4,Übungsübersicht!$E$7:$M$83,3,FALSE)),IF($Y4&gt;100,(MROUND(($Y4*0.1),(VLOOKUP($X4,Übungsübersicht!$E$7:$M$83,3,FALSE)))),IF($Y4&gt;80,(MROUND(($Y4*0.1),(VLOOKUP($X4,Übungsübersicht!$E$7:$M$83,3,FALSE)))),IF($Y4&gt;50,(MROUND(($Y4*0.2),(VLOOKUP($X4,Übungsübersicht!$E$7:$M$83,3,FALSE)))),IF($Y4&gt;25,(MROUND(($Y4*0.3),(VLOOKUP($X4,Übungsübersicht!$E$7:$M$83,3,FALSE)))),IF($Y4&gt;15,(MROUND(($Y4*0.4),(VLOOKUP($X4,Übungsübersicht!$E$7:$M$83,3,FALSE)))),IF($Y4&gt;(VLOOKUP($X4,Übungsübersicht!$E$7:$M$83,3,FALSE)),(VLOOKUP($X4,Übungsübersicht!$E$7:$M$83,3,FALSE)),""))))))),2*(VLOOKUP($X4,Übungsübersicht!$E$7:$M$83,3,FALSE)))</f>
        <v>#VALUE!</v>
      </c>
      <c r="AB4" s="649" t="e">
        <f ca="1">IFERROR(IF($Y4=0,4*(VLOOKUP($X4,Übungsübersicht!$E$7:$M$83,3,FALSE)),IF($Y4&gt;100,(MROUND(($Y4*0.3),(VLOOKUP($X4,Übungsübersicht!$E$7:$M$83,3,FALSE)))),IF($Y4&gt;80,(MROUND(($Y4*0.3),(VLOOKUP($X4,Übungsübersicht!$E$7:$M$83,3,FALSE)))),IF($Y4&gt;50,(MROUND(($Y4*0.4),(VLOOKUP($X4,Übungsübersicht!$E$7:$M$83,3,FALSE)))),IF($Y4&gt;25,(MROUND(($Y4*0.5),(VLOOKUP($X4,Übungsübersicht!$E$7:$M$83,3,FALSE)))),IF($Y4&gt;15,(MROUND(($Y4*0.6),(VLOOKUP($X4,Übungsübersicht!$E$7:$M$83,3,FALSE)))),IF($Y4&gt;(VLOOKUP($X4,Übungsübersicht!$E$7:$M$83,3,FALSE)),(VLOOKUP($X4,Übungsübersicht!$E$7:$M$83,3,FALSE)),""))))))),4*(VLOOKUP($X4,Übungsübersicht!$E$7:$M$83,3,FALSE)))</f>
        <v>#VALUE!</v>
      </c>
      <c r="AC4" s="649" t="e">
        <f ca="1">IFERROR((IF($Y4=0,8*(VLOOKUP($X4,Übungsübersicht!$E$7:$M$83,3,FALSE)),(($Y4)-(3*(VLOOKUP($X4,Übungsübersicht!$E$7:$M$83,3,FALSE)))))),8*(VLOOKUP($X4,Übungsübersicht!$E$7:$M$83,3,FALSE)))</f>
        <v>#VALUE!</v>
      </c>
      <c r="AD4" s="649" t="e">
        <f ca="1">IFERROR(((IF($Y4=0,10*(VLOOKUP($X4,Übungsübersicht!$E$7:$M$83,3,FALSE)),($Y4)-(2*(VLOOKUP($X4,Übungsübersicht!$E$7:$M$83,3,FALSE)))))),10*(VLOOKUP($X4,Übungsübersicht!$E$7:$M$83,3,FALSE)))</f>
        <v>#VALUE!</v>
      </c>
      <c r="AE4" s="649" t="e">
        <f ca="1">IFERROR(((IF($Y4=0,10*(VLOOKUP($X4,Übungsübersicht!$E$7:$M$83,3,FALSE)),($Y4)-(1*(VLOOKUP($X4,Übungsübersicht!$E$7:$M$83,3,FALSE)))))),10*(VLOOKUP($X4,Übungsübersicht!$E$7:$M$83,3,FALSE)))</f>
        <v>#VALUE!</v>
      </c>
      <c r="AF4" s="649" t="e">
        <f ca="1">IFERROR(IF($Y4=0,20*(VLOOKUP($X4,Übungsübersicht!$E$7:$M$83,3,FALSE)),($Y4)),20*(VLOOKUP($X4,Übungsübersicht!$E$7:$M$83,3,FALSE)))</f>
        <v>#VALUE!</v>
      </c>
      <c r="AG4" s="649" t="e">
        <f ca="1">IFERROR(IF($Y4=0,30*(VLOOKUP($X4,Übungsübersicht!$E$7:$M$83,3,FALSE)),($Y4)+(1*(VLOOKUP($X4,Übungsübersicht!$E$7:$M$83,3,FALSE)))),30*(VLOOKUP($X4,Übungsübersicht!$E$7:$M$83,3,FALSE)))</f>
        <v>#VALUE!</v>
      </c>
      <c r="AH4" s="649" t="e">
        <f ca="1">IFERROR(IF($Y4=0,30*(VLOOKUP($X4,Übungsübersicht!$E$7:$M$83,3,FALSE)),($Y4)+(2*(VLOOKUP($X4,Übungsübersicht!$E$7:$M$83,3,FALSE)))),30*(VLOOKUP($X4,Übungsübersicht!$E$7:$M$83,3,FALSE)))</f>
        <v>#VALUE!</v>
      </c>
      <c r="AI4" s="649" t="e">
        <f ca="1">IFERROR(IF($Y4=0,30*(VLOOKUP($X4,Übungsübersicht!$E$7:$M$83,3,FALSE)),($Y4)+(3*(VLOOKUP($X4,Übungsübersicht!$E$7:$M$83,3,FALSE)))),30*(VLOOKUP($X4,Übungsübersicht!$E$7:$M$83,3,FALSE)))</f>
        <v>#VALUE!</v>
      </c>
      <c r="AJ4" s="649" t="e">
        <f ca="1">IFERROR(IF($Y4=0,40*(VLOOKUP($X4,Übungsübersicht!$E$7:$M$83,3,FALSE)),IF($Y4&gt;100,(MROUND(($Y4*1.7),(VLOOKUP($X4,Übungsübersicht!$E$7:$M$83,3,FALSE)))),IF($Y4&gt;80,(MROUND(($Y4*1.7),(VLOOKUP($X4,Übungsübersicht!$E$7:$M$83,3,FALSE)))),IF($Y4&gt;50,(MROUND(($Y4*1.6),(VLOOKUP($X4,Übungsübersicht!$E$7:$M$83,3,FALSE)))),IF($Y4&gt;25,(MROUND(($Y4*1.5),(VLOOKUP($X4,Übungsübersicht!$E$7:$M$83,3,FALSE)))),IF($Y4&gt;15,(MROUND(($Y4*1.4),(VLOOKUP($X4,Übungsübersicht!$E$7:$M$83,3,FALSE)))),IF($Y4&gt;(VLOOKUP($X4,Übungsübersicht!$E$7:$M$83,3,FALSE)),30*(VLOOKUP($X4,Übungsübersicht!$E$7:$M$83,3,FALSE)),""))))))),40*(VLOOKUP($X4,Übungsübersicht!$E$7:$M$83,3,FALSE)))</f>
        <v>#VALUE!</v>
      </c>
      <c r="AK4" s="650" t="e">
        <f ca="1">IFERROR(IF($Y4=0,50*(VLOOKUP($X4,Übungsübersicht!$E$7:$M$83,3,FALSE)),IF($Y4&gt;100,(MROUND(($Y4*1.9),(VLOOKUP($X4,Übungsübersicht!$E$7:$M$83,3,FALSE)))),IF($Y4&gt;80,(MROUND(($Y4*1.9),(VLOOKUP($X4,Übungsübersicht!$E$7:$M$83,3,FALSE)))),IF($Y4&gt;50,(MROUND(($Y4*1.8),(VLOOKUP($X4,Übungsübersicht!$E$7:$M$83,3,FALSE)))),IF($Y4&gt;25,(MROUND(($Y4*1.7),(VLOOKUP($X4,Übungsübersicht!$E$7:$M$83,3,FALSE)))),IF($Y4&gt;15,(MROUND(($Y4*1.6),(VLOOKUP($X4,Übungsübersicht!$E$7:$M$83,3,FALSE)))),IF($Y4&gt;(VLOOKUP($X4,Übungsübersicht!$E$7:$M$83,3,FALSE)),40*(VLOOKUP($X4,Übungsübersicht!$E$7:$M$83,3,FALSE)),""))))))),50*(VLOOKUP($X4,Übungsübersicht!$E$7:$M$83,3,FALSE)))</f>
        <v>#VALUE!</v>
      </c>
      <c r="AN4" s="655" t="e">
        <f ca="1">MROUND(INDEX(OFFSET(Zyklus!$M$13,1,0),1),(IF(VLOOKUP($X4,Übungsübersicht!$E$7:$K$80,3)=0,0.1,(VLOOKUP($X4,Übungsübersicht!$E$7:$K$80,3)))))</f>
        <v>#VALUE!</v>
      </c>
      <c r="AP4" s="652" t="str">
        <f ca="1">IFERROR(IF(IF(VLOOKUP($X4,Zyklus!$A$14:$U$68,9,FALSE)=0,"RPE 8",IF(VLOOKUP($X4,Übungsübersicht!$E$7:$M$83,3,FALSE)&lt;0.5,($AN4)-(3*0.5),(($AN4)-(3*(VLOOKUP($X4,Übungsübersicht!$E$7:$M$83,3,FALSE))))))&lt;1,0,(IF(VLOOKUP($X4,Zyklus!$A$14:$U$68,9,FALSE)=0,"RPE 8",IF(VLOOKUP($X4,Übungsübersicht!$E$7:$M$83,3,FALSE)&lt;0.5,($AN4)-(3*0.5),(($AN4)-(3*(VLOOKUP($X4,Übungsübersicht!$E$7:$M$83,3,FALSE)))))))),"RPE 8")</f>
        <v>RPE 8</v>
      </c>
      <c r="AQ4" s="652" t="str">
        <f ca="1">IFERROR(IF(IF(VLOOKUP($X4,Zyklus!$A$14:$U$68,9,FALSE)=0,"RPE 8",IF(VLOOKUP($X4,Übungsübersicht!$E$7:$M$83,3,FALSE)&lt;0.5,($AN4)-(2*0.5),(($AN4)-(2*(VLOOKUP($X4,Übungsübersicht!$E$7:$M$83,3,FALSE))))))&lt;1,0,(IF(VLOOKUP($X4,Zyklus!$A$14:$U$68,9,FALSE)=0,"RPE 8",IF(VLOOKUP($X4,Übungsübersicht!$E$7:$M$83,3,FALSE)&lt;0.5,($AN4)-(2*0.5),(($AN4)-(2*(VLOOKUP($X4,Übungsübersicht!$E$7:$M$83,3,FALSE)))))))),"RPE 8")</f>
        <v>RPE 8</v>
      </c>
      <c r="AR4" s="652" t="str">
        <f ca="1">IFERROR(IF(IF(VLOOKUP($X4,Zyklus!$A$14:$U$68,9,FALSE)=0,"RPE 8",IF(VLOOKUP($X4,Übungsübersicht!$E$7:$M$83,3,FALSE)&lt;0.5,($AN4)-(1*0.5),(($Y4)-(1*(VLOOKUP($X4,Übungsübersicht!$E$7:$M$83,3,FALSE))))))&lt;1,0,(IF(VLOOKUP($X4,Zyklus!$A$14:$U$68,9,FALSE)=0,"RPE 8",IF(VLOOKUP($X4,Übungsübersicht!$E$7:$M$83,3,FALSE)&lt;0.5,($AN4)-(1*0.5),(($Y4)-(1*(VLOOKUP($X4,Übungsübersicht!$E$7:$M$83,3,FALSE)))))))),"RPE 8")</f>
        <v>RPE 8</v>
      </c>
      <c r="AS4" s="652" t="str">
        <f ca="1">IFERROR(IF($Y4=0,"RPE 8",$Y4),"RPE 8")</f>
        <v>RPE 8</v>
      </c>
      <c r="AT4" s="652" t="str">
        <f ca="1">IFERROR(IF(VLOOKUP($X4,Zyklus!$A$14:$U$68,9,FALSE)=0,"RPE 8",IF(VLOOKUP($X4,Übungsübersicht!$E$7:$M$83,3,FALSE)&lt;0.5,($AN4)+(1*0.5),(($Y4)+(1*(VLOOKUP($X4,Übungsübersicht!$E$7:$M$83,3,FALSE)))))),"RPE 8")</f>
        <v>RPE 8</v>
      </c>
      <c r="AU4" s="652" t="str">
        <f ca="1">IFERROR(IF(VLOOKUP($X4,Zyklus!$A$14:$U$68,9,FALSE)=0,"RPE 8",IF(VLOOKUP($X4,Übungsübersicht!$E$7:$M$83,3,FALSE)&lt;0.5,($AN4)+(2*0.5),(($AN4)+(2*(VLOOKUP($X4,Übungsübersicht!$E$7:$M$83,3,FALSE)))))),"RPE 8")</f>
        <v>RPE 8</v>
      </c>
      <c r="AV4" s="652" t="str">
        <f ca="1">IFERROR(IF(VLOOKUP($X4,Zyklus!$A$14:$U$68,9,FALSE)=0,"RPE 8",IF(VLOOKUP($X4,Übungsübersicht!$E$7:$M$83,3,FALSE)&lt;0.5,($AN4)+(3*0.5),(($AN4)+(3*(VLOOKUP($X4,Übungsübersicht!$E$7:$M$83,3,FALSE)))))),"RPE 8")</f>
        <v>RPE 8</v>
      </c>
      <c r="AY4" s="655" t="e">
        <f ca="1">MROUND(INDEX(OFFSET(Zyklus!$M$13,1,0),1),(IF(VLOOKUP($X4,Übungsübersicht!$E$7:$K$80,3)=0,0.1,(VLOOKUP($X4,Übungsübersicht!$E$7:$K$80,3)))))</f>
        <v>#VALUE!</v>
      </c>
      <c r="BA4" s="652" t="e">
        <f ca="1">MROUND(INDEX(OFFSET(Zyklus!$Q$13,1,0),1),(IF(VLOOKUP($X4,Übungsübersicht!$E$7:$K$80,3)=0,0.1,(VLOOKUP($X4,Übungsübersicht!$E$7:$K$80,3)))))</f>
        <v>#VALUE!</v>
      </c>
      <c r="BC4" s="652" t="str">
        <f ca="1">IFERROR(IF(IF(VLOOKUP($X4,Zyklus!$A$14:$U$68,9,FALSE)=0,"RPE 9",IF(VLOOKUP($X4,Übungsübersicht!$E$7:$M$83,3,FALSE)&lt;0.5,($BA4)-(3*0.5),(($BA4)-(3*(VLOOKUP($X4,Übungsübersicht!$E$7:$M$83,3,FALSE))))))&lt;1,0,(IF(VLOOKUP($X4,Zyklus!$A$14:$U$68,9,FALSE)=0,"RPE 9",IF(VLOOKUP($X4,Übungsübersicht!$E$7:$M$83,3,FALSE)&lt;0.5,($BA4)-(3*0.5),(($BA4)-(3*(VLOOKUP($X4,Übungsübersicht!$E$7:$M$83,3,FALSE)))))))),"RPE 9")</f>
        <v>RPE 9</v>
      </c>
      <c r="BD4" s="652" t="str">
        <f ca="1">IFERROR(IF(IF(VLOOKUP($X4,Zyklus!$A$14:$U$68,9,FALSE)=0,"RPE 9",IF(VLOOKUP($X4,Übungsübersicht!$E$7:$M$83,3,FALSE)&lt;0.5,($BA4)-(2*0.5),(($BA4)-(2*(VLOOKUP($X4,Übungsübersicht!$E$7:$M$83,3,FALSE))))))&lt;1,0,(IF(VLOOKUP($X4,Zyklus!$A$14:$U$68,9,FALSE)=0,"RPE 9",IF(VLOOKUP($X4,Übungsübersicht!$E$7:$M$83,3,FALSE)&lt;0.5,($BA4)-(2*0.5),(($BA4)-(2*(VLOOKUP($X4,Übungsübersicht!$E$7:$M$83,3,FALSE)))))))),"RPE 9")</f>
        <v>RPE 9</v>
      </c>
      <c r="BE4" s="652" t="str">
        <f ca="1">IFERROR(IF(IF(VLOOKUP($X4,Zyklus!$A$14:$U$68,9,FALSE)=0,"RPE 9",IF(VLOOKUP($X4,Übungsübersicht!$E$7:$M$83,3,FALSE)&lt;0.5,($BA4)-(1*0.5),(($Y4)-(1*(VLOOKUP($X4,Übungsübersicht!$E$7:$M$83,3,FALSE))))))&lt;1,0,(IF(VLOOKUP($X4,Zyklus!$A$14:$U$68,9,FALSE)=0,"RPE 9",IF(VLOOKUP($X4,Übungsübersicht!$E$7:$M$83,3,FALSE)&lt;0.5,($BA4)-(1*0.5),(($Y4)-(1*(VLOOKUP($X4,Übungsübersicht!$E$7:$M$83,3,FALSE)))))))),"RPE 9")</f>
        <v>RPE 9</v>
      </c>
      <c r="BF4" s="652" t="str">
        <f ca="1">IFERROR(IF($Y4=0,"RPE 9",$AY4),"RPE 9")</f>
        <v>RPE 9</v>
      </c>
      <c r="BG4" s="652" t="str">
        <f ca="1">IFERROR(IF(VLOOKUP($X4,Zyklus!$A$14:$U$68,9,FALSE)=0,"RPE 9",IF(VLOOKUP($X4,Übungsübersicht!$E$7:$M$83,3,FALSE)&lt;0.5,($AY4)+(1*0.5),(($AY4)+(1*(VLOOKUP($X4,Übungsübersicht!$E$7:$M$83,3,FALSE)))))),"RPE 9")</f>
        <v>RPE 9</v>
      </c>
      <c r="BH4" s="652" t="str">
        <f ca="1">IFERROR(IF(VLOOKUP($X4,Zyklus!$A$14:$U$68,9,FALSE)=0,"RPE 9",IF(VLOOKUP($X4,Übungsübersicht!$E$7:$M$83,3,FALSE)&lt;0.5,($BA4)+(2*0.5),(($BA4)+(2*(VLOOKUP($X4,Übungsübersicht!$E$7:$M$83,3,FALSE)))))),"RPE 9")</f>
        <v>RPE 9</v>
      </c>
      <c r="BI4" s="652" t="str">
        <f ca="1">IFERROR(IF(VLOOKUP($X4,Zyklus!$A$14:$U$68,9,FALSE)=0,"RPE 9",IF(VLOOKUP($X4,Übungsübersicht!$E$7:$M$83,3,FALSE)&lt;0.5,($BA4)+(3*0.5),(($BA4)+(3*(VLOOKUP($X4,Übungsübersicht!$E$7:$M$83,3,FALSE)))))),"RPE 9")</f>
        <v>RPE 9</v>
      </c>
    </row>
    <row r="5" spans="1:61" ht="30" customHeight="1">
      <c r="A5" t="s">
        <v>302</v>
      </c>
      <c r="D5" s="300" t="str">
        <f>IF('Gewichts- Calculator'!$C$79="2 Sätze","2 Sätze",IF('Gewichts- Calculator'!$C$79="3 Sätze","3 Sätze",IF('Gewichts- Calculator'!$C$79="4 Sätze","4 Sätze",IF('Gewichts- Calculator'!$C$79="5 Sätze","5 Sätze",IF('Gewichts- Calculator'!$C$79="6 Sätze","6 Sätze","Sätze?")))))</f>
        <v>5 Sätze</v>
      </c>
      <c r="E5" s="300"/>
      <c r="F5" s="300"/>
      <c r="H5" s="285" t="str" cm="1">
        <f t="array" ref="H5">IF('Gewichts- Calculator'!F69:F69="Keine Steigerung","Werte von "&amp;'Gewichts- Calculator'!B60,IF('Gewichts- Calculator'!F69:F69="Intensitätssteigerung","Gewicht 3% +",IF('Gewichts- Calculator'!F69:F69="Volumensteigerung","1 Wdh.+","Steigerung?")))</f>
        <v>1 Wdh.+</v>
      </c>
      <c r="I5" s="285"/>
      <c r="L5" s="302">
        <f>MATCH("GB+",Übungsübersicht!$J$8:$J$50,0)</f>
        <v>2</v>
      </c>
      <c r="M5" s="302" t="str" cm="1">
        <f t="array" ref="M5">IF(ISNA(INDEX(Übungsübersicht!$E$8:$E$83,L5)),"",INDEX(Übungsübersicht!$E$8:$E$83,L5))</f>
        <v>Bein Presse</v>
      </c>
      <c r="O5" s="489" t="s">
        <v>317</v>
      </c>
      <c r="P5" s="490" t="s">
        <v>315</v>
      </c>
      <c r="Q5" s="490" t="s">
        <v>316</v>
      </c>
      <c r="R5" s="490" t="s">
        <v>315</v>
      </c>
      <c r="S5" s="490" t="s">
        <v>316</v>
      </c>
      <c r="T5" s="490" t="s">
        <v>315</v>
      </c>
      <c r="U5" s="491" t="s">
        <v>316</v>
      </c>
      <c r="X5" s="651" t="str">
        <f ca="1">INDEX(OFFSET(Zyklus!$A$13,2,0),1)</f>
        <v>KH Bankdrücken</v>
      </c>
      <c r="Y5" s="652">
        <f ca="1">MROUND(INDEX(OFFSET(Zyklus!$I$13,2,0),1),(IF(VLOOKUP($X5,Übungsübersicht!$E$7:$K$80,3)=0,0.1,(VLOOKUP($X5,Übungsübersicht!$E$7:$K$80,3)))))</f>
        <v>44</v>
      </c>
      <c r="Z5" s="652"/>
      <c r="AA5" s="652">
        <f ca="1">IFERROR(IF($Y5=0,2*(VLOOKUP($X5,Übungsübersicht!$E$7:$M$83,3,FALSE)),IF($Y5&gt;100,(MROUND(($Y5*0.1),(VLOOKUP($X5,Übungsübersicht!$E$7:$M$83,3,FALSE)))),IF($Y5&gt;80,(MROUND(($Y5*0.1),(VLOOKUP($X5,Übungsübersicht!$E$7:$M$83,3,FALSE)))),IF($Y5&gt;50,(MROUND(($Y5*0.2),(VLOOKUP($X5,Übungsübersicht!$E$7:$M$83,3,FALSE)))),IF($Y5&gt;25,(MROUND(($Y5*0.3),(VLOOKUP($X5,Übungsübersicht!$E$7:$M$83,3,FALSE)))),IF($Y5&gt;15,(MROUND(($Y5*0.4),(VLOOKUP($X5,Übungsübersicht!$E$7:$M$83,3,FALSE)))),IF($Y5&gt;(VLOOKUP($X5,Übungsübersicht!$E$7:$M$83,3,FALSE)),(VLOOKUP($X5,Übungsübersicht!$E$7:$M$83,3,FALSE)),""))))))),2*(VLOOKUP($X5,Übungsübersicht!$E$7:$M$83,3,FALSE)))</f>
        <v>14</v>
      </c>
      <c r="AB5" s="652">
        <f ca="1">IFERROR(IF($Y5=0,4*(VLOOKUP($X5,Übungsübersicht!$E$7:$M$83,3,FALSE)),IF($Y5&gt;100,(MROUND(($Y5*0.3),(VLOOKUP($X5,Übungsübersicht!$E$7:$M$83,3,FALSE)))),IF($Y5&gt;80,(MROUND(($Y5*0.3),(VLOOKUP($X5,Übungsübersicht!$E$7:$M$83,3,FALSE)))),IF($Y5&gt;50,(MROUND(($Y5*0.4),(VLOOKUP($X5,Übungsübersicht!$E$7:$M$83,3,FALSE)))),IF($Y5&gt;25,(MROUND(($Y5*0.5),(VLOOKUP($X5,Übungsübersicht!$E$7:$M$83,3,FALSE)))),IF($Y5&gt;15,(MROUND(($Y5*0.6),(VLOOKUP($X5,Übungsübersicht!$E$7:$M$83,3,FALSE)))),IF($Y5&gt;(VLOOKUP($X5,Übungsübersicht!$E$7:$M$83,3,FALSE)),(VLOOKUP($X5,Übungsübersicht!$E$7:$M$83,3,FALSE)),""))))))),4*(VLOOKUP($X5,Übungsübersicht!$E$7:$M$83,3,FALSE)))</f>
        <v>22</v>
      </c>
      <c r="AC5" s="652">
        <f ca="1">IFERROR((IF($Y5=0,8*(VLOOKUP($X5,Übungsübersicht!$E$7:$M$83,3,FALSE)),(($Y5)-(3*(VLOOKUP($X5,Übungsübersicht!$E$7:$M$83,3,FALSE)))))),8*(VLOOKUP($X5,Übungsübersicht!$E$7:$M$83,3,FALSE)))</f>
        <v>38</v>
      </c>
      <c r="AD5" s="652">
        <f ca="1">IFERROR(((IF($Y5=0,10*(VLOOKUP($X5,Übungsübersicht!$E$7:$M$83,3,FALSE)),($Y5)-(2*(VLOOKUP($X5,Übungsübersicht!$E$7:$M$83,3,FALSE)))))),10*(VLOOKUP($X5,Übungsübersicht!$E$7:$M$83,3,FALSE)))</f>
        <v>40</v>
      </c>
      <c r="AE5" s="652">
        <f ca="1">IFERROR(((IF($Y5=0,10*(VLOOKUP($X5,Übungsübersicht!$E$7:$M$83,3,FALSE)),($Y5)-(1*(VLOOKUP($X5,Übungsübersicht!$E$7:$M$83,3,FALSE)))))),10*(VLOOKUP($X5,Übungsübersicht!$E$7:$M$83,3,FALSE)))</f>
        <v>42</v>
      </c>
      <c r="AF5" s="652">
        <f ca="1">IFERROR(IF($Y5=0,20*(VLOOKUP($X5,Übungsübersicht!$E$7:$M$83,3,FALSE)),($Y5)),20*(VLOOKUP($X5,Übungsübersicht!$E$7:$M$83,3,FALSE)))</f>
        <v>44</v>
      </c>
      <c r="AG5" s="652">
        <f ca="1">IFERROR(IF($Y5=0,30*(VLOOKUP($X5,Übungsübersicht!$E$7:$M$83,3,FALSE)),($Y5)+(1*(VLOOKUP($X5,Übungsübersicht!$E$7:$M$83,3,FALSE)))),30*(VLOOKUP($X5,Übungsübersicht!$E$7:$M$83,3,FALSE)))</f>
        <v>46</v>
      </c>
      <c r="AH5" s="652">
        <f ca="1">IFERROR(IF($Y5=0,30*(VLOOKUP($X5,Übungsübersicht!$E$7:$M$83,3,FALSE)),($Y5)+(2*(VLOOKUP($X5,Übungsübersicht!$E$7:$M$83,3,FALSE)))),30*(VLOOKUP($X5,Übungsübersicht!$E$7:$M$83,3,FALSE)))</f>
        <v>48</v>
      </c>
      <c r="AI5" s="652">
        <f ca="1">IFERROR(IF($Y5=0,30*(VLOOKUP($X5,Übungsübersicht!$E$7:$M$83,3,FALSE)),($Y5)+(3*(VLOOKUP($X5,Übungsübersicht!$E$7:$M$83,3,FALSE)))),30*(VLOOKUP($X5,Übungsübersicht!$E$7:$M$83,3,FALSE)))</f>
        <v>50</v>
      </c>
      <c r="AJ5" s="652">
        <f ca="1">IFERROR(IF($Y5=0,40*(VLOOKUP($X5,Übungsübersicht!$E$7:$M$83,3,FALSE)),IF($Y5&gt;100,(MROUND(($Y5*1.7),(VLOOKUP($X5,Übungsübersicht!$E$7:$M$83,3,FALSE)))),IF($Y5&gt;80,(MROUND(($Y5*1.7),(VLOOKUP($X5,Übungsübersicht!$E$7:$M$83,3,FALSE)))),IF($Y5&gt;50,(MROUND(($Y5*1.6),(VLOOKUP($X5,Übungsübersicht!$E$7:$M$83,3,FALSE)))),IF($Y5&gt;25,(MROUND(($Y5*1.5),(VLOOKUP($X5,Übungsübersicht!$E$7:$M$83,3,FALSE)))),IF($Y5&gt;15,(MROUND(($Y5*1.4),(VLOOKUP($X5,Übungsübersicht!$E$7:$M$83,3,FALSE)))),IF($Y5&gt;(VLOOKUP($X5,Übungsübersicht!$E$7:$M$83,3,FALSE)),30*(VLOOKUP($X5,Übungsübersicht!$E$7:$M$83,3,FALSE)),""))))))),40*(VLOOKUP($X5,Übungsübersicht!$E$7:$M$83,3,FALSE)))</f>
        <v>66</v>
      </c>
      <c r="AK5" s="653">
        <f ca="1">IFERROR(IF($Y5=0,50*(VLOOKUP($X5,Übungsübersicht!$E$7:$M$83,3,FALSE)),IF($Y5&gt;100,(MROUND(($Y5*1.9),(VLOOKUP($X5,Übungsübersicht!$E$7:$M$83,3,FALSE)))),IF($Y5&gt;80,(MROUND(($Y5*1.9),(VLOOKUP($X5,Übungsübersicht!$E$7:$M$83,3,FALSE)))),IF($Y5&gt;50,(MROUND(($Y5*1.8),(VLOOKUP($X5,Übungsübersicht!$E$7:$M$83,3,FALSE)))),IF($Y5&gt;25,(MROUND(($Y5*1.7),(VLOOKUP($X5,Übungsübersicht!$E$7:$M$83,3,FALSE)))),IF($Y5&gt;15,(MROUND(($Y5*1.6),(VLOOKUP($X5,Übungsübersicht!$E$7:$M$83,3,FALSE)))),IF($Y5&gt;(VLOOKUP($X5,Übungsübersicht!$E$7:$M$83,3,FALSE)),40*(VLOOKUP($X5,Übungsübersicht!$E$7:$M$83,3,FALSE)),""))))))),50*(VLOOKUP($X5,Übungsübersicht!$E$7:$M$83,3,FALSE)))</f>
        <v>74</v>
      </c>
      <c r="AN5" s="652">
        <f ca="1">MROUND(INDEX(OFFSET(Zyklus!$M$13,2,0),1),(IF(VLOOKUP($X5,Übungsübersicht!$E$7:$K$80,3)=0,0.1,(VLOOKUP($X5,Übungsübersicht!$E$7:$K$80,3)))))</f>
        <v>44</v>
      </c>
      <c r="AP5" s="655">
        <f ca="1">IFERROR(IF(IF(VLOOKUP($X5,Zyklus!$A$14:$U$68,9,FALSE)=0,"RPE 8",IF(VLOOKUP($X5,Übungsübersicht!$E$7:$M$83,3,FALSE)&lt;0.5,($AN5)-(3*0.5),(($AN5)-(3*(VLOOKUP($X5,Übungsübersicht!$E$7:$M$83,3,FALSE))))))&lt;1,0,(IF(VLOOKUP($X5,Zyklus!$A$14:$U$68,9,FALSE)=0,"RPE 8",IF(VLOOKUP($X5,Übungsübersicht!$E$7:$M$83,3,FALSE)&lt;0.5,($AN5)-(3*0.5),(($AN5)-(3*(VLOOKUP($X5,Übungsübersicht!$E$7:$M$83,3,FALSE)))))))),"RPE 8")</f>
        <v>38</v>
      </c>
      <c r="AQ5" s="655">
        <f ca="1">IFERROR(IF(IF(VLOOKUP($X5,Zyklus!$A$14:$U$68,9,FALSE)=0,"RPE 8",IF(VLOOKUP($X5,Übungsübersicht!$E$7:$M$83,3,FALSE)&lt;0.5,($AN5)-(2*0.5),(($AN5)-(2*(VLOOKUP($X5,Übungsübersicht!$E$7:$M$83,3,FALSE))))))&lt;1,0,(IF(VLOOKUP($X5,Zyklus!$A$14:$U$68,9,FALSE)=0,"RPE 8",IF(VLOOKUP($X5,Übungsübersicht!$E$7:$M$83,3,FALSE)&lt;0.5,($AN5)-(2*0.5),(($AN5)-(2*(VLOOKUP($X5,Übungsübersicht!$E$7:$M$83,3,FALSE)))))))),"RPE 8")</f>
        <v>40</v>
      </c>
      <c r="AR5" s="655">
        <f ca="1">IFERROR(IF(IF(VLOOKUP($X5,Zyklus!$A$14:$U$68,9,FALSE)=0,"RPE 8",IF(VLOOKUP($X5,Übungsübersicht!$E$7:$M$83,3,FALSE)&lt;0.5,($AN5)-(1*0.5),(($Y5)-(1*(VLOOKUP($X5,Übungsübersicht!$E$7:$M$83,3,FALSE))))))&lt;1,0,(IF(VLOOKUP($X5,Zyklus!$A$14:$U$68,9,FALSE)=0,"RPE 8",IF(VLOOKUP($X5,Übungsübersicht!$E$7:$M$83,3,FALSE)&lt;0.5,($AN5)-(1*0.5),(($Y5)-(1*(VLOOKUP($X5,Übungsübersicht!$E$7:$M$83,3,FALSE)))))))),"RPE 8")</f>
        <v>42</v>
      </c>
      <c r="AS5" s="655">
        <f t="shared" ref="AS5:AS68" ca="1" si="0">IFERROR(IF($Y5=0,"RPE 8",$Y5),"RPE 8")</f>
        <v>44</v>
      </c>
      <c r="AT5" s="655">
        <f ca="1">IFERROR(IF(VLOOKUP($X5,Zyklus!$A$14:$U$68,9,FALSE)=0,"RPE 8",IF(VLOOKUP($X5,Übungsübersicht!$E$7:$M$83,3,FALSE)&lt;0.5,($AN5)+(1*0.5),(($Y5)+(1*(VLOOKUP($X5,Übungsübersicht!$E$7:$M$83,3,FALSE)))))),"RPE 8")</f>
        <v>46</v>
      </c>
      <c r="AU5" s="655">
        <f ca="1">IFERROR(IF(VLOOKUP($X5,Zyklus!$A$14:$U$68,9,FALSE)=0,"RPE 8",IF(VLOOKUP($X5,Übungsübersicht!$E$7:$M$83,3,FALSE)&lt;0.5,($AN5)+(2*0.5),(($AN5)+(2*(VLOOKUP($X5,Übungsübersicht!$E$7:$M$83,3,FALSE)))))),"RPE 8")</f>
        <v>48</v>
      </c>
      <c r="AV5" s="655">
        <f ca="1">IFERROR(IF(VLOOKUP($X5,Zyklus!$A$14:$U$68,9,FALSE)=0,"RPE 8",IF(VLOOKUP($X5,Übungsübersicht!$E$7:$M$83,3,FALSE)&lt;0.5,($AN5)+(3*0.5),(($AN5)+(3*(VLOOKUP($X5,Übungsübersicht!$E$7:$M$83,3,FALSE)))))),"RPE 8")</f>
        <v>50</v>
      </c>
      <c r="AY5" s="652">
        <f ca="1">MROUND(INDEX(OFFSET(Zyklus!$M$13,2,0),1),(IF(VLOOKUP($X5,Übungsübersicht!$E$7:$K$80,3)=0,0.1,(VLOOKUP($X5,Übungsübersicht!$E$7:$K$80,3)))))</f>
        <v>44</v>
      </c>
      <c r="BA5" s="655">
        <f ca="1">MROUND(INDEX(OFFSET(Zyklus!$Q$13,2,0),1),(IF(VLOOKUP($X5,Übungsübersicht!$E$7:$K$80,3)=0,0.1,(VLOOKUP($X5,Übungsübersicht!$E$7:$K$80,3)))))</f>
        <v>44</v>
      </c>
      <c r="BC5" s="655">
        <f ca="1">IFERROR(IF(IF(VLOOKUP($X5,Zyklus!$A$14:$U$68,9,FALSE)=0,"RPE 9",IF(VLOOKUP($X5,Übungsübersicht!$E$7:$M$83,3,FALSE)&lt;0.5,($BA5)-(3*0.5),(($BA5)-(3*(VLOOKUP($X5,Übungsübersicht!$E$7:$M$83,3,FALSE))))))&lt;1,0,(IF(VLOOKUP($X5,Zyklus!$A$14:$U$68,9,FALSE)=0,"RPE 9",IF(VLOOKUP($X5,Übungsübersicht!$E$7:$M$83,3,FALSE)&lt;0.5,($BA5)-(3*0.5),(($BA5)-(3*(VLOOKUP($X5,Übungsübersicht!$E$7:$M$83,3,FALSE)))))))),"RPE 9")</f>
        <v>38</v>
      </c>
      <c r="BD5" s="655">
        <f ca="1">IFERROR(IF(IF(VLOOKUP($X5,Zyklus!$A$14:$U$68,9,FALSE)=0,"RPE 9",IF(VLOOKUP($X5,Übungsübersicht!$E$7:$M$83,3,FALSE)&lt;0.5,($BA5)-(2*0.5),(($BA5)-(2*(VLOOKUP($X5,Übungsübersicht!$E$7:$M$83,3,FALSE))))))&lt;1,0,(IF(VLOOKUP($X5,Zyklus!$A$14:$U$68,9,FALSE)=0,"RPE 9",IF(VLOOKUP($X5,Übungsübersicht!$E$7:$M$83,3,FALSE)&lt;0.5,($BA5)-(2*0.5),(($BA5)-(2*(VLOOKUP($X5,Übungsübersicht!$E$7:$M$83,3,FALSE)))))))),"RPE 9")</f>
        <v>40</v>
      </c>
      <c r="BE5" s="655">
        <f ca="1">IFERROR(IF(IF(VLOOKUP($X5,Zyklus!$A$14:$U$68,9,FALSE)=0,"RPE 9",IF(VLOOKUP($X5,Übungsübersicht!$E$7:$M$83,3,FALSE)&lt;0.5,($BA5)-(1*0.5),(($Y5)-(1*(VLOOKUP($X5,Übungsübersicht!$E$7:$M$83,3,FALSE))))))&lt;1,0,(IF(VLOOKUP($X5,Zyklus!$A$14:$U$68,9,FALSE)=0,"RPE 9",IF(VLOOKUP($X5,Übungsübersicht!$E$7:$M$83,3,FALSE)&lt;0.5,($BA5)-(1*0.5),(($Y5)-(1*(VLOOKUP($X5,Übungsübersicht!$E$7:$M$83,3,FALSE)))))))),"RPE 9")</f>
        <v>42</v>
      </c>
      <c r="BF5" s="655">
        <f t="shared" ref="BF5:BF68" ca="1" si="1">IFERROR(IF($Y5=0,"RPE 9",$AY5),"RPE 9")</f>
        <v>44</v>
      </c>
      <c r="BG5" s="655">
        <f ca="1">IFERROR(IF(VLOOKUP($X5,Zyklus!$A$14:$U$68,9,FALSE)=0,"RPE 9",IF(VLOOKUP($X5,Übungsübersicht!$E$7:$M$83,3,FALSE)&lt;0.5,($AY5)+(1*0.5),(($AY5)+(1*(VLOOKUP($X5,Übungsübersicht!$E$7:$M$83,3,FALSE)))))),"RPE 9")</f>
        <v>46</v>
      </c>
      <c r="BH5" s="655">
        <f ca="1">IFERROR(IF(VLOOKUP($X5,Zyklus!$A$14:$U$68,9,FALSE)=0,"RPE 9",IF(VLOOKUP($X5,Übungsübersicht!$E$7:$M$83,3,FALSE)&lt;0.5,($BA5)+(2*0.5),(($BA5)+(2*(VLOOKUP($X5,Übungsübersicht!$E$7:$M$83,3,FALSE)))))),"RPE 9")</f>
        <v>48</v>
      </c>
      <c r="BI5" s="655">
        <f ca="1">IFERROR(IF(VLOOKUP($X5,Zyklus!$A$14:$U$68,9,FALSE)=0,"RPE 9",IF(VLOOKUP($X5,Übungsübersicht!$E$7:$M$83,3,FALSE)&lt;0.5,($BA5)+(3*0.5),(($BA5)+(3*(VLOOKUP($X5,Übungsübersicht!$E$7:$M$83,3,FALSE)))))),"RPE 9")</f>
        <v>50</v>
      </c>
    </row>
    <row r="6" spans="1:61" ht="30" customHeight="1">
      <c r="A6" t="s">
        <v>301</v>
      </c>
      <c r="D6" s="301" t="str">
        <f>IF('Gewichts- Calculator'!$C$79="2 Sätze","3 Sätze",IF('Gewichts- Calculator'!$C$79="3 Sätze","4 Sätze",IF('Gewichts- Calculator'!$C$79="4 Sätze","5 Sätze",IF('Gewichts- Calculator'!$C$79="5 Sätze","6 Sätze",IF('Gewichts- Calculator'!$C$79="6 Sätze","","Sätze?")))))</f>
        <v>6 Sätze</v>
      </c>
      <c r="E6" s="301"/>
      <c r="F6" s="301"/>
      <c r="H6" s="284" t="str" cm="1">
        <f t="array" ref="H6">IF('Gewichts- Calculator'!$C$39="6 Sätze","",IF('Gewichts- Calculator'!F69:F69="Keine Steigerung","",IF('Gewichts- Calculator'!F69:F69="Intensitätssteigerung","",IF('Gewichts- Calculator'!F69:F69="Volumensteigerung","1 Wdh.+ &amp; 1 Satz+","Steigerung?"))))</f>
        <v>1 Wdh.+ &amp; 1 Satz+</v>
      </c>
      <c r="I6" s="284"/>
      <c r="L6" s="303">
        <f ca="1">MATCH("GB+",OFFSET(Übungsübersicht!$J$8:$J$50,L5,0),0)+L5</f>
        <v>8</v>
      </c>
      <c r="M6" s="304" t="str" cm="1">
        <f t="array" aca="1" ref="M6" ca="1">IF(ISNA(INDEX(Übungsübersicht!$E$8:$E$83,L6)),"",INDEX(Übungsübersicht!$E$8:$E$83,L6))</f>
        <v>Brust Presse</v>
      </c>
      <c r="O6" s="492" t="s">
        <v>19</v>
      </c>
      <c r="P6" s="493">
        <v>0</v>
      </c>
      <c r="Q6" s="493">
        <v>1.3</v>
      </c>
      <c r="R6" s="493">
        <v>1.3</v>
      </c>
      <c r="S6" s="493">
        <v>2</v>
      </c>
      <c r="T6" s="493">
        <v>2</v>
      </c>
      <c r="U6" s="494">
        <v>2.5</v>
      </c>
      <c r="X6" s="654" t="str">
        <f ca="1">INDEX(OFFSET(Zyklus!$A$13,3,0),1)</f>
        <v>LH Rudern</v>
      </c>
      <c r="Y6" s="655">
        <f ca="1">MROUND(INDEX(OFFSET(Zyklus!$I$13,3,0),1),(IF(VLOOKUP($X6,Übungsübersicht!$E$7:$K$80,3)=0,0.1,(VLOOKUP($X6,Übungsübersicht!$E$7:$K$80,3)))))</f>
        <v>95</v>
      </c>
      <c r="Z6" s="655"/>
      <c r="AA6" s="655">
        <f ca="1">IFERROR(IF($Y6=0,2*(VLOOKUP($X6,Übungsübersicht!$E$7:$M$83,3,FALSE)),IF($Y6&gt;100,(MROUND(($Y6*0.1),(VLOOKUP($X6,Übungsübersicht!$E$7:$M$83,3,FALSE)))),IF($Y6&gt;80,(MROUND(($Y6*0.1),(VLOOKUP($X6,Übungsübersicht!$E$7:$M$83,3,FALSE)))),IF($Y6&gt;50,(MROUND(($Y6*0.2),(VLOOKUP($X6,Übungsübersicht!$E$7:$M$83,3,FALSE)))),IF($Y6&gt;25,(MROUND(($Y6*0.3),(VLOOKUP($X6,Übungsübersicht!$E$7:$M$83,3,FALSE)))),IF($Y6&gt;15,(MROUND(($Y6*0.4),(VLOOKUP($X6,Übungsübersicht!$E$7:$M$83,3,FALSE)))),IF($Y6&gt;(VLOOKUP($X6,Übungsübersicht!$E$7:$M$83,3,FALSE)),(VLOOKUP($X6,Übungsübersicht!$E$7:$M$83,3,FALSE)),""))))))),2*(VLOOKUP($X6,Übungsübersicht!$E$7:$M$83,3,FALSE)))</f>
        <v>10</v>
      </c>
      <c r="AB6" s="655">
        <f ca="1">IFERROR(IF($Y6=0,4*(VLOOKUP($X6,Übungsübersicht!$E$7:$M$83,3,FALSE)),IF($Y6&gt;100,(MROUND(($Y6*0.3),(VLOOKUP($X6,Übungsübersicht!$E$7:$M$83,3,FALSE)))),IF($Y6&gt;80,(MROUND(($Y6*0.3),(VLOOKUP($X6,Übungsübersicht!$E$7:$M$83,3,FALSE)))),IF($Y6&gt;50,(MROUND(($Y6*0.4),(VLOOKUP($X6,Übungsübersicht!$E$7:$M$83,3,FALSE)))),IF($Y6&gt;25,(MROUND(($Y6*0.5),(VLOOKUP($X6,Übungsübersicht!$E$7:$M$83,3,FALSE)))),IF($Y6&gt;15,(MROUND(($Y6*0.6),(VLOOKUP($X6,Übungsübersicht!$E$7:$M$83,3,FALSE)))),IF($Y6&gt;(VLOOKUP($X6,Übungsübersicht!$E$7:$M$83,3,FALSE)),(VLOOKUP($X6,Übungsübersicht!$E$7:$M$83,3,FALSE)),""))))))),4*(VLOOKUP($X6,Übungsübersicht!$E$7:$M$83,3,FALSE)))</f>
        <v>27.5</v>
      </c>
      <c r="AC6" s="655">
        <f ca="1">IFERROR((IF($Y6=0,8*(VLOOKUP($X6,Übungsübersicht!$E$7:$M$83,3,FALSE)),(($Y6)-(3*(VLOOKUP($X6,Übungsübersicht!$E$7:$M$83,3,FALSE)))))),8*(VLOOKUP($X6,Übungsübersicht!$E$7:$M$83,3,FALSE)))</f>
        <v>87.5</v>
      </c>
      <c r="AD6" s="655">
        <f ca="1">IFERROR(((IF($Y6=0,10*(VLOOKUP($X6,Übungsübersicht!$E$7:$M$83,3,FALSE)),($Y6)-(2*(VLOOKUP($X6,Übungsübersicht!$E$7:$M$83,3,FALSE)))))),10*(VLOOKUP($X6,Übungsübersicht!$E$7:$M$83,3,FALSE)))</f>
        <v>90</v>
      </c>
      <c r="AE6" s="655">
        <f ca="1">IFERROR(((IF($Y6=0,10*(VLOOKUP($X6,Übungsübersicht!$E$7:$M$83,3,FALSE)),($Y6)-(1*(VLOOKUP($X6,Übungsübersicht!$E$7:$M$83,3,FALSE)))))),10*(VLOOKUP($X6,Übungsübersicht!$E$7:$M$83,3,FALSE)))</f>
        <v>92.5</v>
      </c>
      <c r="AF6" s="655">
        <f ca="1">IFERROR(IF($Y6=0,20*(VLOOKUP($X6,Übungsübersicht!$E$7:$M$83,3,FALSE)),($Y6)),20*(VLOOKUP($X6,Übungsübersicht!$E$7:$M$83,3,FALSE)))</f>
        <v>95</v>
      </c>
      <c r="AG6" s="655">
        <f ca="1">IFERROR(IF($Y6=0,30*(VLOOKUP($X6,Übungsübersicht!$E$7:$M$83,3,FALSE)),($Y6)+(1*(VLOOKUP($X6,Übungsübersicht!$E$7:$M$83,3,FALSE)))),30*(VLOOKUP($X6,Übungsübersicht!$E$7:$M$83,3,FALSE)))</f>
        <v>97.5</v>
      </c>
      <c r="AH6" s="655">
        <f ca="1">IFERROR(IF($Y6=0,30*(VLOOKUP($X6,Übungsübersicht!$E$7:$M$83,3,FALSE)),($Y6)+(2*(VLOOKUP($X6,Übungsübersicht!$E$7:$M$83,3,FALSE)))),30*(VLOOKUP($X6,Übungsübersicht!$E$7:$M$83,3,FALSE)))</f>
        <v>100</v>
      </c>
      <c r="AI6" s="655">
        <f ca="1">IFERROR(IF($Y6=0,30*(VLOOKUP($X6,Übungsübersicht!$E$7:$M$83,3,FALSE)),($Y6)+(3*(VLOOKUP($X6,Übungsübersicht!$E$7:$M$83,3,FALSE)))),30*(VLOOKUP($X6,Übungsübersicht!$E$7:$M$83,3,FALSE)))</f>
        <v>102.5</v>
      </c>
      <c r="AJ6" s="655">
        <f ca="1">IFERROR(IF($Y6=0,40*(VLOOKUP($X6,Übungsübersicht!$E$7:$M$83,3,FALSE)),IF($Y6&gt;100,(MROUND(($Y6*1.7),(VLOOKUP($X6,Übungsübersicht!$E$7:$M$83,3,FALSE)))),IF($Y6&gt;80,(MROUND(($Y6*1.7),(VLOOKUP($X6,Übungsübersicht!$E$7:$M$83,3,FALSE)))),IF($Y6&gt;50,(MROUND(($Y6*1.6),(VLOOKUP($X6,Übungsübersicht!$E$7:$M$83,3,FALSE)))),IF($Y6&gt;25,(MROUND(($Y6*1.5),(VLOOKUP($X6,Übungsübersicht!$E$7:$M$83,3,FALSE)))),IF($Y6&gt;15,(MROUND(($Y6*1.4),(VLOOKUP($X6,Übungsübersicht!$E$7:$M$83,3,FALSE)))),IF($Y6&gt;(VLOOKUP($X6,Übungsübersicht!$E$7:$M$83,3,FALSE)),30*(VLOOKUP($X6,Übungsübersicht!$E$7:$M$83,3,FALSE)),""))))))),40*(VLOOKUP($X6,Übungsübersicht!$E$7:$M$83,3,FALSE)))</f>
        <v>162.5</v>
      </c>
      <c r="AK6" s="656">
        <f ca="1">IFERROR(IF($Y6=0,50*(VLOOKUP($X6,Übungsübersicht!$E$7:$M$83,3,FALSE)),IF($Y6&gt;100,(MROUND(($Y6*1.9),(VLOOKUP($X6,Übungsübersicht!$E$7:$M$83,3,FALSE)))),IF($Y6&gt;80,(MROUND(($Y6*1.9),(VLOOKUP($X6,Übungsübersicht!$E$7:$M$83,3,FALSE)))),IF($Y6&gt;50,(MROUND(($Y6*1.8),(VLOOKUP($X6,Übungsübersicht!$E$7:$M$83,3,FALSE)))),IF($Y6&gt;25,(MROUND(($Y6*1.7),(VLOOKUP($X6,Übungsübersicht!$E$7:$M$83,3,FALSE)))),IF($Y6&gt;15,(MROUND(($Y6*1.6),(VLOOKUP($X6,Übungsübersicht!$E$7:$M$83,3,FALSE)))),IF($Y6&gt;(VLOOKUP($X6,Übungsübersicht!$E$7:$M$83,3,FALSE)),40*(VLOOKUP($X6,Übungsübersicht!$E$7:$M$83,3,FALSE)),""))))))),50*(VLOOKUP($X6,Übungsübersicht!$E$7:$M$83,3,FALSE)))</f>
        <v>180</v>
      </c>
      <c r="AN6" s="655">
        <f ca="1">MROUND(INDEX(OFFSET(Zyklus!$M$13,3,0),1),(IF(VLOOKUP($X6,Übungsübersicht!$E$7:$K$80,3)=0,0.1,(VLOOKUP($X6,Übungsübersicht!$E$7:$K$80,3)))))</f>
        <v>95</v>
      </c>
      <c r="AP6" s="652">
        <f ca="1">IFERROR(IF(IF(VLOOKUP($X6,Zyklus!$A$14:$U$68,9,FALSE)=0,"RPE 8",IF(VLOOKUP($X6,Übungsübersicht!$E$7:$M$83,3,FALSE)&lt;0.5,($AN6)-(3*0.5),(($AN6)-(3*(VLOOKUP($X6,Übungsübersicht!$E$7:$M$83,3,FALSE))))))&lt;1,0,(IF(VLOOKUP($X6,Zyklus!$A$14:$U$68,9,FALSE)=0,"RPE 8",IF(VLOOKUP($X6,Übungsübersicht!$E$7:$M$83,3,FALSE)&lt;0.5,($AN6)-(3*0.5),(($AN6)-(3*(VLOOKUP($X6,Übungsübersicht!$E$7:$M$83,3,FALSE)))))))),"RPE 8")</f>
        <v>87.5</v>
      </c>
      <c r="AQ6" s="652">
        <f ca="1">IFERROR(IF(IF(VLOOKUP($X6,Zyklus!$A$14:$U$68,9,FALSE)=0,"RPE 8",IF(VLOOKUP($X6,Übungsübersicht!$E$7:$M$83,3,FALSE)&lt;0.5,($AN6)-(2*0.5),(($AN6)-(2*(VLOOKUP($X6,Übungsübersicht!$E$7:$M$83,3,FALSE))))))&lt;1,0,(IF(VLOOKUP($X6,Zyklus!$A$14:$U$68,9,FALSE)=0,"RPE 8",IF(VLOOKUP($X6,Übungsübersicht!$E$7:$M$83,3,FALSE)&lt;0.5,($AN6)-(2*0.5),(($AN6)-(2*(VLOOKUP($X6,Übungsübersicht!$E$7:$M$83,3,FALSE)))))))),"RPE 8")</f>
        <v>90</v>
      </c>
      <c r="AR6" s="652">
        <f ca="1">IFERROR(IF(IF(VLOOKUP($X6,Zyklus!$A$14:$U$68,9,FALSE)=0,"RPE 8",IF(VLOOKUP($X6,Übungsübersicht!$E$7:$M$83,3,FALSE)&lt;0.5,($AN6)-(1*0.5),(($Y6)-(1*(VLOOKUP($X6,Übungsübersicht!$E$7:$M$83,3,FALSE))))))&lt;1,0,(IF(VLOOKUP($X6,Zyklus!$A$14:$U$68,9,FALSE)=0,"RPE 8",IF(VLOOKUP($X6,Übungsübersicht!$E$7:$M$83,3,FALSE)&lt;0.5,($AN6)-(1*0.5),(($Y6)-(1*(VLOOKUP($X6,Übungsübersicht!$E$7:$M$83,3,FALSE)))))))),"RPE 8")</f>
        <v>92.5</v>
      </c>
      <c r="AS6" s="652">
        <f t="shared" ca="1" si="0"/>
        <v>95</v>
      </c>
      <c r="AT6" s="652">
        <f ca="1">IFERROR(IF(VLOOKUP($X6,Zyklus!$A$14:$U$68,9,FALSE)=0,"RPE 8",IF(VLOOKUP($X6,Übungsübersicht!$E$7:$M$83,3,FALSE)&lt;0.5,($AN6)+(1*0.5),(($Y6)+(1*(VLOOKUP($X6,Übungsübersicht!$E$7:$M$83,3,FALSE)))))),"RPE 8")</f>
        <v>97.5</v>
      </c>
      <c r="AU6" s="652">
        <f ca="1">IFERROR(IF(VLOOKUP($X6,Zyklus!$A$14:$U$68,9,FALSE)=0,"RPE 8",IF(VLOOKUP($X6,Übungsübersicht!$E$7:$M$83,3,FALSE)&lt;0.5,($AN6)+(2*0.5),(($AN6)+(2*(VLOOKUP($X6,Übungsübersicht!$E$7:$M$83,3,FALSE)))))),"RPE 8")</f>
        <v>100</v>
      </c>
      <c r="AV6" s="652">
        <f ca="1">IFERROR(IF(VLOOKUP($X6,Zyklus!$A$14:$U$68,9,FALSE)=0,"RPE 8",IF(VLOOKUP($X6,Übungsübersicht!$E$7:$M$83,3,FALSE)&lt;0.5,($AN6)+(3*0.5),(($AN6)+(3*(VLOOKUP($X6,Übungsübersicht!$E$7:$M$83,3,FALSE)))))),"RPE 8")</f>
        <v>102.5</v>
      </c>
      <c r="AY6" s="655">
        <f ca="1">MROUND(INDEX(OFFSET(Zyklus!$M$13,3,0),1),(IF(VLOOKUP($X6,Übungsübersicht!$E$7:$K$80,3)=0,0.1,(VLOOKUP($X6,Übungsübersicht!$E$7:$K$80,3)))))</f>
        <v>95</v>
      </c>
      <c r="BA6" s="652">
        <f ca="1">MROUND(INDEX(OFFSET(Zyklus!QI$13,3,0),1),(IF(VLOOKUP($X6,Übungsübersicht!$E$7:$K$80,3)=0,0.1,(VLOOKUP($X6,Übungsübersicht!$E$7:$K$80,3)))))</f>
        <v>0</v>
      </c>
      <c r="BC6" s="652">
        <f ca="1">IFERROR(IF(IF(VLOOKUP($X6,Zyklus!$A$14:$U$68,9,FALSE)=0,"RPE 9",IF(VLOOKUP($X6,Übungsübersicht!$E$7:$M$83,3,FALSE)&lt;0.5,($BA6)-(3*0.5),(($BA6)-(3*(VLOOKUP($X6,Übungsübersicht!$E$7:$M$83,3,FALSE))))))&lt;1,0,(IF(VLOOKUP($X6,Zyklus!$A$14:$U$68,9,FALSE)=0,"RPE 9",IF(VLOOKUP($X6,Übungsübersicht!$E$7:$M$83,3,FALSE)&lt;0.5,($BA6)-(3*0.5),(($BA6)-(3*(VLOOKUP($X6,Übungsübersicht!$E$7:$M$83,3,FALSE)))))))),"RPE 9")</f>
        <v>0</v>
      </c>
      <c r="BD6" s="652">
        <f ca="1">IFERROR(IF(IF(VLOOKUP($X6,Zyklus!$A$14:$U$68,9,FALSE)=0,"RPE 9",IF(VLOOKUP($X6,Übungsübersicht!$E$7:$M$83,3,FALSE)&lt;0.5,($BA6)-(2*0.5),(($BA6)-(2*(VLOOKUP($X6,Übungsübersicht!$E$7:$M$83,3,FALSE))))))&lt;1,0,(IF(VLOOKUP($X6,Zyklus!$A$14:$U$68,9,FALSE)=0,"RPE 9",IF(VLOOKUP($X6,Übungsübersicht!$E$7:$M$83,3,FALSE)&lt;0.5,($BA6)-(2*0.5),(($BA6)-(2*(VLOOKUP($X6,Übungsübersicht!$E$7:$M$83,3,FALSE)))))))),"RPE 9")</f>
        <v>0</v>
      </c>
      <c r="BE6" s="652">
        <f ca="1">IFERROR(IF(IF(VLOOKUP($X6,Zyklus!$A$14:$U$68,9,FALSE)=0,"RPE 9",IF(VLOOKUP($X6,Übungsübersicht!$E$7:$M$83,3,FALSE)&lt;0.5,($BA6)-(1*0.5),(($Y6)-(1*(VLOOKUP($X6,Übungsübersicht!$E$7:$M$83,3,FALSE))))))&lt;1,0,(IF(VLOOKUP($X6,Zyklus!$A$14:$U$68,9,FALSE)=0,"RPE 9",IF(VLOOKUP($X6,Übungsübersicht!$E$7:$M$83,3,FALSE)&lt;0.5,($BA6)-(1*0.5),(($Y6)-(1*(VLOOKUP($X6,Übungsübersicht!$E$7:$M$83,3,FALSE)))))))),"RPE 9")</f>
        <v>92.5</v>
      </c>
      <c r="BF6" s="652">
        <f t="shared" ca="1" si="1"/>
        <v>95</v>
      </c>
      <c r="BG6" s="652">
        <f ca="1">IFERROR(IF(VLOOKUP($X6,Zyklus!$A$14:$U$68,9,FALSE)=0,"RPE 9",IF(VLOOKUP($X6,Übungsübersicht!$E$7:$M$83,3,FALSE)&lt;0.5,($AY6)+(1*0.5),(($AY6)+(1*(VLOOKUP($X6,Übungsübersicht!$E$7:$M$83,3,FALSE)))))),"RPE 9")</f>
        <v>97.5</v>
      </c>
      <c r="BH6" s="652">
        <f ca="1">IFERROR(IF(VLOOKUP($X6,Zyklus!$A$14:$U$68,9,FALSE)=0,"RPE 9",IF(VLOOKUP($X6,Übungsübersicht!$E$7:$M$83,3,FALSE)&lt;0.5,($BA6)+(2*0.5),(($BA6)+(2*(VLOOKUP($X6,Übungsübersicht!$E$7:$M$83,3,FALSE)))))),"RPE 9")</f>
        <v>5</v>
      </c>
      <c r="BI6" s="652">
        <f ca="1">IFERROR(IF(VLOOKUP($X6,Zyklus!$A$14:$U$68,9,FALSE)=0,"RPE 9",IF(VLOOKUP($X6,Übungsübersicht!$E$7:$M$83,3,FALSE)&lt;0.5,($BA6)+(3*0.5),(($BA6)+(3*(VLOOKUP($X6,Übungsübersicht!$E$7:$M$83,3,FALSE)))))),"RPE 9")</f>
        <v>7.5</v>
      </c>
    </row>
    <row r="7" spans="1:61" ht="30" customHeight="1">
      <c r="D7" s="300" t="str">
        <f>IF('Gewichts- Calculator'!$C$79="2 Sätze","4 Sätze",IF('Gewichts- Calculator'!$C$79="3 Sätze","5 Sätze",IF('Gewichts- Calculator'!$C$79="4 Sätze","6 Sätze",IF('Gewichts- Calculator'!$C$79="5 Sätze","",IF('Gewichts- Calculator'!$C$79="6 Sätze","","Sätze?")))))</f>
        <v/>
      </c>
      <c r="E7" s="300"/>
      <c r="F7" s="300"/>
      <c r="H7" s="286" t="str" cm="1">
        <f t="array" ref="H7">IF('Gewichts- Calculator'!$C$39="6 Sätze","",IF('Gewichts- Calculator'!F69:F69="Keine Steigerung","",IF('Gewichts- Calculator'!F69:F69="Intensitätssteigerung","",IF('Gewichts- Calculator'!F69:F69="Volumensteigerung","1 Satz+","Steigerung?"))))</f>
        <v>1 Satz+</v>
      </c>
      <c r="I7" s="285"/>
      <c r="L7" s="305">
        <f ca="1">MATCH("GB+",OFFSET(Übungsübersicht!$J$8:$J$50,L6,0),0)+L6</f>
        <v>17</v>
      </c>
      <c r="M7" s="305" t="str" cm="1">
        <f t="array" aca="1" ref="M7" ca="1">IF(ISNA(INDEX(Übungsübersicht!$E$8:$E$83,L7)),"",INDEX(Übungsübersicht!$E$8:$E$83,L7))</f>
        <v>KH Bankdrücken</v>
      </c>
      <c r="O7" s="489" t="s">
        <v>2</v>
      </c>
      <c r="P7" s="490">
        <v>0</v>
      </c>
      <c r="Q7" s="490">
        <v>0.9</v>
      </c>
      <c r="R7" s="490">
        <v>0.9</v>
      </c>
      <c r="S7" s="490">
        <v>1.4</v>
      </c>
      <c r="T7" s="490">
        <v>1.4</v>
      </c>
      <c r="U7" s="491">
        <v>2</v>
      </c>
      <c r="X7" s="651" t="str">
        <f ca="1">INDEX(OFFSET(Zyklus!$A$13,4,0),1)</f>
        <v>Butterfly Kabelzug</v>
      </c>
      <c r="Y7" s="652">
        <f ca="1">MROUND(INDEX(OFFSET(Zyklus!$I$13,4,0),1),(IF(VLOOKUP($X7,Übungsübersicht!$E$7:$K$80,3)=0,0.1,(VLOOKUP($X7,Übungsübersicht!$E$7:$K$80,3)))))</f>
        <v>12.5</v>
      </c>
      <c r="Z7" s="652"/>
      <c r="AA7" s="652">
        <f ca="1">IFERROR(IF($Y7=0,2*(VLOOKUP($X7,Übungsübersicht!$E$7:$M$83,3,FALSE)),IF($Y7&gt;100,(MROUND(($Y7*0.1),(VLOOKUP($X7,Übungsübersicht!$E$7:$M$83,3,FALSE)))),IF($Y7&gt;80,(MROUND(($Y7*0.1),(VLOOKUP($X7,Übungsübersicht!$E$7:$M$83,3,FALSE)))),IF($Y7&gt;50,(MROUND(($Y7*0.2),(VLOOKUP($X7,Übungsübersicht!$E$7:$M$83,3,FALSE)))),IF($Y7&gt;25,(MROUND(($Y7*0.3),(VLOOKUP($X7,Übungsübersicht!$E$7:$M$83,3,FALSE)))),IF($Y7&gt;15,(MROUND(($Y7*0.4),(VLOOKUP($X7,Übungsübersicht!$E$7:$M$83,3,FALSE)))),IF($Y7&gt;(VLOOKUP($X7,Übungsübersicht!$E$7:$M$83,3,FALSE)),(VLOOKUP($X7,Übungsübersicht!$E$7:$M$83,3,FALSE)),""))))))),2*(VLOOKUP($X7,Übungsübersicht!$E$7:$M$83,3,FALSE)))</f>
        <v>2.5</v>
      </c>
      <c r="AB7" s="652">
        <f ca="1">IFERROR(IF($Y7=0,4*(VLOOKUP($X7,Übungsübersicht!$E$7:$M$83,3,FALSE)),IF($Y7&gt;100,(MROUND(($Y7*0.3),(VLOOKUP($X7,Übungsübersicht!$E$7:$M$83,3,FALSE)))),IF($Y7&gt;80,(MROUND(($Y7*0.3),(VLOOKUP($X7,Übungsübersicht!$E$7:$M$83,3,FALSE)))),IF($Y7&gt;50,(MROUND(($Y7*0.4),(VLOOKUP($X7,Übungsübersicht!$E$7:$M$83,3,FALSE)))),IF($Y7&gt;25,(MROUND(($Y7*0.5),(VLOOKUP($X7,Übungsübersicht!$E$7:$M$83,3,FALSE)))),IF($Y7&gt;15,(MROUND(($Y7*0.6),(VLOOKUP($X7,Übungsübersicht!$E$7:$M$83,3,FALSE)))),IF($Y7&gt;(VLOOKUP($X7,Übungsübersicht!$E$7:$M$83,3,FALSE)),(VLOOKUP($X7,Übungsübersicht!$E$7:$M$83,3,FALSE)),""))))))),4*(VLOOKUP($X7,Übungsübersicht!$E$7:$M$83,3,FALSE)))</f>
        <v>2.5</v>
      </c>
      <c r="AC7" s="652">
        <f ca="1">IFERROR((IF($Y7=0,8*(VLOOKUP($X7,Übungsübersicht!$E$7:$M$83,3,FALSE)),(($Y7)-(3*(VLOOKUP($X7,Übungsübersicht!$E$7:$M$83,3,FALSE)))))),8*(VLOOKUP($X7,Übungsübersicht!$E$7:$M$83,3,FALSE)))</f>
        <v>5</v>
      </c>
      <c r="AD7" s="652">
        <f ca="1">IFERROR(((IF($Y7=0,10*(VLOOKUP($X7,Übungsübersicht!$E$7:$M$83,3,FALSE)),($Y7)-(2*(VLOOKUP($X7,Übungsübersicht!$E$7:$M$83,3,FALSE)))))),10*(VLOOKUP($X7,Übungsübersicht!$E$7:$M$83,3,FALSE)))</f>
        <v>7.5</v>
      </c>
      <c r="AE7" s="652">
        <f ca="1">IFERROR(((IF($Y7=0,10*(VLOOKUP($X7,Übungsübersicht!$E$7:$M$83,3,FALSE)),($Y7)-(1*(VLOOKUP($X7,Übungsübersicht!$E$7:$M$83,3,FALSE)))))),10*(VLOOKUP($X7,Übungsübersicht!$E$7:$M$83,3,FALSE)))</f>
        <v>10</v>
      </c>
      <c r="AF7" s="652">
        <f ca="1">IFERROR(IF($Y7=0,20*(VLOOKUP($X7,Übungsübersicht!$E$7:$M$83,3,FALSE)),($Y7)),20*(VLOOKUP($X7,Übungsübersicht!$E$7:$M$83,3,FALSE)))</f>
        <v>12.5</v>
      </c>
      <c r="AG7" s="652">
        <f ca="1">IFERROR(IF($Y7=0,30*(VLOOKUP($X7,Übungsübersicht!$E$7:$M$83,3,FALSE)),($Y7)+(1*(VLOOKUP($X7,Übungsübersicht!$E$7:$M$83,3,FALSE)))),30*(VLOOKUP($X7,Übungsübersicht!$E$7:$M$83,3,FALSE)))</f>
        <v>15</v>
      </c>
      <c r="AH7" s="652">
        <f ca="1">IFERROR(IF($Y7=0,30*(VLOOKUP($X7,Übungsübersicht!$E$7:$M$83,3,FALSE)),($Y7)+(2*(VLOOKUP($X7,Übungsübersicht!$E$7:$M$83,3,FALSE)))),30*(VLOOKUP($X7,Übungsübersicht!$E$7:$M$83,3,FALSE)))</f>
        <v>17.5</v>
      </c>
      <c r="AI7" s="652">
        <f ca="1">IFERROR(IF($Y7=0,30*(VLOOKUP($X7,Übungsübersicht!$E$7:$M$83,3,FALSE)),($Y7)+(3*(VLOOKUP($X7,Übungsübersicht!$E$7:$M$83,3,FALSE)))),30*(VLOOKUP($X7,Übungsübersicht!$E$7:$M$83,3,FALSE)))</f>
        <v>20</v>
      </c>
      <c r="AJ7" s="652">
        <f ca="1">IFERROR(IF($Y7=0,40*(VLOOKUP($X7,Übungsübersicht!$E$7:$M$83,3,FALSE)),IF($Y7&gt;100,(MROUND(($Y7*1.7),(VLOOKUP($X7,Übungsübersicht!$E$7:$M$83,3,FALSE)))),IF($Y7&gt;80,(MROUND(($Y7*1.7),(VLOOKUP($X7,Übungsübersicht!$E$7:$M$83,3,FALSE)))),IF($Y7&gt;50,(MROUND(($Y7*1.6),(VLOOKUP($X7,Übungsübersicht!$E$7:$M$83,3,FALSE)))),IF($Y7&gt;25,(MROUND(($Y7*1.5),(VLOOKUP($X7,Übungsübersicht!$E$7:$M$83,3,FALSE)))),IF($Y7&gt;15,(MROUND(($Y7*1.4),(VLOOKUP($X7,Übungsübersicht!$E$7:$M$83,3,FALSE)))),IF($Y7&gt;(VLOOKUP($X7,Übungsübersicht!$E$7:$M$83,3,FALSE)),30*(VLOOKUP($X7,Übungsübersicht!$E$7:$M$83,3,FALSE)),""))))))),40*(VLOOKUP($X7,Übungsübersicht!$E$7:$M$83,3,FALSE)))</f>
        <v>75</v>
      </c>
      <c r="AK7" s="653">
        <f ca="1">IFERROR(IF($Y7=0,50*(VLOOKUP($X7,Übungsübersicht!$E$7:$M$83,3,FALSE)),IF($Y7&gt;100,(MROUND(($Y7*1.9),(VLOOKUP($X7,Übungsübersicht!$E$7:$M$83,3,FALSE)))),IF($Y7&gt;80,(MROUND(($Y7*1.9),(VLOOKUP($X7,Übungsübersicht!$E$7:$M$83,3,FALSE)))),IF($Y7&gt;50,(MROUND(($Y7*1.8),(VLOOKUP($X7,Übungsübersicht!$E$7:$M$83,3,FALSE)))),IF($Y7&gt;25,(MROUND(($Y7*1.7),(VLOOKUP($X7,Übungsübersicht!$E$7:$M$83,3,FALSE)))),IF($Y7&gt;15,(MROUND(($Y7*1.6),(VLOOKUP($X7,Übungsübersicht!$E$7:$M$83,3,FALSE)))),IF($Y7&gt;(VLOOKUP($X7,Übungsübersicht!$E$7:$M$83,3,FALSE)),40*(VLOOKUP($X7,Übungsübersicht!$E$7:$M$83,3,FALSE)),""))))))),50*(VLOOKUP($X7,Übungsübersicht!$E$7:$M$83,3,FALSE)))</f>
        <v>100</v>
      </c>
      <c r="AM7" s="626"/>
      <c r="AN7" s="652">
        <f ca="1">MROUND(INDEX(OFFSET(Zyklus!$M$13,4,0),1),(IF(VLOOKUP($X7,Übungsübersicht!$E$7:$K$80,3)=0,0.1,(VLOOKUP($X7,Übungsübersicht!$E$7:$K$80,3)))))</f>
        <v>12.5</v>
      </c>
      <c r="AP7" s="655">
        <f ca="1">IFERROR(IF(IF(VLOOKUP($X7,Zyklus!$A$14:$U$68,9,FALSE)=0,"RPE 8",IF(VLOOKUP($X7,Übungsübersicht!$E$7:$M$83,3,FALSE)&lt;0.5,($AN7)-(3*0.5),(($AN7)-(3*(VLOOKUP($X7,Übungsübersicht!$E$7:$M$83,3,FALSE))))))&lt;1,0,(IF(VLOOKUP($X7,Zyklus!$A$14:$U$68,9,FALSE)=0,"RPE 8",IF(VLOOKUP($X7,Übungsübersicht!$E$7:$M$83,3,FALSE)&lt;0.5,($AN7)-(3*0.5),(($AN7)-(3*(VLOOKUP($X7,Übungsübersicht!$E$7:$M$83,3,FALSE)))))))),"RPE 8")</f>
        <v>5</v>
      </c>
      <c r="AQ7" s="655">
        <f ca="1">IFERROR(IF(IF(VLOOKUP($X7,Zyklus!$A$14:$U$68,9,FALSE)=0,"RPE 8",IF(VLOOKUP($X7,Übungsübersicht!$E$7:$M$83,3,FALSE)&lt;0.5,($AN7)-(2*0.5),(($AN7)-(2*(VLOOKUP($X7,Übungsübersicht!$E$7:$M$83,3,FALSE))))))&lt;1,0,(IF(VLOOKUP($X7,Zyklus!$A$14:$U$68,9,FALSE)=0,"RPE 8",IF(VLOOKUP($X7,Übungsübersicht!$E$7:$M$83,3,FALSE)&lt;0.5,($AN7)-(2*0.5),(($AN7)-(2*(VLOOKUP($X7,Übungsübersicht!$E$7:$M$83,3,FALSE)))))))),"RPE 8")</f>
        <v>7.5</v>
      </c>
      <c r="AR7" s="655">
        <f ca="1">IFERROR(IF(IF(VLOOKUP($X7,Zyklus!$A$14:$U$68,9,FALSE)=0,"RPE 8",IF(VLOOKUP($X7,Übungsübersicht!$E$7:$M$83,3,FALSE)&lt;0.5,($AN7)-(1*0.5),(($Y7)-(1*(VLOOKUP($X7,Übungsübersicht!$E$7:$M$83,3,FALSE))))))&lt;1,0,(IF(VLOOKUP($X7,Zyklus!$A$14:$U$68,9,FALSE)=0,"RPE 8",IF(VLOOKUP($X7,Übungsübersicht!$E$7:$M$83,3,FALSE)&lt;0.5,($AN7)-(1*0.5),(($Y7)-(1*(VLOOKUP($X7,Übungsübersicht!$E$7:$M$83,3,FALSE)))))))),"RPE 8")</f>
        <v>10</v>
      </c>
      <c r="AS7" s="655">
        <f t="shared" ca="1" si="0"/>
        <v>12.5</v>
      </c>
      <c r="AT7" s="655">
        <f ca="1">IFERROR(IF(VLOOKUP($X7,Zyklus!$A$14:$U$68,9,FALSE)=0,"RPE 8",IF(VLOOKUP($X7,Übungsübersicht!$E$7:$M$83,3,FALSE)&lt;0.5,($AN7)+(1*0.5),(($Y7)+(1*(VLOOKUP($X7,Übungsübersicht!$E$7:$M$83,3,FALSE)))))),"RPE 8")</f>
        <v>15</v>
      </c>
      <c r="AU7" s="655">
        <f ca="1">IFERROR(IF(VLOOKUP($X7,Zyklus!$A$14:$U$68,9,FALSE)=0,"RPE 8",IF(VLOOKUP($X7,Übungsübersicht!$E$7:$M$83,3,FALSE)&lt;0.5,($AN7)+(2*0.5),(($AN7)+(2*(VLOOKUP($X7,Übungsübersicht!$E$7:$M$83,3,FALSE)))))),"RPE 8")</f>
        <v>17.5</v>
      </c>
      <c r="AV7" s="655">
        <f ca="1">IFERROR(IF(VLOOKUP($X7,Zyklus!$A$14:$U$68,9,FALSE)=0,"RPE 8",IF(VLOOKUP($X7,Übungsübersicht!$E$7:$M$83,3,FALSE)&lt;0.5,($AN7)+(3*0.5),(($AN7)+(3*(VLOOKUP($X7,Übungsübersicht!$E$7:$M$83,3,FALSE)))))),"RPE 8")</f>
        <v>20</v>
      </c>
      <c r="AY7" s="652">
        <f ca="1">MROUND(INDEX(OFFSET(Zyklus!$M$13,4,0),1),(IF(VLOOKUP($X7,Übungsübersicht!$E$7:$K$80,3)=0,0.1,(VLOOKUP($X7,Übungsübersicht!$E$7:$K$80,3)))))</f>
        <v>12.5</v>
      </c>
      <c r="BA7" s="655">
        <f ca="1">MROUND(INDEX(OFFSET(Zyklus!$Q$13,4,0),1),(IF(VLOOKUP($X7,Übungsübersicht!$E$7:$K$80,3)=0,0.1,(VLOOKUP($X7,Übungsübersicht!$E$7:$K$80,3)))))</f>
        <v>12.5</v>
      </c>
      <c r="BC7" s="655">
        <f ca="1">IFERROR(IF(IF(VLOOKUP($X7,Zyklus!$A$14:$U$68,9,FALSE)=0,"RPE 9",IF(VLOOKUP($X7,Übungsübersicht!$E$7:$M$83,3,FALSE)&lt;0.5,($BA7)-(3*0.5),(($BA7)-(3*(VLOOKUP($X7,Übungsübersicht!$E$7:$M$83,3,FALSE))))))&lt;1,0,(IF(VLOOKUP($X7,Zyklus!$A$14:$U$68,9,FALSE)=0,"RPE 9",IF(VLOOKUP($X7,Übungsübersicht!$E$7:$M$83,3,FALSE)&lt;0.5,($BA7)-(3*0.5),(($BA7)-(3*(VLOOKUP($X7,Übungsübersicht!$E$7:$M$83,3,FALSE)))))))),"RPE 9")</f>
        <v>5</v>
      </c>
      <c r="BD7" s="655">
        <f ca="1">IFERROR(IF(IF(VLOOKUP($X7,Zyklus!$A$14:$U$68,9,FALSE)=0,"RPE 9",IF(VLOOKUP($X7,Übungsübersicht!$E$7:$M$83,3,FALSE)&lt;0.5,($BA7)-(2*0.5),(($BA7)-(2*(VLOOKUP($X7,Übungsübersicht!$E$7:$M$83,3,FALSE))))))&lt;1,0,(IF(VLOOKUP($X7,Zyklus!$A$14:$U$68,9,FALSE)=0,"RPE 9",IF(VLOOKUP($X7,Übungsübersicht!$E$7:$M$83,3,FALSE)&lt;0.5,($BA7)-(2*0.5),(($BA7)-(2*(VLOOKUP($X7,Übungsübersicht!$E$7:$M$83,3,FALSE)))))))),"RPE 9")</f>
        <v>7.5</v>
      </c>
      <c r="BE7" s="655">
        <f ca="1">IFERROR(IF(IF(VLOOKUP($X7,Zyklus!$A$14:$U$68,9,FALSE)=0,"RPE 9",IF(VLOOKUP($X7,Übungsübersicht!$E$7:$M$83,3,FALSE)&lt;0.5,($BA7)-(1*0.5),(($Y7)-(1*(VLOOKUP($X7,Übungsübersicht!$E$7:$M$83,3,FALSE))))))&lt;1,0,(IF(VLOOKUP($X7,Zyklus!$A$14:$U$68,9,FALSE)=0,"RPE 9",IF(VLOOKUP($X7,Übungsübersicht!$E$7:$M$83,3,FALSE)&lt;0.5,($BA7)-(1*0.5),(($Y7)-(1*(VLOOKUP($X7,Übungsübersicht!$E$7:$M$83,3,FALSE)))))))),"RPE 9")</f>
        <v>10</v>
      </c>
      <c r="BF7" s="655">
        <f t="shared" ca="1" si="1"/>
        <v>12.5</v>
      </c>
      <c r="BG7" s="655">
        <f ca="1">IFERROR(IF(VLOOKUP($X7,Zyklus!$A$14:$U$68,9,FALSE)=0,"RPE 9",IF(VLOOKUP($X7,Übungsübersicht!$E$7:$M$83,3,FALSE)&lt;0.5,($AY7)+(1*0.5),(($AY7)+(1*(VLOOKUP($X7,Übungsübersicht!$E$7:$M$83,3,FALSE)))))),"RPE 9")</f>
        <v>15</v>
      </c>
      <c r="BH7" s="655">
        <f ca="1">IFERROR(IF(VLOOKUP($X7,Zyklus!$A$14:$U$68,9,FALSE)=0,"RPE 9",IF(VLOOKUP($X7,Übungsübersicht!$E$7:$M$83,3,FALSE)&lt;0.5,($BA7)+(2*0.5),(($BA7)+(2*(VLOOKUP($X7,Übungsübersicht!$E$7:$M$83,3,FALSE)))))),"RPE 9")</f>
        <v>17.5</v>
      </c>
      <c r="BI7" s="655">
        <f ca="1">IFERROR(IF(VLOOKUP($X7,Zyklus!$A$14:$U$68,9,FALSE)=0,"RPE 9",IF(VLOOKUP($X7,Übungsübersicht!$E$7:$M$83,3,FALSE)&lt;0.5,($BA7)+(3*0.5),(($BA7)+(3*(VLOOKUP($X7,Übungsübersicht!$E$7:$M$83,3,FALSE)))))),"RPE 9")</f>
        <v>20</v>
      </c>
    </row>
    <row r="8" spans="1:61" ht="30" customHeight="1">
      <c r="D8" s="301" t="str">
        <f>IF('Gewichts- Calculator'!$C$79="2 Sätze","5 Sätze",IF('Gewichts- Calculator'!$C$79="3 Sätze","6 Sätze",IF('Gewichts- Calculator'!$C$79="4 Sätze","",IF('Gewichts- Calculator'!$C$79="5 Sätze","",IF('Gewichts- Calculator'!$C$79="6 Sätze","","Sätze?")))))</f>
        <v/>
      </c>
      <c r="E8" s="301"/>
      <c r="F8" s="301"/>
      <c r="H8" s="284" t="str" cm="1">
        <f t="array" ref="H8">IF('Gewichts- Calculator'!$C$39="6 Sätze","",IF('Gewichts- Calculator'!$C$39="5 Sätze","",(IF('Gewichts- Calculator'!F69:F69="Keine Steigerung","",IF('Gewichts- Calculator'!F69:F69="Intensitätssteigerung","",IF('Gewichts- Calculator'!F69:F69="Volumensteigerung","2 Sätze+","Steigerung?"))))))</f>
        <v>2 Sätze+</v>
      </c>
      <c r="I8" s="284"/>
      <c r="L8" s="303">
        <f ca="1">MATCH("GB+",OFFSET(Übungsübersicht!$J$8:$J$50,L7,0),0)+L7</f>
        <v>19</v>
      </c>
      <c r="M8" s="304" t="str" cm="1">
        <f t="array" aca="1" ref="M8" ca="1">IF(ISNA(INDEX(Übungsübersicht!$E$8:$E$83,L8)),"",INDEX(Übungsübersicht!$E$8:$E$83,L8))</f>
        <v>Kniebeuge UK1</v>
      </c>
      <c r="O8" s="492" t="s">
        <v>225</v>
      </c>
      <c r="P8" s="493">
        <v>0</v>
      </c>
      <c r="Q8" s="493">
        <v>1.5</v>
      </c>
      <c r="R8" s="493">
        <v>1.5</v>
      </c>
      <c r="S8" s="493">
        <v>2.2000000000000002</v>
      </c>
      <c r="T8" s="493">
        <v>2.2000000000000002</v>
      </c>
      <c r="U8" s="494">
        <v>3</v>
      </c>
      <c r="X8" s="654" t="str">
        <f ca="1">INDEX(OFFSET(Zyklus!$A$13,5,0),1)</f>
        <v>Rudern Maschine</v>
      </c>
      <c r="Y8" s="655">
        <f ca="1">MROUND(INDEX(OFFSET(Zyklus!$I$13,5,0),1),(IF(VLOOKUP($X8,Übungsübersicht!$E$7:$K$80,3)=0,0.1,(VLOOKUP($X8,Übungsübersicht!$E$7:$K$80,3)))))</f>
        <v>57.5</v>
      </c>
      <c r="Z8" s="655"/>
      <c r="AA8" s="655">
        <f ca="1">IFERROR(IF($Y8=0,2*(VLOOKUP($X8,Übungsübersicht!$E$7:$M$83,3,FALSE)),IF($Y8&gt;100,(MROUND(($Y8*0.1),(VLOOKUP($X8,Übungsübersicht!$E$7:$M$83,3,FALSE)))),IF($Y8&gt;80,(MROUND(($Y8*0.1),(VLOOKUP($X8,Übungsübersicht!$E$7:$M$83,3,FALSE)))),IF($Y8&gt;50,(MROUND(($Y8*0.2),(VLOOKUP($X8,Übungsübersicht!$E$7:$M$83,3,FALSE)))),IF($Y8&gt;25,(MROUND(($Y8*0.3),(VLOOKUP($X8,Übungsübersicht!$E$7:$M$83,3,FALSE)))),IF($Y8&gt;15,(MROUND(($Y8*0.4),(VLOOKUP($X8,Übungsübersicht!$E$7:$M$83,3,FALSE)))),IF($Y8&gt;(VLOOKUP($X8,Übungsübersicht!$E$7:$M$83,3,FALSE)),(VLOOKUP($X8,Übungsübersicht!$E$7:$M$83,3,FALSE)),""))))))),2*(VLOOKUP($X8,Übungsübersicht!$E$7:$M$83,3,FALSE)))</f>
        <v>12.5</v>
      </c>
      <c r="AB8" s="655">
        <f ca="1">IFERROR(IF($Y8=0,4*(VLOOKUP($X8,Übungsübersicht!$E$7:$M$83,3,FALSE)),IF($Y8&gt;100,(MROUND(($Y8*0.3),(VLOOKUP($X8,Übungsübersicht!$E$7:$M$83,3,FALSE)))),IF($Y8&gt;80,(MROUND(($Y8*0.3),(VLOOKUP($X8,Übungsübersicht!$E$7:$M$83,3,FALSE)))),IF($Y8&gt;50,(MROUND(($Y8*0.4),(VLOOKUP($X8,Übungsübersicht!$E$7:$M$83,3,FALSE)))),IF($Y8&gt;25,(MROUND(($Y8*0.5),(VLOOKUP($X8,Übungsübersicht!$E$7:$M$83,3,FALSE)))),IF($Y8&gt;15,(MROUND(($Y8*0.6),(VLOOKUP($X8,Übungsübersicht!$E$7:$M$83,3,FALSE)))),IF($Y8&gt;(VLOOKUP($X8,Übungsübersicht!$E$7:$M$83,3,FALSE)),(VLOOKUP($X8,Übungsübersicht!$E$7:$M$83,3,FALSE)),""))))))),4*(VLOOKUP($X8,Übungsübersicht!$E$7:$M$83,3,FALSE)))</f>
        <v>22.5</v>
      </c>
      <c r="AC8" s="655">
        <f ca="1">IFERROR((IF($Y8=0,8*(VLOOKUP($X8,Übungsübersicht!$E$7:$M$83,3,FALSE)),(($Y8)-(3*(VLOOKUP($X8,Übungsübersicht!$E$7:$M$83,3,FALSE)))))),8*(VLOOKUP($X8,Übungsübersicht!$E$7:$M$83,3,FALSE)))</f>
        <v>50</v>
      </c>
      <c r="AD8" s="655">
        <f ca="1">IFERROR(((IF($Y8=0,10*(VLOOKUP($X8,Übungsübersicht!$E$7:$M$83,3,FALSE)),($Y8)-(2*(VLOOKUP($X8,Übungsübersicht!$E$7:$M$83,3,FALSE)))))),10*(VLOOKUP($X8,Übungsübersicht!$E$7:$M$83,3,FALSE)))</f>
        <v>52.5</v>
      </c>
      <c r="AE8" s="655">
        <f ca="1">IFERROR(((IF($Y8=0,10*(VLOOKUP($X8,Übungsübersicht!$E$7:$M$83,3,FALSE)),($Y8)-(1*(VLOOKUP($X8,Übungsübersicht!$E$7:$M$83,3,FALSE)))))),10*(VLOOKUP($X8,Übungsübersicht!$E$7:$M$83,3,FALSE)))</f>
        <v>55</v>
      </c>
      <c r="AF8" s="655">
        <f ca="1">IFERROR(IF($Y8=0,20*(VLOOKUP($X8,Übungsübersicht!$E$7:$M$83,3,FALSE)),($Y8)),20*(VLOOKUP($X8,Übungsübersicht!$E$7:$M$83,3,FALSE)))</f>
        <v>57.5</v>
      </c>
      <c r="AG8" s="655">
        <f ca="1">IFERROR(IF($Y8=0,30*(VLOOKUP($X8,Übungsübersicht!$E$7:$M$83,3,FALSE)),($Y8)+(1*(VLOOKUP($X8,Übungsübersicht!$E$7:$M$83,3,FALSE)))),30*(VLOOKUP($X8,Übungsübersicht!$E$7:$M$83,3,FALSE)))</f>
        <v>60</v>
      </c>
      <c r="AH8" s="655">
        <f ca="1">IFERROR(IF($Y8=0,30*(VLOOKUP($X8,Übungsübersicht!$E$7:$M$83,3,FALSE)),($Y8)+(2*(VLOOKUP($X8,Übungsübersicht!$E$7:$M$83,3,FALSE)))),30*(VLOOKUP($X8,Übungsübersicht!$E$7:$M$83,3,FALSE)))</f>
        <v>62.5</v>
      </c>
      <c r="AI8" s="655">
        <f ca="1">IFERROR(IF($Y8=0,30*(VLOOKUP($X8,Übungsübersicht!$E$7:$M$83,3,FALSE)),($Y8)+(3*(VLOOKUP($X8,Übungsübersicht!$E$7:$M$83,3,FALSE)))),30*(VLOOKUP($X8,Übungsübersicht!$E$7:$M$83,3,FALSE)))</f>
        <v>65</v>
      </c>
      <c r="AJ8" s="655">
        <f ca="1">IFERROR(IF($Y8=0,40*(VLOOKUP($X8,Übungsübersicht!$E$7:$M$83,3,FALSE)),IF($Y8&gt;100,(MROUND(($Y8*1.7),(VLOOKUP($X8,Übungsübersicht!$E$7:$M$83,3,FALSE)))),IF($Y8&gt;80,(MROUND(($Y8*1.7),(VLOOKUP($X8,Übungsübersicht!$E$7:$M$83,3,FALSE)))),IF($Y8&gt;50,(MROUND(($Y8*1.6),(VLOOKUP($X8,Übungsübersicht!$E$7:$M$83,3,FALSE)))),IF($Y8&gt;25,(MROUND(($Y8*1.5),(VLOOKUP($X8,Übungsübersicht!$E$7:$M$83,3,FALSE)))),IF($Y8&gt;15,(MROUND(($Y8*1.4),(VLOOKUP($X8,Übungsübersicht!$E$7:$M$83,3,FALSE)))),IF($Y8&gt;(VLOOKUP($X8,Übungsübersicht!$E$7:$M$83,3,FALSE)),30*(VLOOKUP($X8,Übungsübersicht!$E$7:$M$83,3,FALSE)),""))))))),40*(VLOOKUP($X8,Übungsübersicht!$E$7:$M$83,3,FALSE)))</f>
        <v>92.5</v>
      </c>
      <c r="AK8" s="656">
        <f ca="1">IFERROR(IF($Y8=0,50*(VLOOKUP($X8,Übungsübersicht!$E$7:$M$83,3,FALSE)),IF($Y8&gt;100,(MROUND(($Y8*1.9),(VLOOKUP($X8,Übungsübersicht!$E$7:$M$83,3,FALSE)))),IF($Y8&gt;80,(MROUND(($Y8*1.9),(VLOOKUP($X8,Übungsübersicht!$E$7:$M$83,3,FALSE)))),IF($Y8&gt;50,(MROUND(($Y8*1.8),(VLOOKUP($X8,Übungsübersicht!$E$7:$M$83,3,FALSE)))),IF($Y8&gt;25,(MROUND(($Y8*1.7),(VLOOKUP($X8,Übungsübersicht!$E$7:$M$83,3,FALSE)))),IF($Y8&gt;15,(MROUND(($Y8*1.6),(VLOOKUP($X8,Übungsübersicht!$E$7:$M$83,3,FALSE)))),IF($Y8&gt;(VLOOKUP($X8,Übungsübersicht!$E$7:$M$83,3,FALSE)),40*(VLOOKUP($X8,Übungsübersicht!$E$7:$M$83,3,FALSE)),""))))))),50*(VLOOKUP($X8,Übungsübersicht!$E$7:$M$83,3,FALSE)))</f>
        <v>102.5</v>
      </c>
      <c r="AN8" s="655">
        <f ca="1">MROUND(INDEX(OFFSET(Zyklus!$M$13,5,0),1),(IF(VLOOKUP($X8,Übungsübersicht!$E$7:$K$80,3)=0,0.1,(VLOOKUP($X8,Übungsübersicht!$E$7:$K$80,3)))))</f>
        <v>57.5</v>
      </c>
      <c r="AP8" s="652">
        <f ca="1">IFERROR(IF(IF(VLOOKUP($X8,Zyklus!$A$14:$U$68,9,FALSE)=0,"RPE 8",IF(VLOOKUP($X8,Übungsübersicht!$E$7:$M$83,3,FALSE)&lt;0.5,($AN8)-(3*0.5),(($AN8)-(3*(VLOOKUP($X8,Übungsübersicht!$E$7:$M$83,3,FALSE))))))&lt;1,0,(IF(VLOOKUP($X8,Zyklus!$A$14:$U$68,9,FALSE)=0,"RPE 8",IF(VLOOKUP($X8,Übungsübersicht!$E$7:$M$83,3,FALSE)&lt;0.5,($AN8)-(3*0.5),(($AN8)-(3*(VLOOKUP($X8,Übungsübersicht!$E$7:$M$83,3,FALSE)))))))),"RPE 8")</f>
        <v>50</v>
      </c>
      <c r="AQ8" s="652">
        <f ca="1">IFERROR(IF(IF(VLOOKUP($X8,Zyklus!$A$14:$U$68,9,FALSE)=0,"RPE 8",IF(VLOOKUP($X8,Übungsübersicht!$E$7:$M$83,3,FALSE)&lt;0.5,($AN8)-(2*0.5),(($AN8)-(2*(VLOOKUP($X8,Übungsübersicht!$E$7:$M$83,3,FALSE))))))&lt;1,0,(IF(VLOOKUP($X8,Zyklus!$A$14:$U$68,9,FALSE)=0,"RPE 8",IF(VLOOKUP($X8,Übungsübersicht!$E$7:$M$83,3,FALSE)&lt;0.5,($AN8)-(2*0.5),(($AN8)-(2*(VLOOKUP($X8,Übungsübersicht!$E$7:$M$83,3,FALSE)))))))),"RPE 8")</f>
        <v>52.5</v>
      </c>
      <c r="AR8" s="652">
        <f ca="1">IFERROR(IF(IF(VLOOKUP($X8,Zyklus!$A$14:$U$68,9,FALSE)=0,"RPE 8",IF(VLOOKUP($X8,Übungsübersicht!$E$7:$M$83,3,FALSE)&lt;0.5,($AN8)-(1*0.5),(($Y8)-(1*(VLOOKUP($X8,Übungsübersicht!$E$7:$M$83,3,FALSE))))))&lt;1,0,(IF(VLOOKUP($X8,Zyklus!$A$14:$U$68,9,FALSE)=0,"RPE 8",IF(VLOOKUP($X8,Übungsübersicht!$E$7:$M$83,3,FALSE)&lt;0.5,($AN8)-(1*0.5),(($Y8)-(1*(VLOOKUP($X8,Übungsübersicht!$E$7:$M$83,3,FALSE)))))))),"RPE 8")</f>
        <v>55</v>
      </c>
      <c r="AS8" s="652">
        <f t="shared" ca="1" si="0"/>
        <v>57.5</v>
      </c>
      <c r="AT8" s="652">
        <f ca="1">IFERROR(IF(VLOOKUP($X8,Zyklus!$A$14:$U$68,9,FALSE)=0,"RPE 8",IF(VLOOKUP($X8,Übungsübersicht!$E$7:$M$83,3,FALSE)&lt;0.5,($AN8)+(1*0.5),(($Y8)+(1*(VLOOKUP($X8,Übungsübersicht!$E$7:$M$83,3,FALSE)))))),"RPE 8")</f>
        <v>60</v>
      </c>
      <c r="AU8" s="652">
        <f ca="1">IFERROR(IF(VLOOKUP($X8,Zyklus!$A$14:$U$68,9,FALSE)=0,"RPE 8",IF(VLOOKUP($X8,Übungsübersicht!$E$7:$M$83,3,FALSE)&lt;0.5,($AN8)+(2*0.5),(($AN8)+(2*(VLOOKUP($X8,Übungsübersicht!$E$7:$M$83,3,FALSE)))))),"RPE 8")</f>
        <v>62.5</v>
      </c>
      <c r="AV8" s="652">
        <f ca="1">IFERROR(IF(VLOOKUP($X8,Zyklus!$A$14:$U$68,9,FALSE)=0,"RPE 8",IF(VLOOKUP($X8,Übungsübersicht!$E$7:$M$83,3,FALSE)&lt;0.5,($AN8)+(3*0.5),(($AN8)+(3*(VLOOKUP($X8,Übungsübersicht!$E$7:$M$83,3,FALSE)))))),"RPE 8")</f>
        <v>65</v>
      </c>
      <c r="AY8" s="655">
        <f ca="1">MROUND(INDEX(OFFSET(Zyklus!$M$13,5,0),1),(IF(VLOOKUP($X8,Übungsübersicht!$E$7:$K$80,3)=0,0.1,(VLOOKUP($X8,Übungsübersicht!$E$7:$K$80,3)))))</f>
        <v>57.5</v>
      </c>
      <c r="BA8" s="652">
        <f ca="1">MROUND(INDEX(OFFSET(Zyklus!$Q$13,5,0),1),(IF(VLOOKUP($X8,Übungsübersicht!$E$7:$K$80,3)=0,0.1,(VLOOKUP($X8,Übungsübersicht!$E$7:$K$80,3)))))</f>
        <v>57.5</v>
      </c>
      <c r="BC8" s="652">
        <f ca="1">IFERROR(IF(IF(VLOOKUP($X8,Zyklus!$A$14:$U$68,9,FALSE)=0,"RPE 9",IF(VLOOKUP($X8,Übungsübersicht!$E$7:$M$83,3,FALSE)&lt;0.5,($BA8)-(3*0.5),(($BA8)-(3*(VLOOKUP($X8,Übungsübersicht!$E$7:$M$83,3,FALSE))))))&lt;1,0,(IF(VLOOKUP($X8,Zyklus!$A$14:$U$68,9,FALSE)=0,"RPE 9",IF(VLOOKUP($X8,Übungsübersicht!$E$7:$M$83,3,FALSE)&lt;0.5,($BA8)-(3*0.5),(($BA8)-(3*(VLOOKUP($X8,Übungsübersicht!$E$7:$M$83,3,FALSE)))))))),"RPE 9")</f>
        <v>50</v>
      </c>
      <c r="BD8" s="652">
        <f ca="1">IFERROR(IF(IF(VLOOKUP($X8,Zyklus!$A$14:$U$68,9,FALSE)=0,"RPE 9",IF(VLOOKUP($X8,Übungsübersicht!$E$7:$M$83,3,FALSE)&lt;0.5,($BA8)-(2*0.5),(($BA8)-(2*(VLOOKUP($X8,Übungsübersicht!$E$7:$M$83,3,FALSE))))))&lt;1,0,(IF(VLOOKUP($X8,Zyklus!$A$14:$U$68,9,FALSE)=0,"RPE 9",IF(VLOOKUP($X8,Übungsübersicht!$E$7:$M$83,3,FALSE)&lt;0.5,($BA8)-(2*0.5),(($BA8)-(2*(VLOOKUP($X8,Übungsübersicht!$E$7:$M$83,3,FALSE)))))))),"RPE 9")</f>
        <v>52.5</v>
      </c>
      <c r="BE8" s="652">
        <f ca="1">IFERROR(IF(IF(VLOOKUP($X8,Zyklus!$A$14:$U$68,9,FALSE)=0,"RPE 9",IF(VLOOKUP($X8,Übungsübersicht!$E$7:$M$83,3,FALSE)&lt;0.5,($BA8)-(1*0.5),(($Y8)-(1*(VLOOKUP($X8,Übungsübersicht!$E$7:$M$83,3,FALSE))))))&lt;1,0,(IF(VLOOKUP($X8,Zyklus!$A$14:$U$68,9,FALSE)=0,"RPE 9",IF(VLOOKUP($X8,Übungsübersicht!$E$7:$M$83,3,FALSE)&lt;0.5,($BA8)-(1*0.5),(($Y8)-(1*(VLOOKUP($X8,Übungsübersicht!$E$7:$M$83,3,FALSE)))))))),"RPE 9")</f>
        <v>55</v>
      </c>
      <c r="BF8" s="652">
        <f t="shared" ca="1" si="1"/>
        <v>57.5</v>
      </c>
      <c r="BG8" s="652">
        <f ca="1">IFERROR(IF(VLOOKUP($X8,Zyklus!$A$14:$U$68,9,FALSE)=0,"RPE 9",IF(VLOOKUP($X8,Übungsübersicht!$E$7:$M$83,3,FALSE)&lt;0.5,($AY8)+(1*0.5),(($AY8)+(1*(VLOOKUP($X8,Übungsübersicht!$E$7:$M$83,3,FALSE)))))),"RPE 9")</f>
        <v>60</v>
      </c>
      <c r="BH8" s="652">
        <f ca="1">IFERROR(IF(VLOOKUP($X8,Zyklus!$A$14:$U$68,9,FALSE)=0,"RPE 9",IF(VLOOKUP($X8,Übungsübersicht!$E$7:$M$83,3,FALSE)&lt;0.5,($BA8)+(2*0.5),(($BA8)+(2*(VLOOKUP($X8,Übungsübersicht!$E$7:$M$83,3,FALSE)))))),"RPE 9")</f>
        <v>62.5</v>
      </c>
      <c r="BI8" s="652">
        <f ca="1">IFERROR(IF(VLOOKUP($X8,Zyklus!$A$14:$U$68,9,FALSE)=0,"RPE 9",IF(VLOOKUP($X8,Übungsübersicht!$E$7:$M$83,3,FALSE)&lt;0.5,($BA8)+(3*0.5),(($BA8)+(3*(VLOOKUP($X8,Übungsübersicht!$E$7:$M$83,3,FALSE)))))),"RPE 9")</f>
        <v>65</v>
      </c>
    </row>
    <row r="9" spans="1:61" ht="30" customHeight="1">
      <c r="D9" s="300" t="str">
        <f>IF('Gewichts- Calculator'!$C$79="2 Sätze","6 Sätze",IF('Gewichts- Calculator'!$C$79="3 Sätze","",IF('Gewichts- Calculator'!$C$79="4 Sätze","",IF('Gewichts- Calculator'!$C$79="5 Sätze","",IF('Gewichts- Calculator'!$C$79="6 Sätze","","Sätze?")))))</f>
        <v/>
      </c>
      <c r="E9" s="300"/>
      <c r="F9" s="300"/>
      <c r="H9" s="285" t="str" cm="1">
        <f t="array" ref="H9">IF('Gewichts- Calculator'!$C$39="6 Sätze","",IF('Gewichts- Calculator'!$C$39="5 Sätze","",IF('Gewichts- Calculator'!$C$39="4 Sätze","",IF('Gewichts- Calculator'!F69:F69="Keine Steigerung","",IF('Gewichts- Calculator'!F69:F69="Intensitätssteigerung","",IF('Gewichts- Calculator'!F69:F69="Volumensteigerung","3 Sätze+","Steigerung?"))))))</f>
        <v>3 Sätze+</v>
      </c>
      <c r="I9" s="285"/>
      <c r="L9" s="305">
        <f ca="1">MATCH("GB+",OFFSET(Übungsübersicht!$J$8:$J$50,L8,0),0)+L8</f>
        <v>20</v>
      </c>
      <c r="M9" s="305" t="str" cm="1">
        <f t="array" aca="1" ref="M9" ca="1">IF(ISNA(INDEX(Übungsübersicht!$E$8:$E$83,L9)),"",INDEX(Übungsübersicht!$E$8:$E$83,L9))</f>
        <v>Kniebeuge</v>
      </c>
      <c r="O9" s="489" t="s">
        <v>135</v>
      </c>
      <c r="P9" s="490">
        <v>0</v>
      </c>
      <c r="Q9" s="490">
        <v>0.8</v>
      </c>
      <c r="R9" s="490">
        <v>0.8</v>
      </c>
      <c r="S9" s="490">
        <v>1.3</v>
      </c>
      <c r="T9" s="490">
        <v>1.3</v>
      </c>
      <c r="U9" s="491">
        <v>2</v>
      </c>
      <c r="X9" s="651" t="str">
        <f ca="1">INDEX(OFFSET(Zyklus!$A$13,6,0),1)</f>
        <v>Seitheben OK1</v>
      </c>
      <c r="Y9" s="652">
        <f ca="1">MROUND(INDEX(OFFSET(Zyklus!$I$13,6,0),1),(IF(VLOOKUP($X9,Übungsübersicht!$E$7:$K$80,3)=0,0.1,(VLOOKUP($X9,Übungsübersicht!$E$7:$K$80,3)))))</f>
        <v>18</v>
      </c>
      <c r="Z9" s="652"/>
      <c r="AA9" s="652">
        <f ca="1">IFERROR(IF($Y9=0,2*(VLOOKUP($X9,Übungsübersicht!$E$7:$M$83,3,FALSE)),IF($Y9&gt;100,(MROUND(($Y9*0.1),(VLOOKUP($X9,Übungsübersicht!$E$7:$M$83,3,FALSE)))),IF($Y9&gt;80,(MROUND(($Y9*0.1),(VLOOKUP($X9,Übungsübersicht!$E$7:$M$83,3,FALSE)))),IF($Y9&gt;50,(MROUND(($Y9*0.2),(VLOOKUP($X9,Übungsübersicht!$E$7:$M$83,3,FALSE)))),IF($Y9&gt;25,(MROUND(($Y9*0.3),(VLOOKUP($X9,Übungsübersicht!$E$7:$M$83,3,FALSE)))),IF($Y9&gt;15,(MROUND(($Y9*0.4),(VLOOKUP($X9,Übungsübersicht!$E$7:$M$83,3,FALSE)))),IF($Y9&gt;(VLOOKUP($X9,Übungsübersicht!$E$7:$M$83,3,FALSE)),(VLOOKUP($X9,Übungsübersicht!$E$7:$M$83,3,FALSE)),""))))))),2*(VLOOKUP($X9,Übungsübersicht!$E$7:$M$83,3,FALSE)))</f>
        <v>8</v>
      </c>
      <c r="AB9" s="652">
        <f ca="1">IFERROR(IF($Y9=0,4*(VLOOKUP($X9,Übungsübersicht!$E$7:$M$83,3,FALSE)),IF($Y9&gt;100,(MROUND(($Y9*0.3),(VLOOKUP($X9,Übungsübersicht!$E$7:$M$83,3,FALSE)))),IF($Y9&gt;80,(MROUND(($Y9*0.3),(VLOOKUP($X9,Übungsübersicht!$E$7:$M$83,3,FALSE)))),IF($Y9&gt;50,(MROUND(($Y9*0.4),(VLOOKUP($X9,Übungsübersicht!$E$7:$M$83,3,FALSE)))),IF($Y9&gt;25,(MROUND(($Y9*0.5),(VLOOKUP($X9,Übungsübersicht!$E$7:$M$83,3,FALSE)))),IF($Y9&gt;15,(MROUND(($Y9*0.6),(VLOOKUP($X9,Übungsübersicht!$E$7:$M$83,3,FALSE)))),IF($Y9&gt;(VLOOKUP($X9,Übungsübersicht!$E$7:$M$83,3,FALSE)),(VLOOKUP($X9,Übungsübersicht!$E$7:$M$83,3,FALSE)),""))))))),4*(VLOOKUP($X9,Übungsübersicht!$E$7:$M$83,3,FALSE)))</f>
        <v>10</v>
      </c>
      <c r="AC9" s="652">
        <f ca="1">IFERROR((IF($Y9=0,8*(VLOOKUP($X9,Übungsübersicht!$E$7:$M$83,3,FALSE)),(($Y9)-(3*(VLOOKUP($X9,Übungsübersicht!$E$7:$M$83,3,FALSE)))))),8*(VLOOKUP($X9,Übungsübersicht!$E$7:$M$83,3,FALSE)))</f>
        <v>12</v>
      </c>
      <c r="AD9" s="652">
        <f ca="1">IFERROR(((IF($Y9=0,10*(VLOOKUP($X9,Übungsübersicht!$E$7:$M$83,3,FALSE)),($Y9)-(2*(VLOOKUP($X9,Übungsübersicht!$E$7:$M$83,3,FALSE)))))),10*(VLOOKUP($X9,Übungsübersicht!$E$7:$M$83,3,FALSE)))</f>
        <v>14</v>
      </c>
      <c r="AE9" s="652">
        <f ca="1">IFERROR(((IF($Y9=0,10*(VLOOKUP($X9,Übungsübersicht!$E$7:$M$83,3,FALSE)),($Y9)-(1*(VLOOKUP($X9,Übungsübersicht!$E$7:$M$83,3,FALSE)))))),10*(VLOOKUP($X9,Übungsübersicht!$E$7:$M$83,3,FALSE)))</f>
        <v>16</v>
      </c>
      <c r="AF9" s="652">
        <f ca="1">IFERROR(IF($Y9=0,20*(VLOOKUP($X9,Übungsübersicht!$E$7:$M$83,3,FALSE)),($Y9)),20*(VLOOKUP($X9,Übungsübersicht!$E$7:$M$83,3,FALSE)))</f>
        <v>18</v>
      </c>
      <c r="AG9" s="652">
        <f ca="1">IFERROR(IF($Y9=0,30*(VLOOKUP($X9,Übungsübersicht!$E$7:$M$83,3,FALSE)),($Y9)+(1*(VLOOKUP($X9,Übungsübersicht!$E$7:$M$83,3,FALSE)))),30*(VLOOKUP($X9,Übungsübersicht!$E$7:$M$83,3,FALSE)))</f>
        <v>20</v>
      </c>
      <c r="AH9" s="652">
        <f ca="1">IFERROR(IF($Y9=0,30*(VLOOKUP($X9,Übungsübersicht!$E$7:$M$83,3,FALSE)),($Y9)+(2*(VLOOKUP($X9,Übungsübersicht!$E$7:$M$83,3,FALSE)))),30*(VLOOKUP($X9,Übungsübersicht!$E$7:$M$83,3,FALSE)))</f>
        <v>22</v>
      </c>
      <c r="AI9" s="652">
        <f ca="1">IFERROR(IF($Y9=0,30*(VLOOKUP($X9,Übungsübersicht!$E$7:$M$83,3,FALSE)),($Y9)+(3*(VLOOKUP($X9,Übungsübersicht!$E$7:$M$83,3,FALSE)))),30*(VLOOKUP($X9,Übungsübersicht!$E$7:$M$83,3,FALSE)))</f>
        <v>24</v>
      </c>
      <c r="AJ9" s="652">
        <f ca="1">IFERROR(IF($Y9=0,40*(VLOOKUP($X9,Übungsübersicht!$E$7:$M$83,3,FALSE)),IF($Y9&gt;100,(MROUND(($Y9*1.7),(VLOOKUP($X9,Übungsübersicht!$E$7:$M$83,3,FALSE)))),IF($Y9&gt;80,(MROUND(($Y9*1.7),(VLOOKUP($X9,Übungsübersicht!$E$7:$M$83,3,FALSE)))),IF($Y9&gt;50,(MROUND(($Y9*1.6),(VLOOKUP($X9,Übungsübersicht!$E$7:$M$83,3,FALSE)))),IF($Y9&gt;25,(MROUND(($Y9*1.5),(VLOOKUP($X9,Übungsübersicht!$E$7:$M$83,3,FALSE)))),IF($Y9&gt;15,(MROUND(($Y9*1.4),(VLOOKUP($X9,Übungsübersicht!$E$7:$M$83,3,FALSE)))),IF($Y9&gt;(VLOOKUP($X9,Übungsübersicht!$E$7:$M$83,3,FALSE)),30*(VLOOKUP($X9,Übungsübersicht!$E$7:$M$83,3,FALSE)),""))))))),40*(VLOOKUP($X9,Übungsübersicht!$E$7:$M$83,3,FALSE)))</f>
        <v>26</v>
      </c>
      <c r="AK9" s="653">
        <f ca="1">IFERROR(IF($Y9=0,50*(VLOOKUP($X9,Übungsübersicht!$E$7:$M$83,3,FALSE)),IF($Y9&gt;100,(MROUND(($Y9*1.9),(VLOOKUP($X9,Übungsübersicht!$E$7:$M$83,3,FALSE)))),IF($Y9&gt;80,(MROUND(($Y9*1.9),(VLOOKUP($X9,Übungsübersicht!$E$7:$M$83,3,FALSE)))),IF($Y9&gt;50,(MROUND(($Y9*1.8),(VLOOKUP($X9,Übungsübersicht!$E$7:$M$83,3,FALSE)))),IF($Y9&gt;25,(MROUND(($Y9*1.7),(VLOOKUP($X9,Übungsübersicht!$E$7:$M$83,3,FALSE)))),IF($Y9&gt;15,(MROUND(($Y9*1.6),(VLOOKUP($X9,Übungsübersicht!$E$7:$M$83,3,FALSE)))),IF($Y9&gt;(VLOOKUP($X9,Übungsübersicht!$E$7:$M$83,3,FALSE)),40*(VLOOKUP($X9,Übungsübersicht!$E$7:$M$83,3,FALSE)),""))))))),50*(VLOOKUP($X9,Übungsübersicht!$E$7:$M$83,3,FALSE)))</f>
        <v>28</v>
      </c>
      <c r="AN9" s="652">
        <f ca="1">MROUND(INDEX(OFFSET(Zyklus!$M$13,6,0),1),(IF(VLOOKUP($X9,Übungsübersicht!$E$7:$K$80,3)=0,0.1,(VLOOKUP($X9,Übungsübersicht!$E$7:$K$80,3)))))</f>
        <v>18</v>
      </c>
      <c r="AP9" s="655">
        <f ca="1">IFERROR(IF(IF(VLOOKUP($X9,Zyklus!$A$14:$U$68,9,FALSE)=0,"RPE 8",IF(VLOOKUP($X9,Übungsübersicht!$E$7:$M$83,3,FALSE)&lt;0.5,($AN9)-(3*0.5),(($AN9)-(3*(VLOOKUP($X9,Übungsübersicht!$E$7:$M$83,3,FALSE))))))&lt;1,0,(IF(VLOOKUP($X9,Zyklus!$A$14:$U$68,9,FALSE)=0,"RPE 8",IF(VLOOKUP($X9,Übungsübersicht!$E$7:$M$83,3,FALSE)&lt;0.5,($AN9)-(3*0.5),(($AN9)-(3*(VLOOKUP($X9,Übungsübersicht!$E$7:$M$83,3,FALSE)))))))),"RPE 8")</f>
        <v>12</v>
      </c>
      <c r="AQ9" s="655">
        <f ca="1">IFERROR(IF(IF(VLOOKUP($X9,Zyklus!$A$14:$U$68,9,FALSE)=0,"RPE 8",IF(VLOOKUP($X9,Übungsübersicht!$E$7:$M$83,3,FALSE)&lt;0.5,($AN9)-(2*0.5),(($AN9)-(2*(VLOOKUP($X9,Übungsübersicht!$E$7:$M$83,3,FALSE))))))&lt;1,0,(IF(VLOOKUP($X9,Zyklus!$A$14:$U$68,9,FALSE)=0,"RPE 8",IF(VLOOKUP($X9,Übungsübersicht!$E$7:$M$83,3,FALSE)&lt;0.5,($AN9)-(2*0.5),(($AN9)-(2*(VLOOKUP($X9,Übungsübersicht!$E$7:$M$83,3,FALSE)))))))),"RPE 8")</f>
        <v>14</v>
      </c>
      <c r="AR9" s="655">
        <f ca="1">IFERROR(IF(IF(VLOOKUP($X9,Zyklus!$A$14:$U$68,9,FALSE)=0,"RPE 8",IF(VLOOKUP($X9,Übungsübersicht!$E$7:$M$83,3,FALSE)&lt;0.5,($AN9)-(1*0.5),(($Y9)-(1*(VLOOKUP($X9,Übungsübersicht!$E$7:$M$83,3,FALSE))))))&lt;1,0,(IF(VLOOKUP($X9,Zyklus!$A$14:$U$68,9,FALSE)=0,"RPE 8",IF(VLOOKUP($X9,Übungsübersicht!$E$7:$M$83,3,FALSE)&lt;0.5,($AN9)-(1*0.5),(($Y9)-(1*(VLOOKUP($X9,Übungsübersicht!$E$7:$M$83,3,FALSE)))))))),"RPE 8")</f>
        <v>16</v>
      </c>
      <c r="AS9" s="655">
        <f t="shared" ca="1" si="0"/>
        <v>18</v>
      </c>
      <c r="AT9" s="655">
        <f ca="1">IFERROR(IF(VLOOKUP($X9,Zyklus!$A$14:$U$68,9,FALSE)=0,"RPE 8",IF(VLOOKUP($X9,Übungsübersicht!$E$7:$M$83,3,FALSE)&lt;0.5,($AN9)+(1*0.5),(($Y9)+(1*(VLOOKUP($X9,Übungsübersicht!$E$7:$M$83,3,FALSE)))))),"RPE 8")</f>
        <v>20</v>
      </c>
      <c r="AU9" s="655">
        <f ca="1">IFERROR(IF(VLOOKUP($X9,Zyklus!$A$14:$U$68,9,FALSE)=0,"RPE 8",IF(VLOOKUP($X9,Übungsübersicht!$E$7:$M$83,3,FALSE)&lt;0.5,($AN9)+(2*0.5),(($AN9)+(2*(VLOOKUP($X9,Übungsübersicht!$E$7:$M$83,3,FALSE)))))),"RPE 8")</f>
        <v>22</v>
      </c>
      <c r="AV9" s="655">
        <f ca="1">IFERROR(IF(VLOOKUP($X9,Zyklus!$A$14:$U$68,9,FALSE)=0,"RPE 8",IF(VLOOKUP($X9,Übungsübersicht!$E$7:$M$83,3,FALSE)&lt;0.5,($AN9)+(3*0.5),(($AN9)+(3*(VLOOKUP($X9,Übungsübersicht!$E$7:$M$83,3,FALSE)))))),"RPE 8")</f>
        <v>24</v>
      </c>
      <c r="AY9" s="652">
        <f ca="1">MROUND(INDEX(OFFSET(Zyklus!$M$13,6,0),1),(IF(VLOOKUP($X9,Übungsübersicht!$E$7:$K$80,3)=0,0.1,(VLOOKUP($X9,Übungsübersicht!$E$7:$K$80,3)))))</f>
        <v>18</v>
      </c>
      <c r="BA9" s="655">
        <f ca="1">MROUND(INDEX(OFFSET(Zyklus!$Q$13,6,0),1),(IF(VLOOKUP($X9,Übungsübersicht!$E$7:$K$80,3)=0,0.1,(VLOOKUP($X9,Übungsübersicht!$E$7:$K$80,3)))))</f>
        <v>18</v>
      </c>
      <c r="BC9" s="655">
        <f ca="1">IFERROR(IF(IF(VLOOKUP($X9,Zyklus!$A$14:$U$68,9,FALSE)=0,"RPE 9",IF(VLOOKUP($X9,Übungsübersicht!$E$7:$M$83,3,FALSE)&lt;0.5,($BA9)-(3*0.5),(($BA9)-(3*(VLOOKUP($X9,Übungsübersicht!$E$7:$M$83,3,FALSE))))))&lt;1,0,(IF(VLOOKUP($X9,Zyklus!$A$14:$U$68,9,FALSE)=0,"RPE 9",IF(VLOOKUP($X9,Übungsübersicht!$E$7:$M$83,3,FALSE)&lt;0.5,($BA9)-(3*0.5),(($BA9)-(3*(VLOOKUP($X9,Übungsübersicht!$E$7:$M$83,3,FALSE)))))))),"RPE 9")</f>
        <v>12</v>
      </c>
      <c r="BD9" s="655">
        <f ca="1">IFERROR(IF(IF(VLOOKUP($X9,Zyklus!$A$14:$U$68,9,FALSE)=0,"RPE 9",IF(VLOOKUP($X9,Übungsübersicht!$E$7:$M$83,3,FALSE)&lt;0.5,($BA9)-(2*0.5),(($BA9)-(2*(VLOOKUP($X9,Übungsübersicht!$E$7:$M$83,3,FALSE))))))&lt;1,0,(IF(VLOOKUP($X9,Zyklus!$A$14:$U$68,9,FALSE)=0,"RPE 9",IF(VLOOKUP($X9,Übungsübersicht!$E$7:$M$83,3,FALSE)&lt;0.5,($BA9)-(2*0.5),(($BA9)-(2*(VLOOKUP($X9,Übungsübersicht!$E$7:$M$83,3,FALSE)))))))),"RPE 9")</f>
        <v>14</v>
      </c>
      <c r="BE9" s="655">
        <f ca="1">IFERROR(IF(IF(VLOOKUP($X9,Zyklus!$A$14:$U$68,9,FALSE)=0,"RPE 9",IF(VLOOKUP($X9,Übungsübersicht!$E$7:$M$83,3,FALSE)&lt;0.5,($BA9)-(1*0.5),(($Y9)-(1*(VLOOKUP($X9,Übungsübersicht!$E$7:$M$83,3,FALSE))))))&lt;1,0,(IF(VLOOKUP($X9,Zyklus!$A$14:$U$68,9,FALSE)=0,"RPE 9",IF(VLOOKUP($X9,Übungsübersicht!$E$7:$M$83,3,FALSE)&lt;0.5,($BA9)-(1*0.5),(($Y9)-(1*(VLOOKUP($X9,Übungsübersicht!$E$7:$M$83,3,FALSE)))))))),"RPE 9")</f>
        <v>16</v>
      </c>
      <c r="BF9" s="655">
        <f t="shared" ca="1" si="1"/>
        <v>18</v>
      </c>
      <c r="BG9" s="655">
        <f ca="1">IFERROR(IF(VLOOKUP($X9,Zyklus!$A$14:$U$68,9,FALSE)=0,"RPE 9",IF(VLOOKUP($X9,Übungsübersicht!$E$7:$M$83,3,FALSE)&lt;0.5,($AY9)+(1*0.5),(($AY9)+(1*(VLOOKUP($X9,Übungsübersicht!$E$7:$M$83,3,FALSE)))))),"RPE 9")</f>
        <v>20</v>
      </c>
      <c r="BH9" s="655">
        <f ca="1">IFERROR(IF(VLOOKUP($X9,Zyklus!$A$14:$U$68,9,FALSE)=0,"RPE 9",IF(VLOOKUP($X9,Übungsübersicht!$E$7:$M$83,3,FALSE)&lt;0.5,($BA9)+(2*0.5),(($BA9)+(2*(VLOOKUP($X9,Übungsübersicht!$E$7:$M$83,3,FALSE)))))),"RPE 9")</f>
        <v>22</v>
      </c>
      <c r="BI9" s="655">
        <f ca="1">IFERROR(IF(VLOOKUP($X9,Zyklus!$A$14:$U$68,9,FALSE)=0,"RPE 9",IF(VLOOKUP($X9,Übungsübersicht!$E$7:$M$83,3,FALSE)&lt;0.5,($BA9)+(3*0.5),(($BA9)+(3*(VLOOKUP($X9,Übungsübersicht!$E$7:$M$83,3,FALSE)))))),"RPE 9")</f>
        <v>24</v>
      </c>
    </row>
    <row r="10" spans="1:61" ht="30" customHeight="1">
      <c r="A10" s="873" t="s">
        <v>411</v>
      </c>
      <c r="D10" s="301"/>
      <c r="E10" s="301"/>
      <c r="F10" s="301"/>
      <c r="H10" s="284"/>
      <c r="I10" s="284"/>
      <c r="L10" s="303">
        <f ca="1">MATCH("GB+",OFFSET(Übungsübersicht!$J$8:$J$50,L9,0),0)+L9</f>
        <v>21</v>
      </c>
      <c r="M10" s="304" t="str" cm="1">
        <f t="array" aca="1" ref="M10" ca="1">IF(ISNA(INDEX(Übungsübersicht!$E$8:$E$83,L10)),"",INDEX(Übungsübersicht!$E$8:$E$83,L10))</f>
        <v>Kreuzheben</v>
      </c>
      <c r="O10" s="495" t="s">
        <v>153</v>
      </c>
      <c r="P10" s="496">
        <v>0</v>
      </c>
      <c r="Q10" s="496">
        <v>0.6</v>
      </c>
      <c r="R10" s="496">
        <v>0.6</v>
      </c>
      <c r="S10" s="496">
        <v>0.9</v>
      </c>
      <c r="T10" s="496">
        <v>0.9</v>
      </c>
      <c r="U10" s="497">
        <v>1.4</v>
      </c>
      <c r="X10" s="654" t="str">
        <f ca="1">INDEX(OFFSET(Zyklus!$A$13,7,0),1)</f>
        <v>Butterfly Reverse</v>
      </c>
      <c r="Y10" s="655">
        <f ca="1">MROUND(INDEX(OFFSET(Zyklus!$I$13,7,0),1),(IF(VLOOKUP($X10,Übungsübersicht!$E$7:$K$80,3)=0,0.1,(VLOOKUP($X10,Übungsübersicht!$E$7:$K$80,3)))))</f>
        <v>25</v>
      </c>
      <c r="Z10" s="655"/>
      <c r="AA10" s="655">
        <f ca="1">IFERROR(IF($Y10=0,2*(VLOOKUP($X10,Übungsübersicht!$E$7:$M$83,3,FALSE)),IF($Y10&gt;100,(MROUND(($Y10*0.1),(VLOOKUP($X10,Übungsübersicht!$E$7:$M$83,3,FALSE)))),IF($Y10&gt;80,(MROUND(($Y10*0.1),(VLOOKUP($X10,Übungsübersicht!$E$7:$M$83,3,FALSE)))),IF($Y10&gt;50,(MROUND(($Y10*0.2),(VLOOKUP($X10,Übungsübersicht!$E$7:$M$83,3,FALSE)))),IF($Y10&gt;25,(MROUND(($Y10*0.3),(VLOOKUP($X10,Übungsübersicht!$E$7:$M$83,3,FALSE)))),IF($Y10&gt;15,(MROUND(($Y10*0.4),(VLOOKUP($X10,Übungsübersicht!$E$7:$M$83,3,FALSE)))),IF($Y10&gt;(VLOOKUP($X10,Übungsübersicht!$E$7:$M$83,3,FALSE)),(VLOOKUP($X10,Übungsübersicht!$E$7:$M$83,3,FALSE)),""))))))),2*(VLOOKUP($X10,Übungsübersicht!$E$7:$M$83,3,FALSE)))</f>
        <v>10</v>
      </c>
      <c r="AB10" s="655">
        <f ca="1">IFERROR(IF($Y10=0,4*(VLOOKUP($X10,Übungsübersicht!$E$7:$M$83,3,FALSE)),IF($Y10&gt;100,(MROUND(($Y10*0.3),(VLOOKUP($X10,Übungsübersicht!$E$7:$M$83,3,FALSE)))),IF($Y10&gt;80,(MROUND(($Y10*0.3),(VLOOKUP($X10,Übungsübersicht!$E$7:$M$83,3,FALSE)))),IF($Y10&gt;50,(MROUND(($Y10*0.4),(VLOOKUP($X10,Übungsübersicht!$E$7:$M$83,3,FALSE)))),IF($Y10&gt;25,(MROUND(($Y10*0.5),(VLOOKUP($X10,Übungsübersicht!$E$7:$M$83,3,FALSE)))),IF($Y10&gt;15,(MROUND(($Y10*0.6),(VLOOKUP($X10,Übungsübersicht!$E$7:$M$83,3,FALSE)))),IF($Y10&gt;(VLOOKUP($X10,Übungsübersicht!$E$7:$M$83,3,FALSE)),(VLOOKUP($X10,Übungsübersicht!$E$7:$M$83,3,FALSE)),""))))))),4*(VLOOKUP($X10,Übungsübersicht!$E$7:$M$83,3,FALSE)))</f>
        <v>15</v>
      </c>
      <c r="AC10" s="655">
        <f ca="1">IFERROR((IF($Y10=0,8*(VLOOKUP($X10,Übungsübersicht!$E$7:$M$83,3,FALSE)),(($Y10)-(3*(VLOOKUP($X10,Übungsübersicht!$E$7:$M$83,3,FALSE)))))),8*(VLOOKUP($X10,Übungsübersicht!$E$7:$M$83,3,FALSE)))</f>
        <v>10</v>
      </c>
      <c r="AD10" s="655">
        <f ca="1">IFERROR(((IF($Y10=0,10*(VLOOKUP($X10,Übungsübersicht!$E$7:$M$83,3,FALSE)),($Y10)-(2*(VLOOKUP($X10,Übungsübersicht!$E$7:$M$83,3,FALSE)))))),10*(VLOOKUP($X10,Übungsübersicht!$E$7:$M$83,3,FALSE)))</f>
        <v>15</v>
      </c>
      <c r="AE10" s="655">
        <f ca="1">IFERROR(((IF($Y10=0,10*(VLOOKUP($X10,Übungsübersicht!$E$7:$M$83,3,FALSE)),($Y10)-(1*(VLOOKUP($X10,Übungsübersicht!$E$7:$M$83,3,FALSE)))))),10*(VLOOKUP($X10,Übungsübersicht!$E$7:$M$83,3,FALSE)))</f>
        <v>20</v>
      </c>
      <c r="AF10" s="655">
        <f ca="1">IFERROR(IF($Y10=0,20*(VLOOKUP($X10,Übungsübersicht!$E$7:$M$83,3,FALSE)),($Y10)),20*(VLOOKUP($X10,Übungsübersicht!$E$7:$M$83,3,FALSE)))</f>
        <v>25</v>
      </c>
      <c r="AG10" s="655">
        <f ca="1">IFERROR(IF($Y10=0,30*(VLOOKUP($X10,Übungsübersicht!$E$7:$M$83,3,FALSE)),($Y10)+(1*(VLOOKUP($X10,Übungsübersicht!$E$7:$M$83,3,FALSE)))),30*(VLOOKUP($X10,Übungsübersicht!$E$7:$M$83,3,FALSE)))</f>
        <v>30</v>
      </c>
      <c r="AH10" s="655">
        <f ca="1">IFERROR(IF($Y10=0,30*(VLOOKUP($X10,Übungsübersicht!$E$7:$M$83,3,FALSE)),($Y10)+(2*(VLOOKUP($X10,Übungsübersicht!$E$7:$M$83,3,FALSE)))),30*(VLOOKUP($X10,Übungsübersicht!$E$7:$M$83,3,FALSE)))</f>
        <v>35</v>
      </c>
      <c r="AI10" s="655">
        <f ca="1">IFERROR(IF($Y10=0,30*(VLOOKUP($X10,Übungsübersicht!$E$7:$M$83,3,FALSE)),($Y10)+(3*(VLOOKUP($X10,Übungsübersicht!$E$7:$M$83,3,FALSE)))),30*(VLOOKUP($X10,Übungsübersicht!$E$7:$M$83,3,FALSE)))</f>
        <v>40</v>
      </c>
      <c r="AJ10" s="655">
        <f ca="1">IFERROR(IF($Y10=0,40*(VLOOKUP($X10,Übungsübersicht!$E$7:$M$83,3,FALSE)),IF($Y10&gt;100,(MROUND(($Y10*1.7),(VLOOKUP($X10,Übungsübersicht!$E$7:$M$83,3,FALSE)))),IF($Y10&gt;80,(MROUND(($Y10*1.7),(VLOOKUP($X10,Übungsübersicht!$E$7:$M$83,3,FALSE)))),IF($Y10&gt;50,(MROUND(($Y10*1.6),(VLOOKUP($X10,Übungsübersicht!$E$7:$M$83,3,FALSE)))),IF($Y10&gt;25,(MROUND(($Y10*1.5),(VLOOKUP($X10,Übungsübersicht!$E$7:$M$83,3,FALSE)))),IF($Y10&gt;15,(MROUND(($Y10*1.4),(VLOOKUP($X10,Übungsübersicht!$E$7:$M$83,3,FALSE)))),IF($Y10&gt;(VLOOKUP($X10,Übungsübersicht!$E$7:$M$83,3,FALSE)),30*(VLOOKUP($X10,Übungsübersicht!$E$7:$M$83,3,FALSE)),""))))))),40*(VLOOKUP($X10,Übungsübersicht!$E$7:$M$83,3,FALSE)))</f>
        <v>35</v>
      </c>
      <c r="AK10" s="656">
        <f ca="1">IFERROR(IF($Y10=0,50*(VLOOKUP($X10,Übungsübersicht!$E$7:$M$83,3,FALSE)),IF($Y10&gt;100,(MROUND(($Y10*1.9),(VLOOKUP($X10,Übungsübersicht!$E$7:$M$83,3,FALSE)))),IF($Y10&gt;80,(MROUND(($Y10*1.9),(VLOOKUP($X10,Übungsübersicht!$E$7:$M$83,3,FALSE)))),IF($Y10&gt;50,(MROUND(($Y10*1.8),(VLOOKUP($X10,Übungsübersicht!$E$7:$M$83,3,FALSE)))),IF($Y10&gt;25,(MROUND(($Y10*1.7),(VLOOKUP($X10,Übungsübersicht!$E$7:$M$83,3,FALSE)))),IF($Y10&gt;15,(MROUND(($Y10*1.6),(VLOOKUP($X10,Übungsübersicht!$E$7:$M$83,3,FALSE)))),IF($Y10&gt;(VLOOKUP($X10,Übungsübersicht!$E$7:$M$83,3,FALSE)),40*(VLOOKUP($X10,Übungsübersicht!$E$7:$M$83,3,FALSE)),""))))))),50*(VLOOKUP($X10,Übungsübersicht!$E$7:$M$83,3,FALSE)))</f>
        <v>40</v>
      </c>
      <c r="AN10" s="655">
        <f ca="1">MROUND(INDEX(OFFSET(Zyklus!$M$13,7,0),1),(IF(VLOOKUP($X10,Übungsübersicht!$E$7:$K$80,3)=0,0.1,(VLOOKUP($X10,Übungsübersicht!$E$7:$K$80,3)))))</f>
        <v>25</v>
      </c>
      <c r="AP10" s="652">
        <f ca="1">IFERROR(IF(IF(VLOOKUP($X10,Zyklus!$A$14:$U$68,9,FALSE)=0,"RPE 8",IF(VLOOKUP($X10,Übungsübersicht!$E$7:$M$83,3,FALSE)&lt;0.5,($AN10)-(3*0.5),(($AN10)-(3*(VLOOKUP($X10,Übungsübersicht!$E$7:$M$83,3,FALSE))))))&lt;1,0,(IF(VLOOKUP($X10,Zyklus!$A$14:$U$68,9,FALSE)=0,"RPE 8",IF(VLOOKUP($X10,Übungsübersicht!$E$7:$M$83,3,FALSE)&lt;0.5,($AN10)-(3*0.5),(($AN10)-(3*(VLOOKUP($X10,Übungsübersicht!$E$7:$M$83,3,FALSE)))))))),"RPE 8")</f>
        <v>10</v>
      </c>
      <c r="AQ10" s="652">
        <f ca="1">IFERROR(IF(IF(VLOOKUP($X10,Zyklus!$A$14:$U$68,9,FALSE)=0,"RPE 8",IF(VLOOKUP($X10,Übungsübersicht!$E$7:$M$83,3,FALSE)&lt;0.5,($AN10)-(2*0.5),(($AN10)-(2*(VLOOKUP($X10,Übungsübersicht!$E$7:$M$83,3,FALSE))))))&lt;1,0,(IF(VLOOKUP($X10,Zyklus!$A$14:$U$68,9,FALSE)=0,"RPE 8",IF(VLOOKUP($X10,Übungsübersicht!$E$7:$M$83,3,FALSE)&lt;0.5,($AN10)-(2*0.5),(($AN10)-(2*(VLOOKUP($X10,Übungsübersicht!$E$7:$M$83,3,FALSE)))))))),"RPE 8")</f>
        <v>15</v>
      </c>
      <c r="AR10" s="652">
        <f ca="1">IFERROR(IF(IF(VLOOKUP($X10,Zyklus!$A$14:$U$68,9,FALSE)=0,"RPE 8",IF(VLOOKUP($X10,Übungsübersicht!$E$7:$M$83,3,FALSE)&lt;0.5,($AN10)-(1*0.5),(($Y10)-(1*(VLOOKUP($X10,Übungsübersicht!$E$7:$M$83,3,FALSE))))))&lt;1,0,(IF(VLOOKUP($X10,Zyklus!$A$14:$U$68,9,FALSE)=0,"RPE 8",IF(VLOOKUP($X10,Übungsübersicht!$E$7:$M$83,3,FALSE)&lt;0.5,($AN10)-(1*0.5),(($Y10)-(1*(VLOOKUP($X10,Übungsübersicht!$E$7:$M$83,3,FALSE)))))))),"RPE 8")</f>
        <v>20</v>
      </c>
      <c r="AS10" s="652">
        <f t="shared" ca="1" si="0"/>
        <v>25</v>
      </c>
      <c r="AT10" s="652">
        <f ca="1">IFERROR(IF(VLOOKUP($X10,Zyklus!$A$14:$U$68,9,FALSE)=0,"RPE 8",IF(VLOOKUP($X10,Übungsübersicht!$E$7:$M$83,3,FALSE)&lt;0.5,($AN10)+(1*0.5),(($Y10)+(1*(VLOOKUP($X10,Übungsübersicht!$E$7:$M$83,3,FALSE)))))),"RPE 8")</f>
        <v>30</v>
      </c>
      <c r="AU10" s="652">
        <f ca="1">IFERROR(IF(VLOOKUP($X10,Zyklus!$A$14:$U$68,9,FALSE)=0,"RPE 8",IF(VLOOKUP($X10,Übungsübersicht!$E$7:$M$83,3,FALSE)&lt;0.5,($AN10)+(2*0.5),(($AN10)+(2*(VLOOKUP($X10,Übungsübersicht!$E$7:$M$83,3,FALSE)))))),"RPE 8")</f>
        <v>35</v>
      </c>
      <c r="AV10" s="652">
        <f ca="1">IFERROR(IF(VLOOKUP($X10,Zyklus!$A$14:$U$68,9,FALSE)=0,"RPE 8",IF(VLOOKUP($X10,Übungsübersicht!$E$7:$M$83,3,FALSE)&lt;0.5,($AN10)+(3*0.5),(($AN10)+(3*(VLOOKUP($X10,Übungsübersicht!$E$7:$M$83,3,FALSE)))))),"RPE 8")</f>
        <v>40</v>
      </c>
      <c r="AY10" s="655">
        <f ca="1">MROUND(INDEX(OFFSET(Zyklus!$M$13,7,0),1),(IF(VLOOKUP($X10,Übungsübersicht!$E$7:$K$80,3)=0,0.1,(VLOOKUP($X10,Übungsübersicht!$E$7:$K$80,3)))))</f>
        <v>25</v>
      </c>
      <c r="BA10" s="652">
        <f ca="1">MROUND(INDEX(OFFSET(Zyklus!$Q$13,7,0),1),(IF(VLOOKUP($X10,Übungsübersicht!$E$7:$K$80,3)=0,0.1,(VLOOKUP($X10,Übungsübersicht!$E$7:$K$80,3)))))</f>
        <v>25</v>
      </c>
      <c r="BC10" s="652">
        <f ca="1">IFERROR(IF(IF(VLOOKUP($X10,Zyklus!$A$14:$U$68,9,FALSE)=0,"RPE 9",IF(VLOOKUP($X10,Übungsübersicht!$E$7:$M$83,3,FALSE)&lt;0.5,($BA10)-(3*0.5),(($BA10)-(3*(VLOOKUP($X10,Übungsübersicht!$E$7:$M$83,3,FALSE))))))&lt;1,0,(IF(VLOOKUP($X10,Zyklus!$A$14:$U$68,9,FALSE)=0,"RPE 9",IF(VLOOKUP($X10,Übungsübersicht!$E$7:$M$83,3,FALSE)&lt;0.5,($BA10)-(3*0.5),(($BA10)-(3*(VLOOKUP($X10,Übungsübersicht!$E$7:$M$83,3,FALSE)))))))),"RPE 9")</f>
        <v>10</v>
      </c>
      <c r="BD10" s="652">
        <f ca="1">IFERROR(IF(IF(VLOOKUP($X10,Zyklus!$A$14:$U$68,9,FALSE)=0,"RPE 9",IF(VLOOKUP($X10,Übungsübersicht!$E$7:$M$83,3,FALSE)&lt;0.5,($BA10)-(2*0.5),(($BA10)-(2*(VLOOKUP($X10,Übungsübersicht!$E$7:$M$83,3,FALSE))))))&lt;1,0,(IF(VLOOKUP($X10,Zyklus!$A$14:$U$68,9,FALSE)=0,"RPE 9",IF(VLOOKUP($X10,Übungsübersicht!$E$7:$M$83,3,FALSE)&lt;0.5,($BA10)-(2*0.5),(($BA10)-(2*(VLOOKUP($X10,Übungsübersicht!$E$7:$M$83,3,FALSE)))))))),"RPE 9")</f>
        <v>15</v>
      </c>
      <c r="BE10" s="652">
        <f ca="1">IFERROR(IF(IF(VLOOKUP($X10,Zyklus!$A$14:$U$68,9,FALSE)=0,"RPE 9",IF(VLOOKUP($X10,Übungsübersicht!$E$7:$M$83,3,FALSE)&lt;0.5,($BA10)-(1*0.5),(($Y10)-(1*(VLOOKUP($X10,Übungsübersicht!$E$7:$M$83,3,FALSE))))))&lt;1,0,(IF(VLOOKUP($X10,Zyklus!$A$14:$U$68,9,FALSE)=0,"RPE 9",IF(VLOOKUP($X10,Übungsübersicht!$E$7:$M$83,3,FALSE)&lt;0.5,($BA10)-(1*0.5),(($Y10)-(1*(VLOOKUP($X10,Übungsübersicht!$E$7:$M$83,3,FALSE)))))))),"RPE 9")</f>
        <v>20</v>
      </c>
      <c r="BF10" s="652">
        <f t="shared" ca="1" si="1"/>
        <v>25</v>
      </c>
      <c r="BG10" s="652">
        <f ca="1">IFERROR(IF(VLOOKUP($X10,Zyklus!$A$14:$U$68,9,FALSE)=0,"RPE 9",IF(VLOOKUP($X10,Übungsübersicht!$E$7:$M$83,3,FALSE)&lt;0.5,($AY10)+(1*0.5),(($AY10)+(1*(VLOOKUP($X10,Übungsübersicht!$E$7:$M$83,3,FALSE)))))),"RPE 9")</f>
        <v>30</v>
      </c>
      <c r="BH10" s="652">
        <f ca="1">IFERROR(IF(VLOOKUP($X10,Zyklus!$A$14:$U$68,9,FALSE)=0,"RPE 9",IF(VLOOKUP($X10,Übungsübersicht!$E$7:$M$83,3,FALSE)&lt;0.5,($BA10)+(2*0.5),(($BA10)+(2*(VLOOKUP($X10,Übungsübersicht!$E$7:$M$83,3,FALSE)))))),"RPE 9")</f>
        <v>35</v>
      </c>
      <c r="BI10" s="652">
        <f ca="1">IFERROR(IF(VLOOKUP($X10,Zyklus!$A$14:$U$68,9,FALSE)=0,"RPE 9",IF(VLOOKUP($X10,Übungsübersicht!$E$7:$M$83,3,FALSE)&lt;0.5,($BA10)+(3*0.5),(($BA10)+(3*(VLOOKUP($X10,Übungsübersicht!$E$7:$M$83,3,FALSE)))))),"RPE 9")</f>
        <v>40</v>
      </c>
    </row>
    <row r="11" spans="1:61" ht="30" customHeight="1">
      <c r="A11" s="856">
        <v>0.25</v>
      </c>
      <c r="B11" s="854"/>
      <c r="D11" s="300"/>
      <c r="E11" s="300"/>
      <c r="F11" s="300"/>
      <c r="H11" s="285"/>
      <c r="I11" s="285"/>
      <c r="L11" s="305">
        <f ca="1">MATCH("GB+",OFFSET(Übungsübersicht!$J$8:$J$50,L10,0),0)+L10</f>
        <v>22</v>
      </c>
      <c r="M11" s="305" t="str" cm="1">
        <f t="array" aca="1" ref="M11" ca="1">IF(ISNA(INDEX(Übungsübersicht!$E$8:$E$83,L11)),"",INDEX(Übungsübersicht!$E$8:$E$83,L11))</f>
        <v>Latzug</v>
      </c>
      <c r="X11" s="651" t="str">
        <f ca="1">INDEX(OFFSET(Zyklus!$A$13,8,0),1)</f>
        <v>Trizeps Drücken</v>
      </c>
      <c r="Y11" s="652">
        <f ca="1">MROUND(INDEX(OFFSET(Zyklus!$I$13,8,0),1),(IF(VLOOKUP($X11,Übungsübersicht!$E$7:$K$80,3)=0,0.1,(VLOOKUP($X11,Übungsübersicht!$E$7:$K$80,3)))))</f>
        <v>42.5</v>
      </c>
      <c r="Z11" s="652"/>
      <c r="AA11" s="652">
        <f ca="1">IFERROR(IF($Y11=0,2*(VLOOKUP($X11,Übungsübersicht!$E$7:$M$83,3,FALSE)),IF($Y11&gt;100,(MROUND(($Y11*0.1),(VLOOKUP($X11,Übungsübersicht!$E$7:$M$83,3,FALSE)))),IF($Y11&gt;80,(MROUND(($Y11*0.1),(VLOOKUP($X11,Übungsübersicht!$E$7:$M$83,3,FALSE)))),IF($Y11&gt;50,(MROUND(($Y11*0.2),(VLOOKUP($X11,Übungsübersicht!$E$7:$M$83,3,FALSE)))),IF($Y11&gt;25,(MROUND(($Y11*0.3),(VLOOKUP($X11,Übungsübersicht!$E$7:$M$83,3,FALSE)))),IF($Y11&gt;15,(MROUND(($Y11*0.4),(VLOOKUP($X11,Übungsübersicht!$E$7:$M$83,3,FALSE)))),IF($Y11&gt;(VLOOKUP($X11,Übungsübersicht!$E$7:$M$83,3,FALSE)),(VLOOKUP($X11,Übungsübersicht!$E$7:$M$83,3,FALSE)),""))))))),2*(VLOOKUP($X11,Übungsübersicht!$E$7:$M$83,3,FALSE)))</f>
        <v>12.5</v>
      </c>
      <c r="AB11" s="652">
        <f ca="1">IFERROR(IF($Y11=0,4*(VLOOKUP($X11,Übungsübersicht!$E$7:$M$83,3,FALSE)),IF($Y11&gt;100,(MROUND(($Y11*0.3),(VLOOKUP($X11,Übungsübersicht!$E$7:$M$83,3,FALSE)))),IF($Y11&gt;80,(MROUND(($Y11*0.3),(VLOOKUP($X11,Übungsübersicht!$E$7:$M$83,3,FALSE)))),IF($Y11&gt;50,(MROUND(($Y11*0.4),(VLOOKUP($X11,Übungsübersicht!$E$7:$M$83,3,FALSE)))),IF($Y11&gt;25,(MROUND(($Y11*0.5),(VLOOKUP($X11,Übungsübersicht!$E$7:$M$83,3,FALSE)))),IF($Y11&gt;15,(MROUND(($Y11*0.6),(VLOOKUP($X11,Übungsübersicht!$E$7:$M$83,3,FALSE)))),IF($Y11&gt;(VLOOKUP($X11,Übungsübersicht!$E$7:$M$83,3,FALSE)),(VLOOKUP($X11,Übungsübersicht!$E$7:$M$83,3,FALSE)),""))))))),4*(VLOOKUP($X11,Übungsübersicht!$E$7:$M$83,3,FALSE)))</f>
        <v>22.5</v>
      </c>
      <c r="AC11" s="652">
        <f ca="1">IFERROR((IF($Y11=0,8*(VLOOKUP($X11,Übungsübersicht!$E$7:$M$83,3,FALSE)),(($Y11)-(3*(VLOOKUP($X11,Übungsübersicht!$E$7:$M$83,3,FALSE)))))),8*(VLOOKUP($X11,Übungsübersicht!$E$7:$M$83,3,FALSE)))</f>
        <v>35</v>
      </c>
      <c r="AD11" s="652">
        <f ca="1">IFERROR(((IF($Y11=0,10*(VLOOKUP($X11,Übungsübersicht!$E$7:$M$83,3,FALSE)),($Y11)-(2*(VLOOKUP($X11,Übungsübersicht!$E$7:$M$83,3,FALSE)))))),10*(VLOOKUP($X11,Übungsübersicht!$E$7:$M$83,3,FALSE)))</f>
        <v>37.5</v>
      </c>
      <c r="AE11" s="652">
        <f ca="1">IFERROR(((IF($Y11=0,10*(VLOOKUP($X11,Übungsübersicht!$E$7:$M$83,3,FALSE)),($Y11)-(1*(VLOOKUP($X11,Übungsübersicht!$E$7:$M$83,3,FALSE)))))),10*(VLOOKUP($X11,Übungsübersicht!$E$7:$M$83,3,FALSE)))</f>
        <v>40</v>
      </c>
      <c r="AF11" s="652">
        <f ca="1">IFERROR(IF($Y11=0,20*(VLOOKUP($X11,Übungsübersicht!$E$7:$M$83,3,FALSE)),($Y11)),20*(VLOOKUP($X11,Übungsübersicht!$E$7:$M$83,3,FALSE)))</f>
        <v>42.5</v>
      </c>
      <c r="AG11" s="652">
        <f ca="1">IFERROR(IF($Y11=0,30*(VLOOKUP($X11,Übungsübersicht!$E$7:$M$83,3,FALSE)),($Y11)+(1*(VLOOKUP($X11,Übungsübersicht!$E$7:$M$83,3,FALSE)))),30*(VLOOKUP($X11,Übungsübersicht!$E$7:$M$83,3,FALSE)))</f>
        <v>45</v>
      </c>
      <c r="AH11" s="652">
        <f ca="1">IFERROR(IF($Y11=0,30*(VLOOKUP($X11,Übungsübersicht!$E$7:$M$83,3,FALSE)),($Y11)+(2*(VLOOKUP($X11,Übungsübersicht!$E$7:$M$83,3,FALSE)))),30*(VLOOKUP($X11,Übungsübersicht!$E$7:$M$83,3,FALSE)))</f>
        <v>47.5</v>
      </c>
      <c r="AI11" s="652">
        <f ca="1">IFERROR(IF($Y11=0,30*(VLOOKUP($X11,Übungsübersicht!$E$7:$M$83,3,FALSE)),($Y11)+(3*(VLOOKUP($X11,Übungsübersicht!$E$7:$M$83,3,FALSE)))),30*(VLOOKUP($X11,Übungsübersicht!$E$7:$M$83,3,FALSE)))</f>
        <v>50</v>
      </c>
      <c r="AJ11" s="652">
        <f ca="1">IFERROR(IF($Y11=0,40*(VLOOKUP($X11,Übungsübersicht!$E$7:$M$83,3,FALSE)),IF($Y11&gt;100,(MROUND(($Y11*1.7),(VLOOKUP($X11,Übungsübersicht!$E$7:$M$83,3,FALSE)))),IF($Y11&gt;80,(MROUND(($Y11*1.7),(VLOOKUP($X11,Übungsübersicht!$E$7:$M$83,3,FALSE)))),IF($Y11&gt;50,(MROUND(($Y11*1.6),(VLOOKUP($X11,Übungsübersicht!$E$7:$M$83,3,FALSE)))),IF($Y11&gt;25,(MROUND(($Y11*1.5),(VLOOKUP($X11,Übungsübersicht!$E$7:$M$83,3,FALSE)))),IF($Y11&gt;15,(MROUND(($Y11*1.4),(VLOOKUP($X11,Übungsübersicht!$E$7:$M$83,3,FALSE)))),IF($Y11&gt;(VLOOKUP($X11,Übungsübersicht!$E$7:$M$83,3,FALSE)),30*(VLOOKUP($X11,Übungsübersicht!$E$7:$M$83,3,FALSE)),""))))))),40*(VLOOKUP($X11,Übungsübersicht!$E$7:$M$83,3,FALSE)))</f>
        <v>65</v>
      </c>
      <c r="AK11" s="653">
        <f ca="1">IFERROR(IF($Y11=0,50*(VLOOKUP($X11,Übungsübersicht!$E$7:$M$83,3,FALSE)),IF($Y11&gt;100,(MROUND(($Y11*1.9),(VLOOKUP($X11,Übungsübersicht!$E$7:$M$83,3,FALSE)))),IF($Y11&gt;80,(MROUND(($Y11*1.9),(VLOOKUP($X11,Übungsübersicht!$E$7:$M$83,3,FALSE)))),IF($Y11&gt;50,(MROUND(($Y11*1.8),(VLOOKUP($X11,Übungsübersicht!$E$7:$M$83,3,FALSE)))),IF($Y11&gt;25,(MROUND(($Y11*1.7),(VLOOKUP($X11,Übungsübersicht!$E$7:$M$83,3,FALSE)))),IF($Y11&gt;15,(MROUND(($Y11*1.6),(VLOOKUP($X11,Übungsübersicht!$E$7:$M$83,3,FALSE)))),IF($Y11&gt;(VLOOKUP($X11,Übungsübersicht!$E$7:$M$83,3,FALSE)),40*(VLOOKUP($X11,Übungsübersicht!$E$7:$M$83,3,FALSE)),""))))))),50*(VLOOKUP($X11,Übungsübersicht!$E$7:$M$83,3,FALSE)))</f>
        <v>72.5</v>
      </c>
      <c r="AN11" s="652">
        <f ca="1">MROUND(INDEX(OFFSET(Zyklus!$M$13,8,0),1),(IF(VLOOKUP($X11,Übungsübersicht!$E$7:$K$80,3)=0,0.1,(VLOOKUP($X11,Übungsübersicht!$E$7:$K$80,3)))))</f>
        <v>42.5</v>
      </c>
      <c r="AP11" s="655">
        <f ca="1">IFERROR(IF(IF(VLOOKUP($X11,Zyklus!$A$14:$U$68,9,FALSE)=0,"RPE 8",IF(VLOOKUP($X11,Übungsübersicht!$E$7:$M$83,3,FALSE)&lt;0.5,($AN11)-(3*0.5),(($AN11)-(3*(VLOOKUP($X11,Übungsübersicht!$E$7:$M$83,3,FALSE))))))&lt;1,0,(IF(VLOOKUP($X11,Zyklus!$A$14:$U$68,9,FALSE)=0,"RPE 8",IF(VLOOKUP($X11,Übungsübersicht!$E$7:$M$83,3,FALSE)&lt;0.5,($AN11)-(3*0.5),(($AN11)-(3*(VLOOKUP($X11,Übungsübersicht!$E$7:$M$83,3,FALSE)))))))),"RPE 8")</f>
        <v>35</v>
      </c>
      <c r="AQ11" s="655">
        <f ca="1">IFERROR(IF(IF(VLOOKUP($X11,Zyklus!$A$14:$U$68,9,FALSE)=0,"RPE 8",IF(VLOOKUP($X11,Übungsübersicht!$E$7:$M$83,3,FALSE)&lt;0.5,($AN11)-(2*0.5),(($AN11)-(2*(VLOOKUP($X11,Übungsübersicht!$E$7:$M$83,3,FALSE))))))&lt;1,0,(IF(VLOOKUP($X11,Zyklus!$A$14:$U$68,9,FALSE)=0,"RPE 8",IF(VLOOKUP($X11,Übungsübersicht!$E$7:$M$83,3,FALSE)&lt;0.5,($AN11)-(2*0.5),(($AN11)-(2*(VLOOKUP($X11,Übungsübersicht!$E$7:$M$83,3,FALSE)))))))),"RPE 8")</f>
        <v>37.5</v>
      </c>
      <c r="AR11" s="655">
        <f ca="1">IFERROR(IF(IF(VLOOKUP($X11,Zyklus!$A$14:$U$68,9,FALSE)=0,"RPE 8",IF(VLOOKUP($X11,Übungsübersicht!$E$7:$M$83,3,FALSE)&lt;0.5,($AN11)-(1*0.5),(($Y11)-(1*(VLOOKUP($X11,Übungsübersicht!$E$7:$M$83,3,FALSE))))))&lt;1,0,(IF(VLOOKUP($X11,Zyklus!$A$14:$U$68,9,FALSE)=0,"RPE 8",IF(VLOOKUP($X11,Übungsübersicht!$E$7:$M$83,3,FALSE)&lt;0.5,($AN11)-(1*0.5),(($Y11)-(1*(VLOOKUP($X11,Übungsübersicht!$E$7:$M$83,3,FALSE)))))))),"RPE 8")</f>
        <v>40</v>
      </c>
      <c r="AS11" s="655">
        <f t="shared" ca="1" si="0"/>
        <v>42.5</v>
      </c>
      <c r="AT11" s="655">
        <f ca="1">IFERROR(IF(VLOOKUP($X11,Zyklus!$A$14:$U$68,9,FALSE)=0,"RPE 8",IF(VLOOKUP($X11,Übungsübersicht!$E$7:$M$83,3,FALSE)&lt;0.5,($AN11)+(1*0.5),(($Y11)+(1*(VLOOKUP($X11,Übungsübersicht!$E$7:$M$83,3,FALSE)))))),"RPE 8")</f>
        <v>45</v>
      </c>
      <c r="AU11" s="655">
        <f ca="1">IFERROR(IF(VLOOKUP($X11,Zyklus!$A$14:$U$68,9,FALSE)=0,"RPE 8",IF(VLOOKUP($X11,Übungsübersicht!$E$7:$M$83,3,FALSE)&lt;0.5,($AN11)+(2*0.5),(($AN11)+(2*(VLOOKUP($X11,Übungsübersicht!$E$7:$M$83,3,FALSE)))))),"RPE 8")</f>
        <v>47.5</v>
      </c>
      <c r="AV11" s="655">
        <f ca="1">IFERROR(IF(VLOOKUP($X11,Zyklus!$A$14:$U$68,9,FALSE)=0,"RPE 8",IF(VLOOKUP($X11,Übungsübersicht!$E$7:$M$83,3,FALSE)&lt;0.5,($AN11)+(3*0.5),(($AN11)+(3*(VLOOKUP($X11,Übungsübersicht!$E$7:$M$83,3,FALSE)))))),"RPE 8")</f>
        <v>50</v>
      </c>
      <c r="AY11" s="652">
        <f ca="1">MROUND(INDEX(OFFSET(Zyklus!$M$13,8,0),1),(IF(VLOOKUP($X11,Übungsübersicht!$E$7:$K$80,3)=0,0.1,(VLOOKUP($X11,Übungsübersicht!$E$7:$K$80,3)))))</f>
        <v>42.5</v>
      </c>
      <c r="BA11" s="655">
        <f ca="1">MROUND(INDEX(OFFSET(Zyklus!$Q$13,8,0),1),(IF(VLOOKUP($X11,Übungsübersicht!$E$7:$K$80,3)=0,0.1,(VLOOKUP($X11,Übungsübersicht!$E$7:$K$80,3)))))</f>
        <v>42.5</v>
      </c>
      <c r="BC11" s="655">
        <f ca="1">IFERROR(IF(IF(VLOOKUP($X11,Zyklus!$A$14:$U$68,9,FALSE)=0,"RPE 9",IF(VLOOKUP($X11,Übungsübersicht!$E$7:$M$83,3,FALSE)&lt;0.5,($BA11)-(3*0.5),(($BA11)-(3*(VLOOKUP($X11,Übungsübersicht!$E$7:$M$83,3,FALSE))))))&lt;1,0,(IF(VLOOKUP($X11,Zyklus!$A$14:$U$68,9,FALSE)=0,"RPE 9",IF(VLOOKUP($X11,Übungsübersicht!$E$7:$M$83,3,FALSE)&lt;0.5,($BA11)-(3*0.5),(($BA11)-(3*(VLOOKUP($X11,Übungsübersicht!$E$7:$M$83,3,FALSE)))))))),"RPE 9")</f>
        <v>35</v>
      </c>
      <c r="BD11" s="655">
        <f ca="1">IFERROR(IF(IF(VLOOKUP($X11,Zyklus!$A$14:$U$68,9,FALSE)=0,"RPE 9",IF(VLOOKUP($X11,Übungsübersicht!$E$7:$M$83,3,FALSE)&lt;0.5,($BA11)-(2*0.5),(($BA11)-(2*(VLOOKUP($X11,Übungsübersicht!$E$7:$M$83,3,FALSE))))))&lt;1,0,(IF(VLOOKUP($X11,Zyklus!$A$14:$U$68,9,FALSE)=0,"RPE 9",IF(VLOOKUP($X11,Übungsübersicht!$E$7:$M$83,3,FALSE)&lt;0.5,($BA11)-(2*0.5),(($BA11)-(2*(VLOOKUP($X11,Übungsübersicht!$E$7:$M$83,3,FALSE)))))))),"RPE 9")</f>
        <v>37.5</v>
      </c>
      <c r="BE11" s="655">
        <f ca="1">IFERROR(IF(IF(VLOOKUP($X11,Zyklus!$A$14:$U$68,9,FALSE)=0,"RPE 9",IF(VLOOKUP($X11,Übungsübersicht!$E$7:$M$83,3,FALSE)&lt;0.5,($BA11)-(1*0.5),(($Y11)-(1*(VLOOKUP($X11,Übungsübersicht!$E$7:$M$83,3,FALSE))))))&lt;1,0,(IF(VLOOKUP($X11,Zyklus!$A$14:$U$68,9,FALSE)=0,"RPE 9",IF(VLOOKUP($X11,Übungsübersicht!$E$7:$M$83,3,FALSE)&lt;0.5,($BA11)-(1*0.5),(($Y11)-(1*(VLOOKUP($X11,Übungsübersicht!$E$7:$M$83,3,FALSE)))))))),"RPE 9")</f>
        <v>40</v>
      </c>
      <c r="BF11" s="655">
        <f t="shared" ca="1" si="1"/>
        <v>42.5</v>
      </c>
      <c r="BG11" s="655">
        <f ca="1">IFERROR(IF(VLOOKUP($X11,Zyklus!$A$14:$U$68,9,FALSE)=0,"RPE 9",IF(VLOOKUP($X11,Übungsübersicht!$E$7:$M$83,3,FALSE)&lt;0.5,($AY11)+(1*0.5),(($AY11)+(1*(VLOOKUP($X11,Übungsübersicht!$E$7:$M$83,3,FALSE)))))),"RPE 9")</f>
        <v>45</v>
      </c>
      <c r="BH11" s="655">
        <f ca="1">IFERROR(IF(VLOOKUP($X11,Zyklus!$A$14:$U$68,9,FALSE)=0,"RPE 9",IF(VLOOKUP($X11,Übungsübersicht!$E$7:$M$83,3,FALSE)&lt;0.5,($BA11)+(2*0.5),(($BA11)+(2*(VLOOKUP($X11,Übungsübersicht!$E$7:$M$83,3,FALSE)))))),"RPE 9")</f>
        <v>47.5</v>
      </c>
      <c r="BI11" s="655">
        <f ca="1">IFERROR(IF(VLOOKUP($X11,Zyklus!$A$14:$U$68,9,FALSE)=0,"RPE 9",IF(VLOOKUP($X11,Übungsübersicht!$E$7:$M$83,3,FALSE)&lt;0.5,($BA11)+(3*0.5),(($BA11)+(3*(VLOOKUP($X11,Übungsübersicht!$E$7:$M$83,3,FALSE)))))),"RPE 9")</f>
        <v>50</v>
      </c>
    </row>
    <row r="12" spans="1:61" ht="30" customHeight="1">
      <c r="A12" s="857">
        <v>0.5</v>
      </c>
      <c r="B12" s="854"/>
      <c r="D12" s="301"/>
      <c r="E12" s="301"/>
      <c r="F12" s="301"/>
      <c r="H12" s="284"/>
      <c r="I12" s="284"/>
      <c r="L12" s="303">
        <f ca="1">MATCH("GB+",OFFSET(Übungsübersicht!$J$8:$J$50,L11,0),0)+L11</f>
        <v>24</v>
      </c>
      <c r="M12" s="304" t="str" cm="1">
        <f t="array" aca="1" ref="M12" ca="1">IF(ISNA(INDEX(Übungsübersicht!$E$8:$E$83,L12)),"",INDEX(Übungsübersicht!$E$8:$E$83,L12))</f>
        <v>LH Bankdrücken</v>
      </c>
      <c r="X12" s="654" t="str">
        <f ca="1">INDEX(OFFSET(Zyklus!$A$13,9,0),1)</f>
        <v>Bizeps Curls</v>
      </c>
      <c r="Y12" s="655">
        <f ca="1">MROUND(INDEX(OFFSET(Zyklus!$I$13,9,0),1),(IF(VLOOKUP($X12,Übungsübersicht!$E$7:$K$80,3)=0,0.1,(VLOOKUP($X12,Übungsübersicht!$E$7:$K$80,3)))))</f>
        <v>20</v>
      </c>
      <c r="Z12" s="655"/>
      <c r="AA12" s="655">
        <f ca="1">IFERROR(IF($Y12=0,2*(VLOOKUP($X12,Übungsübersicht!$E$7:$M$83,3,FALSE)),IF($Y12&gt;100,(MROUND(($Y12*0.1),(VLOOKUP($X12,Übungsübersicht!$E$7:$M$83,3,FALSE)))),IF($Y12&gt;80,(MROUND(($Y12*0.1),(VLOOKUP($X12,Übungsübersicht!$E$7:$M$83,3,FALSE)))),IF($Y12&gt;50,(MROUND(($Y12*0.2),(VLOOKUP($X12,Übungsübersicht!$E$7:$M$83,3,FALSE)))),IF($Y12&gt;25,(MROUND(($Y12*0.3),(VLOOKUP($X12,Übungsübersicht!$E$7:$M$83,3,FALSE)))),IF($Y12&gt;15,(MROUND(($Y12*0.4),(VLOOKUP($X12,Übungsübersicht!$E$7:$M$83,3,FALSE)))),IF($Y12&gt;(VLOOKUP($X12,Übungsübersicht!$E$7:$M$83,3,FALSE)),(VLOOKUP($X12,Übungsübersicht!$E$7:$M$83,3,FALSE)),""))))))),2*(VLOOKUP($X12,Übungsübersicht!$E$7:$M$83,3,FALSE)))</f>
        <v>8</v>
      </c>
      <c r="AB12" s="655">
        <f ca="1">IFERROR(IF($Y12=0,4*(VLOOKUP($X12,Übungsübersicht!$E$7:$M$83,3,FALSE)),IF($Y12&gt;100,(MROUND(($Y12*0.3),(VLOOKUP($X12,Übungsübersicht!$E$7:$M$83,3,FALSE)))),IF($Y12&gt;80,(MROUND(($Y12*0.3),(VLOOKUP($X12,Übungsübersicht!$E$7:$M$83,3,FALSE)))),IF($Y12&gt;50,(MROUND(($Y12*0.4),(VLOOKUP($X12,Übungsübersicht!$E$7:$M$83,3,FALSE)))),IF($Y12&gt;25,(MROUND(($Y12*0.5),(VLOOKUP($X12,Übungsübersicht!$E$7:$M$83,3,FALSE)))),IF($Y12&gt;15,(MROUND(($Y12*0.6),(VLOOKUP($X12,Übungsübersicht!$E$7:$M$83,3,FALSE)))),IF($Y12&gt;(VLOOKUP($X12,Übungsübersicht!$E$7:$M$83,3,FALSE)),(VLOOKUP($X12,Übungsübersicht!$E$7:$M$83,3,FALSE)),""))))))),4*(VLOOKUP($X12,Übungsübersicht!$E$7:$M$83,3,FALSE)))</f>
        <v>12</v>
      </c>
      <c r="AC12" s="655">
        <f ca="1">IFERROR((IF($Y12=0,8*(VLOOKUP($X12,Übungsübersicht!$E$7:$M$83,3,FALSE)),(($Y12)-(3*(VLOOKUP($X12,Übungsübersicht!$E$7:$M$83,3,FALSE)))))),8*(VLOOKUP($X12,Übungsübersicht!$E$7:$M$83,3,FALSE)))</f>
        <v>14</v>
      </c>
      <c r="AD12" s="655">
        <f ca="1">IFERROR(((IF($Y12=0,10*(VLOOKUP($X12,Übungsübersicht!$E$7:$M$83,3,FALSE)),($Y12)-(2*(VLOOKUP($X12,Übungsübersicht!$E$7:$M$83,3,FALSE)))))),10*(VLOOKUP($X12,Übungsübersicht!$E$7:$M$83,3,FALSE)))</f>
        <v>16</v>
      </c>
      <c r="AE12" s="655">
        <f ca="1">IFERROR(((IF($Y12=0,10*(VLOOKUP($X12,Übungsübersicht!$E$7:$M$83,3,FALSE)),($Y12)-(1*(VLOOKUP($X12,Übungsübersicht!$E$7:$M$83,3,FALSE)))))),10*(VLOOKUP($X12,Übungsübersicht!$E$7:$M$83,3,FALSE)))</f>
        <v>18</v>
      </c>
      <c r="AF12" s="655">
        <f ca="1">IFERROR(IF($Y12=0,20*(VLOOKUP($X12,Übungsübersicht!$E$7:$M$83,3,FALSE)),($Y12)),20*(VLOOKUP($X12,Übungsübersicht!$E$7:$M$83,3,FALSE)))</f>
        <v>20</v>
      </c>
      <c r="AG12" s="655">
        <f ca="1">IFERROR(IF($Y12=0,30*(VLOOKUP($X12,Übungsübersicht!$E$7:$M$83,3,FALSE)),($Y12)+(1*(VLOOKUP($X12,Übungsübersicht!$E$7:$M$83,3,FALSE)))),30*(VLOOKUP($X12,Übungsübersicht!$E$7:$M$83,3,FALSE)))</f>
        <v>22</v>
      </c>
      <c r="AH12" s="655">
        <f ca="1">IFERROR(IF($Y12=0,30*(VLOOKUP($X12,Übungsübersicht!$E$7:$M$83,3,FALSE)),($Y12)+(2*(VLOOKUP($X12,Übungsübersicht!$E$7:$M$83,3,FALSE)))),30*(VLOOKUP($X12,Übungsübersicht!$E$7:$M$83,3,FALSE)))</f>
        <v>24</v>
      </c>
      <c r="AI12" s="655">
        <f ca="1">IFERROR(IF($Y12=0,30*(VLOOKUP($X12,Übungsübersicht!$E$7:$M$83,3,FALSE)),($Y12)+(3*(VLOOKUP($X12,Übungsübersicht!$E$7:$M$83,3,FALSE)))),30*(VLOOKUP($X12,Übungsübersicht!$E$7:$M$83,3,FALSE)))</f>
        <v>26</v>
      </c>
      <c r="AJ12" s="655">
        <f ca="1">IFERROR(IF($Y12=0,40*(VLOOKUP($X12,Übungsübersicht!$E$7:$M$83,3,FALSE)),IF($Y12&gt;100,(MROUND(($Y12*1.7),(VLOOKUP($X12,Übungsübersicht!$E$7:$M$83,3,FALSE)))),IF($Y12&gt;80,(MROUND(($Y12*1.7),(VLOOKUP($X12,Übungsübersicht!$E$7:$M$83,3,FALSE)))),IF($Y12&gt;50,(MROUND(($Y12*1.6),(VLOOKUP($X12,Übungsübersicht!$E$7:$M$83,3,FALSE)))),IF($Y12&gt;25,(MROUND(($Y12*1.5),(VLOOKUP($X12,Übungsübersicht!$E$7:$M$83,3,FALSE)))),IF($Y12&gt;15,(MROUND(($Y12*1.4),(VLOOKUP($X12,Übungsübersicht!$E$7:$M$83,3,FALSE)))),IF($Y12&gt;(VLOOKUP($X12,Übungsübersicht!$E$7:$M$83,3,FALSE)),30*(VLOOKUP($X12,Übungsübersicht!$E$7:$M$83,3,FALSE)),""))))))),40*(VLOOKUP($X12,Übungsübersicht!$E$7:$M$83,3,FALSE)))</f>
        <v>28</v>
      </c>
      <c r="AK12" s="656">
        <f ca="1">IFERROR(IF($Y12=0,50*(VLOOKUP($X12,Übungsübersicht!$E$7:$M$83,3,FALSE)),IF($Y12&gt;100,(MROUND(($Y12*1.9),(VLOOKUP($X12,Übungsübersicht!$E$7:$M$83,3,FALSE)))),IF($Y12&gt;80,(MROUND(($Y12*1.9),(VLOOKUP($X12,Übungsübersicht!$E$7:$M$83,3,FALSE)))),IF($Y12&gt;50,(MROUND(($Y12*1.8),(VLOOKUP($X12,Übungsübersicht!$E$7:$M$83,3,FALSE)))),IF($Y12&gt;25,(MROUND(($Y12*1.7),(VLOOKUP($X12,Übungsübersicht!$E$7:$M$83,3,FALSE)))),IF($Y12&gt;15,(MROUND(($Y12*1.6),(VLOOKUP($X12,Übungsübersicht!$E$7:$M$83,3,FALSE)))),IF($Y12&gt;(VLOOKUP($X12,Übungsübersicht!$E$7:$M$83,3,FALSE)),40*(VLOOKUP($X12,Übungsübersicht!$E$7:$M$83,3,FALSE)),""))))))),50*(VLOOKUP($X12,Übungsübersicht!$E$7:$M$83,3,FALSE)))</f>
        <v>32</v>
      </c>
      <c r="AN12" s="655">
        <f ca="1">MROUND(INDEX(OFFSET(Zyklus!$M$13,9,0),1),(IF(VLOOKUP($X12,Übungsübersicht!$E$7:$K$80,3)=0,0.1,(VLOOKUP($X12,Übungsübersicht!$E$7:$K$80,3)))))</f>
        <v>20</v>
      </c>
      <c r="AP12" s="652">
        <f ca="1">IFERROR(IF(IF(VLOOKUP($X12,Zyklus!$A$14:$U$68,9,FALSE)=0,"RPE 8",IF(VLOOKUP($X12,Übungsübersicht!$E$7:$M$83,3,FALSE)&lt;0.5,($AN12)-(3*0.5),(($AN12)-(3*(VLOOKUP($X12,Übungsübersicht!$E$7:$M$83,3,FALSE))))))&lt;1,0,(IF(VLOOKUP($X12,Zyklus!$A$14:$U$68,9,FALSE)=0,"RPE 8",IF(VLOOKUP($X12,Übungsübersicht!$E$7:$M$83,3,FALSE)&lt;0.5,($AN12)-(3*0.5),(($AN12)-(3*(VLOOKUP($X12,Übungsübersicht!$E$7:$M$83,3,FALSE)))))))),"RPE 8")</f>
        <v>14</v>
      </c>
      <c r="AQ12" s="652">
        <f ca="1">IFERROR(IF(IF(VLOOKUP($X12,Zyklus!$A$14:$U$68,9,FALSE)=0,"RPE 8",IF(VLOOKUP($X12,Übungsübersicht!$E$7:$M$83,3,FALSE)&lt;0.5,($AN12)-(2*0.5),(($AN12)-(2*(VLOOKUP($X12,Übungsübersicht!$E$7:$M$83,3,FALSE))))))&lt;1,0,(IF(VLOOKUP($X12,Zyklus!$A$14:$U$68,9,FALSE)=0,"RPE 8",IF(VLOOKUP($X12,Übungsübersicht!$E$7:$M$83,3,FALSE)&lt;0.5,($AN12)-(2*0.5),(($AN12)-(2*(VLOOKUP($X12,Übungsübersicht!$E$7:$M$83,3,FALSE)))))))),"RPE 8")</f>
        <v>16</v>
      </c>
      <c r="AR12" s="652">
        <f ca="1">IFERROR(IF(IF(VLOOKUP($X12,Zyklus!$A$14:$U$68,9,FALSE)=0,"RPE 8",IF(VLOOKUP($X12,Übungsübersicht!$E$7:$M$83,3,FALSE)&lt;0.5,($AN12)-(1*0.5),(($Y12)-(1*(VLOOKUP($X12,Übungsübersicht!$E$7:$M$83,3,FALSE))))))&lt;1,0,(IF(VLOOKUP($X12,Zyklus!$A$14:$U$68,9,FALSE)=0,"RPE 8",IF(VLOOKUP($X12,Übungsübersicht!$E$7:$M$83,3,FALSE)&lt;0.5,($AN12)-(1*0.5),(($Y12)-(1*(VLOOKUP($X12,Übungsübersicht!$E$7:$M$83,3,FALSE)))))))),"RPE 8")</f>
        <v>18</v>
      </c>
      <c r="AS12" s="652">
        <f t="shared" ca="1" si="0"/>
        <v>20</v>
      </c>
      <c r="AT12" s="652">
        <f ca="1">IFERROR(IF(VLOOKUP($X12,Zyklus!$A$14:$U$68,9,FALSE)=0,"RPE 8",IF(VLOOKUP($X12,Übungsübersicht!$E$7:$M$83,3,FALSE)&lt;0.5,($AN12)+(1*0.5),(($Y12)+(1*(VLOOKUP($X12,Übungsübersicht!$E$7:$M$83,3,FALSE)))))),"RPE 8")</f>
        <v>22</v>
      </c>
      <c r="AU12" s="652">
        <f ca="1">IFERROR(IF(VLOOKUP($X12,Zyklus!$A$14:$U$68,9,FALSE)=0,"RPE 8",IF(VLOOKUP($X12,Übungsübersicht!$E$7:$M$83,3,FALSE)&lt;0.5,($AN12)+(2*0.5),(($AN12)+(2*(VLOOKUP($X12,Übungsübersicht!$E$7:$M$83,3,FALSE)))))),"RPE 8")</f>
        <v>24</v>
      </c>
      <c r="AV12" s="652">
        <f ca="1">IFERROR(IF(VLOOKUP($X12,Zyklus!$A$14:$U$68,9,FALSE)=0,"RPE 8",IF(VLOOKUP($X12,Übungsübersicht!$E$7:$M$83,3,FALSE)&lt;0.5,($AN12)+(3*0.5),(($AN12)+(3*(VLOOKUP($X12,Übungsübersicht!$E$7:$M$83,3,FALSE)))))),"RPE 8")</f>
        <v>26</v>
      </c>
      <c r="AY12" s="655">
        <f ca="1">MROUND(INDEX(OFFSET(Zyklus!$M$13,9,0),1),(IF(VLOOKUP($X12,Übungsübersicht!$E$7:$K$80,3)=0,0.1,(VLOOKUP($X12,Übungsübersicht!$E$7:$K$80,3)))))</f>
        <v>20</v>
      </c>
      <c r="BA12" s="652">
        <f ca="1">MROUND(INDEX(OFFSET(Zyklus!$Q$13,9,0),1),(IF(VLOOKUP($X12,Übungsübersicht!$E$7:$K$80,3)=0,0.1,(VLOOKUP($X12,Übungsübersicht!$E$7:$K$80,3)))))</f>
        <v>20</v>
      </c>
      <c r="BC12" s="652">
        <f ca="1">IFERROR(IF(IF(VLOOKUP($X12,Zyklus!$A$14:$U$68,9,FALSE)=0,"RPE 9",IF(VLOOKUP($X12,Übungsübersicht!$E$7:$M$83,3,FALSE)&lt;0.5,($BA12)-(3*0.5),(($BA12)-(3*(VLOOKUP($X12,Übungsübersicht!$E$7:$M$83,3,FALSE))))))&lt;1,0,(IF(VLOOKUP($X12,Zyklus!$A$14:$U$68,9,FALSE)=0,"RPE 9",IF(VLOOKUP($X12,Übungsübersicht!$E$7:$M$83,3,FALSE)&lt;0.5,($BA12)-(3*0.5),(($BA12)-(3*(VLOOKUP($X12,Übungsübersicht!$E$7:$M$83,3,FALSE)))))))),"RPE 9")</f>
        <v>14</v>
      </c>
      <c r="BD12" s="652">
        <f ca="1">IFERROR(IF(IF(VLOOKUP($X12,Zyklus!$A$14:$U$68,9,FALSE)=0,"RPE 9",IF(VLOOKUP($X12,Übungsübersicht!$E$7:$M$83,3,FALSE)&lt;0.5,($BA12)-(2*0.5),(($BA12)-(2*(VLOOKUP($X12,Übungsübersicht!$E$7:$M$83,3,FALSE))))))&lt;1,0,(IF(VLOOKUP($X12,Zyklus!$A$14:$U$68,9,FALSE)=0,"RPE 9",IF(VLOOKUP($X12,Übungsübersicht!$E$7:$M$83,3,FALSE)&lt;0.5,($BA12)-(2*0.5),(($BA12)-(2*(VLOOKUP($X12,Übungsübersicht!$E$7:$M$83,3,FALSE)))))))),"RPE 9")</f>
        <v>16</v>
      </c>
      <c r="BE12" s="652">
        <f ca="1">IFERROR(IF(IF(VLOOKUP($X12,Zyklus!$A$14:$U$68,9,FALSE)=0,"RPE 9",IF(VLOOKUP($X12,Übungsübersicht!$E$7:$M$83,3,FALSE)&lt;0.5,($BA12)-(1*0.5),(($Y12)-(1*(VLOOKUP($X12,Übungsübersicht!$E$7:$M$83,3,FALSE))))))&lt;1,0,(IF(VLOOKUP($X12,Zyklus!$A$14:$U$68,9,FALSE)=0,"RPE 9",IF(VLOOKUP($X12,Übungsübersicht!$E$7:$M$83,3,FALSE)&lt;0.5,($BA12)-(1*0.5),(($Y12)-(1*(VLOOKUP($X12,Übungsübersicht!$E$7:$M$83,3,FALSE)))))))),"RPE 9")</f>
        <v>18</v>
      </c>
      <c r="BF12" s="652">
        <f t="shared" ca="1" si="1"/>
        <v>20</v>
      </c>
      <c r="BG12" s="652">
        <f ca="1">IFERROR(IF(VLOOKUP($X12,Zyklus!$A$14:$U$68,9,FALSE)=0,"RPE 9",IF(VLOOKUP($X12,Übungsübersicht!$E$7:$M$83,3,FALSE)&lt;0.5,($AY12)+(1*0.5),(($AY12)+(1*(VLOOKUP($X12,Übungsübersicht!$E$7:$M$83,3,FALSE)))))),"RPE 9")</f>
        <v>22</v>
      </c>
      <c r="BH12" s="652">
        <f ca="1">IFERROR(IF(VLOOKUP($X12,Zyklus!$A$14:$U$68,9,FALSE)=0,"RPE 9",IF(VLOOKUP($X12,Übungsübersicht!$E$7:$M$83,3,FALSE)&lt;0.5,($BA12)+(2*0.5),(($BA12)+(2*(VLOOKUP($X12,Übungsübersicht!$E$7:$M$83,3,FALSE)))))),"RPE 9")</f>
        <v>24</v>
      </c>
      <c r="BI12" s="652">
        <f ca="1">IFERROR(IF(VLOOKUP($X12,Zyklus!$A$14:$U$68,9,FALSE)=0,"RPE 9",IF(VLOOKUP($X12,Übungsübersicht!$E$7:$M$83,3,FALSE)&lt;0.5,($BA12)+(3*0.5),(($BA12)+(3*(VLOOKUP($X12,Übungsübersicht!$E$7:$M$83,3,FALSE)))))),"RPE 9")</f>
        <v>26</v>
      </c>
    </row>
    <row r="13" spans="1:61" ht="30" customHeight="1">
      <c r="A13" s="856">
        <v>1</v>
      </c>
      <c r="B13" s="854"/>
      <c r="D13" s="300"/>
      <c r="E13" s="300"/>
      <c r="F13" s="300"/>
      <c r="H13" s="285"/>
      <c r="I13" s="285"/>
      <c r="L13" s="305">
        <f ca="1">MATCH("GB+",OFFSET(Übungsübersicht!$J$8:$J$50,L12,0),0)+L12</f>
        <v>25</v>
      </c>
      <c r="M13" s="305" t="str" cm="1">
        <f t="array" aca="1" ref="M13" ca="1">IF(ISNA(INDEX(Übungsübersicht!$E$8:$E$83,L13)),"",INDEX(Übungsübersicht!$E$8:$E$83,L13))</f>
        <v>LH Rudern</v>
      </c>
      <c r="O13" s="631" t="s">
        <v>349</v>
      </c>
      <c r="R13" s="1037" t="s">
        <v>354</v>
      </c>
      <c r="S13" s="1038"/>
      <c r="U13" s="629" t="s">
        <v>355</v>
      </c>
      <c r="X13" s="651">
        <f ca="1">INDEX(OFFSET(Zyklus!$A$13,10,0),1)</f>
        <v>0</v>
      </c>
      <c r="Y13" s="652" t="e">
        <f ca="1">MROUND(INDEX(OFFSET(Zyklus!$I$13,10,0),1),(IF(VLOOKUP($X13,Übungsübersicht!$E$7:$K$80,3)=0,0.1,(VLOOKUP($X13,Übungsübersicht!$E$7:$K$80,3)))))</f>
        <v>#N/A</v>
      </c>
      <c r="Z13" s="652"/>
      <c r="AA13" s="652" t="e">
        <f ca="1">IFERROR(IF($Y13=0,2*(VLOOKUP($X13,Übungsübersicht!$E$7:$M$83,3,FALSE)),IF($Y13&gt;100,(MROUND(($Y13*0.1),(VLOOKUP($X13,Übungsübersicht!$E$7:$M$83,3,FALSE)))),IF($Y13&gt;80,(MROUND(($Y13*0.1),(VLOOKUP($X13,Übungsübersicht!$E$7:$M$83,3,FALSE)))),IF($Y13&gt;50,(MROUND(($Y13*0.2),(VLOOKUP($X13,Übungsübersicht!$E$7:$M$83,3,FALSE)))),IF($Y13&gt;25,(MROUND(($Y13*0.3),(VLOOKUP($X13,Übungsübersicht!$E$7:$M$83,3,FALSE)))),IF($Y13&gt;15,(MROUND(($Y13*0.4),(VLOOKUP($X13,Übungsübersicht!$E$7:$M$83,3,FALSE)))),IF($Y13&gt;(VLOOKUP($X13,Übungsübersicht!$E$7:$M$83,3,FALSE)),(VLOOKUP($X13,Übungsübersicht!$E$7:$M$83,3,FALSE)),""))))))),2*(VLOOKUP($X13,Übungsübersicht!$E$7:$M$83,3,FALSE)))</f>
        <v>#N/A</v>
      </c>
      <c r="AB13" s="652" t="e">
        <f ca="1">IFERROR(IF($Y13=0,4*(VLOOKUP($X13,Übungsübersicht!$E$7:$M$83,3,FALSE)),IF($Y13&gt;100,(MROUND(($Y13*0.3),(VLOOKUP($X13,Übungsübersicht!$E$7:$M$83,3,FALSE)))),IF($Y13&gt;80,(MROUND(($Y13*0.3),(VLOOKUP($X13,Übungsübersicht!$E$7:$M$83,3,FALSE)))),IF($Y13&gt;50,(MROUND(($Y13*0.4),(VLOOKUP($X13,Übungsübersicht!$E$7:$M$83,3,FALSE)))),IF($Y13&gt;25,(MROUND(($Y13*0.5),(VLOOKUP($X13,Übungsübersicht!$E$7:$M$83,3,FALSE)))),IF($Y13&gt;15,(MROUND(($Y13*0.6),(VLOOKUP($X13,Übungsübersicht!$E$7:$M$83,3,FALSE)))),IF($Y13&gt;(VLOOKUP($X13,Übungsübersicht!$E$7:$M$83,3,FALSE)),(VLOOKUP($X13,Übungsübersicht!$E$7:$M$83,3,FALSE)),""))))))),4*(VLOOKUP($X13,Übungsübersicht!$E$7:$M$83,3,FALSE)))</f>
        <v>#N/A</v>
      </c>
      <c r="AC13" s="652" t="e">
        <f ca="1">IFERROR((IF($Y13=0,8*(VLOOKUP($X13,Übungsübersicht!$E$7:$M$83,3,FALSE)),(($Y13)-(3*(VLOOKUP($X13,Übungsübersicht!$E$7:$M$83,3,FALSE)))))),8*(VLOOKUP($X13,Übungsübersicht!$E$7:$M$83,3,FALSE)))</f>
        <v>#N/A</v>
      </c>
      <c r="AD13" s="652" t="e">
        <f ca="1">IFERROR(((IF($Y13=0,10*(VLOOKUP($X13,Übungsübersicht!$E$7:$M$83,3,FALSE)),($Y13)-(2*(VLOOKUP($X13,Übungsübersicht!$E$7:$M$83,3,FALSE)))))),10*(VLOOKUP($X13,Übungsübersicht!$E$7:$M$83,3,FALSE)))</f>
        <v>#N/A</v>
      </c>
      <c r="AE13" s="652" t="e">
        <f ca="1">IFERROR(((IF($Y13=0,10*(VLOOKUP($X13,Übungsübersicht!$E$7:$M$83,3,FALSE)),($Y13)-(1*(VLOOKUP($X13,Übungsübersicht!$E$7:$M$83,3,FALSE)))))),10*(VLOOKUP($X13,Übungsübersicht!$E$7:$M$83,3,FALSE)))</f>
        <v>#N/A</v>
      </c>
      <c r="AF13" s="652" t="e">
        <f ca="1">IFERROR(IF($Y13=0,20*(VLOOKUP($X13,Übungsübersicht!$E$7:$M$83,3,FALSE)),($Y13)),20*(VLOOKUP($X13,Übungsübersicht!$E$7:$M$83,3,FALSE)))</f>
        <v>#N/A</v>
      </c>
      <c r="AG13" s="652" t="e">
        <f ca="1">IFERROR(IF($Y13=0,30*(VLOOKUP($X13,Übungsübersicht!$E$7:$M$83,3,FALSE)),($Y13)+(1*(VLOOKUP($X13,Übungsübersicht!$E$7:$M$83,3,FALSE)))),30*(VLOOKUP($X13,Übungsübersicht!$E$7:$M$83,3,FALSE)))</f>
        <v>#N/A</v>
      </c>
      <c r="AH13" s="652" t="e">
        <f ca="1">IFERROR(IF($Y13=0,30*(VLOOKUP($X13,Übungsübersicht!$E$7:$M$83,3,FALSE)),($Y13)+(2*(VLOOKUP($X13,Übungsübersicht!$E$7:$M$83,3,FALSE)))),30*(VLOOKUP($X13,Übungsübersicht!$E$7:$M$83,3,FALSE)))</f>
        <v>#N/A</v>
      </c>
      <c r="AI13" s="652" t="e">
        <f ca="1">IFERROR(IF($Y13=0,30*(VLOOKUP($X13,Übungsübersicht!$E$7:$M$83,3,FALSE)),($Y13)+(3*(VLOOKUP($X13,Übungsübersicht!$E$7:$M$83,3,FALSE)))),30*(VLOOKUP($X13,Übungsübersicht!$E$7:$M$83,3,FALSE)))</f>
        <v>#N/A</v>
      </c>
      <c r="AJ13" s="652" t="e">
        <f ca="1">IFERROR(IF($Y13=0,40*(VLOOKUP($X13,Übungsübersicht!$E$7:$M$83,3,FALSE)),IF($Y13&gt;100,(MROUND(($Y13*1.7),(VLOOKUP($X13,Übungsübersicht!$E$7:$M$83,3,FALSE)))),IF($Y13&gt;80,(MROUND(($Y13*1.7),(VLOOKUP($X13,Übungsübersicht!$E$7:$M$83,3,FALSE)))),IF($Y13&gt;50,(MROUND(($Y13*1.6),(VLOOKUP($X13,Übungsübersicht!$E$7:$M$83,3,FALSE)))),IF($Y13&gt;25,(MROUND(($Y13*1.5),(VLOOKUP($X13,Übungsübersicht!$E$7:$M$83,3,FALSE)))),IF($Y13&gt;15,(MROUND(($Y13*1.4),(VLOOKUP($X13,Übungsübersicht!$E$7:$M$83,3,FALSE)))),IF($Y13&gt;(VLOOKUP($X13,Übungsübersicht!$E$7:$M$83,3,FALSE)),30*(VLOOKUP($X13,Übungsübersicht!$E$7:$M$83,3,FALSE)),""))))))),40*(VLOOKUP($X13,Übungsübersicht!$E$7:$M$83,3,FALSE)))</f>
        <v>#N/A</v>
      </c>
      <c r="AK13" s="653" t="e">
        <f ca="1">IFERROR(IF($Y13=0,50*(VLOOKUP($X13,Übungsübersicht!$E$7:$M$83,3,FALSE)),IF($Y13&gt;100,(MROUND(($Y13*1.9),(VLOOKUP($X13,Übungsübersicht!$E$7:$M$83,3,FALSE)))),IF($Y13&gt;80,(MROUND(($Y13*1.9),(VLOOKUP($X13,Übungsübersicht!$E$7:$M$83,3,FALSE)))),IF($Y13&gt;50,(MROUND(($Y13*1.8),(VLOOKUP($X13,Übungsübersicht!$E$7:$M$83,3,FALSE)))),IF($Y13&gt;25,(MROUND(($Y13*1.7),(VLOOKUP($X13,Übungsübersicht!$E$7:$M$83,3,FALSE)))),IF($Y13&gt;15,(MROUND(($Y13*1.6),(VLOOKUP($X13,Übungsübersicht!$E$7:$M$83,3,FALSE)))),IF($Y13&gt;(VLOOKUP($X13,Übungsübersicht!$E$7:$M$83,3,FALSE)),40*(VLOOKUP($X13,Übungsübersicht!$E$7:$M$83,3,FALSE)),""))))))),50*(VLOOKUP($X13,Übungsübersicht!$E$7:$M$83,3,FALSE)))</f>
        <v>#N/A</v>
      </c>
      <c r="AN13" s="652" t="e">
        <f ca="1">MROUND(INDEX(OFFSET(Zyklus!$M$13,10,0),1),(IF(VLOOKUP($X13,Übungsübersicht!$E$7:$K$80,3)=0,0.1,(VLOOKUP($X13,Übungsübersicht!$E$7:$K$80,3)))))</f>
        <v>#N/A</v>
      </c>
      <c r="AP13" s="655" t="str">
        <f ca="1">IFERROR(IF(IF(VLOOKUP($X13,Zyklus!$A$14:$U$68,9,FALSE)=0,"RPE 8",IF(VLOOKUP($X13,Übungsübersicht!$E$7:$M$83,3,FALSE)&lt;0.5,($AN13)-(3*0.5),(($AN13)-(3*(VLOOKUP($X13,Übungsübersicht!$E$7:$M$83,3,FALSE))))))&lt;1,0,(IF(VLOOKUP($X13,Zyklus!$A$14:$U$68,9,FALSE)=0,"RPE 8",IF(VLOOKUP($X13,Übungsübersicht!$E$7:$M$83,3,FALSE)&lt;0.5,($AN13)-(3*0.5),(($AN13)-(3*(VLOOKUP($X13,Übungsübersicht!$E$7:$M$83,3,FALSE)))))))),"RPE 8")</f>
        <v>RPE 8</v>
      </c>
      <c r="AQ13" s="655" t="str">
        <f ca="1">IFERROR(IF(IF(VLOOKUP($X13,Zyklus!$A$14:$U$68,9,FALSE)=0,"RPE 8",IF(VLOOKUP($X13,Übungsübersicht!$E$7:$M$83,3,FALSE)&lt;0.5,($AN13)-(2*0.5),(($AN13)-(2*(VLOOKUP($X13,Übungsübersicht!$E$7:$M$83,3,FALSE))))))&lt;1,0,(IF(VLOOKUP($X13,Zyklus!$A$14:$U$68,9,FALSE)=0,"RPE 8",IF(VLOOKUP($X13,Übungsübersicht!$E$7:$M$83,3,FALSE)&lt;0.5,($AN13)-(2*0.5),(($AN13)-(2*(VLOOKUP($X13,Übungsübersicht!$E$7:$M$83,3,FALSE)))))))),"RPE 8")</f>
        <v>RPE 8</v>
      </c>
      <c r="AR13" s="655" t="str">
        <f ca="1">IFERROR(IF(IF(VLOOKUP($X13,Zyklus!$A$14:$U$68,9,FALSE)=0,"RPE 8",IF(VLOOKUP($X13,Übungsübersicht!$E$7:$M$83,3,FALSE)&lt;0.5,($AN13)-(1*0.5),(($Y13)-(1*(VLOOKUP($X13,Übungsübersicht!$E$7:$M$83,3,FALSE))))))&lt;1,0,(IF(VLOOKUP($X13,Zyklus!$A$14:$U$68,9,FALSE)=0,"RPE 8",IF(VLOOKUP($X13,Übungsübersicht!$E$7:$M$83,3,FALSE)&lt;0.5,($AN13)-(1*0.5),(($Y13)-(1*(VLOOKUP($X13,Übungsübersicht!$E$7:$M$83,3,FALSE)))))))),"RPE 8")</f>
        <v>RPE 8</v>
      </c>
      <c r="AS13" s="655" t="str">
        <f t="shared" ca="1" si="0"/>
        <v>RPE 8</v>
      </c>
      <c r="AT13" s="655" t="str">
        <f ca="1">IFERROR(IF(VLOOKUP($X13,Zyklus!$A$14:$U$68,9,FALSE)=0,"RPE 8",IF(VLOOKUP($X13,Übungsübersicht!$E$7:$M$83,3,FALSE)&lt;0.5,($AN13)+(1*0.5),(($Y13)+(1*(VLOOKUP($X13,Übungsübersicht!$E$7:$M$83,3,FALSE)))))),"RPE 8")</f>
        <v>RPE 8</v>
      </c>
      <c r="AU13" s="655" t="str">
        <f ca="1">IFERROR(IF(VLOOKUP($X13,Zyklus!$A$14:$U$68,9,FALSE)=0,"RPE 8",IF(VLOOKUP($X13,Übungsübersicht!$E$7:$M$83,3,FALSE)&lt;0.5,($AN13)+(2*0.5),(($AN13)+(2*(VLOOKUP($X13,Übungsübersicht!$E$7:$M$83,3,FALSE)))))),"RPE 8")</f>
        <v>RPE 8</v>
      </c>
      <c r="AV13" s="655" t="str">
        <f ca="1">IFERROR(IF(VLOOKUP($X13,Zyklus!$A$14:$U$68,9,FALSE)=0,"RPE 8",IF(VLOOKUP($X13,Übungsübersicht!$E$7:$M$83,3,FALSE)&lt;0.5,($AN13)+(3*0.5),(($AN13)+(3*(VLOOKUP($X13,Übungsübersicht!$E$7:$M$83,3,FALSE)))))),"RPE 8")</f>
        <v>RPE 8</v>
      </c>
      <c r="AY13" s="652" t="e">
        <f ca="1">MROUND(INDEX(OFFSET(Zyklus!$M$13,10,0),1),(IF(VLOOKUP($X13,Übungsübersicht!$E$7:$K$80,3)=0,0.1,(VLOOKUP($X13,Übungsübersicht!$E$7:$K$80,3)))))</f>
        <v>#N/A</v>
      </c>
      <c r="BA13" s="655" t="e">
        <f ca="1">MROUND(INDEX(OFFSET(Zyklus!$Q$13,10,0),1),(IF(VLOOKUP($X13,Übungsübersicht!$E$7:$K$80,3)=0,0.1,(VLOOKUP($X13,Übungsübersicht!$E$7:$K$80,3)))))</f>
        <v>#N/A</v>
      </c>
      <c r="BC13" s="655" t="str">
        <f ca="1">IFERROR(IF(IF(VLOOKUP($X13,Zyklus!$A$14:$U$68,9,FALSE)=0,"RPE 9",IF(VLOOKUP($X13,Übungsübersicht!$E$7:$M$83,3,FALSE)&lt;0.5,($BA13)-(3*0.5),(($BA13)-(3*(VLOOKUP($X13,Übungsübersicht!$E$7:$M$83,3,FALSE))))))&lt;1,0,(IF(VLOOKUP($X13,Zyklus!$A$14:$U$68,9,FALSE)=0,"RPE 9",IF(VLOOKUP($X13,Übungsübersicht!$E$7:$M$83,3,FALSE)&lt;0.5,($BA13)-(3*0.5),(($BA13)-(3*(VLOOKUP($X13,Übungsübersicht!$E$7:$M$83,3,FALSE)))))))),"RPE 9")</f>
        <v>RPE 9</v>
      </c>
      <c r="BD13" s="655" t="str">
        <f ca="1">IFERROR(IF(IF(VLOOKUP($X13,Zyklus!$A$14:$U$68,9,FALSE)=0,"RPE 9",IF(VLOOKUP($X13,Übungsübersicht!$E$7:$M$83,3,FALSE)&lt;0.5,($BA13)-(2*0.5),(($BA13)-(2*(VLOOKUP($X13,Übungsübersicht!$E$7:$M$83,3,FALSE))))))&lt;1,0,(IF(VLOOKUP($X13,Zyklus!$A$14:$U$68,9,FALSE)=0,"RPE 9",IF(VLOOKUP($X13,Übungsübersicht!$E$7:$M$83,3,FALSE)&lt;0.5,($BA13)-(2*0.5),(($BA13)-(2*(VLOOKUP($X13,Übungsübersicht!$E$7:$M$83,3,FALSE)))))))),"RPE 9")</f>
        <v>RPE 9</v>
      </c>
      <c r="BE13" s="655" t="str">
        <f ca="1">IFERROR(IF(IF(VLOOKUP($X13,Zyklus!$A$14:$U$68,9,FALSE)=0,"RPE 9",IF(VLOOKUP($X13,Übungsübersicht!$E$7:$M$83,3,FALSE)&lt;0.5,($BA13)-(1*0.5),(($Y13)-(1*(VLOOKUP($X13,Übungsübersicht!$E$7:$M$83,3,FALSE))))))&lt;1,0,(IF(VLOOKUP($X13,Zyklus!$A$14:$U$68,9,FALSE)=0,"RPE 9",IF(VLOOKUP($X13,Übungsübersicht!$E$7:$M$83,3,FALSE)&lt;0.5,($BA13)-(1*0.5),(($Y13)-(1*(VLOOKUP($X13,Übungsübersicht!$E$7:$M$83,3,FALSE)))))))),"RPE 9")</f>
        <v>RPE 9</v>
      </c>
      <c r="BF13" s="655" t="str">
        <f t="shared" ca="1" si="1"/>
        <v>RPE 9</v>
      </c>
      <c r="BG13" s="655" t="str">
        <f ca="1">IFERROR(IF(VLOOKUP($X13,Zyklus!$A$14:$U$68,9,FALSE)=0,"RPE 9",IF(VLOOKUP($X13,Übungsübersicht!$E$7:$M$83,3,FALSE)&lt;0.5,($AY13)+(1*0.5),(($AY13)+(1*(VLOOKUP($X13,Übungsübersicht!$E$7:$M$83,3,FALSE)))))),"RPE 9")</f>
        <v>RPE 9</v>
      </c>
      <c r="BH13" s="655" t="str">
        <f ca="1">IFERROR(IF(VLOOKUP($X13,Zyklus!$A$14:$U$68,9,FALSE)=0,"RPE 9",IF(VLOOKUP($X13,Übungsübersicht!$E$7:$M$83,3,FALSE)&lt;0.5,($BA13)+(2*0.5),(($BA13)+(2*(VLOOKUP($X13,Übungsübersicht!$E$7:$M$83,3,FALSE)))))),"RPE 9")</f>
        <v>RPE 9</v>
      </c>
      <c r="BI13" s="655" t="str">
        <f ca="1">IFERROR(IF(VLOOKUP($X13,Zyklus!$A$14:$U$68,9,FALSE)=0,"RPE 9",IF(VLOOKUP($X13,Übungsübersicht!$E$7:$M$83,3,FALSE)&lt;0.5,($BA13)+(3*0.5),(($BA13)+(3*(VLOOKUP($X13,Übungsübersicht!$E$7:$M$83,3,FALSE)))))),"RPE 9")</f>
        <v>RPE 9</v>
      </c>
    </row>
    <row r="14" spans="1:61" ht="30" customHeight="1">
      <c r="A14" s="857">
        <v>1.5</v>
      </c>
      <c r="B14" s="854"/>
      <c r="D14" s="301"/>
      <c r="E14" s="301"/>
      <c r="F14" s="301"/>
      <c r="H14" s="284"/>
      <c r="I14" s="284"/>
      <c r="L14" s="303">
        <f ca="1">MATCH("GB+",OFFSET(Übungsübersicht!$J$8:$J$50,L13,0),0)+L13</f>
        <v>27</v>
      </c>
      <c r="M14" s="304" t="str" cm="1">
        <f t="array" aca="1" ref="M14" ca="1">IF(ISNA(INDEX(Übungsübersicht!$E$8:$E$83,L14)),"",INDEX(Übungsübersicht!$E$8:$E$83,L14))</f>
        <v>LH Schulterdrücken</v>
      </c>
      <c r="O14" s="630">
        <f>IF('Gewichts- Calculator'!$C$11="Epley",('Gewichts- Calculator'!$D$25/(1+(5/30))),'Gewichts- Calculator'!$D$25/(36/(37-(5))))</f>
        <v>102.85714285714285</v>
      </c>
      <c r="R14" s="1039" t="str">
        <f>IF('Gewichts- Calculator'!$C$8="Kniebeuge","beugst",IF('Gewichts- Calculator'!$C$8="LH Bankdrücken","drückst",IF('Gewichts- Calculator'!$C$8="Kreuzheben","hebst",IF('Gewichts- Calculator'!$C$8="LH Rudern","ziehst",IF('Gewichts- Calculator'!$C$8="LH Schulterdrücken","drückst","")))))</f>
        <v>drückst</v>
      </c>
      <c r="S14" s="1040"/>
      <c r="U14" s="634" t="str">
        <f>IF('Gewichts- Calculator'!$C$8="Kniebeuge","Beuge",IF('Gewichts- Calculator'!$C$8="LH Bankdrücken","Drücke",IF('Gewichts- Calculator'!$C$8="Kreuzheben","Hebe",IF('Gewichts- Calculator'!$C$8="LH Rudern","Ziehe",IF('Gewichts- Calculator'!$C$8="LH Schulterdrücken","Drücke","")))))</f>
        <v>Drücke</v>
      </c>
      <c r="X14" s="654" t="str">
        <f ca="1">INDEX(OFFSET(Zyklus!$A$13,11,0),1)</f>
        <v>UK 1</v>
      </c>
      <c r="Y14" s="655">
        <f ca="1">MROUND(INDEX(OFFSET(Zyklus!$I$13,11,0),1),(IF(VLOOKUP($X14,Übungsübersicht!$E$7:$K$80,3)=0,0.1,(VLOOKUP($X14,Übungsübersicht!$E$7:$K$80,3)))))</f>
        <v>0</v>
      </c>
      <c r="Z14" s="655"/>
      <c r="AA14" s="655" t="e">
        <f ca="1">IFERROR(IF($Y14=0,2*(VLOOKUP($X14,Übungsübersicht!$E$7:$M$83,3,FALSE)),IF($Y14&gt;100,(MROUND(($Y14*0.1),(VLOOKUP($X14,Übungsübersicht!$E$7:$M$83,3,FALSE)))),IF($Y14&gt;80,(MROUND(($Y14*0.1),(VLOOKUP($X14,Übungsübersicht!$E$7:$M$83,3,FALSE)))),IF($Y14&gt;50,(MROUND(($Y14*0.2),(VLOOKUP($X14,Übungsübersicht!$E$7:$M$83,3,FALSE)))),IF($Y14&gt;25,(MROUND(($Y14*0.3),(VLOOKUP($X14,Übungsübersicht!$E$7:$M$83,3,FALSE)))),IF($Y14&gt;15,(MROUND(($Y14*0.4),(VLOOKUP($X14,Übungsübersicht!$E$7:$M$83,3,FALSE)))),IF($Y14&gt;(VLOOKUP($X14,Übungsübersicht!$E$7:$M$83,3,FALSE)),(VLOOKUP($X14,Übungsübersicht!$E$7:$M$83,3,FALSE)),""))))))),2*(VLOOKUP($X14,Übungsübersicht!$E$7:$M$83,3,FALSE)))</f>
        <v>#N/A</v>
      </c>
      <c r="AB14" s="655" t="e">
        <f ca="1">IFERROR(IF($Y14=0,4*(VLOOKUP($X14,Übungsübersicht!$E$7:$M$83,3,FALSE)),IF($Y14&gt;100,(MROUND(($Y14*0.3),(VLOOKUP($X14,Übungsübersicht!$E$7:$M$83,3,FALSE)))),IF($Y14&gt;80,(MROUND(($Y14*0.3),(VLOOKUP($X14,Übungsübersicht!$E$7:$M$83,3,FALSE)))),IF($Y14&gt;50,(MROUND(($Y14*0.4),(VLOOKUP($X14,Übungsübersicht!$E$7:$M$83,3,FALSE)))),IF($Y14&gt;25,(MROUND(($Y14*0.5),(VLOOKUP($X14,Übungsübersicht!$E$7:$M$83,3,FALSE)))),IF($Y14&gt;15,(MROUND(($Y14*0.6),(VLOOKUP($X14,Übungsübersicht!$E$7:$M$83,3,FALSE)))),IF($Y14&gt;(VLOOKUP($X14,Übungsübersicht!$E$7:$M$83,3,FALSE)),(VLOOKUP($X14,Übungsübersicht!$E$7:$M$83,3,FALSE)),""))))))),4*(VLOOKUP($X14,Übungsübersicht!$E$7:$M$83,3,FALSE)))</f>
        <v>#N/A</v>
      </c>
      <c r="AC14" s="655" t="e">
        <f ca="1">IFERROR((IF($Y14=0,8*(VLOOKUP($X14,Übungsübersicht!$E$7:$M$83,3,FALSE)),(($Y14)-(3*(VLOOKUP($X14,Übungsübersicht!$E$7:$M$83,3,FALSE)))))),8*(VLOOKUP($X14,Übungsübersicht!$E$7:$M$83,3,FALSE)))</f>
        <v>#N/A</v>
      </c>
      <c r="AD14" s="655" t="e">
        <f ca="1">IFERROR(((IF($Y14=0,10*(VLOOKUP($X14,Übungsübersicht!$E$7:$M$83,3,FALSE)),($Y14)-(2*(VLOOKUP($X14,Übungsübersicht!$E$7:$M$83,3,FALSE)))))),10*(VLOOKUP($X14,Übungsübersicht!$E$7:$M$83,3,FALSE)))</f>
        <v>#N/A</v>
      </c>
      <c r="AE14" s="655" t="e">
        <f ca="1">IFERROR(((IF($Y14=0,10*(VLOOKUP($X14,Übungsübersicht!$E$7:$M$83,3,FALSE)),($Y14)-(1*(VLOOKUP($X14,Übungsübersicht!$E$7:$M$83,3,FALSE)))))),10*(VLOOKUP($X14,Übungsübersicht!$E$7:$M$83,3,FALSE)))</f>
        <v>#N/A</v>
      </c>
      <c r="AF14" s="655" t="e">
        <f ca="1">IFERROR(IF($Y14=0,20*(VLOOKUP($X14,Übungsübersicht!$E$7:$M$83,3,FALSE)),($Y14)),20*(VLOOKUP($X14,Übungsübersicht!$E$7:$M$83,3,FALSE)))</f>
        <v>#N/A</v>
      </c>
      <c r="AG14" s="655" t="e">
        <f ca="1">IFERROR(IF($Y14=0,30*(VLOOKUP($X14,Übungsübersicht!$E$7:$M$83,3,FALSE)),($Y14)+(1*(VLOOKUP($X14,Übungsübersicht!$E$7:$M$83,3,FALSE)))),30*(VLOOKUP($X14,Übungsübersicht!$E$7:$M$83,3,FALSE)))</f>
        <v>#N/A</v>
      </c>
      <c r="AH14" s="655" t="e">
        <f ca="1">IFERROR(IF($Y14=0,30*(VLOOKUP($X14,Übungsübersicht!$E$7:$M$83,3,FALSE)),($Y14)+(2*(VLOOKUP($X14,Übungsübersicht!$E$7:$M$83,3,FALSE)))),30*(VLOOKUP($X14,Übungsübersicht!$E$7:$M$83,3,FALSE)))</f>
        <v>#N/A</v>
      </c>
      <c r="AI14" s="655" t="e">
        <f ca="1">IFERROR(IF($Y14=0,30*(VLOOKUP($X14,Übungsübersicht!$E$7:$M$83,3,FALSE)),($Y14)+(3*(VLOOKUP($X14,Übungsübersicht!$E$7:$M$83,3,FALSE)))),30*(VLOOKUP($X14,Übungsübersicht!$E$7:$M$83,3,FALSE)))</f>
        <v>#N/A</v>
      </c>
      <c r="AJ14" s="655" t="e">
        <f ca="1">IFERROR(IF($Y14=0,40*(VLOOKUP($X14,Übungsübersicht!$E$7:$M$83,3,FALSE)),IF($Y14&gt;100,(MROUND(($Y14*1.7),(VLOOKUP($X14,Übungsübersicht!$E$7:$M$83,3,FALSE)))),IF($Y14&gt;80,(MROUND(($Y14*1.7),(VLOOKUP($X14,Übungsübersicht!$E$7:$M$83,3,FALSE)))),IF($Y14&gt;50,(MROUND(($Y14*1.6),(VLOOKUP($X14,Übungsübersicht!$E$7:$M$83,3,FALSE)))),IF($Y14&gt;25,(MROUND(($Y14*1.5),(VLOOKUP($X14,Übungsübersicht!$E$7:$M$83,3,FALSE)))),IF($Y14&gt;15,(MROUND(($Y14*1.4),(VLOOKUP($X14,Übungsübersicht!$E$7:$M$83,3,FALSE)))),IF($Y14&gt;(VLOOKUP($X14,Übungsübersicht!$E$7:$M$83,3,FALSE)),30*(VLOOKUP($X14,Übungsübersicht!$E$7:$M$83,3,FALSE)),""))))))),40*(VLOOKUP($X14,Übungsübersicht!$E$7:$M$83,3,FALSE)))</f>
        <v>#N/A</v>
      </c>
      <c r="AK14" s="656" t="e">
        <f ca="1">IFERROR(IF($Y14=0,50*(VLOOKUP($X14,Übungsübersicht!$E$7:$M$83,3,FALSE)),IF($Y14&gt;100,(MROUND(($Y14*1.9),(VLOOKUP($X14,Übungsübersicht!$E$7:$M$83,3,FALSE)))),IF($Y14&gt;80,(MROUND(($Y14*1.9),(VLOOKUP($X14,Übungsübersicht!$E$7:$M$83,3,FALSE)))),IF($Y14&gt;50,(MROUND(($Y14*1.8),(VLOOKUP($X14,Übungsübersicht!$E$7:$M$83,3,FALSE)))),IF($Y14&gt;25,(MROUND(($Y14*1.7),(VLOOKUP($X14,Übungsübersicht!$E$7:$M$83,3,FALSE)))),IF($Y14&gt;15,(MROUND(($Y14*1.6),(VLOOKUP($X14,Übungsübersicht!$E$7:$M$83,3,FALSE)))),IF($Y14&gt;(VLOOKUP($X14,Übungsübersicht!$E$7:$M$83,3,FALSE)),40*(VLOOKUP($X14,Übungsübersicht!$E$7:$M$83,3,FALSE)),""))))))),50*(VLOOKUP($X14,Übungsübersicht!$E$7:$M$83,3,FALSE)))</f>
        <v>#N/A</v>
      </c>
      <c r="AN14" s="655">
        <f ca="1">MROUND(INDEX(OFFSET(Zyklus!$M$13,11,0),1),(IF(VLOOKUP($X14,Übungsübersicht!$E$7:$K$80,3)=0,0.1,(VLOOKUP($X14,Übungsübersicht!$E$7:$K$80,3)))))</f>
        <v>0</v>
      </c>
      <c r="AP14" s="652" t="str">
        <f ca="1">IFERROR(IF(IF(VLOOKUP($X14,Zyklus!$A$14:$U$68,9,FALSE)=0,"RPE 8",IF(VLOOKUP($X14,Übungsübersicht!$E$7:$M$83,3,FALSE)&lt;0.5,($AN14)-(3*0.5),(($AN14)-(3*(VLOOKUP($X14,Übungsübersicht!$E$7:$M$83,3,FALSE))))))&lt;1,0,(IF(VLOOKUP($X14,Zyklus!$A$14:$U$68,9,FALSE)=0,"RPE 8",IF(VLOOKUP($X14,Übungsübersicht!$E$7:$M$83,3,FALSE)&lt;0.5,($AN14)-(3*0.5),(($AN14)-(3*(VLOOKUP($X14,Übungsübersicht!$E$7:$M$83,3,FALSE)))))))),"RPE 8")</f>
        <v>RPE 8</v>
      </c>
      <c r="AQ14" s="652" t="str">
        <f ca="1">IFERROR(IF(IF(VLOOKUP($X14,Zyklus!$A$14:$U$68,9,FALSE)=0,"RPE 8",IF(VLOOKUP($X14,Übungsübersicht!$E$7:$M$83,3,FALSE)&lt;0.5,($AN14)-(2*0.5),(($AN14)-(2*(VLOOKUP($X14,Übungsübersicht!$E$7:$M$83,3,FALSE))))))&lt;1,0,(IF(VLOOKUP($X14,Zyklus!$A$14:$U$68,9,FALSE)=0,"RPE 8",IF(VLOOKUP($X14,Übungsübersicht!$E$7:$M$83,3,FALSE)&lt;0.5,($AN14)-(2*0.5),(($AN14)-(2*(VLOOKUP($X14,Übungsübersicht!$E$7:$M$83,3,FALSE)))))))),"RPE 8")</f>
        <v>RPE 8</v>
      </c>
      <c r="AR14" s="652" t="str">
        <f ca="1">IFERROR(IF(IF(VLOOKUP($X14,Zyklus!$A$14:$U$68,9,FALSE)=0,"RPE 8",IF(VLOOKUP($X14,Übungsübersicht!$E$7:$M$83,3,FALSE)&lt;0.5,($AN14)-(1*0.5),(($Y14)-(1*(VLOOKUP($X14,Übungsübersicht!$E$7:$M$83,3,FALSE))))))&lt;1,0,(IF(VLOOKUP($X14,Zyklus!$A$14:$U$68,9,FALSE)=0,"RPE 8",IF(VLOOKUP($X14,Übungsübersicht!$E$7:$M$83,3,FALSE)&lt;0.5,($AN14)-(1*0.5),(($Y14)-(1*(VLOOKUP($X14,Übungsübersicht!$E$7:$M$83,3,FALSE)))))))),"RPE 8")</f>
        <v>RPE 8</v>
      </c>
      <c r="AS14" s="652" t="str">
        <f t="shared" ca="1" si="0"/>
        <v>RPE 8</v>
      </c>
      <c r="AT14" s="652" t="str">
        <f ca="1">IFERROR(IF(VLOOKUP($X14,Zyklus!$A$14:$U$68,9,FALSE)=0,"RPE 8",IF(VLOOKUP($X14,Übungsübersicht!$E$7:$M$83,3,FALSE)&lt;0.5,($AN14)+(1*0.5),(($Y14)+(1*(VLOOKUP($X14,Übungsübersicht!$E$7:$M$83,3,FALSE)))))),"RPE 8")</f>
        <v>RPE 8</v>
      </c>
      <c r="AU14" s="652" t="str">
        <f ca="1">IFERROR(IF(VLOOKUP($X14,Zyklus!$A$14:$U$68,9,FALSE)=0,"RPE 8",IF(VLOOKUP($X14,Übungsübersicht!$E$7:$M$83,3,FALSE)&lt;0.5,($AN14)+(2*0.5),(($AN14)+(2*(VLOOKUP($X14,Übungsübersicht!$E$7:$M$83,3,FALSE)))))),"RPE 8")</f>
        <v>RPE 8</v>
      </c>
      <c r="AV14" s="652" t="str">
        <f ca="1">IFERROR(IF(VLOOKUP($X14,Zyklus!$A$14:$U$68,9,FALSE)=0,"RPE 8",IF(VLOOKUP($X14,Übungsübersicht!$E$7:$M$83,3,FALSE)&lt;0.5,($AN14)+(3*0.5),(($AN14)+(3*(VLOOKUP($X14,Übungsübersicht!$E$7:$M$83,3,FALSE)))))),"RPE 8")</f>
        <v>RPE 8</v>
      </c>
      <c r="AY14" s="655">
        <f ca="1">MROUND(INDEX(OFFSET(Zyklus!$M$13,11,0),1),(IF(VLOOKUP($X14,Übungsübersicht!$E$7:$K$80,3)=0,0.1,(VLOOKUP($X14,Übungsübersicht!$E$7:$K$80,3)))))</f>
        <v>0</v>
      </c>
      <c r="BA14" s="652">
        <f ca="1">MROUND(INDEX(OFFSET(Zyklus!$Q$13,11,0),1),(IF(VLOOKUP($X14,Übungsübersicht!$E$7:$K$80,3)=0,0.1,(VLOOKUP($X14,Übungsübersicht!$E$7:$K$80,3)))))</f>
        <v>0</v>
      </c>
      <c r="BC14" s="652" t="str">
        <f ca="1">IFERROR(IF(IF(VLOOKUP($X14,Zyklus!$A$14:$U$68,9,FALSE)=0,"RPE 9",IF(VLOOKUP($X14,Übungsübersicht!$E$7:$M$83,3,FALSE)&lt;0.5,($BA14)-(3*0.5),(($BA14)-(3*(VLOOKUP($X14,Übungsübersicht!$E$7:$M$83,3,FALSE))))))&lt;1,0,(IF(VLOOKUP($X14,Zyklus!$A$14:$U$68,9,FALSE)=0,"RPE 9",IF(VLOOKUP($X14,Übungsübersicht!$E$7:$M$83,3,FALSE)&lt;0.5,($BA14)-(3*0.5),(($BA14)-(3*(VLOOKUP($X14,Übungsübersicht!$E$7:$M$83,3,FALSE)))))))),"RPE 9")</f>
        <v>RPE 9</v>
      </c>
      <c r="BD14" s="652" t="str">
        <f ca="1">IFERROR(IF(IF(VLOOKUP($X14,Zyklus!$A$14:$U$68,9,FALSE)=0,"RPE 9",IF(VLOOKUP($X14,Übungsübersicht!$E$7:$M$83,3,FALSE)&lt;0.5,($BA14)-(2*0.5),(($BA14)-(2*(VLOOKUP($X14,Übungsübersicht!$E$7:$M$83,3,FALSE))))))&lt;1,0,(IF(VLOOKUP($X14,Zyklus!$A$14:$U$68,9,FALSE)=0,"RPE 9",IF(VLOOKUP($X14,Übungsübersicht!$E$7:$M$83,3,FALSE)&lt;0.5,($BA14)-(2*0.5),(($BA14)-(2*(VLOOKUP($X14,Übungsübersicht!$E$7:$M$83,3,FALSE)))))))),"RPE 9")</f>
        <v>RPE 9</v>
      </c>
      <c r="BE14" s="652" t="str">
        <f ca="1">IFERROR(IF(IF(VLOOKUP($X14,Zyklus!$A$14:$U$68,9,FALSE)=0,"RPE 9",IF(VLOOKUP($X14,Übungsübersicht!$E$7:$M$83,3,FALSE)&lt;0.5,($BA14)-(1*0.5),(($Y14)-(1*(VLOOKUP($X14,Übungsübersicht!$E$7:$M$83,3,FALSE))))))&lt;1,0,(IF(VLOOKUP($X14,Zyklus!$A$14:$U$68,9,FALSE)=0,"RPE 9",IF(VLOOKUP($X14,Übungsübersicht!$E$7:$M$83,3,FALSE)&lt;0.5,($BA14)-(1*0.5),(($Y14)-(1*(VLOOKUP($X14,Übungsübersicht!$E$7:$M$83,3,FALSE)))))))),"RPE 9")</f>
        <v>RPE 9</v>
      </c>
      <c r="BF14" s="652" t="str">
        <f t="shared" ca="1" si="1"/>
        <v>RPE 9</v>
      </c>
      <c r="BG14" s="652" t="str">
        <f ca="1">IFERROR(IF(VLOOKUP($X14,Zyklus!$A$14:$U$68,9,FALSE)=0,"RPE 9",IF(VLOOKUP($X14,Übungsübersicht!$E$7:$M$83,3,FALSE)&lt;0.5,($AY14)+(1*0.5),(($AY14)+(1*(VLOOKUP($X14,Übungsübersicht!$E$7:$M$83,3,FALSE)))))),"RPE 9")</f>
        <v>RPE 9</v>
      </c>
      <c r="BH14" s="652" t="str">
        <f ca="1">IFERROR(IF(VLOOKUP($X14,Zyklus!$A$14:$U$68,9,FALSE)=0,"RPE 9",IF(VLOOKUP($X14,Übungsübersicht!$E$7:$M$83,3,FALSE)&lt;0.5,($BA14)+(2*0.5),(($BA14)+(2*(VLOOKUP($X14,Übungsübersicht!$E$7:$M$83,3,FALSE)))))),"RPE 9")</f>
        <v>RPE 9</v>
      </c>
      <c r="BI14" s="652" t="str">
        <f ca="1">IFERROR(IF(VLOOKUP($X14,Zyklus!$A$14:$U$68,9,FALSE)=0,"RPE 9",IF(VLOOKUP($X14,Übungsübersicht!$E$7:$M$83,3,FALSE)&lt;0.5,($BA14)+(3*0.5),(($BA14)+(3*(VLOOKUP($X14,Übungsübersicht!$E$7:$M$83,3,FALSE)))))),"RPE 9")</f>
        <v>RPE 9</v>
      </c>
    </row>
    <row r="15" spans="1:61" ht="30" customHeight="1">
      <c r="A15" s="856">
        <v>1.25</v>
      </c>
      <c r="B15" s="854"/>
      <c r="L15" s="305">
        <f ca="1">MATCH("GB+",OFFSET(Übungsübersicht!$J$8:$J$50,L14,0),0)+L14</f>
        <v>29</v>
      </c>
      <c r="M15" s="305" t="str" cm="1">
        <f t="array" aca="1" ref="M15" ca="1">IF(ISNA(INDEX(Übungsübersicht!$E$8:$E$83,L15)),"",INDEX(Übungsübersicht!$E$8:$E$83,L15))</f>
        <v>Rudern Kabelzug</v>
      </c>
      <c r="X15" s="651" t="str">
        <f ca="1">INDEX(OFFSET(Zyklus!$A$13,12,0),1)</f>
        <v>Übung</v>
      </c>
      <c r="Y15" s="652" t="e">
        <f ca="1">MROUND(INDEX(OFFSET(Zyklus!$I$13,12,0),1),(IF(VLOOKUP($X15,Übungsübersicht!$E$7:$K$80,3)=0,0.1,(VLOOKUP($X15,Übungsübersicht!$E$7:$K$80,3)))))</f>
        <v>#VALUE!</v>
      </c>
      <c r="Z15" s="652"/>
      <c r="AA15" s="652" t="e">
        <f ca="1">IFERROR(IF($Y15=0,2*(VLOOKUP($X15,Übungsübersicht!$E$7:$M$83,3,FALSE)),IF($Y15&gt;100,(MROUND(($Y15*0.1),(VLOOKUP($X15,Übungsübersicht!$E$7:$M$83,3,FALSE)))),IF($Y15&gt;80,(MROUND(($Y15*0.1),(VLOOKUP($X15,Übungsübersicht!$E$7:$M$83,3,FALSE)))),IF($Y15&gt;50,(MROUND(($Y15*0.2),(VLOOKUP($X15,Übungsübersicht!$E$7:$M$83,3,FALSE)))),IF($Y15&gt;25,(MROUND(($Y15*0.3),(VLOOKUP($X15,Übungsübersicht!$E$7:$M$83,3,FALSE)))),IF($Y15&gt;15,(MROUND(($Y15*0.4),(VLOOKUP($X15,Übungsübersicht!$E$7:$M$83,3,FALSE)))),IF($Y15&gt;(VLOOKUP($X15,Übungsübersicht!$E$7:$M$83,3,FALSE)),(VLOOKUP($X15,Übungsübersicht!$E$7:$M$83,3,FALSE)),""))))))),2*(VLOOKUP($X15,Übungsübersicht!$E$7:$M$83,3,FALSE)))</f>
        <v>#VALUE!</v>
      </c>
      <c r="AB15" s="652" t="e">
        <f ca="1">IFERROR(IF($Y15=0,4*(VLOOKUP($X15,Übungsübersicht!$E$7:$M$83,3,FALSE)),IF($Y15&gt;100,(MROUND(($Y15*0.3),(VLOOKUP($X15,Übungsübersicht!$E$7:$M$83,3,FALSE)))),IF($Y15&gt;80,(MROUND(($Y15*0.3),(VLOOKUP($X15,Übungsübersicht!$E$7:$M$83,3,FALSE)))),IF($Y15&gt;50,(MROUND(($Y15*0.4),(VLOOKUP($X15,Übungsübersicht!$E$7:$M$83,3,FALSE)))),IF($Y15&gt;25,(MROUND(($Y15*0.5),(VLOOKUP($X15,Übungsübersicht!$E$7:$M$83,3,FALSE)))),IF($Y15&gt;15,(MROUND(($Y15*0.6),(VLOOKUP($X15,Übungsübersicht!$E$7:$M$83,3,FALSE)))),IF($Y15&gt;(VLOOKUP($X15,Übungsübersicht!$E$7:$M$83,3,FALSE)),(VLOOKUP($X15,Übungsübersicht!$E$7:$M$83,3,FALSE)),""))))))),4*(VLOOKUP($X15,Übungsübersicht!$E$7:$M$83,3,FALSE)))</f>
        <v>#VALUE!</v>
      </c>
      <c r="AC15" s="652" t="e">
        <f ca="1">IFERROR((IF($Y15=0,8*(VLOOKUP($X15,Übungsübersicht!$E$7:$M$83,3,FALSE)),(($Y15)-(3*(VLOOKUP($X15,Übungsübersicht!$E$7:$M$83,3,FALSE)))))),8*(VLOOKUP($X15,Übungsübersicht!$E$7:$M$83,3,FALSE)))</f>
        <v>#VALUE!</v>
      </c>
      <c r="AD15" s="652" t="e">
        <f ca="1">IFERROR(((IF($Y15=0,10*(VLOOKUP($X15,Übungsübersicht!$E$7:$M$83,3,FALSE)),($Y15)-(2*(VLOOKUP($X15,Übungsübersicht!$E$7:$M$83,3,FALSE)))))),10*(VLOOKUP($X15,Übungsübersicht!$E$7:$M$83,3,FALSE)))</f>
        <v>#VALUE!</v>
      </c>
      <c r="AE15" s="652" t="e">
        <f ca="1">IFERROR(((IF($Y15=0,10*(VLOOKUP($X15,Übungsübersicht!$E$7:$M$83,3,FALSE)),($Y15)-(1*(VLOOKUP($X15,Übungsübersicht!$E$7:$M$83,3,FALSE)))))),10*(VLOOKUP($X15,Übungsübersicht!$E$7:$M$83,3,FALSE)))</f>
        <v>#VALUE!</v>
      </c>
      <c r="AF15" s="652" t="e">
        <f ca="1">IFERROR(IF($Y15=0,20*(VLOOKUP($X15,Übungsübersicht!$E$7:$M$83,3,FALSE)),($Y15)),20*(VLOOKUP($X15,Übungsübersicht!$E$7:$M$83,3,FALSE)))</f>
        <v>#VALUE!</v>
      </c>
      <c r="AG15" s="652" t="e">
        <f ca="1">IFERROR(IF($Y15=0,30*(VLOOKUP($X15,Übungsübersicht!$E$7:$M$83,3,FALSE)),($Y15)+(1*(VLOOKUP($X15,Übungsübersicht!$E$7:$M$83,3,FALSE)))),30*(VLOOKUP($X15,Übungsübersicht!$E$7:$M$83,3,FALSE)))</f>
        <v>#VALUE!</v>
      </c>
      <c r="AH15" s="652" t="e">
        <f ca="1">IFERROR(IF($Y15=0,30*(VLOOKUP($X15,Übungsübersicht!$E$7:$M$83,3,FALSE)),($Y15)+(2*(VLOOKUP($X15,Übungsübersicht!$E$7:$M$83,3,FALSE)))),30*(VLOOKUP($X15,Übungsübersicht!$E$7:$M$83,3,FALSE)))</f>
        <v>#VALUE!</v>
      </c>
      <c r="AI15" s="652" t="e">
        <f ca="1">IFERROR(IF($Y15=0,30*(VLOOKUP($X15,Übungsübersicht!$E$7:$M$83,3,FALSE)),($Y15)+(3*(VLOOKUP($X15,Übungsübersicht!$E$7:$M$83,3,FALSE)))),30*(VLOOKUP($X15,Übungsübersicht!$E$7:$M$83,3,FALSE)))</f>
        <v>#VALUE!</v>
      </c>
      <c r="AJ15" s="652" t="e">
        <f ca="1">IFERROR(IF($Y15=0,40*(VLOOKUP($X15,Übungsübersicht!$E$7:$M$83,3,FALSE)),IF($Y15&gt;100,(MROUND(($Y15*1.7),(VLOOKUP($X15,Übungsübersicht!$E$7:$M$83,3,FALSE)))),IF($Y15&gt;80,(MROUND(($Y15*1.7),(VLOOKUP($X15,Übungsübersicht!$E$7:$M$83,3,FALSE)))),IF($Y15&gt;50,(MROUND(($Y15*1.6),(VLOOKUP($X15,Übungsübersicht!$E$7:$M$83,3,FALSE)))),IF($Y15&gt;25,(MROUND(($Y15*1.5),(VLOOKUP($X15,Übungsübersicht!$E$7:$M$83,3,FALSE)))),IF($Y15&gt;15,(MROUND(($Y15*1.4),(VLOOKUP($X15,Übungsübersicht!$E$7:$M$83,3,FALSE)))),IF($Y15&gt;(VLOOKUP($X15,Übungsübersicht!$E$7:$M$83,3,FALSE)),30*(VLOOKUP($X15,Übungsübersicht!$E$7:$M$83,3,FALSE)),""))))))),40*(VLOOKUP($X15,Übungsübersicht!$E$7:$M$83,3,FALSE)))</f>
        <v>#VALUE!</v>
      </c>
      <c r="AK15" s="653" t="e">
        <f ca="1">IFERROR(IF($Y15=0,50*(VLOOKUP($X15,Übungsübersicht!$E$7:$M$83,3,FALSE)),IF($Y15&gt;100,(MROUND(($Y15*1.9),(VLOOKUP($X15,Übungsübersicht!$E$7:$M$83,3,FALSE)))),IF($Y15&gt;80,(MROUND(($Y15*1.9),(VLOOKUP($X15,Übungsübersicht!$E$7:$M$83,3,FALSE)))),IF($Y15&gt;50,(MROUND(($Y15*1.8),(VLOOKUP($X15,Übungsübersicht!$E$7:$M$83,3,FALSE)))),IF($Y15&gt;25,(MROUND(($Y15*1.7),(VLOOKUP($X15,Übungsübersicht!$E$7:$M$83,3,FALSE)))),IF($Y15&gt;15,(MROUND(($Y15*1.6),(VLOOKUP($X15,Übungsübersicht!$E$7:$M$83,3,FALSE)))),IF($Y15&gt;(VLOOKUP($X15,Übungsübersicht!$E$7:$M$83,3,FALSE)),40*(VLOOKUP($X15,Übungsübersicht!$E$7:$M$83,3,FALSE)),""))))))),50*(VLOOKUP($X15,Übungsübersicht!$E$7:$M$83,3,FALSE)))</f>
        <v>#VALUE!</v>
      </c>
      <c r="AN15" s="652" t="e">
        <f ca="1">MROUND(INDEX(OFFSET(Zyklus!$M$13,12,0),1),(IF(VLOOKUP($X15,Übungsübersicht!$E$7:$K$80,3)=0,0.1,(VLOOKUP($X15,Übungsübersicht!$E$7:$K$80,3)))))</f>
        <v>#VALUE!</v>
      </c>
      <c r="AP15" s="655" t="str">
        <f ca="1">IFERROR(IF(IF(VLOOKUP($X15,Zyklus!$A$14:$U$68,9,FALSE)=0,"RPE 8",IF(VLOOKUP($X15,Übungsübersicht!$E$7:$M$83,3,FALSE)&lt;0.5,($AN15)-(3*0.5),(($AN15)-(3*(VLOOKUP($X15,Übungsübersicht!$E$7:$M$83,3,FALSE))))))&lt;1,0,(IF(VLOOKUP($X15,Zyklus!$A$14:$U$68,9,FALSE)=0,"RPE 8",IF(VLOOKUP($X15,Übungsübersicht!$E$7:$M$83,3,FALSE)&lt;0.5,($AN15)-(3*0.5),(($AN15)-(3*(VLOOKUP($X15,Übungsübersicht!$E$7:$M$83,3,FALSE)))))))),"RPE 8")</f>
        <v>RPE 8</v>
      </c>
      <c r="AQ15" s="655" t="str">
        <f ca="1">IFERROR(IF(IF(VLOOKUP($X15,Zyklus!$A$14:$U$68,9,FALSE)=0,"RPE 8",IF(VLOOKUP($X15,Übungsübersicht!$E$7:$M$83,3,FALSE)&lt;0.5,($AN15)-(2*0.5),(($AN15)-(2*(VLOOKUP($X15,Übungsübersicht!$E$7:$M$83,3,FALSE))))))&lt;1,0,(IF(VLOOKUP($X15,Zyklus!$A$14:$U$68,9,FALSE)=0,"RPE 8",IF(VLOOKUP($X15,Übungsübersicht!$E$7:$M$83,3,FALSE)&lt;0.5,($AN15)-(2*0.5),(($AN15)-(2*(VLOOKUP($X15,Übungsübersicht!$E$7:$M$83,3,FALSE)))))))),"RPE 8")</f>
        <v>RPE 8</v>
      </c>
      <c r="AR15" s="655" t="str">
        <f ca="1">IFERROR(IF(IF(VLOOKUP($X15,Zyklus!$A$14:$U$68,9,FALSE)=0,"RPE 8",IF(VLOOKUP($X15,Übungsübersicht!$E$7:$M$83,3,FALSE)&lt;0.5,($AN15)-(1*0.5),(($Y15)-(1*(VLOOKUP($X15,Übungsübersicht!$E$7:$M$83,3,FALSE))))))&lt;1,0,(IF(VLOOKUP($X15,Zyklus!$A$14:$U$68,9,FALSE)=0,"RPE 8",IF(VLOOKUP($X15,Übungsübersicht!$E$7:$M$83,3,FALSE)&lt;0.5,($AN15)-(1*0.5),(($Y15)-(1*(VLOOKUP($X15,Übungsübersicht!$E$7:$M$83,3,FALSE)))))))),"RPE 8")</f>
        <v>RPE 8</v>
      </c>
      <c r="AS15" s="655" t="str">
        <f t="shared" ca="1" si="0"/>
        <v>RPE 8</v>
      </c>
      <c r="AT15" s="655" t="str">
        <f ca="1">IFERROR(IF(VLOOKUP($X15,Zyklus!$A$14:$U$68,9,FALSE)=0,"RPE 8",IF(VLOOKUP($X15,Übungsübersicht!$E$7:$M$83,3,FALSE)&lt;0.5,($AN15)+(1*0.5),(($Y15)+(1*(VLOOKUP($X15,Übungsübersicht!$E$7:$M$83,3,FALSE)))))),"RPE 8")</f>
        <v>RPE 8</v>
      </c>
      <c r="AU15" s="655" t="str">
        <f ca="1">IFERROR(IF(VLOOKUP($X15,Zyklus!$A$14:$U$68,9,FALSE)=0,"RPE 8",IF(VLOOKUP($X15,Übungsübersicht!$E$7:$M$83,3,FALSE)&lt;0.5,($AN15)+(2*0.5),(($AN15)+(2*(VLOOKUP($X15,Übungsübersicht!$E$7:$M$83,3,FALSE)))))),"RPE 8")</f>
        <v>RPE 8</v>
      </c>
      <c r="AV15" s="655" t="str">
        <f ca="1">IFERROR(IF(VLOOKUP($X15,Zyklus!$A$14:$U$68,9,FALSE)=0,"RPE 8",IF(VLOOKUP($X15,Übungsübersicht!$E$7:$M$83,3,FALSE)&lt;0.5,($AN15)+(3*0.5),(($AN15)+(3*(VLOOKUP($X15,Übungsübersicht!$E$7:$M$83,3,FALSE)))))),"RPE 8")</f>
        <v>RPE 8</v>
      </c>
      <c r="AY15" s="652" t="e">
        <f ca="1">MROUND(INDEX(OFFSET(Zyklus!$M$13,12,0),1),(IF(VLOOKUP($X15,Übungsübersicht!$E$7:$K$80,3)=0,0.1,(VLOOKUP($X15,Übungsübersicht!$E$7:$K$80,3)))))</f>
        <v>#VALUE!</v>
      </c>
      <c r="BA15" s="655" t="e">
        <f ca="1">MROUND(INDEX(OFFSET(Zyklus!$Q$13,12,0),1),(IF(VLOOKUP($X15,Übungsübersicht!$E$7:$K$80,3)=0,0.1,(VLOOKUP($X15,Übungsübersicht!$E$7:$K$80,3)))))</f>
        <v>#VALUE!</v>
      </c>
      <c r="BC15" s="655" t="str">
        <f ca="1">IFERROR(IF(IF(VLOOKUP($X15,Zyklus!$A$14:$U$68,9,FALSE)=0,"RPE 9",IF(VLOOKUP($X15,Übungsübersicht!$E$7:$M$83,3,FALSE)&lt;0.5,($BA15)-(3*0.5),(($BA15)-(3*(VLOOKUP($X15,Übungsübersicht!$E$7:$M$83,3,FALSE))))))&lt;1,0,(IF(VLOOKUP($X15,Zyklus!$A$14:$U$68,9,FALSE)=0,"RPE 9",IF(VLOOKUP($X15,Übungsübersicht!$E$7:$M$83,3,FALSE)&lt;0.5,($BA15)-(3*0.5),(($BA15)-(3*(VLOOKUP($X15,Übungsübersicht!$E$7:$M$83,3,FALSE)))))))),"RPE 9")</f>
        <v>RPE 9</v>
      </c>
      <c r="BD15" s="655" t="str">
        <f ca="1">IFERROR(IF(IF(VLOOKUP($X15,Zyklus!$A$14:$U$68,9,FALSE)=0,"RPE 9",IF(VLOOKUP($X15,Übungsübersicht!$E$7:$M$83,3,FALSE)&lt;0.5,($BA15)-(2*0.5),(($BA15)-(2*(VLOOKUP($X15,Übungsübersicht!$E$7:$M$83,3,FALSE))))))&lt;1,0,(IF(VLOOKUP($X15,Zyklus!$A$14:$U$68,9,FALSE)=0,"RPE 9",IF(VLOOKUP($X15,Übungsübersicht!$E$7:$M$83,3,FALSE)&lt;0.5,($BA15)-(2*0.5),(($BA15)-(2*(VLOOKUP($X15,Übungsübersicht!$E$7:$M$83,3,FALSE)))))))),"RPE 9")</f>
        <v>RPE 9</v>
      </c>
      <c r="BE15" s="655" t="str">
        <f ca="1">IFERROR(IF(IF(VLOOKUP($X15,Zyklus!$A$14:$U$68,9,FALSE)=0,"RPE 9",IF(VLOOKUP($X15,Übungsübersicht!$E$7:$M$83,3,FALSE)&lt;0.5,($BA15)-(1*0.5),(($Y15)-(1*(VLOOKUP($X15,Übungsübersicht!$E$7:$M$83,3,FALSE))))))&lt;1,0,(IF(VLOOKUP($X15,Zyklus!$A$14:$U$68,9,FALSE)=0,"RPE 9",IF(VLOOKUP($X15,Übungsübersicht!$E$7:$M$83,3,FALSE)&lt;0.5,($BA15)-(1*0.5),(($Y15)-(1*(VLOOKUP($X15,Übungsübersicht!$E$7:$M$83,3,FALSE)))))))),"RPE 9")</f>
        <v>RPE 9</v>
      </c>
      <c r="BF15" s="655" t="str">
        <f t="shared" ca="1" si="1"/>
        <v>RPE 9</v>
      </c>
      <c r="BG15" s="655" t="str">
        <f ca="1">IFERROR(IF(VLOOKUP($X15,Zyklus!$A$14:$U$68,9,FALSE)=0,"RPE 9",IF(VLOOKUP($X15,Übungsübersicht!$E$7:$M$83,3,FALSE)&lt;0.5,($AY15)+(1*0.5),(($AY15)+(1*(VLOOKUP($X15,Übungsübersicht!$E$7:$M$83,3,FALSE)))))),"RPE 9")</f>
        <v>RPE 9</v>
      </c>
      <c r="BH15" s="655" t="str">
        <f ca="1">IFERROR(IF(VLOOKUP($X15,Zyklus!$A$14:$U$68,9,FALSE)=0,"RPE 9",IF(VLOOKUP($X15,Übungsübersicht!$E$7:$M$83,3,FALSE)&lt;0.5,($BA15)+(2*0.5),(($BA15)+(2*(VLOOKUP($X15,Übungsübersicht!$E$7:$M$83,3,FALSE)))))),"RPE 9")</f>
        <v>RPE 9</v>
      </c>
      <c r="BI15" s="655" t="str">
        <f ca="1">IFERROR(IF(VLOOKUP($X15,Zyklus!$A$14:$U$68,9,FALSE)=0,"RPE 9",IF(VLOOKUP($X15,Übungsübersicht!$E$7:$M$83,3,FALSE)&lt;0.5,($BA15)+(3*0.5),(($BA15)+(3*(VLOOKUP($X15,Übungsübersicht!$E$7:$M$83,3,FALSE)))))),"RPE 9")</f>
        <v>RPE 9</v>
      </c>
    </row>
    <row r="16" spans="1:61" ht="30" customHeight="1">
      <c r="A16" s="857">
        <v>2</v>
      </c>
      <c r="B16" s="854"/>
      <c r="L16" s="303">
        <f ca="1">MATCH("GB+",OFFSET(Übungsübersicht!$J$8:$J$50,L15,0),0)+L15</f>
        <v>31</v>
      </c>
      <c r="M16" s="304" t="str" cm="1">
        <f t="array" aca="1" ref="M16" ca="1">IF(ISNA(INDEX(Übungsübersicht!$E$8:$E$83,L16)),"",INDEX(Übungsübersicht!$E$8:$E$83,L16))</f>
        <v>Rumänisches Kreuzheben</v>
      </c>
      <c r="O16" s="631" t="s">
        <v>352</v>
      </c>
      <c r="R16" s="1034" t="s">
        <v>356</v>
      </c>
      <c r="S16" s="1035"/>
      <c r="T16" s="1035"/>
      <c r="U16" s="1035"/>
      <c r="V16" s="1036"/>
      <c r="X16" s="654" t="str">
        <f ca="1">INDEX(OFFSET(Zyklus!$A$13,13,0),1)</f>
        <v>Kniebeuge UK1</v>
      </c>
      <c r="Y16" s="655">
        <f ca="1">MROUND(INDEX(OFFSET(Zyklus!$I$13,13,0),1),(IF(VLOOKUP($X16,Übungsübersicht!$E$7:$K$80,3)=0,0.1,(VLOOKUP($X16,Übungsübersicht!$E$7:$K$80,3)))))</f>
        <v>117.5</v>
      </c>
      <c r="Z16" s="655"/>
      <c r="AA16" s="655">
        <f ca="1">IFERROR(IF($Y16=0,2*(VLOOKUP($X16,Übungsübersicht!$E$7:$M$83,3,FALSE)),IF($Y16&gt;100,(MROUND(($Y16*0.1),(VLOOKUP($X16,Übungsübersicht!$E$7:$M$83,3,FALSE)))),IF($Y16&gt;80,(MROUND(($Y16*0.1),(VLOOKUP($X16,Übungsübersicht!$E$7:$M$83,3,FALSE)))),IF($Y16&gt;50,(MROUND(($Y16*0.2),(VLOOKUP($X16,Übungsübersicht!$E$7:$M$83,3,FALSE)))),IF($Y16&gt;25,(MROUND(($Y16*0.3),(VLOOKUP($X16,Übungsübersicht!$E$7:$M$83,3,FALSE)))),IF($Y16&gt;15,(MROUND(($Y16*0.4),(VLOOKUP($X16,Übungsübersicht!$E$7:$M$83,3,FALSE)))),IF($Y16&gt;(VLOOKUP($X16,Übungsübersicht!$E$7:$M$83,3,FALSE)),(VLOOKUP($X16,Übungsübersicht!$E$7:$M$83,3,FALSE)),""))))))),2*(VLOOKUP($X16,Übungsübersicht!$E$7:$M$83,3,FALSE)))</f>
        <v>12.5</v>
      </c>
      <c r="AB16" s="655">
        <f ca="1">IFERROR(IF($Y16=0,4*(VLOOKUP($X16,Übungsübersicht!$E$7:$M$83,3,FALSE)),IF($Y16&gt;100,(MROUND(($Y16*0.3),(VLOOKUP($X16,Übungsübersicht!$E$7:$M$83,3,FALSE)))),IF($Y16&gt;80,(MROUND(($Y16*0.3),(VLOOKUP($X16,Übungsübersicht!$E$7:$M$83,3,FALSE)))),IF($Y16&gt;50,(MROUND(($Y16*0.4),(VLOOKUP($X16,Übungsübersicht!$E$7:$M$83,3,FALSE)))),IF($Y16&gt;25,(MROUND(($Y16*0.5),(VLOOKUP($X16,Übungsübersicht!$E$7:$M$83,3,FALSE)))),IF($Y16&gt;15,(MROUND(($Y16*0.6),(VLOOKUP($X16,Übungsübersicht!$E$7:$M$83,3,FALSE)))),IF($Y16&gt;(VLOOKUP($X16,Übungsübersicht!$E$7:$M$83,3,FALSE)),(VLOOKUP($X16,Übungsübersicht!$E$7:$M$83,3,FALSE)),""))))))),4*(VLOOKUP($X16,Übungsübersicht!$E$7:$M$83,3,FALSE)))</f>
        <v>35</v>
      </c>
      <c r="AC16" s="655">
        <f ca="1">IFERROR((IF($Y16=0,8*(VLOOKUP($X16,Übungsübersicht!$E$7:$M$83,3,FALSE)),(($Y16)-(3*(VLOOKUP($X16,Übungsübersicht!$E$7:$M$83,3,FALSE)))))),8*(VLOOKUP($X16,Übungsübersicht!$E$7:$M$83,3,FALSE)))</f>
        <v>110</v>
      </c>
      <c r="AD16" s="655">
        <f ca="1">IFERROR(((IF($Y16=0,10*(VLOOKUP($X16,Übungsübersicht!$E$7:$M$83,3,FALSE)),($Y16)-(2*(VLOOKUP($X16,Übungsübersicht!$E$7:$M$83,3,FALSE)))))),10*(VLOOKUP($X16,Übungsübersicht!$E$7:$M$83,3,FALSE)))</f>
        <v>112.5</v>
      </c>
      <c r="AE16" s="655">
        <f ca="1">IFERROR(((IF($Y16=0,10*(VLOOKUP($X16,Übungsübersicht!$E$7:$M$83,3,FALSE)),($Y16)-(1*(VLOOKUP($X16,Übungsübersicht!$E$7:$M$83,3,FALSE)))))),10*(VLOOKUP($X16,Übungsübersicht!$E$7:$M$83,3,FALSE)))</f>
        <v>115</v>
      </c>
      <c r="AF16" s="655">
        <f ca="1">IFERROR(IF($Y16=0,20*(VLOOKUP($X16,Übungsübersicht!$E$7:$M$83,3,FALSE)),($Y16)),20*(VLOOKUP($X16,Übungsübersicht!$E$7:$M$83,3,FALSE)))</f>
        <v>117.5</v>
      </c>
      <c r="AG16" s="655">
        <f ca="1">IFERROR(IF($Y16=0,30*(VLOOKUP($X16,Übungsübersicht!$E$7:$M$83,3,FALSE)),($Y16)+(1*(VLOOKUP($X16,Übungsübersicht!$E$7:$M$83,3,FALSE)))),30*(VLOOKUP($X16,Übungsübersicht!$E$7:$M$83,3,FALSE)))</f>
        <v>120</v>
      </c>
      <c r="AH16" s="655">
        <f ca="1">IFERROR(IF($Y16=0,30*(VLOOKUP($X16,Übungsübersicht!$E$7:$M$83,3,FALSE)),($Y16)+(2*(VLOOKUP($X16,Übungsübersicht!$E$7:$M$83,3,FALSE)))),30*(VLOOKUP($X16,Übungsübersicht!$E$7:$M$83,3,FALSE)))</f>
        <v>122.5</v>
      </c>
      <c r="AI16" s="655">
        <f ca="1">IFERROR(IF($Y16=0,30*(VLOOKUP($X16,Übungsübersicht!$E$7:$M$83,3,FALSE)),($Y16)+(3*(VLOOKUP($X16,Übungsübersicht!$E$7:$M$83,3,FALSE)))),30*(VLOOKUP($X16,Übungsübersicht!$E$7:$M$83,3,FALSE)))</f>
        <v>125</v>
      </c>
      <c r="AJ16" s="655">
        <f ca="1">IFERROR(IF($Y16=0,40*(VLOOKUP($X16,Übungsübersicht!$E$7:$M$83,3,FALSE)),IF($Y16&gt;100,(MROUND(($Y16*1.7),(VLOOKUP($X16,Übungsübersicht!$E$7:$M$83,3,FALSE)))),IF($Y16&gt;80,(MROUND(($Y16*1.7),(VLOOKUP($X16,Übungsübersicht!$E$7:$M$83,3,FALSE)))),IF($Y16&gt;50,(MROUND(($Y16*1.6),(VLOOKUP($X16,Übungsübersicht!$E$7:$M$83,3,FALSE)))),IF($Y16&gt;25,(MROUND(($Y16*1.5),(VLOOKUP($X16,Übungsübersicht!$E$7:$M$83,3,FALSE)))),IF($Y16&gt;15,(MROUND(($Y16*1.4),(VLOOKUP($X16,Übungsübersicht!$E$7:$M$83,3,FALSE)))),IF($Y16&gt;(VLOOKUP($X16,Übungsübersicht!$E$7:$M$83,3,FALSE)),30*(VLOOKUP($X16,Übungsübersicht!$E$7:$M$83,3,FALSE)),""))))))),40*(VLOOKUP($X16,Übungsübersicht!$E$7:$M$83,3,FALSE)))</f>
        <v>200</v>
      </c>
      <c r="AK16" s="656">
        <f ca="1">IFERROR(IF($Y16=0,50*(VLOOKUP($X16,Übungsübersicht!$E$7:$M$83,3,FALSE)),IF($Y16&gt;100,(MROUND(($Y16*1.9),(VLOOKUP($X16,Übungsübersicht!$E$7:$M$83,3,FALSE)))),IF($Y16&gt;80,(MROUND(($Y16*1.9),(VLOOKUP($X16,Übungsübersicht!$E$7:$M$83,3,FALSE)))),IF($Y16&gt;50,(MROUND(($Y16*1.8),(VLOOKUP($X16,Übungsübersicht!$E$7:$M$83,3,FALSE)))),IF($Y16&gt;25,(MROUND(($Y16*1.7),(VLOOKUP($X16,Übungsübersicht!$E$7:$M$83,3,FALSE)))),IF($Y16&gt;15,(MROUND(($Y16*1.6),(VLOOKUP($X16,Übungsübersicht!$E$7:$M$83,3,FALSE)))),IF($Y16&gt;(VLOOKUP($X16,Übungsübersicht!$E$7:$M$83,3,FALSE)),40*(VLOOKUP($X16,Übungsübersicht!$E$7:$M$83,3,FALSE)),""))))))),50*(VLOOKUP($X16,Übungsübersicht!$E$7:$M$83,3,FALSE)))</f>
        <v>222.5</v>
      </c>
      <c r="AN16" s="655">
        <f ca="1">MROUND(INDEX(OFFSET(Zyklus!$M$13,13,0),1),(IF(VLOOKUP($X16,Übungsübersicht!$E$7:$K$80,3)=0,0.1,(VLOOKUP($X16,Übungsübersicht!$E$7:$K$80,3)))))</f>
        <v>117.5</v>
      </c>
      <c r="AP16" s="652">
        <f ca="1">IFERROR(IF(IF(VLOOKUP($X16,Zyklus!$A$14:$U$68,9,FALSE)=0,"RPE 8",IF(VLOOKUP($X16,Übungsübersicht!$E$7:$M$83,3,FALSE)&lt;0.5,($AN16)-(3*0.5),(($AN16)-(3*(VLOOKUP($X16,Übungsübersicht!$E$7:$M$83,3,FALSE))))))&lt;1,0,(IF(VLOOKUP($X16,Zyklus!$A$14:$U$68,9,FALSE)=0,"RPE 8",IF(VLOOKUP($X16,Übungsübersicht!$E$7:$M$83,3,FALSE)&lt;0.5,($AN16)-(3*0.5),(($AN16)-(3*(VLOOKUP($X16,Übungsübersicht!$E$7:$M$83,3,FALSE)))))))),"RPE 8")</f>
        <v>110</v>
      </c>
      <c r="AQ16" s="652">
        <f ca="1">IFERROR(IF(IF(VLOOKUP($X16,Zyklus!$A$14:$U$68,9,FALSE)=0,"RPE 8",IF(VLOOKUP($X16,Übungsübersicht!$E$7:$M$83,3,FALSE)&lt;0.5,($AN16)-(2*0.5),(($AN16)-(2*(VLOOKUP($X16,Übungsübersicht!$E$7:$M$83,3,FALSE))))))&lt;1,0,(IF(VLOOKUP($X16,Zyklus!$A$14:$U$68,9,FALSE)=0,"RPE 8",IF(VLOOKUP($X16,Übungsübersicht!$E$7:$M$83,3,FALSE)&lt;0.5,($AN16)-(2*0.5),(($AN16)-(2*(VLOOKUP($X16,Übungsübersicht!$E$7:$M$83,3,FALSE)))))))),"RPE 8")</f>
        <v>112.5</v>
      </c>
      <c r="AR16" s="652">
        <f ca="1">IFERROR(IF(IF(VLOOKUP($X16,Zyklus!$A$14:$U$68,9,FALSE)=0,"RPE 8",IF(VLOOKUP($X16,Übungsübersicht!$E$7:$M$83,3,FALSE)&lt;0.5,($AN16)-(1*0.5),(($Y16)-(1*(VLOOKUP($X16,Übungsübersicht!$E$7:$M$83,3,FALSE))))))&lt;1,0,(IF(VLOOKUP($X16,Zyklus!$A$14:$U$68,9,FALSE)=0,"RPE 8",IF(VLOOKUP($X16,Übungsübersicht!$E$7:$M$83,3,FALSE)&lt;0.5,($AN16)-(1*0.5),(($Y16)-(1*(VLOOKUP($X16,Übungsübersicht!$E$7:$M$83,3,FALSE)))))))),"RPE 8")</f>
        <v>115</v>
      </c>
      <c r="AS16" s="652">
        <f t="shared" ca="1" si="0"/>
        <v>117.5</v>
      </c>
      <c r="AT16" s="652">
        <f ca="1">IFERROR(IF(VLOOKUP($X16,Zyklus!$A$14:$U$68,9,FALSE)=0,"RPE 8",IF(VLOOKUP($X16,Übungsübersicht!$E$7:$M$83,3,FALSE)&lt;0.5,($AN16)+(1*0.5),(($Y16)+(1*(VLOOKUP($X16,Übungsübersicht!$E$7:$M$83,3,FALSE)))))),"RPE 8")</f>
        <v>120</v>
      </c>
      <c r="AU16" s="652">
        <f ca="1">IFERROR(IF(VLOOKUP($X16,Zyklus!$A$14:$U$68,9,FALSE)=0,"RPE 8",IF(VLOOKUP($X16,Übungsübersicht!$E$7:$M$83,3,FALSE)&lt;0.5,($AN16)+(2*0.5),(($AN16)+(2*(VLOOKUP($X16,Übungsübersicht!$E$7:$M$83,3,FALSE)))))),"RPE 8")</f>
        <v>122.5</v>
      </c>
      <c r="AV16" s="652">
        <f ca="1">IFERROR(IF(VLOOKUP($X16,Zyklus!$A$14:$U$68,9,FALSE)=0,"RPE 8",IF(VLOOKUP($X16,Übungsübersicht!$E$7:$M$83,3,FALSE)&lt;0.5,($AN16)+(3*0.5),(($AN16)+(3*(VLOOKUP($X16,Übungsübersicht!$E$7:$M$83,3,FALSE)))))),"RPE 8")</f>
        <v>125</v>
      </c>
      <c r="AY16" s="655">
        <f ca="1">MROUND(INDEX(OFFSET(Zyklus!$M$13,13,0),1),(IF(VLOOKUP($X16,Übungsübersicht!$E$7:$K$80,3)=0,0.1,(VLOOKUP($X16,Übungsübersicht!$E$7:$K$80,3)))))</f>
        <v>117.5</v>
      </c>
      <c r="BA16" s="652">
        <f ca="1">MROUND(INDEX(OFFSET(Zyklus!$Q$13,13,0),1),(IF(VLOOKUP($X16,Übungsübersicht!$E$7:$K$80,3)=0,0.1,(VLOOKUP($X16,Übungsübersicht!$E$7:$K$80,3)))))</f>
        <v>117.5</v>
      </c>
      <c r="BC16" s="652">
        <f ca="1">IFERROR(IF(IF(VLOOKUP($X16,Zyklus!$A$14:$U$68,9,FALSE)=0,"RPE 9",IF(VLOOKUP($X16,Übungsübersicht!$E$7:$M$83,3,FALSE)&lt;0.5,($BA16)-(3*0.5),(($BA16)-(3*(VLOOKUP($X16,Übungsübersicht!$E$7:$M$83,3,FALSE))))))&lt;1,0,(IF(VLOOKUP($X16,Zyklus!$A$14:$U$68,9,FALSE)=0,"RPE 9",IF(VLOOKUP($X16,Übungsübersicht!$E$7:$M$83,3,FALSE)&lt;0.5,($BA16)-(3*0.5),(($BA16)-(3*(VLOOKUP($X16,Übungsübersicht!$E$7:$M$83,3,FALSE)))))))),"RPE 9")</f>
        <v>110</v>
      </c>
      <c r="BD16" s="652">
        <f ca="1">IFERROR(IF(IF(VLOOKUP($X16,Zyklus!$A$14:$U$68,9,FALSE)=0,"RPE 9",IF(VLOOKUP($X16,Übungsübersicht!$E$7:$M$83,3,FALSE)&lt;0.5,($BA16)-(2*0.5),(($BA16)-(2*(VLOOKUP($X16,Übungsübersicht!$E$7:$M$83,3,FALSE))))))&lt;1,0,(IF(VLOOKUP($X16,Zyklus!$A$14:$U$68,9,FALSE)=0,"RPE 9",IF(VLOOKUP($X16,Übungsübersicht!$E$7:$M$83,3,FALSE)&lt;0.5,($BA16)-(2*0.5),(($BA16)-(2*(VLOOKUP($X16,Übungsübersicht!$E$7:$M$83,3,FALSE)))))))),"RPE 9")</f>
        <v>112.5</v>
      </c>
      <c r="BE16" s="652">
        <f ca="1">IFERROR(IF(IF(VLOOKUP($X16,Zyklus!$A$14:$U$68,9,FALSE)=0,"RPE 9",IF(VLOOKUP($X16,Übungsübersicht!$E$7:$M$83,3,FALSE)&lt;0.5,($BA16)-(1*0.5),(($Y16)-(1*(VLOOKUP($X16,Übungsübersicht!$E$7:$M$83,3,FALSE))))))&lt;1,0,(IF(VLOOKUP($X16,Zyklus!$A$14:$U$68,9,FALSE)=0,"RPE 9",IF(VLOOKUP($X16,Übungsübersicht!$E$7:$M$83,3,FALSE)&lt;0.5,($BA16)-(1*0.5),(($Y16)-(1*(VLOOKUP($X16,Übungsübersicht!$E$7:$M$83,3,FALSE)))))))),"RPE 9")</f>
        <v>115</v>
      </c>
      <c r="BF16" s="652">
        <f t="shared" ca="1" si="1"/>
        <v>117.5</v>
      </c>
      <c r="BG16" s="652">
        <f ca="1">IFERROR(IF(VLOOKUP($X16,Zyklus!$A$14:$U$68,9,FALSE)=0,"RPE 9",IF(VLOOKUP($X16,Übungsübersicht!$E$7:$M$83,3,FALSE)&lt;0.5,($AY16)+(1*0.5),(($AY16)+(1*(VLOOKUP($X16,Übungsübersicht!$E$7:$M$83,3,FALSE)))))),"RPE 9")</f>
        <v>120</v>
      </c>
      <c r="BH16" s="652">
        <f ca="1">IFERROR(IF(VLOOKUP($X16,Zyklus!$A$14:$U$68,9,FALSE)=0,"RPE 9",IF(VLOOKUP($X16,Übungsübersicht!$E$7:$M$83,3,FALSE)&lt;0.5,($BA16)+(2*0.5),(($BA16)+(2*(VLOOKUP($X16,Übungsübersicht!$E$7:$M$83,3,FALSE)))))),"RPE 9")</f>
        <v>122.5</v>
      </c>
      <c r="BI16" s="652">
        <f ca="1">IFERROR(IF(VLOOKUP($X16,Zyklus!$A$14:$U$68,9,FALSE)=0,"RPE 9",IF(VLOOKUP($X16,Übungsübersicht!$E$7:$M$83,3,FALSE)&lt;0.5,($BA16)+(3*0.5),(($BA16)+(3*(VLOOKUP($X16,Übungsübersicht!$E$7:$M$83,3,FALSE)))))),"RPE 9")</f>
        <v>125</v>
      </c>
    </row>
    <row r="17" spans="1:61" ht="30" customHeight="1">
      <c r="A17" s="856">
        <v>2.5</v>
      </c>
      <c r="B17" s="854"/>
      <c r="L17" s="305" t="e">
        <f ca="1">MATCH("GB+",OFFSET(Übungsübersicht!$J$8:$J$50,L16,0),0)+L16</f>
        <v>#N/A</v>
      </c>
      <c r="M17" s="305" t="str" cm="1">
        <f t="array" aca="1" ref="M17" ca="1">IF(ISNA(INDEX(Übungsübersicht!$E$8:$E$83,L17)),"",INDEX(Übungsübersicht!$E$8:$E$83,L17))</f>
        <v/>
      </c>
      <c r="O17" s="644">
        <f>$O$14/Dashboard!$C$20</f>
        <v>1.3186813186813187</v>
      </c>
      <c r="R17" s="1026" t="str">
        <f>IF(AND('Gewichts- Calculator'!$C$8="Kniebeuge",$O$17&gt;0,$O$17&lt;1.3),$U$14&amp;" 5x "&amp;$Q$22&amp;" "&amp;Dashboard!$C$24&amp;" um das Fortgeschritten- Level zu erreichen.",IF(AND('Gewichts- Calculator'!$C$8="Kniebeuge",$O$17&gt;1.3,$O$17&lt;2),$U$14&amp;" 5x "&amp;$S$22&amp;" "&amp;Dashboard!$C$24&amp;" um das Elite- Level zu erreichen.",IF(AND('Gewichts- Calculator'!$C$8="Kniebeuge",$O$17&gt;2.5,$O$17&lt;5),"Du bist absolute Weltklasse",IF(AND('Gewichts- Calculator'!$C$8="LH Bankdrücken",$O$17&gt;0,$O$17&lt;0.9),$U$14&amp;" 5x "&amp;$Q$23&amp;" "&amp;Dashboard!$C$24&amp;" um das Fortgeschritten- Level zu erreichen.",IF(AND('Gewichts- Calculator'!$C$8="LH Bankdrücken",$O$17&gt;0.9,$O$17&lt;1.4),$U$14&amp;" 5x "&amp;$S$23&amp;" "&amp;Dashboard!$C$24&amp;" um das Elite- Level zu erreichen.",IF(AND('Gewichts- Calculator'!$C$8="LH Bankdrücken",$O$17&gt;2,$O$17&lt;4),"Du bist absolute Weltklasse",IF(AND('Gewichts- Calculator'!$C$8="Kreuzheben",$O$17&gt;0,$O$17&lt;1.5),$U$14&amp;" 5x "&amp;$Q$24&amp;" "&amp;Dashboard!$C$24&amp;" um das Fortgeschritten- Level zu erreichen.",IF(AND('Gewichts- Calculator'!$C$8="Kreuzheben",$O$17&gt;1.5,$O$17&lt;2.2),$U$14&amp;" 5x "&amp;$S$24&amp;" "&amp;Dashboard!$C$24&amp;" um das Elite- Level zu erreichen.",IF(AND('Gewichts- Calculator'!$C$8="Kreuzheben",$O$17&gt;3,$O$17&lt;6),"Du bist absolute Weltklasse",IF(AND('Gewichts- Calculator'!$C$8="LH Rudern",$O$17&gt;0,$O$17&lt;0.8),$U$14&amp;" 5x "&amp;$Q$25&amp;" "&amp;Dashboard!$C$24&amp;" um das Fortgeschritten- Level zu erreichen.",IF(AND('Gewichts- Calculator'!$C$8="LH Rudern",$O$17&gt;0.8,$O$17&lt;1.3),$U$14&amp;" 5x "&amp;$S$25&amp;" "&amp;Dashboard!$C$24&amp;" um das Elite- Level zu erreichen.",IF(AND('Gewichts- Calculator'!$C$8="LH Rudern",$O$17&gt;2,$O$17&lt;5),"Du bist absolute Weltklasse",IF(AND('Gewichts- Calculator'!$C$8="LH Schulterdrücken",$O$17&gt;0,$O$17&lt;0.6),$U$14&amp;" 5x "&amp;$Q$26&amp;" "&amp;Dashboard!$C$24&amp;" um das Fortgeschritten- Level zu erreichen.",IF(AND('Gewichts- Calculator'!$C$8="LH Schulterdrücken",$O$17&gt;0.6,$O$17&lt;0.9),$U$14&amp;" 5x "&amp;$S$26&amp;" "&amp;Dashboard!$C$24&amp;" um das Elite- Level zu erreichen.",IF(AND('Gewichts- Calculator'!$C$8="LH Schulterdrücken",$O$17&gt;1.4,$O$17&lt;3),"Du bist absolute Weltklasse","")))))))))))))))</f>
        <v>Drücke 5x 109,2 [Kg] um das Elite- Level zu erreichen.</v>
      </c>
      <c r="S17" s="1027"/>
      <c r="T17" s="1027"/>
      <c r="U17" s="1027"/>
      <c r="V17" s="1028"/>
      <c r="X17" s="651" t="str">
        <f ca="1">INDEX(OFFSET(Zyklus!$A$13,14,0),1)</f>
        <v>Bein Presse</v>
      </c>
      <c r="Y17" s="652">
        <f ca="1">MROUND(INDEX(OFFSET(Zyklus!$I$13,14,0),1),(IF(VLOOKUP($X17,Übungsübersicht!$E$7:$K$80,3)=0,0.1,(VLOOKUP($X17,Übungsübersicht!$E$7:$K$80,3)))))</f>
        <v>240</v>
      </c>
      <c r="Z17" s="652"/>
      <c r="AA17" s="652">
        <f ca="1">IFERROR(IF($Y17=0,2*(VLOOKUP($X17,Übungsübersicht!$E$7:$M$83,3,FALSE)),IF($Y17&gt;100,(MROUND(($Y17*0.1),(VLOOKUP($X17,Übungsübersicht!$E$7:$M$83,3,FALSE)))),IF($Y17&gt;80,(MROUND(($Y17*0.1),(VLOOKUP($X17,Übungsübersicht!$E$7:$M$83,3,FALSE)))),IF($Y17&gt;50,(MROUND(($Y17*0.2),(VLOOKUP($X17,Übungsübersicht!$E$7:$M$83,3,FALSE)))),IF($Y17&gt;25,(MROUND(($Y17*0.3),(VLOOKUP($X17,Übungsübersicht!$E$7:$M$83,3,FALSE)))),IF($Y17&gt;15,(MROUND(($Y17*0.4),(VLOOKUP($X17,Übungsübersicht!$E$7:$M$83,3,FALSE)))),IF($Y17&gt;(VLOOKUP($X17,Übungsübersicht!$E$7:$M$83,3,FALSE)),(VLOOKUP($X17,Übungsübersicht!$E$7:$M$83,3,FALSE)),""))))))),2*(VLOOKUP($X17,Übungsübersicht!$E$7:$M$83,3,FALSE)))</f>
        <v>25</v>
      </c>
      <c r="AB17" s="652">
        <f ca="1">IFERROR(IF($Y17=0,4*(VLOOKUP($X17,Übungsübersicht!$E$7:$M$83,3,FALSE)),IF($Y17&gt;100,(MROUND(($Y17*0.3),(VLOOKUP($X17,Übungsübersicht!$E$7:$M$83,3,FALSE)))),IF($Y17&gt;80,(MROUND(($Y17*0.3),(VLOOKUP($X17,Übungsübersicht!$E$7:$M$83,3,FALSE)))),IF($Y17&gt;50,(MROUND(($Y17*0.4),(VLOOKUP($X17,Übungsübersicht!$E$7:$M$83,3,FALSE)))),IF($Y17&gt;25,(MROUND(($Y17*0.5),(VLOOKUP($X17,Übungsübersicht!$E$7:$M$83,3,FALSE)))),IF($Y17&gt;15,(MROUND(($Y17*0.6),(VLOOKUP($X17,Übungsübersicht!$E$7:$M$83,3,FALSE)))),IF($Y17&gt;(VLOOKUP($X17,Übungsübersicht!$E$7:$M$83,3,FALSE)),(VLOOKUP($X17,Übungsübersicht!$E$7:$M$83,3,FALSE)),""))))))),4*(VLOOKUP($X17,Übungsübersicht!$E$7:$M$83,3,FALSE)))</f>
        <v>70</v>
      </c>
      <c r="AC17" s="652">
        <f ca="1">IFERROR((IF($Y17=0,8*(VLOOKUP($X17,Übungsübersicht!$E$7:$M$83,3,FALSE)),(($Y17)-(3*(VLOOKUP($X17,Übungsübersicht!$E$7:$M$83,3,FALSE)))))),8*(VLOOKUP($X17,Übungsübersicht!$E$7:$M$83,3,FALSE)))</f>
        <v>225</v>
      </c>
      <c r="AD17" s="652">
        <f ca="1">IFERROR(((IF($Y17=0,10*(VLOOKUP($X17,Übungsübersicht!$E$7:$M$83,3,FALSE)),($Y17)-(2*(VLOOKUP($X17,Übungsübersicht!$E$7:$M$83,3,FALSE)))))),10*(VLOOKUP($X17,Übungsübersicht!$E$7:$M$83,3,FALSE)))</f>
        <v>230</v>
      </c>
      <c r="AE17" s="652">
        <f ca="1">IFERROR(((IF($Y17=0,10*(VLOOKUP($X17,Übungsübersicht!$E$7:$M$83,3,FALSE)),($Y17)-(1*(VLOOKUP($X17,Übungsübersicht!$E$7:$M$83,3,FALSE)))))),10*(VLOOKUP($X17,Übungsübersicht!$E$7:$M$83,3,FALSE)))</f>
        <v>235</v>
      </c>
      <c r="AF17" s="652">
        <f ca="1">IFERROR(IF($Y17=0,20*(VLOOKUP($X17,Übungsübersicht!$E$7:$M$83,3,FALSE)),($Y17)),20*(VLOOKUP($X17,Übungsübersicht!$E$7:$M$83,3,FALSE)))</f>
        <v>240</v>
      </c>
      <c r="AG17" s="652">
        <f ca="1">IFERROR(IF($Y17=0,30*(VLOOKUP($X17,Übungsübersicht!$E$7:$M$83,3,FALSE)),($Y17)+(1*(VLOOKUP($X17,Übungsübersicht!$E$7:$M$83,3,FALSE)))),30*(VLOOKUP($X17,Übungsübersicht!$E$7:$M$83,3,FALSE)))</f>
        <v>245</v>
      </c>
      <c r="AH17" s="652">
        <f ca="1">IFERROR(IF($Y17=0,30*(VLOOKUP($X17,Übungsübersicht!$E$7:$M$83,3,FALSE)),($Y17)+(2*(VLOOKUP($X17,Übungsübersicht!$E$7:$M$83,3,FALSE)))),30*(VLOOKUP($X17,Übungsübersicht!$E$7:$M$83,3,FALSE)))</f>
        <v>250</v>
      </c>
      <c r="AI17" s="652">
        <f ca="1">IFERROR(IF($Y17=0,30*(VLOOKUP($X17,Übungsübersicht!$E$7:$M$83,3,FALSE)),($Y17)+(3*(VLOOKUP($X17,Übungsübersicht!$E$7:$M$83,3,FALSE)))),30*(VLOOKUP($X17,Übungsübersicht!$E$7:$M$83,3,FALSE)))</f>
        <v>255</v>
      </c>
      <c r="AJ17" s="652">
        <f ca="1">IFERROR(IF($Y17=0,40*(VLOOKUP($X17,Übungsübersicht!$E$7:$M$83,3,FALSE)),IF($Y17&gt;100,(MROUND(($Y17*1.7),(VLOOKUP($X17,Übungsübersicht!$E$7:$M$83,3,FALSE)))),IF($Y17&gt;80,(MROUND(($Y17*1.7),(VLOOKUP($X17,Übungsübersicht!$E$7:$M$83,3,FALSE)))),IF($Y17&gt;50,(MROUND(($Y17*1.6),(VLOOKUP($X17,Übungsübersicht!$E$7:$M$83,3,FALSE)))),IF($Y17&gt;25,(MROUND(($Y17*1.5),(VLOOKUP($X17,Übungsübersicht!$E$7:$M$83,3,FALSE)))),IF($Y17&gt;15,(MROUND(($Y17*1.4),(VLOOKUP($X17,Übungsübersicht!$E$7:$M$83,3,FALSE)))),IF($Y17&gt;(VLOOKUP($X17,Übungsübersicht!$E$7:$M$83,3,FALSE)),30*(VLOOKUP($X17,Übungsübersicht!$E$7:$M$83,3,FALSE)),""))))))),40*(VLOOKUP($X17,Übungsübersicht!$E$7:$M$83,3,FALSE)))</f>
        <v>410</v>
      </c>
      <c r="AK17" s="653">
        <f ca="1">IFERROR(IF($Y17=0,50*(VLOOKUP($X17,Übungsübersicht!$E$7:$M$83,3,FALSE)),IF($Y17&gt;100,(MROUND(($Y17*1.9),(VLOOKUP($X17,Übungsübersicht!$E$7:$M$83,3,FALSE)))),IF($Y17&gt;80,(MROUND(($Y17*1.9),(VLOOKUP($X17,Übungsübersicht!$E$7:$M$83,3,FALSE)))),IF($Y17&gt;50,(MROUND(($Y17*1.8),(VLOOKUP($X17,Übungsübersicht!$E$7:$M$83,3,FALSE)))),IF($Y17&gt;25,(MROUND(($Y17*1.7),(VLOOKUP($X17,Übungsübersicht!$E$7:$M$83,3,FALSE)))),IF($Y17&gt;15,(MROUND(($Y17*1.6),(VLOOKUP($X17,Übungsübersicht!$E$7:$M$83,3,FALSE)))),IF($Y17&gt;(VLOOKUP($X17,Übungsübersicht!$E$7:$M$83,3,FALSE)),40*(VLOOKUP($X17,Übungsübersicht!$E$7:$M$83,3,FALSE)),""))))))),50*(VLOOKUP($X17,Übungsübersicht!$E$7:$M$83,3,FALSE)))</f>
        <v>455</v>
      </c>
      <c r="AN17" s="652">
        <f ca="1">MROUND(INDEX(OFFSET(Zyklus!$M$13,14,0),1),(IF(VLOOKUP($X17,Übungsübersicht!$E$7:$K$80,3)=0,0.1,(VLOOKUP($X17,Übungsübersicht!$E$7:$K$80,3)))))</f>
        <v>240</v>
      </c>
      <c r="AP17" s="655">
        <f ca="1">IFERROR(IF(IF(VLOOKUP($X17,Zyklus!$A$14:$U$68,9,FALSE)=0,"RPE 8",IF(VLOOKUP($X17,Übungsübersicht!$E$7:$M$83,3,FALSE)&lt;0.5,($AN17)-(3*0.5),(($AN17)-(3*(VLOOKUP($X17,Übungsübersicht!$E$7:$M$83,3,FALSE))))))&lt;1,0,(IF(VLOOKUP($X17,Zyklus!$A$14:$U$68,9,FALSE)=0,"RPE 8",IF(VLOOKUP($X17,Übungsübersicht!$E$7:$M$83,3,FALSE)&lt;0.5,($AN17)-(3*0.5),(($AN17)-(3*(VLOOKUP($X17,Übungsübersicht!$E$7:$M$83,3,FALSE)))))))),"RPE 8")</f>
        <v>225</v>
      </c>
      <c r="AQ17" s="655">
        <f ca="1">IFERROR(IF(IF(VLOOKUP($X17,Zyklus!$A$14:$U$68,9,FALSE)=0,"RPE 8",IF(VLOOKUP($X17,Übungsübersicht!$E$7:$M$83,3,FALSE)&lt;0.5,($AN17)-(2*0.5),(($AN17)-(2*(VLOOKUP($X17,Übungsübersicht!$E$7:$M$83,3,FALSE))))))&lt;1,0,(IF(VLOOKUP($X17,Zyklus!$A$14:$U$68,9,FALSE)=0,"RPE 8",IF(VLOOKUP($X17,Übungsübersicht!$E$7:$M$83,3,FALSE)&lt;0.5,($AN17)-(2*0.5),(($AN17)-(2*(VLOOKUP($X17,Übungsübersicht!$E$7:$M$83,3,FALSE)))))))),"RPE 8")</f>
        <v>230</v>
      </c>
      <c r="AR17" s="655">
        <f ca="1">IFERROR(IF(IF(VLOOKUP($X17,Zyklus!$A$14:$U$68,9,FALSE)=0,"RPE 8",IF(VLOOKUP($X17,Übungsübersicht!$E$7:$M$83,3,FALSE)&lt;0.5,($AN17)-(1*0.5),(($Y17)-(1*(VLOOKUP($X17,Übungsübersicht!$E$7:$M$83,3,FALSE))))))&lt;1,0,(IF(VLOOKUP($X17,Zyklus!$A$14:$U$68,9,FALSE)=0,"RPE 8",IF(VLOOKUP($X17,Übungsübersicht!$E$7:$M$83,3,FALSE)&lt;0.5,($AN17)-(1*0.5),(($Y17)-(1*(VLOOKUP($X17,Übungsübersicht!$E$7:$M$83,3,FALSE)))))))),"RPE 8")</f>
        <v>235</v>
      </c>
      <c r="AS17" s="655">
        <f t="shared" ca="1" si="0"/>
        <v>240</v>
      </c>
      <c r="AT17" s="655">
        <f ca="1">IFERROR(IF(VLOOKUP($X17,Zyklus!$A$14:$U$68,9,FALSE)=0,"RPE 8",IF(VLOOKUP($X17,Übungsübersicht!$E$7:$M$83,3,FALSE)&lt;0.5,($AN17)+(1*0.5),(($Y17)+(1*(VLOOKUP($X17,Übungsübersicht!$E$7:$M$83,3,FALSE)))))),"RPE 8")</f>
        <v>245</v>
      </c>
      <c r="AU17" s="655">
        <f ca="1">IFERROR(IF(VLOOKUP($X17,Zyklus!$A$14:$U$68,9,FALSE)=0,"RPE 8",IF(VLOOKUP($X17,Übungsübersicht!$E$7:$M$83,3,FALSE)&lt;0.5,($AN17)+(2*0.5),(($AN17)+(2*(VLOOKUP($X17,Übungsübersicht!$E$7:$M$83,3,FALSE)))))),"RPE 8")</f>
        <v>250</v>
      </c>
      <c r="AV17" s="655">
        <f ca="1">IFERROR(IF(VLOOKUP($X17,Zyklus!$A$14:$U$68,9,FALSE)=0,"RPE 8",IF(VLOOKUP($X17,Übungsübersicht!$E$7:$M$83,3,FALSE)&lt;0.5,($AN17)+(3*0.5),(($AN17)+(3*(VLOOKUP($X17,Übungsübersicht!$E$7:$M$83,3,FALSE)))))),"RPE 8")</f>
        <v>255</v>
      </c>
      <c r="AY17" s="652">
        <f ca="1">MROUND(INDEX(OFFSET(Zyklus!$M$13,14,0),1),(IF(VLOOKUP($X17,Übungsübersicht!$E$7:$K$80,3)=0,0.1,(VLOOKUP($X17,Übungsübersicht!$E$7:$K$80,3)))))</f>
        <v>240</v>
      </c>
      <c r="BA17" s="655">
        <f ca="1">MROUND(INDEX(OFFSET(Zyklus!$Q$13,14,0),1),(IF(VLOOKUP($X17,Übungsübersicht!$E$7:$K$80,3)=0,0.1,(VLOOKUP($X17,Übungsübersicht!$E$7:$K$80,3)))))</f>
        <v>240</v>
      </c>
      <c r="BC17" s="655">
        <f ca="1">IFERROR(IF(IF(VLOOKUP($X17,Zyklus!$A$14:$U$68,9,FALSE)=0,"RPE 9",IF(VLOOKUP($X17,Übungsübersicht!$E$7:$M$83,3,FALSE)&lt;0.5,($BA17)-(3*0.5),(($BA17)-(3*(VLOOKUP($X17,Übungsübersicht!$E$7:$M$83,3,FALSE))))))&lt;1,0,(IF(VLOOKUP($X17,Zyklus!$A$14:$U$68,9,FALSE)=0,"RPE 9",IF(VLOOKUP($X17,Übungsübersicht!$E$7:$M$83,3,FALSE)&lt;0.5,($BA17)-(3*0.5),(($BA17)-(3*(VLOOKUP($X17,Übungsübersicht!$E$7:$M$83,3,FALSE)))))))),"RPE 9")</f>
        <v>225</v>
      </c>
      <c r="BD17" s="655">
        <f ca="1">IFERROR(IF(IF(VLOOKUP($X17,Zyklus!$A$14:$U$68,9,FALSE)=0,"RPE 9",IF(VLOOKUP($X17,Übungsübersicht!$E$7:$M$83,3,FALSE)&lt;0.5,($BA17)-(2*0.5),(($BA17)-(2*(VLOOKUP($X17,Übungsübersicht!$E$7:$M$83,3,FALSE))))))&lt;1,0,(IF(VLOOKUP($X17,Zyklus!$A$14:$U$68,9,FALSE)=0,"RPE 9",IF(VLOOKUP($X17,Übungsübersicht!$E$7:$M$83,3,FALSE)&lt;0.5,($BA17)-(2*0.5),(($BA17)-(2*(VLOOKUP($X17,Übungsübersicht!$E$7:$M$83,3,FALSE)))))))),"RPE 9")</f>
        <v>230</v>
      </c>
      <c r="BE17" s="655">
        <f ca="1">IFERROR(IF(IF(VLOOKUP($X17,Zyklus!$A$14:$U$68,9,FALSE)=0,"RPE 9",IF(VLOOKUP($X17,Übungsübersicht!$E$7:$M$83,3,FALSE)&lt;0.5,($BA17)-(1*0.5),(($Y17)-(1*(VLOOKUP($X17,Übungsübersicht!$E$7:$M$83,3,FALSE))))))&lt;1,0,(IF(VLOOKUP($X17,Zyklus!$A$14:$U$68,9,FALSE)=0,"RPE 9",IF(VLOOKUP($X17,Übungsübersicht!$E$7:$M$83,3,FALSE)&lt;0.5,($BA17)-(1*0.5),(($Y17)-(1*(VLOOKUP($X17,Übungsübersicht!$E$7:$M$83,3,FALSE)))))))),"RPE 9")</f>
        <v>235</v>
      </c>
      <c r="BF17" s="655">
        <f t="shared" ca="1" si="1"/>
        <v>240</v>
      </c>
      <c r="BG17" s="655">
        <f ca="1">IFERROR(IF(VLOOKUP($X17,Zyklus!$A$14:$U$68,9,FALSE)=0,"RPE 9",IF(VLOOKUP($X17,Übungsübersicht!$E$7:$M$83,3,FALSE)&lt;0.5,($AY17)+(1*0.5),(($AY17)+(1*(VLOOKUP($X17,Übungsübersicht!$E$7:$M$83,3,FALSE)))))),"RPE 9")</f>
        <v>245</v>
      </c>
      <c r="BH17" s="655">
        <f ca="1">IFERROR(IF(VLOOKUP($X17,Zyklus!$A$14:$U$68,9,FALSE)=0,"RPE 9",IF(VLOOKUP($X17,Übungsübersicht!$E$7:$M$83,3,FALSE)&lt;0.5,($BA17)+(2*0.5),(($BA17)+(2*(VLOOKUP($X17,Übungsübersicht!$E$7:$M$83,3,FALSE)))))),"RPE 9")</f>
        <v>250</v>
      </c>
      <c r="BI17" s="655">
        <f ca="1">IFERROR(IF(VLOOKUP($X17,Zyklus!$A$14:$U$68,9,FALSE)=0,"RPE 9",IF(VLOOKUP($X17,Übungsübersicht!$E$7:$M$83,3,FALSE)&lt;0.5,($BA17)+(3*0.5),(($BA17)+(3*(VLOOKUP($X17,Übungsübersicht!$E$7:$M$83,3,FALSE)))))),"RPE 9")</f>
        <v>255</v>
      </c>
    </row>
    <row r="18" spans="1:61" ht="30" customHeight="1">
      <c r="A18" s="857">
        <v>3</v>
      </c>
      <c r="L18" s="303" t="e">
        <f ca="1">MATCH("GB+",OFFSET(Übungsübersicht!$J$8:$J$50,L17,0),0)+L17</f>
        <v>#N/A</v>
      </c>
      <c r="M18" s="304" t="str" cm="1">
        <f t="array" aca="1" ref="M18" ca="1">IF(ISNA(INDEX(Übungsübersicht!$E$8:$E$83,L18)),"",INDEX(Übungsübersicht!$E$8:$E$83,L18))</f>
        <v/>
      </c>
      <c r="X18" s="654" t="str">
        <f ca="1">INDEX(OFFSET(Zyklus!$A$13,15,0),1)</f>
        <v>Beinbeuger Liegend</v>
      </c>
      <c r="Y18" s="655">
        <f ca="1">MROUND(INDEX(OFFSET(Zyklus!$I$13,15,0),1),(IF(VLOOKUP($X18,Übungsübersicht!$E$7:$K$80,3)=0,0.1,(VLOOKUP($X18,Übungsübersicht!$E$7:$K$80,3)))))</f>
        <v>35</v>
      </c>
      <c r="Z18" s="655"/>
      <c r="AA18" s="655">
        <f ca="1">IFERROR(IF($Y18=0,2*(VLOOKUP($X18,Übungsübersicht!$E$7:$M$83,3,FALSE)),IF($Y18&gt;100,(MROUND(($Y18*0.1),(VLOOKUP($X18,Übungsübersicht!$E$7:$M$83,3,FALSE)))),IF($Y18&gt;80,(MROUND(($Y18*0.1),(VLOOKUP($X18,Übungsübersicht!$E$7:$M$83,3,FALSE)))),IF($Y18&gt;50,(MROUND(($Y18*0.2),(VLOOKUP($X18,Übungsübersicht!$E$7:$M$83,3,FALSE)))),IF($Y18&gt;25,(MROUND(($Y18*0.3),(VLOOKUP($X18,Übungsübersicht!$E$7:$M$83,3,FALSE)))),IF($Y18&gt;15,(MROUND(($Y18*0.4),(VLOOKUP($X18,Übungsübersicht!$E$7:$M$83,3,FALSE)))),IF($Y18&gt;(VLOOKUP($X18,Übungsübersicht!$E$7:$M$83,3,FALSE)),(VLOOKUP($X18,Übungsübersicht!$E$7:$M$83,3,FALSE)),""))))))),2*(VLOOKUP($X18,Übungsübersicht!$E$7:$M$83,3,FALSE)))</f>
        <v>10</v>
      </c>
      <c r="AB18" s="655">
        <f ca="1">IFERROR(IF($Y18=0,4*(VLOOKUP($X18,Übungsübersicht!$E$7:$M$83,3,FALSE)),IF($Y18&gt;100,(MROUND(($Y18*0.3),(VLOOKUP($X18,Übungsübersicht!$E$7:$M$83,3,FALSE)))),IF($Y18&gt;80,(MROUND(($Y18*0.3),(VLOOKUP($X18,Übungsübersicht!$E$7:$M$83,3,FALSE)))),IF($Y18&gt;50,(MROUND(($Y18*0.4),(VLOOKUP($X18,Übungsübersicht!$E$7:$M$83,3,FALSE)))),IF($Y18&gt;25,(MROUND(($Y18*0.5),(VLOOKUP($X18,Übungsübersicht!$E$7:$M$83,3,FALSE)))),IF($Y18&gt;15,(MROUND(($Y18*0.6),(VLOOKUP($X18,Übungsübersicht!$E$7:$M$83,3,FALSE)))),IF($Y18&gt;(VLOOKUP($X18,Übungsübersicht!$E$7:$M$83,3,FALSE)),(VLOOKUP($X18,Übungsübersicht!$E$7:$M$83,3,FALSE)),""))))))),4*(VLOOKUP($X18,Übungsübersicht!$E$7:$M$83,3,FALSE)))</f>
        <v>20</v>
      </c>
      <c r="AC18" s="655">
        <f ca="1">IFERROR((IF($Y18=0,8*(VLOOKUP($X18,Übungsübersicht!$E$7:$M$83,3,FALSE)),(($Y18)-(3*(VLOOKUP($X18,Übungsübersicht!$E$7:$M$83,3,FALSE)))))),8*(VLOOKUP($X18,Übungsübersicht!$E$7:$M$83,3,FALSE)))</f>
        <v>20</v>
      </c>
      <c r="AD18" s="655">
        <f ca="1">IFERROR(((IF($Y18=0,10*(VLOOKUP($X18,Übungsübersicht!$E$7:$M$83,3,FALSE)),($Y18)-(2*(VLOOKUP($X18,Übungsübersicht!$E$7:$M$83,3,FALSE)))))),10*(VLOOKUP($X18,Übungsübersicht!$E$7:$M$83,3,FALSE)))</f>
        <v>25</v>
      </c>
      <c r="AE18" s="655">
        <f ca="1">IFERROR(((IF($Y18=0,10*(VLOOKUP($X18,Übungsübersicht!$E$7:$M$83,3,FALSE)),($Y18)-(1*(VLOOKUP($X18,Übungsübersicht!$E$7:$M$83,3,FALSE)))))),10*(VLOOKUP($X18,Übungsübersicht!$E$7:$M$83,3,FALSE)))</f>
        <v>30</v>
      </c>
      <c r="AF18" s="655">
        <f ca="1">IFERROR(IF($Y18=0,20*(VLOOKUP($X18,Übungsübersicht!$E$7:$M$83,3,FALSE)),($Y18)),20*(VLOOKUP($X18,Übungsübersicht!$E$7:$M$83,3,FALSE)))</f>
        <v>35</v>
      </c>
      <c r="AG18" s="655">
        <f ca="1">IFERROR(IF($Y18=0,30*(VLOOKUP($X18,Übungsübersicht!$E$7:$M$83,3,FALSE)),($Y18)+(1*(VLOOKUP($X18,Übungsübersicht!$E$7:$M$83,3,FALSE)))),30*(VLOOKUP($X18,Übungsübersicht!$E$7:$M$83,3,FALSE)))</f>
        <v>40</v>
      </c>
      <c r="AH18" s="655">
        <f ca="1">IFERROR(IF($Y18=0,30*(VLOOKUP($X18,Übungsübersicht!$E$7:$M$83,3,FALSE)),($Y18)+(2*(VLOOKUP($X18,Übungsübersicht!$E$7:$M$83,3,FALSE)))),30*(VLOOKUP($X18,Übungsübersicht!$E$7:$M$83,3,FALSE)))</f>
        <v>45</v>
      </c>
      <c r="AI18" s="655">
        <f ca="1">IFERROR(IF($Y18=0,30*(VLOOKUP($X18,Übungsübersicht!$E$7:$M$83,3,FALSE)),($Y18)+(3*(VLOOKUP($X18,Übungsübersicht!$E$7:$M$83,3,FALSE)))),30*(VLOOKUP($X18,Übungsübersicht!$E$7:$M$83,3,FALSE)))</f>
        <v>50</v>
      </c>
      <c r="AJ18" s="655">
        <f ca="1">IFERROR(IF($Y18=0,40*(VLOOKUP($X18,Übungsübersicht!$E$7:$M$83,3,FALSE)),IF($Y18&gt;100,(MROUND(($Y18*1.7),(VLOOKUP($X18,Übungsübersicht!$E$7:$M$83,3,FALSE)))),IF($Y18&gt;80,(MROUND(($Y18*1.7),(VLOOKUP($X18,Übungsübersicht!$E$7:$M$83,3,FALSE)))),IF($Y18&gt;50,(MROUND(($Y18*1.6),(VLOOKUP($X18,Übungsübersicht!$E$7:$M$83,3,FALSE)))),IF($Y18&gt;25,(MROUND(($Y18*1.5),(VLOOKUP($X18,Übungsübersicht!$E$7:$M$83,3,FALSE)))),IF($Y18&gt;15,(MROUND(($Y18*1.4),(VLOOKUP($X18,Übungsübersicht!$E$7:$M$83,3,FALSE)))),IF($Y18&gt;(VLOOKUP($X18,Übungsübersicht!$E$7:$M$83,3,FALSE)),30*(VLOOKUP($X18,Übungsübersicht!$E$7:$M$83,3,FALSE)),""))))))),40*(VLOOKUP($X18,Übungsübersicht!$E$7:$M$83,3,FALSE)))</f>
        <v>55</v>
      </c>
      <c r="AK18" s="656">
        <f ca="1">IFERROR(IF($Y18=0,50*(VLOOKUP($X18,Übungsübersicht!$E$7:$M$83,3,FALSE)),IF($Y18&gt;100,(MROUND(($Y18*1.9),(VLOOKUP($X18,Übungsübersicht!$E$7:$M$83,3,FALSE)))),IF($Y18&gt;80,(MROUND(($Y18*1.9),(VLOOKUP($X18,Übungsübersicht!$E$7:$M$83,3,FALSE)))),IF($Y18&gt;50,(MROUND(($Y18*1.8),(VLOOKUP($X18,Übungsübersicht!$E$7:$M$83,3,FALSE)))),IF($Y18&gt;25,(MROUND(($Y18*1.7),(VLOOKUP($X18,Übungsübersicht!$E$7:$M$83,3,FALSE)))),IF($Y18&gt;15,(MROUND(($Y18*1.6),(VLOOKUP($X18,Übungsübersicht!$E$7:$M$83,3,FALSE)))),IF($Y18&gt;(VLOOKUP($X18,Übungsübersicht!$E$7:$M$83,3,FALSE)),40*(VLOOKUP($X18,Übungsübersicht!$E$7:$M$83,3,FALSE)),""))))))),50*(VLOOKUP($X18,Übungsübersicht!$E$7:$M$83,3,FALSE)))</f>
        <v>60</v>
      </c>
      <c r="AN18" s="655">
        <f ca="1">MROUND(INDEX(OFFSET(Zyklus!$M$13,15,0),1),(IF(VLOOKUP($X18,Übungsübersicht!$E$7:$K$80,3)=0,0.1,(VLOOKUP($X18,Übungsübersicht!$E$7:$K$80,3)))))</f>
        <v>35</v>
      </c>
      <c r="AP18" s="652">
        <f ca="1">IFERROR(IF(IF(VLOOKUP($X18,Zyklus!$A$14:$U$68,9,FALSE)=0,"RPE 8",IF(VLOOKUP($X18,Übungsübersicht!$E$7:$M$83,3,FALSE)&lt;0.5,($AN18)-(3*0.5),(($AN18)-(3*(VLOOKUP($X18,Übungsübersicht!$E$7:$M$83,3,FALSE))))))&lt;1,0,(IF(VLOOKUP($X18,Zyklus!$A$14:$U$68,9,FALSE)=0,"RPE 8",IF(VLOOKUP($X18,Übungsübersicht!$E$7:$M$83,3,FALSE)&lt;0.5,($AN18)-(3*0.5),(($AN18)-(3*(VLOOKUP($X18,Übungsübersicht!$E$7:$M$83,3,FALSE)))))))),"RPE 8")</f>
        <v>20</v>
      </c>
      <c r="AQ18" s="652">
        <f ca="1">IFERROR(IF(IF(VLOOKUP($X18,Zyklus!$A$14:$U$68,9,FALSE)=0,"RPE 8",IF(VLOOKUP($X18,Übungsübersicht!$E$7:$M$83,3,FALSE)&lt;0.5,($AN18)-(2*0.5),(($AN18)-(2*(VLOOKUP($X18,Übungsübersicht!$E$7:$M$83,3,FALSE))))))&lt;1,0,(IF(VLOOKUP($X18,Zyklus!$A$14:$U$68,9,FALSE)=0,"RPE 8",IF(VLOOKUP($X18,Übungsübersicht!$E$7:$M$83,3,FALSE)&lt;0.5,($AN18)-(2*0.5),(($AN18)-(2*(VLOOKUP($X18,Übungsübersicht!$E$7:$M$83,3,FALSE)))))))),"RPE 8")</f>
        <v>25</v>
      </c>
      <c r="AR18" s="652">
        <f ca="1">IFERROR(IF(IF(VLOOKUP($X18,Zyklus!$A$14:$U$68,9,FALSE)=0,"RPE 8",IF(VLOOKUP($X18,Übungsübersicht!$E$7:$M$83,3,FALSE)&lt;0.5,($AN18)-(1*0.5),(($Y18)-(1*(VLOOKUP($X18,Übungsübersicht!$E$7:$M$83,3,FALSE))))))&lt;1,0,(IF(VLOOKUP($X18,Zyklus!$A$14:$U$68,9,FALSE)=0,"RPE 8",IF(VLOOKUP($X18,Übungsübersicht!$E$7:$M$83,3,FALSE)&lt;0.5,($AN18)-(1*0.5),(($Y18)-(1*(VLOOKUP($X18,Übungsübersicht!$E$7:$M$83,3,FALSE)))))))),"RPE 8")</f>
        <v>30</v>
      </c>
      <c r="AS18" s="652">
        <f t="shared" ca="1" si="0"/>
        <v>35</v>
      </c>
      <c r="AT18" s="652">
        <f ca="1">IFERROR(IF(VLOOKUP($X18,Zyklus!$A$14:$U$68,9,FALSE)=0,"RPE 8",IF(VLOOKUP($X18,Übungsübersicht!$E$7:$M$83,3,FALSE)&lt;0.5,($AN18)+(1*0.5),(($Y18)+(1*(VLOOKUP($X18,Übungsübersicht!$E$7:$M$83,3,FALSE)))))),"RPE 8")</f>
        <v>40</v>
      </c>
      <c r="AU18" s="652">
        <f ca="1">IFERROR(IF(VLOOKUP($X18,Zyklus!$A$14:$U$68,9,FALSE)=0,"RPE 8",IF(VLOOKUP($X18,Übungsübersicht!$E$7:$M$83,3,FALSE)&lt;0.5,($AN18)+(2*0.5),(($AN18)+(2*(VLOOKUP($X18,Übungsübersicht!$E$7:$M$83,3,FALSE)))))),"RPE 8")</f>
        <v>45</v>
      </c>
      <c r="AV18" s="652">
        <f ca="1">IFERROR(IF(VLOOKUP($X18,Zyklus!$A$14:$U$68,9,FALSE)=0,"RPE 8",IF(VLOOKUP($X18,Übungsübersicht!$E$7:$M$83,3,FALSE)&lt;0.5,($AN18)+(3*0.5),(($AN18)+(3*(VLOOKUP($X18,Übungsübersicht!$E$7:$M$83,3,FALSE)))))),"RPE 8")</f>
        <v>50</v>
      </c>
      <c r="AY18" s="655">
        <f ca="1">MROUND(INDEX(OFFSET(Zyklus!$M$13,15,0),1),(IF(VLOOKUP($X18,Übungsübersicht!$E$7:$K$80,3)=0,0.1,(VLOOKUP($X18,Übungsübersicht!$E$7:$K$80,3)))))</f>
        <v>35</v>
      </c>
      <c r="BA18" s="652">
        <f ca="1">MROUND(INDEX(OFFSET(Zyklus!$Q$13,15,0),1),(IF(VLOOKUP($X18,Übungsübersicht!$E$7:$K$80,3)=0,0.1,(VLOOKUP($X18,Übungsübersicht!$E$7:$K$80,3)))))</f>
        <v>35</v>
      </c>
      <c r="BC18" s="652">
        <f ca="1">IFERROR(IF(IF(VLOOKUP($X18,Zyklus!$A$14:$U$68,9,FALSE)=0,"RPE 9",IF(VLOOKUP($X18,Übungsübersicht!$E$7:$M$83,3,FALSE)&lt;0.5,($BA18)-(3*0.5),(($BA18)-(3*(VLOOKUP($X18,Übungsübersicht!$E$7:$M$83,3,FALSE))))))&lt;1,0,(IF(VLOOKUP($X18,Zyklus!$A$14:$U$68,9,FALSE)=0,"RPE 9",IF(VLOOKUP($X18,Übungsübersicht!$E$7:$M$83,3,FALSE)&lt;0.5,($BA18)-(3*0.5),(($BA18)-(3*(VLOOKUP($X18,Übungsübersicht!$E$7:$M$83,3,FALSE)))))))),"RPE 9")</f>
        <v>20</v>
      </c>
      <c r="BD18" s="652">
        <f ca="1">IFERROR(IF(IF(VLOOKUP($X18,Zyklus!$A$14:$U$68,9,FALSE)=0,"RPE 9",IF(VLOOKUP($X18,Übungsübersicht!$E$7:$M$83,3,FALSE)&lt;0.5,($BA18)-(2*0.5),(($BA18)-(2*(VLOOKUP($X18,Übungsübersicht!$E$7:$M$83,3,FALSE))))))&lt;1,0,(IF(VLOOKUP($X18,Zyklus!$A$14:$U$68,9,FALSE)=0,"RPE 9",IF(VLOOKUP($X18,Übungsübersicht!$E$7:$M$83,3,FALSE)&lt;0.5,($BA18)-(2*0.5),(($BA18)-(2*(VLOOKUP($X18,Übungsübersicht!$E$7:$M$83,3,FALSE)))))))),"RPE 9")</f>
        <v>25</v>
      </c>
      <c r="BE18" s="652">
        <f ca="1">IFERROR(IF(IF(VLOOKUP($X18,Zyklus!$A$14:$U$68,9,FALSE)=0,"RPE 9",IF(VLOOKUP($X18,Übungsübersicht!$E$7:$M$83,3,FALSE)&lt;0.5,($BA18)-(1*0.5),(($Y18)-(1*(VLOOKUP($X18,Übungsübersicht!$E$7:$M$83,3,FALSE))))))&lt;1,0,(IF(VLOOKUP($X18,Zyklus!$A$14:$U$68,9,FALSE)=0,"RPE 9",IF(VLOOKUP($X18,Übungsübersicht!$E$7:$M$83,3,FALSE)&lt;0.5,($BA18)-(1*0.5),(($Y18)-(1*(VLOOKUP($X18,Übungsübersicht!$E$7:$M$83,3,FALSE)))))))),"RPE 9")</f>
        <v>30</v>
      </c>
      <c r="BF18" s="652">
        <f t="shared" ca="1" si="1"/>
        <v>35</v>
      </c>
      <c r="BG18" s="652">
        <f ca="1">IFERROR(IF(VLOOKUP($X18,Zyklus!$A$14:$U$68,9,FALSE)=0,"RPE 9",IF(VLOOKUP($X18,Übungsübersicht!$E$7:$M$83,3,FALSE)&lt;0.5,($AY18)+(1*0.5),(($AY18)+(1*(VLOOKUP($X18,Übungsübersicht!$E$7:$M$83,3,FALSE)))))),"RPE 9")</f>
        <v>40</v>
      </c>
      <c r="BH18" s="652">
        <f ca="1">IFERROR(IF(VLOOKUP($X18,Zyklus!$A$14:$U$68,9,FALSE)=0,"RPE 9",IF(VLOOKUP($X18,Übungsübersicht!$E$7:$M$83,3,FALSE)&lt;0.5,($BA18)+(2*0.5),(($BA18)+(2*(VLOOKUP($X18,Übungsübersicht!$E$7:$M$83,3,FALSE)))))),"RPE 9")</f>
        <v>45</v>
      </c>
      <c r="BI18" s="652">
        <f ca="1">IFERROR(IF(VLOOKUP($X18,Zyklus!$A$14:$U$68,9,FALSE)=0,"RPE 9",IF(VLOOKUP($X18,Übungsübersicht!$E$7:$M$83,3,FALSE)&lt;0.5,($BA18)+(3*0.5),(($BA18)+(3*(VLOOKUP($X18,Übungsübersicht!$E$7:$M$83,3,FALSE)))))),"RPE 9")</f>
        <v>50</v>
      </c>
    </row>
    <row r="19" spans="1:61" ht="30" customHeight="1">
      <c r="A19" s="856">
        <v>3.5</v>
      </c>
      <c r="C19" s="1032" t="s">
        <v>291</v>
      </c>
      <c r="D19" s="1032"/>
      <c r="E19" s="1032"/>
      <c r="F19" s="1032"/>
      <c r="G19" s="1032"/>
      <c r="H19" s="1032"/>
      <c r="I19" s="1032"/>
      <c r="J19" s="1032"/>
      <c r="K19" s="1032"/>
      <c r="L19" s="305" t="e">
        <f ca="1">MATCH("GB+",OFFSET(Übungsübersicht!$J$8:$J$50,L18,0),0)+L18</f>
        <v>#N/A</v>
      </c>
      <c r="M19" s="305" t="str" cm="1">
        <f t="array" aca="1" ref="M19" ca="1">IF(ISNA(INDEX(Übungsübersicht!$E$8:$E$83,L19)),"",INDEX(Übungsübersicht!$E$8:$E$83,L19))</f>
        <v/>
      </c>
      <c r="X19" s="651" t="str">
        <f ca="1">INDEX(OFFSET(Zyklus!$A$13,16,0),1)</f>
        <v xml:space="preserve">Beinstrecker </v>
      </c>
      <c r="Y19" s="652">
        <f ca="1">MROUND(INDEX(OFFSET(Zyklus!$I$13,16,0),1),(IF(VLOOKUP($X19,Übungsübersicht!$E$7:$K$80,3)=0,0.1,(VLOOKUP($X19,Übungsübersicht!$E$7:$K$80,3)))))</f>
        <v>15</v>
      </c>
      <c r="Z19" s="652"/>
      <c r="AA19" s="652">
        <f ca="1">IFERROR(IF($Y19=0,2*(VLOOKUP($X19,Übungsübersicht!$E$7:$M$83,3,FALSE)),IF($Y19&gt;100,(MROUND(($Y19*0.1),(VLOOKUP($X19,Übungsübersicht!$E$7:$M$83,3,FALSE)))),IF($Y19&gt;80,(MROUND(($Y19*0.1),(VLOOKUP($X19,Übungsübersicht!$E$7:$M$83,3,FALSE)))),IF($Y19&gt;50,(MROUND(($Y19*0.2),(VLOOKUP($X19,Übungsübersicht!$E$7:$M$83,3,FALSE)))),IF($Y19&gt;25,(MROUND(($Y19*0.3),(VLOOKUP($X19,Übungsübersicht!$E$7:$M$83,3,FALSE)))),IF($Y19&gt;15,(MROUND(($Y19*0.4),(VLOOKUP($X19,Übungsübersicht!$E$7:$M$83,3,FALSE)))),IF($Y19&gt;(VLOOKUP($X19,Übungsübersicht!$E$7:$M$83,3,FALSE)),(VLOOKUP($X19,Übungsübersicht!$E$7:$M$83,3,FALSE)),""))))))),2*(VLOOKUP($X19,Übungsübersicht!$E$7:$M$83,3,FALSE)))</f>
        <v>5</v>
      </c>
      <c r="AB19" s="652">
        <f ca="1">IFERROR(IF($Y19=0,4*(VLOOKUP($X19,Übungsübersicht!$E$7:$M$83,3,FALSE)),IF($Y19&gt;100,(MROUND(($Y19*0.3),(VLOOKUP($X19,Übungsübersicht!$E$7:$M$83,3,FALSE)))),IF($Y19&gt;80,(MROUND(($Y19*0.3),(VLOOKUP($X19,Übungsübersicht!$E$7:$M$83,3,FALSE)))),IF($Y19&gt;50,(MROUND(($Y19*0.4),(VLOOKUP($X19,Übungsübersicht!$E$7:$M$83,3,FALSE)))),IF($Y19&gt;25,(MROUND(($Y19*0.5),(VLOOKUP($X19,Übungsübersicht!$E$7:$M$83,3,FALSE)))),IF($Y19&gt;15,(MROUND(($Y19*0.6),(VLOOKUP($X19,Übungsübersicht!$E$7:$M$83,3,FALSE)))),IF($Y19&gt;(VLOOKUP($X19,Übungsübersicht!$E$7:$M$83,3,FALSE)),(VLOOKUP($X19,Übungsübersicht!$E$7:$M$83,3,FALSE)),""))))))),4*(VLOOKUP($X19,Übungsübersicht!$E$7:$M$83,3,FALSE)))</f>
        <v>5</v>
      </c>
      <c r="AC19" s="652">
        <f ca="1">IFERROR((IF($Y19=0,8*(VLOOKUP($X19,Übungsübersicht!$E$7:$M$83,3,FALSE)),(($Y19)-(3*(VLOOKUP($X19,Übungsübersicht!$E$7:$M$83,3,FALSE)))))),8*(VLOOKUP($X19,Übungsübersicht!$E$7:$M$83,3,FALSE)))</f>
        <v>0</v>
      </c>
      <c r="AD19" s="652">
        <f ca="1">IFERROR(((IF($Y19=0,10*(VLOOKUP($X19,Übungsübersicht!$E$7:$M$83,3,FALSE)),($Y19)-(2*(VLOOKUP($X19,Übungsübersicht!$E$7:$M$83,3,FALSE)))))),10*(VLOOKUP($X19,Übungsübersicht!$E$7:$M$83,3,FALSE)))</f>
        <v>5</v>
      </c>
      <c r="AE19" s="652">
        <f ca="1">IFERROR(((IF($Y19=0,10*(VLOOKUP($X19,Übungsübersicht!$E$7:$M$83,3,FALSE)),($Y19)-(1*(VLOOKUP($X19,Übungsübersicht!$E$7:$M$83,3,FALSE)))))),10*(VLOOKUP($X19,Übungsübersicht!$E$7:$M$83,3,FALSE)))</f>
        <v>10</v>
      </c>
      <c r="AF19" s="652">
        <f ca="1">IFERROR(IF($Y19=0,20*(VLOOKUP($X19,Übungsübersicht!$E$7:$M$83,3,FALSE)),($Y19)),20*(VLOOKUP($X19,Übungsübersicht!$E$7:$M$83,3,FALSE)))</f>
        <v>15</v>
      </c>
      <c r="AG19" s="652">
        <f ca="1">IFERROR(IF($Y19=0,30*(VLOOKUP($X19,Übungsübersicht!$E$7:$M$83,3,FALSE)),($Y19)+(1*(VLOOKUP($X19,Übungsübersicht!$E$7:$M$83,3,FALSE)))),30*(VLOOKUP($X19,Übungsübersicht!$E$7:$M$83,3,FALSE)))</f>
        <v>20</v>
      </c>
      <c r="AH19" s="652">
        <f ca="1">IFERROR(IF($Y19=0,30*(VLOOKUP($X19,Übungsübersicht!$E$7:$M$83,3,FALSE)),($Y19)+(2*(VLOOKUP($X19,Übungsübersicht!$E$7:$M$83,3,FALSE)))),30*(VLOOKUP($X19,Übungsübersicht!$E$7:$M$83,3,FALSE)))</f>
        <v>25</v>
      </c>
      <c r="AI19" s="652">
        <f ca="1">IFERROR(IF($Y19=0,30*(VLOOKUP($X19,Übungsübersicht!$E$7:$M$83,3,FALSE)),($Y19)+(3*(VLOOKUP($X19,Übungsübersicht!$E$7:$M$83,3,FALSE)))),30*(VLOOKUP($X19,Übungsübersicht!$E$7:$M$83,3,FALSE)))</f>
        <v>30</v>
      </c>
      <c r="AJ19" s="652">
        <f ca="1">IFERROR(IF($Y19=0,40*(VLOOKUP($X19,Übungsübersicht!$E$7:$M$83,3,FALSE)),IF($Y19&gt;100,(MROUND(($Y19*1.7),(VLOOKUP($X19,Übungsübersicht!$E$7:$M$83,3,FALSE)))),IF($Y19&gt;80,(MROUND(($Y19*1.7),(VLOOKUP($X19,Übungsübersicht!$E$7:$M$83,3,FALSE)))),IF($Y19&gt;50,(MROUND(($Y19*1.6),(VLOOKUP($X19,Übungsübersicht!$E$7:$M$83,3,FALSE)))),IF($Y19&gt;25,(MROUND(($Y19*1.5),(VLOOKUP($X19,Übungsübersicht!$E$7:$M$83,3,FALSE)))),IF($Y19&gt;15,(MROUND(($Y19*1.4),(VLOOKUP($X19,Übungsübersicht!$E$7:$M$83,3,FALSE)))),IF($Y19&gt;(VLOOKUP($X19,Übungsübersicht!$E$7:$M$83,3,FALSE)),30*(VLOOKUP($X19,Übungsübersicht!$E$7:$M$83,3,FALSE)),""))))))),40*(VLOOKUP($X19,Übungsübersicht!$E$7:$M$83,3,FALSE)))</f>
        <v>150</v>
      </c>
      <c r="AK19" s="653">
        <f ca="1">IFERROR(IF($Y19=0,50*(VLOOKUP($X19,Übungsübersicht!$E$7:$M$83,3,FALSE)),IF($Y19&gt;100,(MROUND(($Y19*1.9),(VLOOKUP($X19,Übungsübersicht!$E$7:$M$83,3,FALSE)))),IF($Y19&gt;80,(MROUND(($Y19*1.9),(VLOOKUP($X19,Übungsübersicht!$E$7:$M$83,3,FALSE)))),IF($Y19&gt;50,(MROUND(($Y19*1.8),(VLOOKUP($X19,Übungsübersicht!$E$7:$M$83,3,FALSE)))),IF($Y19&gt;25,(MROUND(($Y19*1.7),(VLOOKUP($X19,Übungsübersicht!$E$7:$M$83,3,FALSE)))),IF($Y19&gt;15,(MROUND(($Y19*1.6),(VLOOKUP($X19,Übungsübersicht!$E$7:$M$83,3,FALSE)))),IF($Y19&gt;(VLOOKUP($X19,Übungsübersicht!$E$7:$M$83,3,FALSE)),40*(VLOOKUP($X19,Übungsübersicht!$E$7:$M$83,3,FALSE)),""))))))),50*(VLOOKUP($X19,Übungsübersicht!$E$7:$M$83,3,FALSE)))</f>
        <v>200</v>
      </c>
      <c r="AN19" s="652">
        <f ca="1">MROUND(INDEX(OFFSET(Zyklus!$M$13,16,0),1),(IF(VLOOKUP($X19,Übungsübersicht!$E$7:$K$80,3)=0,0.1,(VLOOKUP($X19,Übungsübersicht!$E$7:$K$80,3)))))</f>
        <v>15</v>
      </c>
      <c r="AP19" s="655">
        <f ca="1">IFERROR(IF(IF(VLOOKUP($X19,Zyklus!$A$14:$U$68,9,FALSE)=0,"RPE 8",IF(VLOOKUP($X19,Übungsübersicht!$E$7:$M$83,3,FALSE)&lt;0.5,($AN19)-(3*0.5),(($AN19)-(3*(VLOOKUP($X19,Übungsübersicht!$E$7:$M$83,3,FALSE))))))&lt;1,0,(IF(VLOOKUP($X19,Zyklus!$A$14:$U$68,9,FALSE)=0,"RPE 8",IF(VLOOKUP($X19,Übungsübersicht!$E$7:$M$83,3,FALSE)&lt;0.5,($AN19)-(3*0.5),(($AN19)-(3*(VLOOKUP($X19,Übungsübersicht!$E$7:$M$83,3,FALSE)))))))),"RPE 8")</f>
        <v>0</v>
      </c>
      <c r="AQ19" s="655">
        <f ca="1">IFERROR(IF(IF(VLOOKUP($X19,Zyklus!$A$14:$U$68,9,FALSE)=0,"RPE 8",IF(VLOOKUP($X19,Übungsübersicht!$E$7:$M$83,3,FALSE)&lt;0.5,($AN19)-(2*0.5),(($AN19)-(2*(VLOOKUP($X19,Übungsübersicht!$E$7:$M$83,3,FALSE))))))&lt;1,0,(IF(VLOOKUP($X19,Zyklus!$A$14:$U$68,9,FALSE)=0,"RPE 8",IF(VLOOKUP($X19,Übungsübersicht!$E$7:$M$83,3,FALSE)&lt;0.5,($AN19)-(2*0.5),(($AN19)-(2*(VLOOKUP($X19,Übungsübersicht!$E$7:$M$83,3,FALSE)))))))),"RPE 8")</f>
        <v>5</v>
      </c>
      <c r="AR19" s="655">
        <f ca="1">IFERROR(IF(IF(VLOOKUP($X19,Zyklus!$A$14:$U$68,9,FALSE)=0,"RPE 8",IF(VLOOKUP($X19,Übungsübersicht!$E$7:$M$83,3,FALSE)&lt;0.5,($AN19)-(1*0.5),(($Y19)-(1*(VLOOKUP($X19,Übungsübersicht!$E$7:$M$83,3,FALSE))))))&lt;1,0,(IF(VLOOKUP($X19,Zyklus!$A$14:$U$68,9,FALSE)=0,"RPE 8",IF(VLOOKUP($X19,Übungsübersicht!$E$7:$M$83,3,FALSE)&lt;0.5,($AN19)-(1*0.5),(($Y19)-(1*(VLOOKUP($X19,Übungsübersicht!$E$7:$M$83,3,FALSE)))))))),"RPE 8")</f>
        <v>10</v>
      </c>
      <c r="AS19" s="655">
        <f t="shared" ca="1" si="0"/>
        <v>15</v>
      </c>
      <c r="AT19" s="655">
        <f ca="1">IFERROR(IF(VLOOKUP($X19,Zyklus!$A$14:$U$68,9,FALSE)=0,"RPE 8",IF(VLOOKUP($X19,Übungsübersicht!$E$7:$M$83,3,FALSE)&lt;0.5,($AN19)+(1*0.5),(($Y19)+(1*(VLOOKUP($X19,Übungsübersicht!$E$7:$M$83,3,FALSE)))))),"RPE 8")</f>
        <v>20</v>
      </c>
      <c r="AU19" s="655">
        <f ca="1">IFERROR(IF(VLOOKUP($X19,Zyklus!$A$14:$U$68,9,FALSE)=0,"RPE 8",IF(VLOOKUP($X19,Übungsübersicht!$E$7:$M$83,3,FALSE)&lt;0.5,($AN19)+(2*0.5),(($AN19)+(2*(VLOOKUP($X19,Übungsübersicht!$E$7:$M$83,3,FALSE)))))),"RPE 8")</f>
        <v>25</v>
      </c>
      <c r="AV19" s="655">
        <f ca="1">IFERROR(IF(VLOOKUP($X19,Zyklus!$A$14:$U$68,9,FALSE)=0,"RPE 8",IF(VLOOKUP($X19,Übungsübersicht!$E$7:$M$83,3,FALSE)&lt;0.5,($AN19)+(3*0.5),(($AN19)+(3*(VLOOKUP($X19,Übungsübersicht!$E$7:$M$83,3,FALSE)))))),"RPE 8")</f>
        <v>30</v>
      </c>
      <c r="AY19" s="652">
        <f ca="1">MROUND(INDEX(OFFSET(Zyklus!$M$13,16,0),1),(IF(VLOOKUP($X19,Übungsübersicht!$E$7:$K$80,3)=0,0.1,(VLOOKUP($X19,Übungsübersicht!$E$7:$K$80,3)))))</f>
        <v>15</v>
      </c>
      <c r="BA19" s="655">
        <f ca="1">MROUND(INDEX(OFFSET(Zyklus!$Q$13,16,0),1),(IF(VLOOKUP($X19,Übungsübersicht!$E$7:$K$80,3)=0,0.1,(VLOOKUP($X19,Übungsübersicht!$E$7:$K$80,3)))))</f>
        <v>15</v>
      </c>
      <c r="BC19" s="655">
        <f ca="1">IFERROR(IF(IF(VLOOKUP($X19,Zyklus!$A$14:$U$68,9,FALSE)=0,"RPE 9",IF(VLOOKUP($X19,Übungsübersicht!$E$7:$M$83,3,FALSE)&lt;0.5,($BA19)-(3*0.5),(($BA19)-(3*(VLOOKUP($X19,Übungsübersicht!$E$7:$M$83,3,FALSE))))))&lt;1,0,(IF(VLOOKUP($X19,Zyklus!$A$14:$U$68,9,FALSE)=0,"RPE 9",IF(VLOOKUP($X19,Übungsübersicht!$E$7:$M$83,3,FALSE)&lt;0.5,($BA19)-(3*0.5),(($BA19)-(3*(VLOOKUP($X19,Übungsübersicht!$E$7:$M$83,3,FALSE)))))))),"RPE 9")</f>
        <v>0</v>
      </c>
      <c r="BD19" s="655">
        <f ca="1">IFERROR(IF(IF(VLOOKUP($X19,Zyklus!$A$14:$U$68,9,FALSE)=0,"RPE 9",IF(VLOOKUP($X19,Übungsübersicht!$E$7:$M$83,3,FALSE)&lt;0.5,($BA19)-(2*0.5),(($BA19)-(2*(VLOOKUP($X19,Übungsübersicht!$E$7:$M$83,3,FALSE))))))&lt;1,0,(IF(VLOOKUP($X19,Zyklus!$A$14:$U$68,9,FALSE)=0,"RPE 9",IF(VLOOKUP($X19,Übungsübersicht!$E$7:$M$83,3,FALSE)&lt;0.5,($BA19)-(2*0.5),(($BA19)-(2*(VLOOKUP($X19,Übungsübersicht!$E$7:$M$83,3,FALSE)))))))),"RPE 9")</f>
        <v>5</v>
      </c>
      <c r="BE19" s="655">
        <f ca="1">IFERROR(IF(IF(VLOOKUP($X19,Zyklus!$A$14:$U$68,9,FALSE)=0,"RPE 9",IF(VLOOKUP($X19,Übungsübersicht!$E$7:$M$83,3,FALSE)&lt;0.5,($BA19)-(1*0.5),(($Y19)-(1*(VLOOKUP($X19,Übungsübersicht!$E$7:$M$83,3,FALSE))))))&lt;1,0,(IF(VLOOKUP($X19,Zyklus!$A$14:$U$68,9,FALSE)=0,"RPE 9",IF(VLOOKUP($X19,Übungsübersicht!$E$7:$M$83,3,FALSE)&lt;0.5,($BA19)-(1*0.5),(($Y19)-(1*(VLOOKUP($X19,Übungsübersicht!$E$7:$M$83,3,FALSE)))))))),"RPE 9")</f>
        <v>10</v>
      </c>
      <c r="BF19" s="655">
        <f t="shared" ca="1" si="1"/>
        <v>15</v>
      </c>
      <c r="BG19" s="655">
        <f ca="1">IFERROR(IF(VLOOKUP($X19,Zyklus!$A$14:$U$68,9,FALSE)=0,"RPE 9",IF(VLOOKUP($X19,Übungsübersicht!$E$7:$M$83,3,FALSE)&lt;0.5,($AY19)+(1*0.5),(($AY19)+(1*(VLOOKUP($X19,Übungsübersicht!$E$7:$M$83,3,FALSE)))))),"RPE 9")</f>
        <v>20</v>
      </c>
      <c r="BH19" s="655">
        <f ca="1">IFERROR(IF(VLOOKUP($X19,Zyklus!$A$14:$U$68,9,FALSE)=0,"RPE 9",IF(VLOOKUP($X19,Übungsübersicht!$E$7:$M$83,3,FALSE)&lt;0.5,($BA19)+(2*0.5),(($BA19)+(2*(VLOOKUP($X19,Übungsübersicht!$E$7:$M$83,3,FALSE)))))),"RPE 9")</f>
        <v>25</v>
      </c>
      <c r="BI19" s="655">
        <f ca="1">IFERROR(IF(VLOOKUP($X19,Zyklus!$A$14:$U$68,9,FALSE)=0,"RPE 9",IF(VLOOKUP($X19,Übungsübersicht!$E$7:$M$83,3,FALSE)&lt;0.5,($BA19)+(3*0.5),(($BA19)+(3*(VLOOKUP($X19,Übungsübersicht!$E$7:$M$83,3,FALSE)))))),"RPE 9")</f>
        <v>30</v>
      </c>
    </row>
    <row r="20" spans="1:61" ht="30" customHeight="1">
      <c r="A20" s="857">
        <v>4</v>
      </c>
      <c r="C20" s="1032"/>
      <c r="D20" s="1032"/>
      <c r="E20" s="1032"/>
      <c r="F20" s="1032"/>
      <c r="G20" s="1032"/>
      <c r="H20" s="1032"/>
      <c r="I20" s="1032"/>
      <c r="J20" s="1032"/>
      <c r="K20" s="1032"/>
      <c r="O20" s="488" t="s">
        <v>0</v>
      </c>
      <c r="P20" s="1041" t="s">
        <v>312</v>
      </c>
      <c r="Q20" s="1041"/>
      <c r="R20" s="1041" t="s">
        <v>313</v>
      </c>
      <c r="S20" s="1041"/>
      <c r="T20" s="1041" t="s">
        <v>314</v>
      </c>
      <c r="U20" s="1038"/>
      <c r="X20" s="654" t="str">
        <f ca="1">INDEX(OFFSET(Zyklus!$A$13,17,0),1)</f>
        <v>Crunches</v>
      </c>
      <c r="Y20" s="655">
        <f ca="1">MROUND(INDEX(OFFSET(Zyklus!$I$13,17,0),1),(IF(VLOOKUP($X20,Übungsübersicht!$E$7:$K$80,3)=0,0.1,(VLOOKUP($X20,Übungsübersicht!$E$7:$K$80,3)))))</f>
        <v>0</v>
      </c>
      <c r="Z20" s="655"/>
      <c r="AA20" s="655">
        <f ca="1">IFERROR(IF($Y20=0,2*(VLOOKUP($X20,Übungsübersicht!$E$7:$M$83,3,FALSE)),IF($Y20&gt;100,(MROUND(($Y20*0.1),(VLOOKUP($X20,Übungsübersicht!$E$7:$M$83,3,FALSE)))),IF($Y20&gt;80,(MROUND(($Y20*0.1),(VLOOKUP($X20,Übungsübersicht!$E$7:$M$83,3,FALSE)))),IF($Y20&gt;50,(MROUND(($Y20*0.2),(VLOOKUP($X20,Übungsübersicht!$E$7:$M$83,3,FALSE)))),IF($Y20&gt;25,(MROUND(($Y20*0.3),(VLOOKUP($X20,Übungsübersicht!$E$7:$M$83,3,FALSE)))),IF($Y20&gt;15,(MROUND(($Y20*0.4),(VLOOKUP($X20,Übungsübersicht!$E$7:$M$83,3,FALSE)))),IF($Y20&gt;(VLOOKUP($X20,Übungsübersicht!$E$7:$M$83,3,FALSE)),(VLOOKUP($X20,Übungsübersicht!$E$7:$M$83,3,FALSE)),""))))))),2*(VLOOKUP($X20,Übungsübersicht!$E$7:$M$83,3,FALSE)))</f>
        <v>0</v>
      </c>
      <c r="AB20" s="655">
        <f ca="1">IFERROR(IF($Y20=0,4*(VLOOKUP($X20,Übungsübersicht!$E$7:$M$83,3,FALSE)),IF($Y20&gt;100,(MROUND(($Y20*0.3),(VLOOKUP($X20,Übungsübersicht!$E$7:$M$83,3,FALSE)))),IF($Y20&gt;80,(MROUND(($Y20*0.3),(VLOOKUP($X20,Übungsübersicht!$E$7:$M$83,3,FALSE)))),IF($Y20&gt;50,(MROUND(($Y20*0.4),(VLOOKUP($X20,Übungsübersicht!$E$7:$M$83,3,FALSE)))),IF($Y20&gt;25,(MROUND(($Y20*0.5),(VLOOKUP($X20,Übungsübersicht!$E$7:$M$83,3,FALSE)))),IF($Y20&gt;15,(MROUND(($Y20*0.6),(VLOOKUP($X20,Übungsübersicht!$E$7:$M$83,3,FALSE)))),IF($Y20&gt;(VLOOKUP($X20,Übungsübersicht!$E$7:$M$83,3,FALSE)),(VLOOKUP($X20,Übungsübersicht!$E$7:$M$83,3,FALSE)),""))))))),4*(VLOOKUP($X20,Übungsübersicht!$E$7:$M$83,3,FALSE)))</f>
        <v>0</v>
      </c>
      <c r="AC20" s="655">
        <f ca="1">IFERROR((IF($Y20=0,8*(VLOOKUP($X20,Übungsübersicht!$E$7:$M$83,3,FALSE)),(($Y20)-(3*(VLOOKUP($X20,Übungsübersicht!$E$7:$M$83,3,FALSE)))))),8*(VLOOKUP($X20,Übungsübersicht!$E$7:$M$83,3,FALSE)))</f>
        <v>0</v>
      </c>
      <c r="AD20" s="655">
        <f ca="1">IFERROR(((IF($Y20=0,10*(VLOOKUP($X20,Übungsübersicht!$E$7:$M$83,3,FALSE)),($Y20)-(2*(VLOOKUP($X20,Übungsübersicht!$E$7:$M$83,3,FALSE)))))),10*(VLOOKUP($X20,Übungsübersicht!$E$7:$M$83,3,FALSE)))</f>
        <v>0</v>
      </c>
      <c r="AE20" s="655">
        <f ca="1">IFERROR(((IF($Y20=0,10*(VLOOKUP($X20,Übungsübersicht!$E$7:$M$83,3,FALSE)),($Y20)-(1*(VLOOKUP($X20,Übungsübersicht!$E$7:$M$83,3,FALSE)))))),10*(VLOOKUP($X20,Übungsübersicht!$E$7:$M$83,3,FALSE)))</f>
        <v>0</v>
      </c>
      <c r="AF20" s="655">
        <f ca="1">IFERROR(IF($Y20=0,20*(VLOOKUP($X20,Übungsübersicht!$E$7:$M$83,3,FALSE)),($Y20)),20*(VLOOKUP($X20,Übungsübersicht!$E$7:$M$83,3,FALSE)))</f>
        <v>0</v>
      </c>
      <c r="AG20" s="655">
        <f ca="1">IFERROR(IF($Y20=0,30*(VLOOKUP($X20,Übungsübersicht!$E$7:$M$83,3,FALSE)),($Y20)+(1*(VLOOKUP($X20,Übungsübersicht!$E$7:$M$83,3,FALSE)))),30*(VLOOKUP($X20,Übungsübersicht!$E$7:$M$83,3,FALSE)))</f>
        <v>0</v>
      </c>
      <c r="AH20" s="655">
        <f ca="1">IFERROR(IF($Y20=0,30*(VLOOKUP($X20,Übungsübersicht!$E$7:$M$83,3,FALSE)),($Y20)+(2*(VLOOKUP($X20,Übungsübersicht!$E$7:$M$83,3,FALSE)))),30*(VLOOKUP($X20,Übungsübersicht!$E$7:$M$83,3,FALSE)))</f>
        <v>0</v>
      </c>
      <c r="AI20" s="655">
        <f ca="1">IFERROR(IF($Y20=0,30*(VLOOKUP($X20,Übungsübersicht!$E$7:$M$83,3,FALSE)),($Y20)+(3*(VLOOKUP($X20,Übungsübersicht!$E$7:$M$83,3,FALSE)))),30*(VLOOKUP($X20,Übungsübersicht!$E$7:$M$83,3,FALSE)))</f>
        <v>0</v>
      </c>
      <c r="AJ20" s="655">
        <f ca="1">IFERROR(IF($Y20=0,40*(VLOOKUP($X20,Übungsübersicht!$E$7:$M$83,3,FALSE)),IF($Y20&gt;100,(MROUND(($Y20*1.7),(VLOOKUP($X20,Übungsübersicht!$E$7:$M$83,3,FALSE)))),IF($Y20&gt;80,(MROUND(($Y20*1.7),(VLOOKUP($X20,Übungsübersicht!$E$7:$M$83,3,FALSE)))),IF($Y20&gt;50,(MROUND(($Y20*1.6),(VLOOKUP($X20,Übungsübersicht!$E$7:$M$83,3,FALSE)))),IF($Y20&gt;25,(MROUND(($Y20*1.5),(VLOOKUP($X20,Übungsübersicht!$E$7:$M$83,3,FALSE)))),IF($Y20&gt;15,(MROUND(($Y20*1.4),(VLOOKUP($X20,Übungsübersicht!$E$7:$M$83,3,FALSE)))),IF($Y20&gt;(VLOOKUP($X20,Übungsübersicht!$E$7:$M$83,3,FALSE)),30*(VLOOKUP($X20,Übungsübersicht!$E$7:$M$83,3,FALSE)),""))))))),40*(VLOOKUP($X20,Übungsübersicht!$E$7:$M$83,3,FALSE)))</f>
        <v>0</v>
      </c>
      <c r="AK20" s="656">
        <f ca="1">IFERROR(IF($Y20=0,50*(VLOOKUP($X20,Übungsübersicht!$E$7:$M$83,3,FALSE)),IF($Y20&gt;100,(MROUND(($Y20*1.9),(VLOOKUP($X20,Übungsübersicht!$E$7:$M$83,3,FALSE)))),IF($Y20&gt;80,(MROUND(($Y20*1.9),(VLOOKUP($X20,Übungsübersicht!$E$7:$M$83,3,FALSE)))),IF($Y20&gt;50,(MROUND(($Y20*1.8),(VLOOKUP($X20,Übungsübersicht!$E$7:$M$83,3,FALSE)))),IF($Y20&gt;25,(MROUND(($Y20*1.7),(VLOOKUP($X20,Übungsübersicht!$E$7:$M$83,3,FALSE)))),IF($Y20&gt;15,(MROUND(($Y20*1.6),(VLOOKUP($X20,Übungsübersicht!$E$7:$M$83,3,FALSE)))),IF($Y20&gt;(VLOOKUP($X20,Übungsübersicht!$E$7:$M$83,3,FALSE)),40*(VLOOKUP($X20,Übungsübersicht!$E$7:$M$83,3,FALSE)),""))))))),50*(VLOOKUP($X20,Übungsübersicht!$E$7:$M$83,3,FALSE)))</f>
        <v>0</v>
      </c>
      <c r="AN20" s="655" t="e">
        <f ca="1">MROUND(INDEX(OFFSET(Zyklus!$M$13,17,0),1),(IF(VLOOKUP($X20,Übungsübersicht!$E$7:$K$80,3)=0,0.1,(VLOOKUP($X20,Übungsübersicht!$E$7:$K$80,3)))))</f>
        <v>#VALUE!</v>
      </c>
      <c r="AP20" s="652" t="str">
        <f ca="1">IFERROR(IF(IF(VLOOKUP($X20,Zyklus!$A$14:$U$68,9,FALSE)=0,"RPE 8",IF(VLOOKUP($X20,Übungsübersicht!$E$7:$M$83,3,FALSE)&lt;0.5,($AN20)-(3*0.5),(($AN20)-(3*(VLOOKUP($X20,Übungsübersicht!$E$7:$M$83,3,FALSE))))))&lt;1,0,(IF(VLOOKUP($X20,Zyklus!$A$14:$U$68,9,FALSE)=0,"RPE 8",IF(VLOOKUP($X20,Übungsübersicht!$E$7:$M$83,3,FALSE)&lt;0.5,($AN20)-(3*0.5),(($AN20)-(3*(VLOOKUP($X20,Übungsübersicht!$E$7:$M$83,3,FALSE)))))))),"RPE 8")</f>
        <v>RPE 8</v>
      </c>
      <c r="AQ20" s="652" t="str">
        <f ca="1">IFERROR(IF(IF(VLOOKUP($X20,Zyklus!$A$14:$U$68,9,FALSE)=0,"RPE 8",IF(VLOOKUP($X20,Übungsübersicht!$E$7:$M$83,3,FALSE)&lt;0.5,($AN20)-(2*0.5),(($AN20)-(2*(VLOOKUP($X20,Übungsübersicht!$E$7:$M$83,3,FALSE))))))&lt;1,0,(IF(VLOOKUP($X20,Zyklus!$A$14:$U$68,9,FALSE)=0,"RPE 8",IF(VLOOKUP($X20,Übungsübersicht!$E$7:$M$83,3,FALSE)&lt;0.5,($AN20)-(2*0.5),(($AN20)-(2*(VLOOKUP($X20,Übungsübersicht!$E$7:$M$83,3,FALSE)))))))),"RPE 8")</f>
        <v>RPE 8</v>
      </c>
      <c r="AR20" s="652" t="str">
        <f ca="1">IFERROR(IF(IF(VLOOKUP($X20,Zyklus!$A$14:$U$68,9,FALSE)=0,"RPE 8",IF(VLOOKUP($X20,Übungsübersicht!$E$7:$M$83,3,FALSE)&lt;0.5,($AN20)-(1*0.5),(($Y20)-(1*(VLOOKUP($X20,Übungsübersicht!$E$7:$M$83,3,FALSE))))))&lt;1,0,(IF(VLOOKUP($X20,Zyklus!$A$14:$U$68,9,FALSE)=0,"RPE 8",IF(VLOOKUP($X20,Übungsübersicht!$E$7:$M$83,3,FALSE)&lt;0.5,($AN20)-(1*0.5),(($Y20)-(1*(VLOOKUP($X20,Übungsübersicht!$E$7:$M$83,3,FALSE)))))))),"RPE 8")</f>
        <v>RPE 8</v>
      </c>
      <c r="AS20" s="652" t="str">
        <f t="shared" ca="1" si="0"/>
        <v>RPE 8</v>
      </c>
      <c r="AT20" s="652" t="str">
        <f ca="1">IFERROR(IF(VLOOKUP($X20,Zyklus!$A$14:$U$68,9,FALSE)=0,"RPE 8",IF(VLOOKUP($X20,Übungsübersicht!$E$7:$M$83,3,FALSE)&lt;0.5,($AN20)+(1*0.5),(($Y20)+(1*(VLOOKUP($X20,Übungsübersicht!$E$7:$M$83,3,FALSE)))))),"RPE 8")</f>
        <v>RPE 8</v>
      </c>
      <c r="AU20" s="652" t="str">
        <f ca="1">IFERROR(IF(VLOOKUP($X20,Zyklus!$A$14:$U$68,9,FALSE)=0,"RPE 8",IF(VLOOKUP($X20,Übungsübersicht!$E$7:$M$83,3,FALSE)&lt;0.5,($AN20)+(2*0.5),(($AN20)+(2*(VLOOKUP($X20,Übungsübersicht!$E$7:$M$83,3,FALSE)))))),"RPE 8")</f>
        <v>RPE 8</v>
      </c>
      <c r="AV20" s="652" t="str">
        <f ca="1">IFERROR(IF(VLOOKUP($X20,Zyklus!$A$14:$U$68,9,FALSE)=0,"RPE 8",IF(VLOOKUP($X20,Übungsübersicht!$E$7:$M$83,3,FALSE)&lt;0.5,($AN20)+(3*0.5),(($AN20)+(3*(VLOOKUP($X20,Übungsübersicht!$E$7:$M$83,3,FALSE)))))),"RPE 8")</f>
        <v>RPE 8</v>
      </c>
      <c r="AY20" s="655" t="e">
        <f ca="1">MROUND(INDEX(OFFSET(Zyklus!$M$13,17,0),1),(IF(VLOOKUP($X20,Übungsübersicht!$E$7:$K$80,3)=0,0.1,(VLOOKUP($X20,Übungsübersicht!$E$7:$K$80,3)))))</f>
        <v>#VALUE!</v>
      </c>
      <c r="BA20" s="652">
        <f ca="1">MROUND(INDEX(OFFSET(Zyklus!$Q$13,7,0),1),(IF(VLOOKUP($X20,Übungsübersicht!$E$7:$K$80,3)=0,0.1,(VLOOKUP($X20,Übungsübersicht!$E$7:$K$80,3)))))</f>
        <v>25</v>
      </c>
      <c r="BC20" s="652" t="str">
        <f ca="1">IFERROR(IF(IF(VLOOKUP($X20,Zyklus!$A$14:$U$68,9,FALSE)=0,"RPE 9",IF(VLOOKUP($X20,Übungsübersicht!$E$7:$M$83,3,FALSE)&lt;0.5,($BA20)-(3*0.5),(($BA20)-(3*(VLOOKUP($X20,Übungsübersicht!$E$7:$M$83,3,FALSE))))))&lt;1,0,(IF(VLOOKUP($X20,Zyklus!$A$14:$U$68,9,FALSE)=0,"RPE 9",IF(VLOOKUP($X20,Übungsübersicht!$E$7:$M$83,3,FALSE)&lt;0.5,($BA20)-(3*0.5),(($BA20)-(3*(VLOOKUP($X20,Übungsübersicht!$E$7:$M$83,3,FALSE)))))))),"RPE 9")</f>
        <v>RPE 9</v>
      </c>
      <c r="BD20" s="652" t="str">
        <f ca="1">IFERROR(IF(IF(VLOOKUP($X20,Zyklus!$A$14:$U$68,9,FALSE)=0,"RPE 9",IF(VLOOKUP($X20,Übungsübersicht!$E$7:$M$83,3,FALSE)&lt;0.5,($BA20)-(2*0.5),(($BA20)-(2*(VLOOKUP($X20,Übungsübersicht!$E$7:$M$83,3,FALSE))))))&lt;1,0,(IF(VLOOKUP($X20,Zyklus!$A$14:$U$68,9,FALSE)=0,"RPE 9",IF(VLOOKUP($X20,Übungsübersicht!$E$7:$M$83,3,FALSE)&lt;0.5,($BA20)-(2*0.5),(($BA20)-(2*(VLOOKUP($X20,Übungsübersicht!$E$7:$M$83,3,FALSE)))))))),"RPE 9")</f>
        <v>RPE 9</v>
      </c>
      <c r="BE20" s="652" t="str">
        <f ca="1">IFERROR(IF(IF(VLOOKUP($X20,Zyklus!$A$14:$U$68,9,FALSE)=0,"RPE 9",IF(VLOOKUP($X20,Übungsübersicht!$E$7:$M$83,3,FALSE)&lt;0.5,($BA20)-(1*0.5),(($Y20)-(1*(VLOOKUP($X20,Übungsübersicht!$E$7:$M$83,3,FALSE))))))&lt;1,0,(IF(VLOOKUP($X20,Zyklus!$A$14:$U$68,9,FALSE)=0,"RPE 9",IF(VLOOKUP($X20,Übungsübersicht!$E$7:$M$83,3,FALSE)&lt;0.5,($BA20)-(1*0.5),(($Y20)-(1*(VLOOKUP($X20,Übungsübersicht!$E$7:$M$83,3,FALSE)))))))),"RPE 9")</f>
        <v>RPE 9</v>
      </c>
      <c r="BF20" s="652" t="str">
        <f t="shared" ca="1" si="1"/>
        <v>RPE 9</v>
      </c>
      <c r="BG20" s="652" t="str">
        <f ca="1">IFERROR(IF(VLOOKUP($X20,Zyklus!$A$14:$U$68,9,FALSE)=0,"RPE 9",IF(VLOOKUP($X20,Übungsübersicht!$E$7:$M$83,3,FALSE)&lt;0.5,($AY20)+(1*0.5),(($AY20)+(1*(VLOOKUP($X20,Übungsübersicht!$E$7:$M$83,3,FALSE)))))),"RPE 9")</f>
        <v>RPE 9</v>
      </c>
      <c r="BH20" s="652" t="str">
        <f ca="1">IFERROR(IF(VLOOKUP($X20,Zyklus!$A$14:$U$68,9,FALSE)=0,"RPE 9",IF(VLOOKUP($X20,Übungsübersicht!$E$7:$M$83,3,FALSE)&lt;0.5,($BA20)+(2*0.5),(($BA20)+(2*(VLOOKUP($X20,Übungsübersicht!$E$7:$M$83,3,FALSE)))))),"RPE 9")</f>
        <v>RPE 9</v>
      </c>
      <c r="BI20" s="652" t="str">
        <f ca="1">IFERROR(IF(VLOOKUP($X20,Zyklus!$A$14:$U$68,9,FALSE)=0,"RPE 9",IF(VLOOKUP($X20,Übungsübersicht!$E$7:$M$83,3,FALSE)&lt;0.5,($BA20)+(3*0.5),(($BA20)+(3*(VLOOKUP($X20,Übungsübersicht!$E$7:$M$83,3,FALSE)))))),"RPE 9")</f>
        <v>RPE 9</v>
      </c>
    </row>
    <row r="21" spans="1:61" ht="30" customHeight="1">
      <c r="A21" s="856">
        <v>5</v>
      </c>
      <c r="C21" s="292" t="s">
        <v>295</v>
      </c>
      <c r="D21" s="292" t="s">
        <v>56</v>
      </c>
      <c r="E21" s="322" t="s">
        <v>57</v>
      </c>
      <c r="F21" s="322" t="s">
        <v>138</v>
      </c>
      <c r="H21" s="292" t="s">
        <v>56</v>
      </c>
      <c r="I21" s="322" t="s">
        <v>57</v>
      </c>
      <c r="J21" s="322" t="s">
        <v>138</v>
      </c>
      <c r="K21" s="292" t="s">
        <v>294</v>
      </c>
      <c r="O21" s="489" t="s">
        <v>317</v>
      </c>
      <c r="P21" s="490"/>
      <c r="Q21" s="1024" t="s">
        <v>313</v>
      </c>
      <c r="R21" s="1024"/>
      <c r="S21" s="633" t="s">
        <v>350</v>
      </c>
      <c r="T21" s="1024" t="s">
        <v>351</v>
      </c>
      <c r="U21" s="1025"/>
      <c r="X21" s="651">
        <f ca="1">INDEX(OFFSET(Zyklus!$A$13,18,0),1)</f>
        <v>0</v>
      </c>
      <c r="Y21" s="652" t="e">
        <f ca="1">MROUND(INDEX(OFFSET(Zyklus!$I$13,18,0),1),(IF(VLOOKUP($X21,Übungsübersicht!$E$7:$K$80,3)=0,0.1,(VLOOKUP($X21,Übungsübersicht!$E$7:$K$80,3)))))</f>
        <v>#N/A</v>
      </c>
      <c r="Z21" s="652"/>
      <c r="AA21" s="652" t="e">
        <f ca="1">IFERROR(IF($Y21=0,2*(VLOOKUP($X21,Übungsübersicht!$E$7:$M$83,3,FALSE)),IF($Y21&gt;100,(MROUND(($Y21*0.1),(VLOOKUP($X21,Übungsübersicht!$E$7:$M$83,3,FALSE)))),IF($Y21&gt;80,(MROUND(($Y21*0.1),(VLOOKUP($X21,Übungsübersicht!$E$7:$M$83,3,FALSE)))),IF($Y21&gt;50,(MROUND(($Y21*0.2),(VLOOKUP($X21,Übungsübersicht!$E$7:$M$83,3,FALSE)))),IF($Y21&gt;25,(MROUND(($Y21*0.3),(VLOOKUP($X21,Übungsübersicht!$E$7:$M$83,3,FALSE)))),IF($Y21&gt;15,(MROUND(($Y21*0.4),(VLOOKUP($X21,Übungsübersicht!$E$7:$M$83,3,FALSE)))),IF($Y21&gt;(VLOOKUP($X21,Übungsübersicht!$E$7:$M$83,3,FALSE)),(VLOOKUP($X21,Übungsübersicht!$E$7:$M$83,3,FALSE)),""))))))),2*(VLOOKUP($X21,Übungsübersicht!$E$7:$M$83,3,FALSE)))</f>
        <v>#N/A</v>
      </c>
      <c r="AB21" s="652" t="e">
        <f ca="1">IFERROR(IF($Y21=0,4*(VLOOKUP($X21,Übungsübersicht!$E$7:$M$83,3,FALSE)),IF($Y21&gt;100,(MROUND(($Y21*0.3),(VLOOKUP($X21,Übungsübersicht!$E$7:$M$83,3,FALSE)))),IF($Y21&gt;80,(MROUND(($Y21*0.3),(VLOOKUP($X21,Übungsübersicht!$E$7:$M$83,3,FALSE)))),IF($Y21&gt;50,(MROUND(($Y21*0.4),(VLOOKUP($X21,Übungsübersicht!$E$7:$M$83,3,FALSE)))),IF($Y21&gt;25,(MROUND(($Y21*0.5),(VLOOKUP($X21,Übungsübersicht!$E$7:$M$83,3,FALSE)))),IF($Y21&gt;15,(MROUND(($Y21*0.6),(VLOOKUP($X21,Übungsübersicht!$E$7:$M$83,3,FALSE)))),IF($Y21&gt;(VLOOKUP($X21,Übungsübersicht!$E$7:$M$83,3,FALSE)),(VLOOKUP($X21,Übungsübersicht!$E$7:$M$83,3,FALSE)),""))))))),4*(VLOOKUP($X21,Übungsübersicht!$E$7:$M$83,3,FALSE)))</f>
        <v>#N/A</v>
      </c>
      <c r="AC21" s="652" t="e">
        <f ca="1">IFERROR((IF($Y21=0,8*(VLOOKUP($X21,Übungsübersicht!$E$7:$M$83,3,FALSE)),(($Y21)-(3*(VLOOKUP($X21,Übungsübersicht!$E$7:$M$83,3,FALSE)))))),8*(VLOOKUP($X21,Übungsübersicht!$E$7:$M$83,3,FALSE)))</f>
        <v>#N/A</v>
      </c>
      <c r="AD21" s="652" t="e">
        <f ca="1">IFERROR(((IF($Y21=0,10*(VLOOKUP($X21,Übungsübersicht!$E$7:$M$83,3,FALSE)),($Y21)-(2*(VLOOKUP($X21,Übungsübersicht!$E$7:$M$83,3,FALSE)))))),10*(VLOOKUP($X21,Übungsübersicht!$E$7:$M$83,3,FALSE)))</f>
        <v>#N/A</v>
      </c>
      <c r="AE21" s="652" t="e">
        <f ca="1">IFERROR(((IF($Y21=0,10*(VLOOKUP($X21,Übungsübersicht!$E$7:$M$83,3,FALSE)),($Y21)-(1*(VLOOKUP($X21,Übungsübersicht!$E$7:$M$83,3,FALSE)))))),10*(VLOOKUP($X21,Übungsübersicht!$E$7:$M$83,3,FALSE)))</f>
        <v>#N/A</v>
      </c>
      <c r="AF21" s="652" t="e">
        <f ca="1">IFERROR(IF($Y21=0,20*(VLOOKUP($X21,Übungsübersicht!$E$7:$M$83,3,FALSE)),($Y21)),20*(VLOOKUP($X21,Übungsübersicht!$E$7:$M$83,3,FALSE)))</f>
        <v>#N/A</v>
      </c>
      <c r="AG21" s="652" t="e">
        <f ca="1">IFERROR(IF($Y21=0,30*(VLOOKUP($X21,Übungsübersicht!$E$7:$M$83,3,FALSE)),($Y21)+(1*(VLOOKUP($X21,Übungsübersicht!$E$7:$M$83,3,FALSE)))),30*(VLOOKUP($X21,Übungsübersicht!$E$7:$M$83,3,FALSE)))</f>
        <v>#N/A</v>
      </c>
      <c r="AH21" s="652" t="e">
        <f ca="1">IFERROR(IF($Y21=0,30*(VLOOKUP($X21,Übungsübersicht!$E$7:$M$83,3,FALSE)),($Y21)+(2*(VLOOKUP($X21,Übungsübersicht!$E$7:$M$83,3,FALSE)))),30*(VLOOKUP($X21,Übungsübersicht!$E$7:$M$83,3,FALSE)))</f>
        <v>#N/A</v>
      </c>
      <c r="AI21" s="652" t="e">
        <f ca="1">IFERROR(IF($Y21=0,30*(VLOOKUP($X21,Übungsübersicht!$E$7:$M$83,3,FALSE)),($Y21)+(3*(VLOOKUP($X21,Übungsübersicht!$E$7:$M$83,3,FALSE)))),30*(VLOOKUP($X21,Übungsübersicht!$E$7:$M$83,3,FALSE)))</f>
        <v>#N/A</v>
      </c>
      <c r="AJ21" s="652" t="e">
        <f ca="1">IFERROR(IF($Y21=0,40*(VLOOKUP($X21,Übungsübersicht!$E$7:$M$83,3,FALSE)),IF($Y21&gt;100,(MROUND(($Y21*1.7),(VLOOKUP($X21,Übungsübersicht!$E$7:$M$83,3,FALSE)))),IF($Y21&gt;80,(MROUND(($Y21*1.7),(VLOOKUP($X21,Übungsübersicht!$E$7:$M$83,3,FALSE)))),IF($Y21&gt;50,(MROUND(($Y21*1.6),(VLOOKUP($X21,Übungsübersicht!$E$7:$M$83,3,FALSE)))),IF($Y21&gt;25,(MROUND(($Y21*1.5),(VLOOKUP($X21,Übungsübersicht!$E$7:$M$83,3,FALSE)))),IF($Y21&gt;15,(MROUND(($Y21*1.4),(VLOOKUP($X21,Übungsübersicht!$E$7:$M$83,3,FALSE)))),IF($Y21&gt;(VLOOKUP($X21,Übungsübersicht!$E$7:$M$83,3,FALSE)),30*(VLOOKUP($X21,Übungsübersicht!$E$7:$M$83,3,FALSE)),""))))))),40*(VLOOKUP($X21,Übungsübersicht!$E$7:$M$83,3,FALSE)))</f>
        <v>#N/A</v>
      </c>
      <c r="AK21" s="653" t="e">
        <f ca="1">IFERROR(IF($Y21=0,50*(VLOOKUP($X21,Übungsübersicht!$E$7:$M$83,3,FALSE)),IF($Y21&gt;100,(MROUND(($Y21*1.9),(VLOOKUP($X21,Übungsübersicht!$E$7:$M$83,3,FALSE)))),IF($Y21&gt;80,(MROUND(($Y21*1.9),(VLOOKUP($X21,Übungsübersicht!$E$7:$M$83,3,FALSE)))),IF($Y21&gt;50,(MROUND(($Y21*1.8),(VLOOKUP($X21,Übungsübersicht!$E$7:$M$83,3,FALSE)))),IF($Y21&gt;25,(MROUND(($Y21*1.7),(VLOOKUP($X21,Übungsübersicht!$E$7:$M$83,3,FALSE)))),IF($Y21&gt;15,(MROUND(($Y21*1.6),(VLOOKUP($X21,Übungsübersicht!$E$7:$M$83,3,FALSE)))),IF($Y21&gt;(VLOOKUP($X21,Übungsübersicht!$E$7:$M$83,3,FALSE)),40*(VLOOKUP($X21,Übungsübersicht!$E$7:$M$83,3,FALSE)),""))))))),50*(VLOOKUP($X21,Übungsübersicht!$E$7:$M$83,3,FALSE)))</f>
        <v>#N/A</v>
      </c>
      <c r="AN21" s="652" t="e">
        <f ca="1">MROUND(INDEX(OFFSET(Zyklus!$M$13,18,0),1),(IF(VLOOKUP($X21,Übungsübersicht!$E$7:$K$80,3)=0,0.1,(VLOOKUP($X21,Übungsübersicht!$E$7:$K$80,3)))))</f>
        <v>#N/A</v>
      </c>
      <c r="AP21" s="655" t="str">
        <f ca="1">IFERROR(IF(IF(VLOOKUP($X21,Zyklus!$A$14:$U$68,9,FALSE)=0,"RPE 8",IF(VLOOKUP($X21,Übungsübersicht!$E$7:$M$83,3,FALSE)&lt;0.5,($AN21)-(3*0.5),(($AN21)-(3*(VLOOKUP($X21,Übungsübersicht!$E$7:$M$83,3,FALSE))))))&lt;1,0,(IF(VLOOKUP($X21,Zyklus!$A$14:$U$68,9,FALSE)=0,"RPE 8",IF(VLOOKUP($X21,Übungsübersicht!$E$7:$M$83,3,FALSE)&lt;0.5,($AN21)-(3*0.5),(($AN21)-(3*(VLOOKUP($X21,Übungsübersicht!$E$7:$M$83,3,FALSE)))))))),"RPE 8")</f>
        <v>RPE 8</v>
      </c>
      <c r="AQ21" s="655" t="str">
        <f ca="1">IFERROR(IF(IF(VLOOKUP($X21,Zyklus!$A$14:$U$68,9,FALSE)=0,"RPE 8",IF(VLOOKUP($X21,Übungsübersicht!$E$7:$M$83,3,FALSE)&lt;0.5,($AN21)-(2*0.5),(($AN21)-(2*(VLOOKUP($X21,Übungsübersicht!$E$7:$M$83,3,FALSE))))))&lt;1,0,(IF(VLOOKUP($X21,Zyklus!$A$14:$U$68,9,FALSE)=0,"RPE 8",IF(VLOOKUP($X21,Übungsübersicht!$E$7:$M$83,3,FALSE)&lt;0.5,($AN21)-(2*0.5),(($AN21)-(2*(VLOOKUP($X21,Übungsübersicht!$E$7:$M$83,3,FALSE)))))))),"RPE 8")</f>
        <v>RPE 8</v>
      </c>
      <c r="AR21" s="655" t="str">
        <f ca="1">IFERROR(IF(IF(VLOOKUP($X21,Zyklus!$A$14:$U$68,9,FALSE)=0,"RPE 8",IF(VLOOKUP($X21,Übungsübersicht!$E$7:$M$83,3,FALSE)&lt;0.5,($AN21)-(1*0.5),(($Y21)-(1*(VLOOKUP($X21,Übungsübersicht!$E$7:$M$83,3,FALSE))))))&lt;1,0,(IF(VLOOKUP($X21,Zyklus!$A$14:$U$68,9,FALSE)=0,"RPE 8",IF(VLOOKUP($X21,Übungsübersicht!$E$7:$M$83,3,FALSE)&lt;0.5,($AN21)-(1*0.5),(($Y21)-(1*(VLOOKUP($X21,Übungsübersicht!$E$7:$M$83,3,FALSE)))))))),"RPE 8")</f>
        <v>RPE 8</v>
      </c>
      <c r="AS21" s="655" t="str">
        <f t="shared" ca="1" si="0"/>
        <v>RPE 8</v>
      </c>
      <c r="AT21" s="655" t="str">
        <f ca="1">IFERROR(IF(VLOOKUP($X21,Zyklus!$A$14:$U$68,9,FALSE)=0,"RPE 8",IF(VLOOKUP($X21,Übungsübersicht!$E$7:$M$83,3,FALSE)&lt;0.5,($AN21)+(1*0.5),(($Y21)+(1*(VLOOKUP($X21,Übungsübersicht!$E$7:$M$83,3,FALSE)))))),"RPE 8")</f>
        <v>RPE 8</v>
      </c>
      <c r="AU21" s="655" t="str">
        <f ca="1">IFERROR(IF(VLOOKUP($X21,Zyklus!$A$14:$U$68,9,FALSE)=0,"RPE 8",IF(VLOOKUP($X21,Übungsübersicht!$E$7:$M$83,3,FALSE)&lt;0.5,($AN21)+(2*0.5),(($AN21)+(2*(VLOOKUP($X21,Übungsübersicht!$E$7:$M$83,3,FALSE)))))),"RPE 8")</f>
        <v>RPE 8</v>
      </c>
      <c r="AV21" s="655" t="str">
        <f ca="1">IFERROR(IF(VLOOKUP($X21,Zyklus!$A$14:$U$68,9,FALSE)=0,"RPE 8",IF(VLOOKUP($X21,Übungsübersicht!$E$7:$M$83,3,FALSE)&lt;0.5,($AN21)+(3*0.5),(($AN21)+(3*(VLOOKUP($X21,Übungsübersicht!$E$7:$M$83,3,FALSE)))))),"RPE 8")</f>
        <v>RPE 8</v>
      </c>
      <c r="AY21" s="652" t="e">
        <f ca="1">MROUND(INDEX(OFFSET(Zyklus!$M$13,18,0),1),(IF(VLOOKUP($X21,Übungsübersicht!$E$7:$K$80,3)=0,0.1,(VLOOKUP($X21,Übungsübersicht!$E$7:$K$80,3)))))</f>
        <v>#N/A</v>
      </c>
      <c r="BA21" s="655" t="e">
        <f ca="1">MROUND(INDEX(OFFSET(Zyklus!$Q$13,8,0),1),(IF(VLOOKUP($X21,Übungsübersicht!$E$7:$K$80,3)=0,0.1,(VLOOKUP($X21,Übungsübersicht!$E$7:$K$80,3)))))</f>
        <v>#N/A</v>
      </c>
      <c r="BC21" s="655" t="str">
        <f ca="1">IFERROR(IF(IF(VLOOKUP($X21,Zyklus!$A$14:$U$68,9,FALSE)=0,"RPE 9",IF(VLOOKUP($X21,Übungsübersicht!$E$7:$M$83,3,FALSE)&lt;0.5,($BA21)-(3*0.5),(($BA21)-(3*(VLOOKUP($X21,Übungsübersicht!$E$7:$M$83,3,FALSE))))))&lt;1,0,(IF(VLOOKUP($X21,Zyklus!$A$14:$U$68,9,FALSE)=0,"RPE 9",IF(VLOOKUP($X21,Übungsübersicht!$E$7:$M$83,3,FALSE)&lt;0.5,($BA21)-(3*0.5),(($BA21)-(3*(VLOOKUP($X21,Übungsübersicht!$E$7:$M$83,3,FALSE)))))))),"RPE 9")</f>
        <v>RPE 9</v>
      </c>
      <c r="BD21" s="655" t="str">
        <f ca="1">IFERROR(IF(IF(VLOOKUP($X21,Zyklus!$A$14:$U$68,9,FALSE)=0,"RPE 9",IF(VLOOKUP($X21,Übungsübersicht!$E$7:$M$83,3,FALSE)&lt;0.5,($BA21)-(2*0.5),(($BA21)-(2*(VLOOKUP($X21,Übungsübersicht!$E$7:$M$83,3,FALSE))))))&lt;1,0,(IF(VLOOKUP($X21,Zyklus!$A$14:$U$68,9,FALSE)=0,"RPE 9",IF(VLOOKUP($X21,Übungsübersicht!$E$7:$M$83,3,FALSE)&lt;0.5,($BA21)-(2*0.5),(($BA21)-(2*(VLOOKUP($X21,Übungsübersicht!$E$7:$M$83,3,FALSE)))))))),"RPE 9")</f>
        <v>RPE 9</v>
      </c>
      <c r="BE21" s="655" t="str">
        <f ca="1">IFERROR(IF(IF(VLOOKUP($X21,Zyklus!$A$14:$U$68,9,FALSE)=0,"RPE 9",IF(VLOOKUP($X21,Übungsübersicht!$E$7:$M$83,3,FALSE)&lt;0.5,($BA21)-(1*0.5),(($Y21)-(1*(VLOOKUP($X21,Übungsübersicht!$E$7:$M$83,3,FALSE))))))&lt;1,0,(IF(VLOOKUP($X21,Zyklus!$A$14:$U$68,9,FALSE)=0,"RPE 9",IF(VLOOKUP($X21,Übungsübersicht!$E$7:$M$83,3,FALSE)&lt;0.5,($BA21)-(1*0.5),(($Y21)-(1*(VLOOKUP($X21,Übungsübersicht!$E$7:$M$83,3,FALSE)))))))),"RPE 9")</f>
        <v>RPE 9</v>
      </c>
      <c r="BF21" s="655" t="str">
        <f t="shared" ca="1" si="1"/>
        <v>RPE 9</v>
      </c>
      <c r="BG21" s="655" t="str">
        <f ca="1">IFERROR(IF(VLOOKUP($X21,Zyklus!$A$14:$U$68,9,FALSE)=0,"RPE 9",IF(VLOOKUP($X21,Übungsübersicht!$E$7:$M$83,3,FALSE)&lt;0.5,($AY21)+(1*0.5),(($AY21)+(1*(VLOOKUP($X21,Übungsübersicht!$E$7:$M$83,3,FALSE)))))),"RPE 9")</f>
        <v>RPE 9</v>
      </c>
      <c r="BH21" s="655" t="str">
        <f ca="1">IFERROR(IF(VLOOKUP($X21,Zyklus!$A$14:$U$68,9,FALSE)=0,"RPE 9",IF(VLOOKUP($X21,Übungsübersicht!$E$7:$M$83,3,FALSE)&lt;0.5,($BA21)+(2*0.5),(($BA21)+(2*(VLOOKUP($X21,Übungsübersicht!$E$7:$M$83,3,FALSE)))))),"RPE 9")</f>
        <v>RPE 9</v>
      </c>
      <c r="BI21" s="655" t="str">
        <f ca="1">IFERROR(IF(VLOOKUP($X21,Zyklus!$A$14:$U$68,9,FALSE)=0,"RPE 9",IF(VLOOKUP($X21,Übungsübersicht!$E$7:$M$83,3,FALSE)&lt;0.5,($BA21)+(3*0.5),(($BA21)+(3*(VLOOKUP($X21,Übungsübersicht!$E$7:$M$83,3,FALSE)))))),"RPE 9")</f>
        <v>RPE 9</v>
      </c>
    </row>
    <row r="22" spans="1:61" ht="30" customHeight="1">
      <c r="A22" s="857">
        <v>10</v>
      </c>
      <c r="C22" s="325">
        <f>IF('Gewichts- Calculator'!$C$23=0,'Gewichts- Calculator'!$C$21*((36/(37-'Gewichts- Calculator'!$C$22))),'Gewichts- Calculator'!$C$21*((36/(37-'Gewichts- Calculator'!$C$24))))</f>
        <v>116.12903225806453</v>
      </c>
      <c r="D22" s="324">
        <v>1</v>
      </c>
      <c r="E22" s="325">
        <f t="shared" ref="E22:E57" si="2">IFERROR(($C$22/((36/(37-$D22)))),"")</f>
        <v>116.12903225806453</v>
      </c>
      <c r="F22" s="343">
        <f t="shared" ref="F22:F57" si="3">IFERROR((PRODUCT($E22/$C$22)),"")</f>
        <v>1</v>
      </c>
      <c r="H22" s="324">
        <v>1</v>
      </c>
      <c r="I22" s="325">
        <f>IFERROR($K$22,"")</f>
        <v>120</v>
      </c>
      <c r="J22" s="343">
        <f>IFERROR((PRODUCT($I22/$K$22)),"")</f>
        <v>1</v>
      </c>
      <c r="K22" s="325">
        <f>IF('Gewichts- Calculator'!$C23=0,('Gewichts- Calculator'!$C21*(1+('Gewichts- Calculator'!C$22/30))),'Gewichts- Calculator'!$C$21*(1+('Gewichts- Calculator'!$C$24/30)))</f>
        <v>120</v>
      </c>
      <c r="O22" s="492" t="s">
        <v>19</v>
      </c>
      <c r="P22" s="493"/>
      <c r="Q22" s="493">
        <f>Dashboard!$C$20*'Funktions-Tabelle'!Q6</f>
        <v>101.4</v>
      </c>
      <c r="R22" s="493"/>
      <c r="S22" s="493">
        <f>Dashboard!$C$20*'Funktions-Tabelle'!S6</f>
        <v>156</v>
      </c>
      <c r="T22" s="493"/>
      <c r="U22" s="635">
        <f>Dashboard!$C$20*'Funktions-Tabelle'!U6</f>
        <v>195</v>
      </c>
      <c r="X22" s="654" t="str">
        <f ca="1">INDEX(OFFSET(Zyklus!$A$13,19,0),1)</f>
        <v>OK 2</v>
      </c>
      <c r="Y22" s="655">
        <f ca="1">MROUND(INDEX(OFFSET(Zyklus!$I$13,19,0),1),(IF(VLOOKUP($X22,Übungsübersicht!$E$7:$K$80,3)=0,0.1,(VLOOKUP($X22,Übungsübersicht!$E$7:$K$80,3)))))</f>
        <v>0</v>
      </c>
      <c r="Z22" s="655"/>
      <c r="AA22" s="655" t="e">
        <f ca="1">IFERROR(IF($Y22=0,2*(VLOOKUP($X22,Übungsübersicht!$E$7:$M$83,3,FALSE)),IF($Y22&gt;100,(MROUND(($Y22*0.1),(VLOOKUP($X22,Übungsübersicht!$E$7:$M$83,3,FALSE)))),IF($Y22&gt;80,(MROUND(($Y22*0.1),(VLOOKUP($X22,Übungsübersicht!$E$7:$M$83,3,FALSE)))),IF($Y22&gt;50,(MROUND(($Y22*0.2),(VLOOKUP($X22,Übungsübersicht!$E$7:$M$83,3,FALSE)))),IF($Y22&gt;25,(MROUND(($Y22*0.3),(VLOOKUP($X22,Übungsübersicht!$E$7:$M$83,3,FALSE)))),IF($Y22&gt;15,(MROUND(($Y22*0.4),(VLOOKUP($X22,Übungsübersicht!$E$7:$M$83,3,FALSE)))),IF($Y22&gt;(VLOOKUP($X22,Übungsübersicht!$E$7:$M$83,3,FALSE)),(VLOOKUP($X22,Übungsübersicht!$E$7:$M$83,3,FALSE)),""))))))),2*(VLOOKUP($X22,Übungsübersicht!$E$7:$M$83,3,FALSE)))</f>
        <v>#N/A</v>
      </c>
      <c r="AB22" s="655" t="e">
        <f ca="1">IFERROR(IF($Y22=0,4*(VLOOKUP($X22,Übungsübersicht!$E$7:$M$83,3,FALSE)),IF($Y22&gt;100,(MROUND(($Y22*0.3),(VLOOKUP($X22,Übungsübersicht!$E$7:$M$83,3,FALSE)))),IF($Y22&gt;80,(MROUND(($Y22*0.3),(VLOOKUP($X22,Übungsübersicht!$E$7:$M$83,3,FALSE)))),IF($Y22&gt;50,(MROUND(($Y22*0.4),(VLOOKUP($X22,Übungsübersicht!$E$7:$M$83,3,FALSE)))),IF($Y22&gt;25,(MROUND(($Y22*0.5),(VLOOKUP($X22,Übungsübersicht!$E$7:$M$83,3,FALSE)))),IF($Y22&gt;15,(MROUND(($Y22*0.6),(VLOOKUP($X22,Übungsübersicht!$E$7:$M$83,3,FALSE)))),IF($Y22&gt;(VLOOKUP($X22,Übungsübersicht!$E$7:$M$83,3,FALSE)),(VLOOKUP($X22,Übungsübersicht!$E$7:$M$83,3,FALSE)),""))))))),4*(VLOOKUP($X22,Übungsübersicht!$E$7:$M$83,3,FALSE)))</f>
        <v>#N/A</v>
      </c>
      <c r="AC22" s="655" t="e">
        <f ca="1">IFERROR((IF($Y22=0,8*(VLOOKUP($X22,Übungsübersicht!$E$7:$M$83,3,FALSE)),(($Y22)-(3*(VLOOKUP($X22,Übungsübersicht!$E$7:$M$83,3,FALSE)))))),8*(VLOOKUP($X22,Übungsübersicht!$E$7:$M$83,3,FALSE)))</f>
        <v>#N/A</v>
      </c>
      <c r="AD22" s="655" t="e">
        <f ca="1">IFERROR(((IF($Y22=0,10*(VLOOKUP($X22,Übungsübersicht!$E$7:$M$83,3,FALSE)),($Y22)-(2*(VLOOKUP($X22,Übungsübersicht!$E$7:$M$83,3,FALSE)))))),10*(VLOOKUP($X22,Übungsübersicht!$E$7:$M$83,3,FALSE)))</f>
        <v>#N/A</v>
      </c>
      <c r="AE22" s="655" t="e">
        <f ca="1">IFERROR(((IF($Y22=0,10*(VLOOKUP($X22,Übungsübersicht!$E$7:$M$83,3,FALSE)),($Y22)-(1*(VLOOKUP($X22,Übungsübersicht!$E$7:$M$83,3,FALSE)))))),10*(VLOOKUP($X22,Übungsübersicht!$E$7:$M$83,3,FALSE)))</f>
        <v>#N/A</v>
      </c>
      <c r="AF22" s="655" t="e">
        <f ca="1">IFERROR(IF($Y22=0,20*(VLOOKUP($X22,Übungsübersicht!$E$7:$M$83,3,FALSE)),($Y22)),20*(VLOOKUP($X22,Übungsübersicht!$E$7:$M$83,3,FALSE)))</f>
        <v>#N/A</v>
      </c>
      <c r="AG22" s="655" t="e">
        <f ca="1">IFERROR(IF($Y22=0,30*(VLOOKUP($X22,Übungsübersicht!$E$7:$M$83,3,FALSE)),($Y22)+(1*(VLOOKUP($X22,Übungsübersicht!$E$7:$M$83,3,FALSE)))),30*(VLOOKUP($X22,Übungsübersicht!$E$7:$M$83,3,FALSE)))</f>
        <v>#N/A</v>
      </c>
      <c r="AH22" s="655" t="e">
        <f ca="1">IFERROR(IF($Y22=0,30*(VLOOKUP($X22,Übungsübersicht!$E$7:$M$83,3,FALSE)),($Y22)+(2*(VLOOKUP($X22,Übungsübersicht!$E$7:$M$83,3,FALSE)))),30*(VLOOKUP($X22,Übungsübersicht!$E$7:$M$83,3,FALSE)))</f>
        <v>#N/A</v>
      </c>
      <c r="AI22" s="655" t="e">
        <f ca="1">IFERROR(IF($Y22=0,30*(VLOOKUP($X22,Übungsübersicht!$E$7:$M$83,3,FALSE)),($Y22)+(3*(VLOOKUP($X22,Übungsübersicht!$E$7:$M$83,3,FALSE)))),30*(VLOOKUP($X22,Übungsübersicht!$E$7:$M$83,3,FALSE)))</f>
        <v>#N/A</v>
      </c>
      <c r="AJ22" s="655" t="e">
        <f ca="1">IFERROR(IF($Y22=0,40*(VLOOKUP($X22,Übungsübersicht!$E$7:$M$83,3,FALSE)),IF($Y22&gt;100,(MROUND(($Y22*1.7),(VLOOKUP($X22,Übungsübersicht!$E$7:$M$83,3,FALSE)))),IF($Y22&gt;80,(MROUND(($Y22*1.7),(VLOOKUP($X22,Übungsübersicht!$E$7:$M$83,3,FALSE)))),IF($Y22&gt;50,(MROUND(($Y22*1.6),(VLOOKUP($X22,Übungsübersicht!$E$7:$M$83,3,FALSE)))),IF($Y22&gt;25,(MROUND(($Y22*1.5),(VLOOKUP($X22,Übungsübersicht!$E$7:$M$83,3,FALSE)))),IF($Y22&gt;15,(MROUND(($Y22*1.4),(VLOOKUP($X22,Übungsübersicht!$E$7:$M$83,3,FALSE)))),IF($Y22&gt;(VLOOKUP($X22,Übungsübersicht!$E$7:$M$83,3,FALSE)),30*(VLOOKUP($X22,Übungsübersicht!$E$7:$M$83,3,FALSE)),""))))))),40*(VLOOKUP($X22,Übungsübersicht!$E$7:$M$83,3,FALSE)))</f>
        <v>#N/A</v>
      </c>
      <c r="AK22" s="656" t="e">
        <f ca="1">IFERROR(IF($Y22=0,50*(VLOOKUP($X22,Übungsübersicht!$E$7:$M$83,3,FALSE)),IF($Y22&gt;100,(MROUND(($Y22*1.9),(VLOOKUP($X22,Übungsübersicht!$E$7:$M$83,3,FALSE)))),IF($Y22&gt;80,(MROUND(($Y22*1.9),(VLOOKUP($X22,Übungsübersicht!$E$7:$M$83,3,FALSE)))),IF($Y22&gt;50,(MROUND(($Y22*1.8),(VLOOKUP($X22,Übungsübersicht!$E$7:$M$83,3,FALSE)))),IF($Y22&gt;25,(MROUND(($Y22*1.7),(VLOOKUP($X22,Übungsübersicht!$E$7:$M$83,3,FALSE)))),IF($Y22&gt;15,(MROUND(($Y22*1.6),(VLOOKUP($X22,Übungsübersicht!$E$7:$M$83,3,FALSE)))),IF($Y22&gt;(VLOOKUP($X22,Übungsübersicht!$E$7:$M$83,3,FALSE)),40*(VLOOKUP($X22,Übungsübersicht!$E$7:$M$83,3,FALSE)),""))))))),50*(VLOOKUP($X22,Übungsübersicht!$E$7:$M$83,3,FALSE)))</f>
        <v>#N/A</v>
      </c>
      <c r="AN22" s="655">
        <f ca="1">MROUND(INDEX(OFFSET(Zyklus!$M$13,19,0),1),(IF(VLOOKUP($X22,Übungsübersicht!$E$7:$K$80,3)=0,0.1,(VLOOKUP($X22,Übungsübersicht!$E$7:$K$80,3)))))</f>
        <v>0</v>
      </c>
      <c r="AP22" s="652" t="str">
        <f ca="1">IFERROR(IF(IF(VLOOKUP($X22,Zyklus!$A$14:$U$68,9,FALSE)=0,"RPE 8",IF(VLOOKUP($X22,Übungsübersicht!$E$7:$M$83,3,FALSE)&lt;0.5,($AN22)-(3*0.5),(($AN22)-(3*(VLOOKUP($X22,Übungsübersicht!$E$7:$M$83,3,FALSE))))))&lt;1,0,(IF(VLOOKUP($X22,Zyklus!$A$14:$U$68,9,FALSE)=0,"RPE 8",IF(VLOOKUP($X22,Übungsübersicht!$E$7:$M$83,3,FALSE)&lt;0.5,($AN22)-(3*0.5),(($AN22)-(3*(VLOOKUP($X22,Übungsübersicht!$E$7:$M$83,3,FALSE)))))))),"RPE 8")</f>
        <v>RPE 8</v>
      </c>
      <c r="AQ22" s="652" t="str">
        <f ca="1">IFERROR(IF(IF(VLOOKUP($X22,Zyklus!$A$14:$U$68,9,FALSE)=0,"RPE 8",IF(VLOOKUP($X22,Übungsübersicht!$E$7:$M$83,3,FALSE)&lt;0.5,($AN22)-(2*0.5),(($AN22)-(2*(VLOOKUP($X22,Übungsübersicht!$E$7:$M$83,3,FALSE))))))&lt;1,0,(IF(VLOOKUP($X22,Zyklus!$A$14:$U$68,9,FALSE)=0,"RPE 8",IF(VLOOKUP($X22,Übungsübersicht!$E$7:$M$83,3,FALSE)&lt;0.5,($AN22)-(2*0.5),(($AN22)-(2*(VLOOKUP($X22,Übungsübersicht!$E$7:$M$83,3,FALSE)))))))),"RPE 8")</f>
        <v>RPE 8</v>
      </c>
      <c r="AR22" s="652" t="str">
        <f ca="1">IFERROR(IF(IF(VLOOKUP($X22,Zyklus!$A$14:$U$68,9,FALSE)=0,"RPE 8",IF(VLOOKUP($X22,Übungsübersicht!$E$7:$M$83,3,FALSE)&lt;0.5,($AN22)-(1*0.5),(($Y22)-(1*(VLOOKUP($X22,Übungsübersicht!$E$7:$M$83,3,FALSE))))))&lt;1,0,(IF(VLOOKUP($X22,Zyklus!$A$14:$U$68,9,FALSE)=0,"RPE 8",IF(VLOOKUP($X22,Übungsübersicht!$E$7:$M$83,3,FALSE)&lt;0.5,($AN22)-(1*0.5),(($Y22)-(1*(VLOOKUP($X22,Übungsübersicht!$E$7:$M$83,3,FALSE)))))))),"RPE 8")</f>
        <v>RPE 8</v>
      </c>
      <c r="AS22" s="652" t="str">
        <f t="shared" ca="1" si="0"/>
        <v>RPE 8</v>
      </c>
      <c r="AT22" s="652" t="str">
        <f ca="1">IFERROR(IF(VLOOKUP($X22,Zyklus!$A$14:$U$68,9,FALSE)=0,"RPE 8",IF(VLOOKUP($X22,Übungsübersicht!$E$7:$M$83,3,FALSE)&lt;0.5,($AN22)+(1*0.5),(($Y22)+(1*(VLOOKUP($X22,Übungsübersicht!$E$7:$M$83,3,FALSE)))))),"RPE 8")</f>
        <v>RPE 8</v>
      </c>
      <c r="AU22" s="652" t="str">
        <f ca="1">IFERROR(IF(VLOOKUP($X22,Zyklus!$A$14:$U$68,9,FALSE)=0,"RPE 8",IF(VLOOKUP($X22,Übungsübersicht!$E$7:$M$83,3,FALSE)&lt;0.5,($AN22)+(2*0.5),(($AN22)+(2*(VLOOKUP($X22,Übungsübersicht!$E$7:$M$83,3,FALSE)))))),"RPE 8")</f>
        <v>RPE 8</v>
      </c>
      <c r="AV22" s="652" t="str">
        <f ca="1">IFERROR(IF(VLOOKUP($X22,Zyklus!$A$14:$U$68,9,FALSE)=0,"RPE 8",IF(VLOOKUP($X22,Übungsübersicht!$E$7:$M$83,3,FALSE)&lt;0.5,($AN22)+(3*0.5),(($AN22)+(3*(VLOOKUP($X22,Übungsübersicht!$E$7:$M$83,3,FALSE)))))),"RPE 8")</f>
        <v>RPE 8</v>
      </c>
      <c r="AY22" s="655">
        <f ca="1">MROUND(INDEX(OFFSET(Zyklus!$M$13,19,0),1),(IF(VLOOKUP($X22,Übungsübersicht!$E$7:$K$80,3)=0,0.1,(VLOOKUP($X22,Übungsübersicht!$E$7:$K$80,3)))))</f>
        <v>0</v>
      </c>
      <c r="BA22" s="652">
        <f ca="1">MROUND(INDEX(OFFSET(Zyklus!$Q$13,9,0),1),(IF(VLOOKUP($X22,Übungsübersicht!$E$7:$K$80,3)=0,0.1,(VLOOKUP($X22,Übungsübersicht!$E$7:$K$80,3)))))</f>
        <v>20</v>
      </c>
      <c r="BC22" s="652" t="str">
        <f ca="1">IFERROR(IF(IF(VLOOKUP($X22,Zyklus!$A$14:$U$68,9,FALSE)=0,"RPE 9",IF(VLOOKUP($X22,Übungsübersicht!$E$7:$M$83,3,FALSE)&lt;0.5,($BA22)-(3*0.5),(($BA22)-(3*(VLOOKUP($X22,Übungsübersicht!$E$7:$M$83,3,FALSE))))))&lt;1,0,(IF(VLOOKUP($X22,Zyklus!$A$14:$U$68,9,FALSE)=0,"RPE 9",IF(VLOOKUP($X22,Übungsübersicht!$E$7:$M$83,3,FALSE)&lt;0.5,($BA22)-(3*0.5),(($BA22)-(3*(VLOOKUP($X22,Übungsübersicht!$E$7:$M$83,3,FALSE)))))))),"RPE 9")</f>
        <v>RPE 9</v>
      </c>
      <c r="BD22" s="652" t="str">
        <f ca="1">IFERROR(IF(IF(VLOOKUP($X22,Zyklus!$A$14:$U$68,9,FALSE)=0,"RPE 9",IF(VLOOKUP($X22,Übungsübersicht!$E$7:$M$83,3,FALSE)&lt;0.5,($BA22)-(2*0.5),(($BA22)-(2*(VLOOKUP($X22,Übungsübersicht!$E$7:$M$83,3,FALSE))))))&lt;1,0,(IF(VLOOKUP($X22,Zyklus!$A$14:$U$68,9,FALSE)=0,"RPE 9",IF(VLOOKUP($X22,Übungsübersicht!$E$7:$M$83,3,FALSE)&lt;0.5,($BA22)-(2*0.5),(($BA22)-(2*(VLOOKUP($X22,Übungsübersicht!$E$7:$M$83,3,FALSE)))))))),"RPE 9")</f>
        <v>RPE 9</v>
      </c>
      <c r="BE22" s="652" t="str">
        <f ca="1">IFERROR(IF(IF(VLOOKUP($X22,Zyklus!$A$14:$U$68,9,FALSE)=0,"RPE 9",IF(VLOOKUP($X22,Übungsübersicht!$E$7:$M$83,3,FALSE)&lt;0.5,($BA22)-(1*0.5),(($Y22)-(1*(VLOOKUP($X22,Übungsübersicht!$E$7:$M$83,3,FALSE))))))&lt;1,0,(IF(VLOOKUP($X22,Zyklus!$A$14:$U$68,9,FALSE)=0,"RPE 9",IF(VLOOKUP($X22,Übungsübersicht!$E$7:$M$83,3,FALSE)&lt;0.5,($BA22)-(1*0.5),(($Y22)-(1*(VLOOKUP($X22,Übungsübersicht!$E$7:$M$83,3,FALSE)))))))),"RPE 9")</f>
        <v>RPE 9</v>
      </c>
      <c r="BF22" s="652" t="str">
        <f t="shared" ca="1" si="1"/>
        <v>RPE 9</v>
      </c>
      <c r="BG22" s="652" t="str">
        <f ca="1">IFERROR(IF(VLOOKUP($X22,Zyklus!$A$14:$U$68,9,FALSE)=0,"RPE 9",IF(VLOOKUP($X22,Übungsübersicht!$E$7:$M$83,3,FALSE)&lt;0.5,($AY22)+(1*0.5),(($AY22)+(1*(VLOOKUP($X22,Übungsübersicht!$E$7:$M$83,3,FALSE)))))),"RPE 9")</f>
        <v>RPE 9</v>
      </c>
      <c r="BH22" s="652" t="str">
        <f ca="1">IFERROR(IF(VLOOKUP($X22,Zyklus!$A$14:$U$68,9,FALSE)=0,"RPE 9",IF(VLOOKUP($X22,Übungsübersicht!$E$7:$M$83,3,FALSE)&lt;0.5,($BA22)+(2*0.5),(($BA22)+(2*(VLOOKUP($X22,Übungsübersicht!$E$7:$M$83,3,FALSE)))))),"RPE 9")</f>
        <v>RPE 9</v>
      </c>
      <c r="BI22" s="652" t="str">
        <f ca="1">IFERROR(IF(VLOOKUP($X22,Zyklus!$A$14:$U$68,9,FALSE)=0,"RPE 9",IF(VLOOKUP($X22,Übungsübersicht!$E$7:$M$83,3,FALSE)&lt;0.5,($BA22)+(3*0.5),(($BA22)+(3*(VLOOKUP($X22,Übungsübersicht!$E$7:$M$83,3,FALSE)))))),"RPE 9")</f>
        <v>RPE 9</v>
      </c>
    </row>
    <row r="23" spans="1:61" ht="30" customHeight="1">
      <c r="D23" s="326">
        <v>2</v>
      </c>
      <c r="E23" s="323">
        <f t="shared" si="2"/>
        <v>112.90322580645163</v>
      </c>
      <c r="F23" s="344">
        <f t="shared" si="3"/>
        <v>0.97222222222222232</v>
      </c>
      <c r="H23" s="326">
        <v>2</v>
      </c>
      <c r="I23" s="323">
        <f>IFERROR($K$22/(1+($H23/30)),"")</f>
        <v>112.5</v>
      </c>
      <c r="J23" s="344">
        <f t="shared" ref="J23:J86" si="4">IFERROR((PRODUCT($I23/$K$22)),"")</f>
        <v>0.9375</v>
      </c>
      <c r="O23" s="489" t="s">
        <v>2</v>
      </c>
      <c r="P23" s="490"/>
      <c r="Q23" s="490">
        <f>Dashboard!$C$20*'Funktions-Tabelle'!Q7</f>
        <v>70.2</v>
      </c>
      <c r="R23" s="490"/>
      <c r="S23" s="490">
        <f>Dashboard!$C$20*'Funktions-Tabelle'!S7</f>
        <v>109.19999999999999</v>
      </c>
      <c r="T23" s="490"/>
      <c r="U23" s="638">
        <f>Dashboard!$C$20*'Funktions-Tabelle'!U7</f>
        <v>156</v>
      </c>
      <c r="X23" s="651" t="str">
        <f ca="1">INDEX(OFFSET(Zyklus!$A$13,20,0),1)</f>
        <v>Übung</v>
      </c>
      <c r="Y23" s="652" t="e">
        <f ca="1">MROUND(INDEX(OFFSET(Zyklus!$I$13,20,0),1),(IF(VLOOKUP($X23,Übungsübersicht!$E$7:$K$80,3)=0,0.1,(VLOOKUP($X23,Übungsübersicht!$E$7:$K$80,3)))))</f>
        <v>#VALUE!</v>
      </c>
      <c r="Z23" s="652"/>
      <c r="AA23" s="652" t="e">
        <f ca="1">IFERROR(IF($Y23=0,2*(VLOOKUP($X23,Übungsübersicht!$E$7:$M$83,3,FALSE)),IF($Y23&gt;100,(MROUND(($Y23*0.1),(VLOOKUP($X23,Übungsübersicht!$E$7:$M$83,3,FALSE)))),IF($Y23&gt;80,(MROUND(($Y23*0.1),(VLOOKUP($X23,Übungsübersicht!$E$7:$M$83,3,FALSE)))),IF($Y23&gt;50,(MROUND(($Y23*0.2),(VLOOKUP($X23,Übungsübersicht!$E$7:$M$83,3,FALSE)))),IF($Y23&gt;25,(MROUND(($Y23*0.3),(VLOOKUP($X23,Übungsübersicht!$E$7:$M$83,3,FALSE)))),IF($Y23&gt;15,(MROUND(($Y23*0.4),(VLOOKUP($X23,Übungsübersicht!$E$7:$M$83,3,FALSE)))),IF($Y23&gt;(VLOOKUP($X23,Übungsübersicht!$E$7:$M$83,3,FALSE)),(VLOOKUP($X23,Übungsübersicht!$E$7:$M$83,3,FALSE)),""))))))),2*(VLOOKUP($X23,Übungsübersicht!$E$7:$M$83,3,FALSE)))</f>
        <v>#VALUE!</v>
      </c>
      <c r="AB23" s="652" t="e">
        <f ca="1">IFERROR(IF($Y23=0,4*(VLOOKUP($X23,Übungsübersicht!$E$7:$M$83,3,FALSE)),IF($Y23&gt;100,(MROUND(($Y23*0.3),(VLOOKUP($X23,Übungsübersicht!$E$7:$M$83,3,FALSE)))),IF($Y23&gt;80,(MROUND(($Y23*0.3),(VLOOKUP($X23,Übungsübersicht!$E$7:$M$83,3,FALSE)))),IF($Y23&gt;50,(MROUND(($Y23*0.4),(VLOOKUP($X23,Übungsübersicht!$E$7:$M$83,3,FALSE)))),IF($Y23&gt;25,(MROUND(($Y23*0.5),(VLOOKUP($X23,Übungsübersicht!$E$7:$M$83,3,FALSE)))),IF($Y23&gt;15,(MROUND(($Y23*0.6),(VLOOKUP($X23,Übungsübersicht!$E$7:$M$83,3,FALSE)))),IF($Y23&gt;(VLOOKUP($X23,Übungsübersicht!$E$7:$M$83,3,FALSE)),(VLOOKUP($X23,Übungsübersicht!$E$7:$M$83,3,FALSE)),""))))))),4*(VLOOKUP($X23,Übungsübersicht!$E$7:$M$83,3,FALSE)))</f>
        <v>#VALUE!</v>
      </c>
      <c r="AC23" s="652" t="e">
        <f ca="1">IFERROR((IF($Y23=0,8*(VLOOKUP($X23,Übungsübersicht!$E$7:$M$83,3,FALSE)),(($Y23)-(3*(VLOOKUP($X23,Übungsübersicht!$E$7:$M$83,3,FALSE)))))),8*(VLOOKUP($X23,Übungsübersicht!$E$7:$M$83,3,FALSE)))</f>
        <v>#VALUE!</v>
      </c>
      <c r="AD23" s="652" t="e">
        <f ca="1">IFERROR(((IF($Y23=0,10*(VLOOKUP($X23,Übungsübersicht!$E$7:$M$83,3,FALSE)),($Y23)-(2*(VLOOKUP($X23,Übungsübersicht!$E$7:$M$83,3,FALSE)))))),10*(VLOOKUP($X23,Übungsübersicht!$E$7:$M$83,3,FALSE)))</f>
        <v>#VALUE!</v>
      </c>
      <c r="AE23" s="652" t="e">
        <f ca="1">IFERROR(((IF($Y23=0,10*(VLOOKUP($X23,Übungsübersicht!$E$7:$M$83,3,FALSE)),($Y23)-(1*(VLOOKUP($X23,Übungsübersicht!$E$7:$M$83,3,FALSE)))))),10*(VLOOKUP($X23,Übungsübersicht!$E$7:$M$83,3,FALSE)))</f>
        <v>#VALUE!</v>
      </c>
      <c r="AF23" s="652" t="e">
        <f ca="1">IFERROR(IF($Y23=0,20*(VLOOKUP($X23,Übungsübersicht!$E$7:$M$83,3,FALSE)),($Y23)),20*(VLOOKUP($X23,Übungsübersicht!$E$7:$M$83,3,FALSE)))</f>
        <v>#VALUE!</v>
      </c>
      <c r="AG23" s="652" t="e">
        <f ca="1">IFERROR(IF($Y23=0,30*(VLOOKUP($X23,Übungsübersicht!$E$7:$M$83,3,FALSE)),($Y23)+(1*(VLOOKUP($X23,Übungsübersicht!$E$7:$M$83,3,FALSE)))),30*(VLOOKUP($X23,Übungsübersicht!$E$7:$M$83,3,FALSE)))</f>
        <v>#VALUE!</v>
      </c>
      <c r="AH23" s="652" t="e">
        <f ca="1">IFERROR(IF($Y23=0,30*(VLOOKUP($X23,Übungsübersicht!$E$7:$M$83,3,FALSE)),($Y23)+(2*(VLOOKUP($X23,Übungsübersicht!$E$7:$M$83,3,FALSE)))),30*(VLOOKUP($X23,Übungsübersicht!$E$7:$M$83,3,FALSE)))</f>
        <v>#VALUE!</v>
      </c>
      <c r="AI23" s="652" t="e">
        <f ca="1">IFERROR(IF($Y23=0,30*(VLOOKUP($X23,Übungsübersicht!$E$7:$M$83,3,FALSE)),($Y23)+(3*(VLOOKUP($X23,Übungsübersicht!$E$7:$M$83,3,FALSE)))),30*(VLOOKUP($X23,Übungsübersicht!$E$7:$M$83,3,FALSE)))</f>
        <v>#VALUE!</v>
      </c>
      <c r="AJ23" s="652" t="e">
        <f ca="1">IFERROR(IF($Y23=0,40*(VLOOKUP($X23,Übungsübersicht!$E$7:$M$83,3,FALSE)),IF($Y23&gt;100,(MROUND(($Y23*1.7),(VLOOKUP($X23,Übungsübersicht!$E$7:$M$83,3,FALSE)))),IF($Y23&gt;80,(MROUND(($Y23*1.7),(VLOOKUP($X23,Übungsübersicht!$E$7:$M$83,3,FALSE)))),IF($Y23&gt;50,(MROUND(($Y23*1.6),(VLOOKUP($X23,Übungsübersicht!$E$7:$M$83,3,FALSE)))),IF($Y23&gt;25,(MROUND(($Y23*1.5),(VLOOKUP($X23,Übungsübersicht!$E$7:$M$83,3,FALSE)))),IF($Y23&gt;15,(MROUND(($Y23*1.4),(VLOOKUP($X23,Übungsübersicht!$E$7:$M$83,3,FALSE)))),IF($Y23&gt;(VLOOKUP($X23,Übungsübersicht!$E$7:$M$83,3,FALSE)),30*(VLOOKUP($X23,Übungsübersicht!$E$7:$M$83,3,FALSE)),""))))))),40*(VLOOKUP($X23,Übungsübersicht!$E$7:$M$83,3,FALSE)))</f>
        <v>#VALUE!</v>
      </c>
      <c r="AK23" s="653" t="e">
        <f ca="1">IFERROR(IF($Y23=0,50*(VLOOKUP($X23,Übungsübersicht!$E$7:$M$83,3,FALSE)),IF($Y23&gt;100,(MROUND(($Y23*1.9),(VLOOKUP($X23,Übungsübersicht!$E$7:$M$83,3,FALSE)))),IF($Y23&gt;80,(MROUND(($Y23*1.9),(VLOOKUP($X23,Übungsübersicht!$E$7:$M$83,3,FALSE)))),IF($Y23&gt;50,(MROUND(($Y23*1.8),(VLOOKUP($X23,Übungsübersicht!$E$7:$M$83,3,FALSE)))),IF($Y23&gt;25,(MROUND(($Y23*1.7),(VLOOKUP($X23,Übungsübersicht!$E$7:$M$83,3,FALSE)))),IF($Y23&gt;15,(MROUND(($Y23*1.6),(VLOOKUP($X23,Übungsübersicht!$E$7:$M$83,3,FALSE)))),IF($Y23&gt;(VLOOKUP($X23,Übungsübersicht!$E$7:$M$83,3,FALSE)),40*(VLOOKUP($X23,Übungsübersicht!$E$7:$M$83,3,FALSE)),""))))))),50*(VLOOKUP($X23,Übungsübersicht!$E$7:$M$83,3,FALSE)))</f>
        <v>#VALUE!</v>
      </c>
      <c r="AN23" s="652" t="e">
        <f ca="1">MROUND(INDEX(OFFSET(Zyklus!$M$13,20,0),1),(IF(VLOOKUP($X23,Übungsübersicht!$E$7:$K$80,3)=0,0.1,(VLOOKUP($X23,Übungsübersicht!$E$7:$K$80,3)))))</f>
        <v>#VALUE!</v>
      </c>
      <c r="AP23" s="655" t="str">
        <f ca="1">IFERROR(IF(IF(VLOOKUP($X23,Zyklus!$A$14:$U$68,9,FALSE)=0,"RPE 8",IF(VLOOKUP($X23,Übungsübersicht!$E$7:$M$83,3,FALSE)&lt;0.5,($AN23)-(3*0.5),(($AN23)-(3*(VLOOKUP($X23,Übungsübersicht!$E$7:$M$83,3,FALSE))))))&lt;1,0,(IF(VLOOKUP($X23,Zyklus!$A$14:$U$68,9,FALSE)=0,"RPE 8",IF(VLOOKUP($X23,Übungsübersicht!$E$7:$M$83,3,FALSE)&lt;0.5,($AN23)-(3*0.5),(($AN23)-(3*(VLOOKUP($X23,Übungsübersicht!$E$7:$M$83,3,FALSE)))))))),"RPE 8")</f>
        <v>RPE 8</v>
      </c>
      <c r="AQ23" s="655" t="str">
        <f ca="1">IFERROR(IF(IF(VLOOKUP($X23,Zyklus!$A$14:$U$68,9,FALSE)=0,"RPE 8",IF(VLOOKUP($X23,Übungsübersicht!$E$7:$M$83,3,FALSE)&lt;0.5,($AN23)-(2*0.5),(($AN23)-(2*(VLOOKUP($X23,Übungsübersicht!$E$7:$M$83,3,FALSE))))))&lt;1,0,(IF(VLOOKUP($X23,Zyklus!$A$14:$U$68,9,FALSE)=0,"RPE 8",IF(VLOOKUP($X23,Übungsübersicht!$E$7:$M$83,3,FALSE)&lt;0.5,($AN23)-(2*0.5),(($AN23)-(2*(VLOOKUP($X23,Übungsübersicht!$E$7:$M$83,3,FALSE)))))))),"RPE 8")</f>
        <v>RPE 8</v>
      </c>
      <c r="AR23" s="655" t="str">
        <f ca="1">IFERROR(IF(IF(VLOOKUP($X23,Zyklus!$A$14:$U$68,9,FALSE)=0,"RPE 8",IF(VLOOKUP($X23,Übungsübersicht!$E$7:$M$83,3,FALSE)&lt;0.5,($AN23)-(1*0.5),(($Y23)-(1*(VLOOKUP($X23,Übungsübersicht!$E$7:$M$83,3,FALSE))))))&lt;1,0,(IF(VLOOKUP($X23,Zyklus!$A$14:$U$68,9,FALSE)=0,"RPE 8",IF(VLOOKUP($X23,Übungsübersicht!$E$7:$M$83,3,FALSE)&lt;0.5,($AN23)-(1*0.5),(($Y23)-(1*(VLOOKUP($X23,Übungsübersicht!$E$7:$M$83,3,FALSE)))))))),"RPE 8")</f>
        <v>RPE 8</v>
      </c>
      <c r="AS23" s="655" t="str">
        <f t="shared" ca="1" si="0"/>
        <v>RPE 8</v>
      </c>
      <c r="AT23" s="655" t="str">
        <f ca="1">IFERROR(IF(VLOOKUP($X23,Zyklus!$A$14:$U$68,9,FALSE)=0,"RPE 8",IF(VLOOKUP($X23,Übungsübersicht!$E$7:$M$83,3,FALSE)&lt;0.5,($AN23)+(1*0.5),(($Y23)+(1*(VLOOKUP($X23,Übungsübersicht!$E$7:$M$83,3,FALSE)))))),"RPE 8")</f>
        <v>RPE 8</v>
      </c>
      <c r="AU23" s="655" t="str">
        <f ca="1">IFERROR(IF(VLOOKUP($X23,Zyklus!$A$14:$U$68,9,FALSE)=0,"RPE 8",IF(VLOOKUP($X23,Übungsübersicht!$E$7:$M$83,3,FALSE)&lt;0.5,($AN23)+(2*0.5),(($AN23)+(2*(VLOOKUP($X23,Übungsübersicht!$E$7:$M$83,3,FALSE)))))),"RPE 8")</f>
        <v>RPE 8</v>
      </c>
      <c r="AV23" s="655" t="str">
        <f ca="1">IFERROR(IF(VLOOKUP($X23,Zyklus!$A$14:$U$68,9,FALSE)=0,"RPE 8",IF(VLOOKUP($X23,Übungsübersicht!$E$7:$M$83,3,FALSE)&lt;0.5,($AN23)+(3*0.5),(($AN23)+(3*(VLOOKUP($X23,Übungsübersicht!$E$7:$M$83,3,FALSE)))))),"RPE 8")</f>
        <v>RPE 8</v>
      </c>
      <c r="AY23" s="652" t="e">
        <f ca="1">MROUND(INDEX(OFFSET(Zyklus!$M$13,20,0),1),(IF(VLOOKUP($X23,Übungsübersicht!$E$7:$K$80,3)=0,0.1,(VLOOKUP($X23,Übungsübersicht!$E$7:$K$80,3)))))</f>
        <v>#VALUE!</v>
      </c>
      <c r="BA23" s="655" t="e">
        <f ca="1">MROUND(INDEX(OFFSET(Zyklus!$Q$13,20,0),1),(IF(VLOOKUP($X23,Übungsübersicht!$E$7:$K$80,3)=0,0.1,(VLOOKUP($X23,Übungsübersicht!$E$7:$K$80,3)))))</f>
        <v>#VALUE!</v>
      </c>
      <c r="BC23" s="655" t="str">
        <f ca="1">IFERROR(IF(IF(VLOOKUP($X23,Zyklus!$A$14:$U$68,9,FALSE)=0,"RPE 9",IF(VLOOKUP($X23,Übungsübersicht!$E$7:$M$83,3,FALSE)&lt;0.5,($BA23)-(3*0.5),(($BA23)-(3*(VLOOKUP($X23,Übungsübersicht!$E$7:$M$83,3,FALSE))))))&lt;1,0,(IF(VLOOKUP($X23,Zyklus!$A$14:$U$68,9,FALSE)=0,"RPE 9",IF(VLOOKUP($X23,Übungsübersicht!$E$7:$M$83,3,FALSE)&lt;0.5,($BA23)-(3*0.5),(($BA23)-(3*(VLOOKUP($X23,Übungsübersicht!$E$7:$M$83,3,FALSE)))))))),"RPE 9")</f>
        <v>RPE 9</v>
      </c>
      <c r="BD23" s="655" t="str">
        <f ca="1">IFERROR(IF(IF(VLOOKUP($X23,Zyklus!$A$14:$U$68,9,FALSE)=0,"RPE 9",IF(VLOOKUP($X23,Übungsübersicht!$E$7:$M$83,3,FALSE)&lt;0.5,($BA23)-(2*0.5),(($BA23)-(2*(VLOOKUP($X23,Übungsübersicht!$E$7:$M$83,3,FALSE))))))&lt;1,0,(IF(VLOOKUP($X23,Zyklus!$A$14:$U$68,9,FALSE)=0,"RPE 9",IF(VLOOKUP($X23,Übungsübersicht!$E$7:$M$83,3,FALSE)&lt;0.5,($BA23)-(2*0.5),(($BA23)-(2*(VLOOKUP($X23,Übungsübersicht!$E$7:$M$83,3,FALSE)))))))),"RPE 9")</f>
        <v>RPE 9</v>
      </c>
      <c r="BE23" s="655" t="str">
        <f ca="1">IFERROR(IF(IF(VLOOKUP($X23,Zyklus!$A$14:$U$68,9,FALSE)=0,"RPE 9",IF(VLOOKUP($X23,Übungsübersicht!$E$7:$M$83,3,FALSE)&lt;0.5,($BA23)-(1*0.5),(($Y23)-(1*(VLOOKUP($X23,Übungsübersicht!$E$7:$M$83,3,FALSE))))))&lt;1,0,(IF(VLOOKUP($X23,Zyklus!$A$14:$U$68,9,FALSE)=0,"RPE 9",IF(VLOOKUP($X23,Übungsübersicht!$E$7:$M$83,3,FALSE)&lt;0.5,($BA23)-(1*0.5),(($Y23)-(1*(VLOOKUP($X23,Übungsübersicht!$E$7:$M$83,3,FALSE)))))))),"RPE 9")</f>
        <v>RPE 9</v>
      </c>
      <c r="BF23" s="655" t="str">
        <f t="shared" ca="1" si="1"/>
        <v>RPE 9</v>
      </c>
      <c r="BG23" s="655" t="str">
        <f ca="1">IFERROR(IF(VLOOKUP($X23,Zyklus!$A$14:$U$68,9,FALSE)=0,"RPE 9",IF(VLOOKUP($X23,Übungsübersicht!$E$7:$M$83,3,FALSE)&lt;0.5,($AY23)+(1*0.5),(($AY23)+(1*(VLOOKUP($X23,Übungsübersicht!$E$7:$M$83,3,FALSE)))))),"RPE 9")</f>
        <v>RPE 9</v>
      </c>
      <c r="BH23" s="655" t="str">
        <f ca="1">IFERROR(IF(VLOOKUP($X23,Zyklus!$A$14:$U$68,9,FALSE)=0,"RPE 9",IF(VLOOKUP($X23,Übungsübersicht!$E$7:$M$83,3,FALSE)&lt;0.5,($BA23)+(2*0.5),(($BA23)+(2*(VLOOKUP($X23,Übungsübersicht!$E$7:$M$83,3,FALSE)))))),"RPE 9")</f>
        <v>RPE 9</v>
      </c>
      <c r="BI23" s="655" t="str">
        <f ca="1">IFERROR(IF(VLOOKUP($X23,Zyklus!$A$14:$U$68,9,FALSE)=0,"RPE 9",IF(VLOOKUP($X23,Übungsübersicht!$E$7:$M$83,3,FALSE)&lt;0.5,($BA23)+(3*0.5),(($BA23)+(3*(VLOOKUP($X23,Übungsübersicht!$E$7:$M$83,3,FALSE)))))),"RPE 9")</f>
        <v>RPE 9</v>
      </c>
    </row>
    <row r="24" spans="1:61" ht="30" customHeight="1">
      <c r="B24" s="1022" t="s">
        <v>429</v>
      </c>
      <c r="D24" s="324">
        <v>3</v>
      </c>
      <c r="E24" s="325">
        <f t="shared" si="2"/>
        <v>109.67741935483872</v>
      </c>
      <c r="F24" s="343">
        <f t="shared" si="3"/>
        <v>0.94444444444444442</v>
      </c>
      <c r="H24" s="324">
        <v>3</v>
      </c>
      <c r="I24" s="325">
        <f t="shared" ref="I24:I87" si="5">IFERROR($K$22/(1+($H24/30)),"")</f>
        <v>109.09090909090908</v>
      </c>
      <c r="J24" s="343">
        <f t="shared" si="4"/>
        <v>0.90909090909090895</v>
      </c>
      <c r="O24" s="492" t="s">
        <v>225</v>
      </c>
      <c r="P24" s="493"/>
      <c r="Q24" s="493">
        <f>Dashboard!$C$20*'Funktions-Tabelle'!Q8</f>
        <v>117</v>
      </c>
      <c r="R24" s="493"/>
      <c r="S24" s="493">
        <f>Dashboard!$C$20*'Funktions-Tabelle'!S8</f>
        <v>171.60000000000002</v>
      </c>
      <c r="T24" s="493"/>
      <c r="U24" s="635">
        <f>Dashboard!$C$20*'Funktions-Tabelle'!U8</f>
        <v>234</v>
      </c>
      <c r="X24" s="654" t="str">
        <f ca="1">INDEX(OFFSET(Zyklus!$A$13,21,0),1)</f>
        <v>LH Bankdrücken</v>
      </c>
      <c r="Y24" s="655">
        <f ca="1">MROUND(INDEX(OFFSET(Zyklus!$I$13,21,0),1),(IF(VLOOKUP($X24,Übungsübersicht!$E$7:$K$80,3)=0,0.1,(VLOOKUP($X24,Übungsübersicht!$E$7:$K$80,3)))))</f>
        <v>100</v>
      </c>
      <c r="Z24" s="655"/>
      <c r="AA24" s="655">
        <f ca="1">IFERROR(IF($Y24=0,2*(VLOOKUP($X24,Übungsübersicht!$E$7:$M$83,3,FALSE)),IF($Y24&gt;100,(MROUND(($Y24*0.1),(VLOOKUP($X24,Übungsübersicht!$E$7:$M$83,3,FALSE)))),IF($Y24&gt;80,(MROUND(($Y24*0.1),(VLOOKUP($X24,Übungsübersicht!$E$7:$M$83,3,FALSE)))),IF($Y24&gt;50,(MROUND(($Y24*0.2),(VLOOKUP($X24,Übungsübersicht!$E$7:$M$83,3,FALSE)))),IF($Y24&gt;25,(MROUND(($Y24*0.3),(VLOOKUP($X24,Übungsübersicht!$E$7:$M$83,3,FALSE)))),IF($Y24&gt;15,(MROUND(($Y24*0.4),(VLOOKUP($X24,Übungsübersicht!$E$7:$M$83,3,FALSE)))),IF($Y24&gt;(VLOOKUP($X24,Übungsübersicht!$E$7:$M$83,3,FALSE)),(VLOOKUP($X24,Übungsübersicht!$E$7:$M$83,3,FALSE)),""))))))),2*(VLOOKUP($X24,Übungsübersicht!$E$7:$M$83,3,FALSE)))</f>
        <v>10</v>
      </c>
      <c r="AB24" s="655">
        <f ca="1">IFERROR(IF($Y24=0,4*(VLOOKUP($X24,Übungsübersicht!$E$7:$M$83,3,FALSE)),IF($Y24&gt;100,(MROUND(($Y24*0.3),(VLOOKUP($X24,Übungsübersicht!$E$7:$M$83,3,FALSE)))),IF($Y24&gt;80,(MROUND(($Y24*0.3),(VLOOKUP($X24,Übungsübersicht!$E$7:$M$83,3,FALSE)))),IF($Y24&gt;50,(MROUND(($Y24*0.4),(VLOOKUP($X24,Übungsübersicht!$E$7:$M$83,3,FALSE)))),IF($Y24&gt;25,(MROUND(($Y24*0.5),(VLOOKUP($X24,Übungsübersicht!$E$7:$M$83,3,FALSE)))),IF($Y24&gt;15,(MROUND(($Y24*0.6),(VLOOKUP($X24,Übungsübersicht!$E$7:$M$83,3,FALSE)))),IF($Y24&gt;(VLOOKUP($X24,Übungsübersicht!$E$7:$M$83,3,FALSE)),(VLOOKUP($X24,Übungsübersicht!$E$7:$M$83,3,FALSE)),""))))))),4*(VLOOKUP($X24,Übungsübersicht!$E$7:$M$83,3,FALSE)))</f>
        <v>30</v>
      </c>
      <c r="AC24" s="655">
        <f ca="1">IFERROR((IF($Y24=0,8*(VLOOKUP($X24,Übungsübersicht!$E$7:$M$83,3,FALSE)),(($Y24)-(3*(VLOOKUP($X24,Übungsübersicht!$E$7:$M$83,3,FALSE)))))),8*(VLOOKUP($X24,Übungsübersicht!$E$7:$M$83,3,FALSE)))</f>
        <v>92.5</v>
      </c>
      <c r="AD24" s="655">
        <f ca="1">IFERROR(((IF($Y24=0,10*(VLOOKUP($X24,Übungsübersicht!$E$7:$M$83,3,FALSE)),($Y24)-(2*(VLOOKUP($X24,Übungsübersicht!$E$7:$M$83,3,FALSE)))))),10*(VLOOKUP($X24,Übungsübersicht!$E$7:$M$83,3,FALSE)))</f>
        <v>95</v>
      </c>
      <c r="AE24" s="655">
        <f ca="1">IFERROR(((IF($Y24=0,10*(VLOOKUP($X24,Übungsübersicht!$E$7:$M$83,3,FALSE)),($Y24)-(1*(VLOOKUP($X24,Übungsübersicht!$E$7:$M$83,3,FALSE)))))),10*(VLOOKUP($X24,Übungsübersicht!$E$7:$M$83,3,FALSE)))</f>
        <v>97.5</v>
      </c>
      <c r="AF24" s="655">
        <f ca="1">IFERROR(IF($Y24=0,20*(VLOOKUP($X24,Übungsübersicht!$E$7:$M$83,3,FALSE)),($Y24)),20*(VLOOKUP($X24,Übungsübersicht!$E$7:$M$83,3,FALSE)))</f>
        <v>100</v>
      </c>
      <c r="AG24" s="655">
        <f ca="1">IFERROR(IF($Y24=0,30*(VLOOKUP($X24,Übungsübersicht!$E$7:$M$83,3,FALSE)),($Y24)+(1*(VLOOKUP($X24,Übungsübersicht!$E$7:$M$83,3,FALSE)))),30*(VLOOKUP($X24,Übungsübersicht!$E$7:$M$83,3,FALSE)))</f>
        <v>102.5</v>
      </c>
      <c r="AH24" s="655">
        <f ca="1">IFERROR(IF($Y24=0,30*(VLOOKUP($X24,Übungsübersicht!$E$7:$M$83,3,FALSE)),($Y24)+(2*(VLOOKUP($X24,Übungsübersicht!$E$7:$M$83,3,FALSE)))),30*(VLOOKUP($X24,Übungsübersicht!$E$7:$M$83,3,FALSE)))</f>
        <v>105</v>
      </c>
      <c r="AI24" s="655">
        <f ca="1">IFERROR(IF($Y24=0,30*(VLOOKUP($X24,Übungsübersicht!$E$7:$M$83,3,FALSE)),($Y24)+(3*(VLOOKUP($X24,Übungsübersicht!$E$7:$M$83,3,FALSE)))),30*(VLOOKUP($X24,Übungsübersicht!$E$7:$M$83,3,FALSE)))</f>
        <v>107.5</v>
      </c>
      <c r="AJ24" s="655">
        <f ca="1">IFERROR(IF($Y24=0,40*(VLOOKUP($X24,Übungsübersicht!$E$7:$M$83,3,FALSE)),IF($Y24&gt;100,(MROUND(($Y24*1.7),(VLOOKUP($X24,Übungsübersicht!$E$7:$M$83,3,FALSE)))),IF($Y24&gt;80,(MROUND(($Y24*1.7),(VLOOKUP($X24,Übungsübersicht!$E$7:$M$83,3,FALSE)))),IF($Y24&gt;50,(MROUND(($Y24*1.6),(VLOOKUP($X24,Übungsübersicht!$E$7:$M$83,3,FALSE)))),IF($Y24&gt;25,(MROUND(($Y24*1.5),(VLOOKUP($X24,Übungsübersicht!$E$7:$M$83,3,FALSE)))),IF($Y24&gt;15,(MROUND(($Y24*1.4),(VLOOKUP($X24,Übungsübersicht!$E$7:$M$83,3,FALSE)))),IF($Y24&gt;(VLOOKUP($X24,Übungsübersicht!$E$7:$M$83,3,FALSE)),30*(VLOOKUP($X24,Übungsübersicht!$E$7:$M$83,3,FALSE)),""))))))),40*(VLOOKUP($X24,Übungsübersicht!$E$7:$M$83,3,FALSE)))</f>
        <v>170</v>
      </c>
      <c r="AK24" s="656">
        <f ca="1">IFERROR(IF($Y24=0,50*(VLOOKUP($X24,Übungsübersicht!$E$7:$M$83,3,FALSE)),IF($Y24&gt;100,(MROUND(($Y24*1.9),(VLOOKUP($X24,Übungsübersicht!$E$7:$M$83,3,FALSE)))),IF($Y24&gt;80,(MROUND(($Y24*1.9),(VLOOKUP($X24,Übungsübersicht!$E$7:$M$83,3,FALSE)))),IF($Y24&gt;50,(MROUND(($Y24*1.8),(VLOOKUP($X24,Übungsübersicht!$E$7:$M$83,3,FALSE)))),IF($Y24&gt;25,(MROUND(($Y24*1.7),(VLOOKUP($X24,Übungsübersicht!$E$7:$M$83,3,FALSE)))),IF($Y24&gt;15,(MROUND(($Y24*1.6),(VLOOKUP($X24,Übungsübersicht!$E$7:$M$83,3,FALSE)))),IF($Y24&gt;(VLOOKUP($X24,Übungsübersicht!$E$7:$M$83,3,FALSE)),40*(VLOOKUP($X24,Übungsübersicht!$E$7:$M$83,3,FALSE)),""))))))),50*(VLOOKUP($X24,Übungsübersicht!$E$7:$M$83,3,FALSE)))</f>
        <v>190</v>
      </c>
      <c r="AN24" s="655">
        <f ca="1">MROUND(INDEX(OFFSET(Zyklus!$M$13,21,0),1),(IF(VLOOKUP($X24,Übungsübersicht!$E$7:$K$80,3)=0,0.1,(VLOOKUP($X24,Übungsübersicht!$E$7:$K$80,3)))))</f>
        <v>100</v>
      </c>
      <c r="AP24" s="652">
        <f ca="1">IFERROR(IF(IF(VLOOKUP($X24,Zyklus!$A$14:$U$68,9,FALSE)=0,"RPE 8",IF(VLOOKUP($X24,Übungsübersicht!$E$7:$M$83,3,FALSE)&lt;0.5,($AN24)-(3*0.5),(($AN24)-(3*(VLOOKUP($X24,Übungsübersicht!$E$7:$M$83,3,FALSE))))))&lt;1,0,(IF(VLOOKUP($X24,Zyklus!$A$14:$U$68,9,FALSE)=0,"RPE 8",IF(VLOOKUP($X24,Übungsübersicht!$E$7:$M$83,3,FALSE)&lt;0.5,($AN24)-(3*0.5),(($AN24)-(3*(VLOOKUP($X24,Übungsübersicht!$E$7:$M$83,3,FALSE)))))))),"RPE 8")</f>
        <v>92.5</v>
      </c>
      <c r="AQ24" s="652">
        <f ca="1">IFERROR(IF(IF(VLOOKUP($X24,Zyklus!$A$14:$U$68,9,FALSE)=0,"RPE 8",IF(VLOOKUP($X24,Übungsübersicht!$E$7:$M$83,3,FALSE)&lt;0.5,($AN24)-(2*0.5),(($AN24)-(2*(VLOOKUP($X24,Übungsübersicht!$E$7:$M$83,3,FALSE))))))&lt;1,0,(IF(VLOOKUP($X24,Zyklus!$A$14:$U$68,9,FALSE)=0,"RPE 8",IF(VLOOKUP($X24,Übungsübersicht!$E$7:$M$83,3,FALSE)&lt;0.5,($AN24)-(2*0.5),(($AN24)-(2*(VLOOKUP($X24,Übungsübersicht!$E$7:$M$83,3,FALSE)))))))),"RPE 8")</f>
        <v>95</v>
      </c>
      <c r="AR24" s="652">
        <f ca="1">IFERROR(IF(IF(VLOOKUP($X24,Zyklus!$A$14:$U$68,9,FALSE)=0,"RPE 8",IF(VLOOKUP($X24,Übungsübersicht!$E$7:$M$83,3,FALSE)&lt;0.5,($AN24)-(1*0.5),(($Y24)-(1*(VLOOKUP($X24,Übungsübersicht!$E$7:$M$83,3,FALSE))))))&lt;1,0,(IF(VLOOKUP($X24,Zyklus!$A$14:$U$68,9,FALSE)=0,"RPE 8",IF(VLOOKUP($X24,Übungsübersicht!$E$7:$M$83,3,FALSE)&lt;0.5,($AN24)-(1*0.5),(($Y24)-(1*(VLOOKUP($X24,Übungsübersicht!$E$7:$M$83,3,FALSE)))))))),"RPE 8")</f>
        <v>97.5</v>
      </c>
      <c r="AS24" s="652">
        <f t="shared" ca="1" si="0"/>
        <v>100</v>
      </c>
      <c r="AT24" s="652">
        <f ca="1">IFERROR(IF(VLOOKUP($X24,Zyklus!$A$14:$U$68,9,FALSE)=0,"RPE 8",IF(VLOOKUP($X24,Übungsübersicht!$E$7:$M$83,3,FALSE)&lt;0.5,($AN24)+(1*0.5),(($Y24)+(1*(VLOOKUP($X24,Übungsübersicht!$E$7:$M$83,3,FALSE)))))),"RPE 8")</f>
        <v>102.5</v>
      </c>
      <c r="AU24" s="652">
        <f ca="1">IFERROR(IF(VLOOKUP($X24,Zyklus!$A$14:$U$68,9,FALSE)=0,"RPE 8",IF(VLOOKUP($X24,Übungsübersicht!$E$7:$M$83,3,FALSE)&lt;0.5,($AN24)+(2*0.5),(($AN24)+(2*(VLOOKUP($X24,Übungsübersicht!$E$7:$M$83,3,FALSE)))))),"RPE 8")</f>
        <v>105</v>
      </c>
      <c r="AV24" s="652">
        <f ca="1">IFERROR(IF(VLOOKUP($X24,Zyklus!$A$14:$U$68,9,FALSE)=0,"RPE 8",IF(VLOOKUP($X24,Übungsübersicht!$E$7:$M$83,3,FALSE)&lt;0.5,($AN24)+(3*0.5),(($AN24)+(3*(VLOOKUP($X24,Übungsübersicht!$E$7:$M$83,3,FALSE)))))),"RPE 8")</f>
        <v>107.5</v>
      </c>
      <c r="AY24" s="655">
        <f ca="1">MROUND(INDEX(OFFSET(Zyklus!$M$13,21,0),1),(IF(VLOOKUP($X24,Übungsübersicht!$E$7:$K$80,3)=0,0.1,(VLOOKUP($X24,Übungsübersicht!$E$7:$K$80,3)))))</f>
        <v>100</v>
      </c>
      <c r="BA24" s="652">
        <f ca="1">MROUND(INDEX(OFFSET(Zyklus!$Q$13,21,0),1),(IF(VLOOKUP($X24,Übungsübersicht!$E$7:$K$80,3)=0,0.1,(VLOOKUP($X24,Übungsübersicht!$E$7:$K$80,3)))))</f>
        <v>100</v>
      </c>
      <c r="BC24" s="652">
        <f ca="1">IFERROR(IF(IF(VLOOKUP($X24,Zyklus!$A$14:$U$68,9,FALSE)=0,"RPE 9",IF(VLOOKUP($X24,Übungsübersicht!$E$7:$M$83,3,FALSE)&lt;0.5,($BA24)-(3*0.5),(($BA24)-(3*(VLOOKUP($X24,Übungsübersicht!$E$7:$M$83,3,FALSE))))))&lt;1,0,(IF(VLOOKUP($X24,Zyklus!$A$14:$U$68,9,FALSE)=0,"RPE 9",IF(VLOOKUP($X24,Übungsübersicht!$E$7:$M$83,3,FALSE)&lt;0.5,($BA24)-(3*0.5),(($BA24)-(3*(VLOOKUP($X24,Übungsübersicht!$E$7:$M$83,3,FALSE)))))))),"RPE 9")</f>
        <v>92.5</v>
      </c>
      <c r="BD24" s="652">
        <f ca="1">IFERROR(IF(IF(VLOOKUP($X24,Zyklus!$A$14:$U$68,9,FALSE)=0,"RPE 9",IF(VLOOKUP($X24,Übungsübersicht!$E$7:$M$83,3,FALSE)&lt;0.5,($BA24)-(2*0.5),(($BA24)-(2*(VLOOKUP($X24,Übungsübersicht!$E$7:$M$83,3,FALSE))))))&lt;1,0,(IF(VLOOKUP($X24,Zyklus!$A$14:$U$68,9,FALSE)=0,"RPE 9",IF(VLOOKUP($X24,Übungsübersicht!$E$7:$M$83,3,FALSE)&lt;0.5,($BA24)-(2*0.5),(($BA24)-(2*(VLOOKUP($X24,Übungsübersicht!$E$7:$M$83,3,FALSE)))))))),"RPE 9")</f>
        <v>95</v>
      </c>
      <c r="BE24" s="652">
        <f ca="1">IFERROR(IF(IF(VLOOKUP($X24,Zyklus!$A$14:$U$68,9,FALSE)=0,"RPE 9",IF(VLOOKUP($X24,Übungsübersicht!$E$7:$M$83,3,FALSE)&lt;0.5,($BA24)-(1*0.5),(($Y24)-(1*(VLOOKUP($X24,Übungsübersicht!$E$7:$M$83,3,FALSE))))))&lt;1,0,(IF(VLOOKUP($X24,Zyklus!$A$14:$U$68,9,FALSE)=0,"RPE 9",IF(VLOOKUP($X24,Übungsübersicht!$E$7:$M$83,3,FALSE)&lt;0.5,($BA24)-(1*0.5),(($Y24)-(1*(VLOOKUP($X24,Übungsübersicht!$E$7:$M$83,3,FALSE)))))))),"RPE 9")</f>
        <v>97.5</v>
      </c>
      <c r="BF24" s="652">
        <f t="shared" ca="1" si="1"/>
        <v>100</v>
      </c>
      <c r="BG24" s="652">
        <f ca="1">IFERROR(IF(VLOOKUP($X24,Zyklus!$A$14:$U$68,9,FALSE)=0,"RPE 9",IF(VLOOKUP($X24,Übungsübersicht!$E$7:$M$83,3,FALSE)&lt;0.5,($AY24)+(1*0.5),(($AY24)+(1*(VLOOKUP($X24,Übungsübersicht!$E$7:$M$83,3,FALSE)))))),"RPE 9")</f>
        <v>102.5</v>
      </c>
      <c r="BH24" s="652">
        <f ca="1">IFERROR(IF(VLOOKUP($X24,Zyklus!$A$14:$U$68,9,FALSE)=0,"RPE 9",IF(VLOOKUP($X24,Übungsübersicht!$E$7:$M$83,3,FALSE)&lt;0.5,($BA24)+(2*0.5),(($BA24)+(2*(VLOOKUP($X24,Übungsübersicht!$E$7:$M$83,3,FALSE)))))),"RPE 9")</f>
        <v>105</v>
      </c>
      <c r="BI24" s="652">
        <f ca="1">IFERROR(IF(VLOOKUP($X24,Zyklus!$A$14:$U$68,9,FALSE)=0,"RPE 9",IF(VLOOKUP($X24,Übungsübersicht!$E$7:$M$83,3,FALSE)&lt;0.5,($BA24)+(3*0.5),(($BA24)+(3*(VLOOKUP($X24,Übungsübersicht!$E$7:$M$83,3,FALSE)))))),"RPE 9")</f>
        <v>107.5</v>
      </c>
    </row>
    <row r="25" spans="1:61" ht="30" customHeight="1">
      <c r="B25" s="1022"/>
      <c r="D25" s="326">
        <v>4</v>
      </c>
      <c r="E25" s="323">
        <f t="shared" si="2"/>
        <v>106.45161290322582</v>
      </c>
      <c r="F25" s="344">
        <f t="shared" si="3"/>
        <v>0.91666666666666674</v>
      </c>
      <c r="H25" s="326">
        <v>4</v>
      </c>
      <c r="I25" s="323">
        <f t="shared" si="5"/>
        <v>105.88235294117648</v>
      </c>
      <c r="J25" s="344">
        <f t="shared" si="4"/>
        <v>0.88235294117647067</v>
      </c>
      <c r="O25" s="489" t="s">
        <v>135</v>
      </c>
      <c r="P25" s="490"/>
      <c r="Q25" s="490">
        <f>Dashboard!$C$20*'Funktions-Tabelle'!Q9</f>
        <v>62.400000000000006</v>
      </c>
      <c r="R25" s="490"/>
      <c r="S25" s="490">
        <f>Dashboard!$C$20*'Funktions-Tabelle'!S9</f>
        <v>101.4</v>
      </c>
      <c r="T25" s="490"/>
      <c r="U25" s="638">
        <f>Dashboard!$C$20*'Funktions-Tabelle'!U9</f>
        <v>156</v>
      </c>
      <c r="X25" s="651" t="str">
        <f ca="1">INDEX(OFFSET(Zyklus!$A$13,22,0),1)</f>
        <v>Latzug</v>
      </c>
      <c r="Y25" s="652">
        <f ca="1">MROUND(INDEX(OFFSET(Zyklus!$I$13,22,0),1),(IF(VLOOKUP($X25,Übungsübersicht!$E$7:$K$80,3)=0,0.1,(VLOOKUP($X25,Übungsübersicht!$E$7:$K$80,3)))))</f>
        <v>87.5</v>
      </c>
      <c r="Z25" s="652"/>
      <c r="AA25" s="652">
        <f ca="1">IFERROR(IF($Y25=0,2*(VLOOKUP($X25,Übungsübersicht!$E$7:$M$83,3,FALSE)),IF($Y25&gt;100,(MROUND(($Y25*0.1),(VLOOKUP($X25,Übungsübersicht!$E$7:$M$83,3,FALSE)))),IF($Y25&gt;80,(MROUND(($Y25*0.1),(VLOOKUP($X25,Übungsübersicht!$E$7:$M$83,3,FALSE)))),IF($Y25&gt;50,(MROUND(($Y25*0.2),(VLOOKUP($X25,Übungsübersicht!$E$7:$M$83,3,FALSE)))),IF($Y25&gt;25,(MROUND(($Y25*0.3),(VLOOKUP($X25,Übungsübersicht!$E$7:$M$83,3,FALSE)))),IF($Y25&gt;15,(MROUND(($Y25*0.4),(VLOOKUP($X25,Übungsübersicht!$E$7:$M$83,3,FALSE)))),IF($Y25&gt;(VLOOKUP($X25,Übungsübersicht!$E$7:$M$83,3,FALSE)),(VLOOKUP($X25,Übungsübersicht!$E$7:$M$83,3,FALSE)),""))))))),2*(VLOOKUP($X25,Übungsübersicht!$E$7:$M$83,3,FALSE)))</f>
        <v>10</v>
      </c>
      <c r="AB25" s="652">
        <f ca="1">IFERROR(IF($Y25=0,4*(VLOOKUP($X25,Übungsübersicht!$E$7:$M$83,3,FALSE)),IF($Y25&gt;100,(MROUND(($Y25*0.3),(VLOOKUP($X25,Übungsübersicht!$E$7:$M$83,3,FALSE)))),IF($Y25&gt;80,(MROUND(($Y25*0.3),(VLOOKUP($X25,Übungsübersicht!$E$7:$M$83,3,FALSE)))),IF($Y25&gt;50,(MROUND(($Y25*0.4),(VLOOKUP($X25,Übungsübersicht!$E$7:$M$83,3,FALSE)))),IF($Y25&gt;25,(MROUND(($Y25*0.5),(VLOOKUP($X25,Übungsübersicht!$E$7:$M$83,3,FALSE)))),IF($Y25&gt;15,(MROUND(($Y25*0.6),(VLOOKUP($X25,Übungsübersicht!$E$7:$M$83,3,FALSE)))),IF($Y25&gt;(VLOOKUP($X25,Übungsübersicht!$E$7:$M$83,3,FALSE)),(VLOOKUP($X25,Übungsübersicht!$E$7:$M$83,3,FALSE)),""))))))),4*(VLOOKUP($X25,Übungsübersicht!$E$7:$M$83,3,FALSE)))</f>
        <v>27.5</v>
      </c>
      <c r="AC25" s="652">
        <f ca="1">IFERROR((IF($Y25=0,8*(VLOOKUP($X25,Übungsübersicht!$E$7:$M$83,3,FALSE)),(($Y25)-(3*(VLOOKUP($X25,Übungsübersicht!$E$7:$M$83,3,FALSE)))))),8*(VLOOKUP($X25,Übungsübersicht!$E$7:$M$83,3,FALSE)))</f>
        <v>80</v>
      </c>
      <c r="AD25" s="652">
        <f ca="1">IFERROR(((IF($Y25=0,10*(VLOOKUP($X25,Übungsübersicht!$E$7:$M$83,3,FALSE)),($Y25)-(2*(VLOOKUP($X25,Übungsübersicht!$E$7:$M$83,3,FALSE)))))),10*(VLOOKUP($X25,Übungsübersicht!$E$7:$M$83,3,FALSE)))</f>
        <v>82.5</v>
      </c>
      <c r="AE25" s="652">
        <f ca="1">IFERROR(((IF($Y25=0,10*(VLOOKUP($X25,Übungsübersicht!$E$7:$M$83,3,FALSE)),($Y25)-(1*(VLOOKUP($X25,Übungsübersicht!$E$7:$M$83,3,FALSE)))))),10*(VLOOKUP($X25,Übungsübersicht!$E$7:$M$83,3,FALSE)))</f>
        <v>85</v>
      </c>
      <c r="AF25" s="652">
        <f ca="1">IFERROR(IF($Y25=0,20*(VLOOKUP($X25,Übungsübersicht!$E$7:$M$83,3,FALSE)),($Y25)),20*(VLOOKUP($X25,Übungsübersicht!$E$7:$M$83,3,FALSE)))</f>
        <v>87.5</v>
      </c>
      <c r="AG25" s="652">
        <f ca="1">IFERROR(IF($Y25=0,30*(VLOOKUP($X25,Übungsübersicht!$E$7:$M$83,3,FALSE)),($Y25)+(1*(VLOOKUP($X25,Übungsübersicht!$E$7:$M$83,3,FALSE)))),30*(VLOOKUP($X25,Übungsübersicht!$E$7:$M$83,3,FALSE)))</f>
        <v>90</v>
      </c>
      <c r="AH25" s="652">
        <f ca="1">IFERROR(IF($Y25=0,30*(VLOOKUP($X25,Übungsübersicht!$E$7:$M$83,3,FALSE)),($Y25)+(2*(VLOOKUP($X25,Übungsübersicht!$E$7:$M$83,3,FALSE)))),30*(VLOOKUP($X25,Übungsübersicht!$E$7:$M$83,3,FALSE)))</f>
        <v>92.5</v>
      </c>
      <c r="AI25" s="652">
        <f ca="1">IFERROR(IF($Y25=0,30*(VLOOKUP($X25,Übungsübersicht!$E$7:$M$83,3,FALSE)),($Y25)+(3*(VLOOKUP($X25,Übungsübersicht!$E$7:$M$83,3,FALSE)))),30*(VLOOKUP($X25,Übungsübersicht!$E$7:$M$83,3,FALSE)))</f>
        <v>95</v>
      </c>
      <c r="AJ25" s="652">
        <f ca="1">IFERROR(IF($Y25=0,40*(VLOOKUP($X25,Übungsübersicht!$E$7:$M$83,3,FALSE)),IF($Y25&gt;100,(MROUND(($Y25*1.7),(VLOOKUP($X25,Übungsübersicht!$E$7:$M$83,3,FALSE)))),IF($Y25&gt;80,(MROUND(($Y25*1.7),(VLOOKUP($X25,Übungsübersicht!$E$7:$M$83,3,FALSE)))),IF($Y25&gt;50,(MROUND(($Y25*1.6),(VLOOKUP($X25,Übungsübersicht!$E$7:$M$83,3,FALSE)))),IF($Y25&gt;25,(MROUND(($Y25*1.5),(VLOOKUP($X25,Übungsübersicht!$E$7:$M$83,3,FALSE)))),IF($Y25&gt;15,(MROUND(($Y25*1.4),(VLOOKUP($X25,Übungsübersicht!$E$7:$M$83,3,FALSE)))),IF($Y25&gt;(VLOOKUP($X25,Übungsübersicht!$E$7:$M$83,3,FALSE)),30*(VLOOKUP($X25,Übungsübersicht!$E$7:$M$83,3,FALSE)),""))))))),40*(VLOOKUP($X25,Übungsübersicht!$E$7:$M$83,3,FALSE)))</f>
        <v>150</v>
      </c>
      <c r="AK25" s="653">
        <f ca="1">IFERROR(IF($Y25=0,50*(VLOOKUP($X25,Übungsübersicht!$E$7:$M$83,3,FALSE)),IF($Y25&gt;100,(MROUND(($Y25*1.9),(VLOOKUP($X25,Übungsübersicht!$E$7:$M$83,3,FALSE)))),IF($Y25&gt;80,(MROUND(($Y25*1.9),(VLOOKUP($X25,Übungsübersicht!$E$7:$M$83,3,FALSE)))),IF($Y25&gt;50,(MROUND(($Y25*1.8),(VLOOKUP($X25,Übungsübersicht!$E$7:$M$83,3,FALSE)))),IF($Y25&gt;25,(MROUND(($Y25*1.7),(VLOOKUP($X25,Übungsübersicht!$E$7:$M$83,3,FALSE)))),IF($Y25&gt;15,(MROUND(($Y25*1.6),(VLOOKUP($X25,Übungsübersicht!$E$7:$M$83,3,FALSE)))),IF($Y25&gt;(VLOOKUP($X25,Übungsübersicht!$E$7:$M$83,3,FALSE)),40*(VLOOKUP($X25,Übungsübersicht!$E$7:$M$83,3,FALSE)),""))))))),50*(VLOOKUP($X25,Übungsübersicht!$E$7:$M$83,3,FALSE)))</f>
        <v>167.5</v>
      </c>
      <c r="AN25" s="652">
        <f ca="1">MROUND(INDEX(OFFSET(Zyklus!$M$13,22,0),1),(IF(VLOOKUP($X25,Übungsübersicht!$E$7:$K$80,3)=0,0.1,(VLOOKUP($X25,Übungsübersicht!$E$7:$K$80,3)))))</f>
        <v>87.5</v>
      </c>
      <c r="AP25" s="655">
        <f ca="1">IFERROR(IF(IF(VLOOKUP($X25,Zyklus!$A$14:$U$68,9,FALSE)=0,"RPE 8",IF(VLOOKUP($X25,Übungsübersicht!$E$7:$M$83,3,FALSE)&lt;0.5,($AN25)-(3*0.5),(($AN25)-(3*(VLOOKUP($X25,Übungsübersicht!$E$7:$M$83,3,FALSE))))))&lt;1,0,(IF(VLOOKUP($X25,Zyklus!$A$14:$U$68,9,FALSE)=0,"RPE 8",IF(VLOOKUP($X25,Übungsübersicht!$E$7:$M$83,3,FALSE)&lt;0.5,($AN25)-(3*0.5),(($AN25)-(3*(VLOOKUP($X25,Übungsübersicht!$E$7:$M$83,3,FALSE)))))))),"RPE 8")</f>
        <v>80</v>
      </c>
      <c r="AQ25" s="655">
        <f ca="1">IFERROR(IF(IF(VLOOKUP($X25,Zyklus!$A$14:$U$68,9,FALSE)=0,"RPE 8",IF(VLOOKUP($X25,Übungsübersicht!$E$7:$M$83,3,FALSE)&lt;0.5,($AN25)-(2*0.5),(($AN25)-(2*(VLOOKUP($X25,Übungsübersicht!$E$7:$M$83,3,FALSE))))))&lt;1,0,(IF(VLOOKUP($X25,Zyklus!$A$14:$U$68,9,FALSE)=0,"RPE 8",IF(VLOOKUP($X25,Übungsübersicht!$E$7:$M$83,3,FALSE)&lt;0.5,($AN25)-(2*0.5),(($AN25)-(2*(VLOOKUP($X25,Übungsübersicht!$E$7:$M$83,3,FALSE)))))))),"RPE 8")</f>
        <v>82.5</v>
      </c>
      <c r="AR25" s="655">
        <f ca="1">IFERROR(IF(IF(VLOOKUP($X25,Zyklus!$A$14:$U$68,9,FALSE)=0,"RPE 8",IF(VLOOKUP($X25,Übungsübersicht!$E$7:$M$83,3,FALSE)&lt;0.5,($AN25)-(1*0.5),(($Y25)-(1*(VLOOKUP($X25,Übungsübersicht!$E$7:$M$83,3,FALSE))))))&lt;1,0,(IF(VLOOKUP($X25,Zyklus!$A$14:$U$68,9,FALSE)=0,"RPE 8",IF(VLOOKUP($X25,Übungsübersicht!$E$7:$M$83,3,FALSE)&lt;0.5,($AN25)-(1*0.5),(($Y25)-(1*(VLOOKUP($X25,Übungsübersicht!$E$7:$M$83,3,FALSE)))))))),"RPE 8")</f>
        <v>85</v>
      </c>
      <c r="AS25" s="655">
        <f t="shared" ca="1" si="0"/>
        <v>87.5</v>
      </c>
      <c r="AT25" s="655">
        <f ca="1">IFERROR(IF(VLOOKUP($X25,Zyklus!$A$14:$U$68,9,FALSE)=0,"RPE 8",IF(VLOOKUP($X25,Übungsübersicht!$E$7:$M$83,3,FALSE)&lt;0.5,($AN25)+(1*0.5),(($Y25)+(1*(VLOOKUP($X25,Übungsübersicht!$E$7:$M$83,3,FALSE)))))),"RPE 8")</f>
        <v>90</v>
      </c>
      <c r="AU25" s="655">
        <f ca="1">IFERROR(IF(VLOOKUP($X25,Zyklus!$A$14:$U$68,9,FALSE)=0,"RPE 8",IF(VLOOKUP($X25,Übungsübersicht!$E$7:$M$83,3,FALSE)&lt;0.5,($AN25)+(2*0.5),(($AN25)+(2*(VLOOKUP($X25,Übungsübersicht!$E$7:$M$83,3,FALSE)))))),"RPE 8")</f>
        <v>92.5</v>
      </c>
      <c r="AV25" s="655">
        <f ca="1">IFERROR(IF(VLOOKUP($X25,Zyklus!$A$14:$U$68,9,FALSE)=0,"RPE 8",IF(VLOOKUP($X25,Übungsübersicht!$E$7:$M$83,3,FALSE)&lt;0.5,($AN25)+(3*0.5),(($AN25)+(3*(VLOOKUP($X25,Übungsübersicht!$E$7:$M$83,3,FALSE)))))),"RPE 8")</f>
        <v>95</v>
      </c>
      <c r="AY25" s="652">
        <f ca="1">MROUND(INDEX(OFFSET(Zyklus!$M$13,22,0),1),(IF(VLOOKUP($X25,Übungsübersicht!$E$7:$K$80,3)=0,0.1,(VLOOKUP($X25,Übungsübersicht!$E$7:$K$80,3)))))</f>
        <v>87.5</v>
      </c>
      <c r="BA25" s="655">
        <f ca="1">MROUND(INDEX(OFFSET(Zyklus!$Q$13,22,0),1),(IF(VLOOKUP($X25,Übungsübersicht!$E$7:$K$80,3)=0,0.1,(VLOOKUP($X25,Übungsübersicht!$E$7:$K$80,3)))))</f>
        <v>87.5</v>
      </c>
      <c r="BC25" s="655">
        <f ca="1">IFERROR(IF(IF(VLOOKUP($X25,Zyklus!$A$14:$U$68,9,FALSE)=0,"RPE 9",IF(VLOOKUP($X25,Übungsübersicht!$E$7:$M$83,3,FALSE)&lt;0.5,($BA25)-(3*0.5),(($BA25)-(3*(VLOOKUP($X25,Übungsübersicht!$E$7:$M$83,3,FALSE))))))&lt;1,0,(IF(VLOOKUP($X25,Zyklus!$A$14:$U$68,9,FALSE)=0,"RPE 9",IF(VLOOKUP($X25,Übungsübersicht!$E$7:$M$83,3,FALSE)&lt;0.5,($BA25)-(3*0.5),(($BA25)-(3*(VLOOKUP($X25,Übungsübersicht!$E$7:$M$83,3,FALSE)))))))),"RPE 9")</f>
        <v>80</v>
      </c>
      <c r="BD25" s="655">
        <f ca="1">IFERROR(IF(IF(VLOOKUP($X25,Zyklus!$A$14:$U$68,9,FALSE)=0,"RPE 9",IF(VLOOKUP($X25,Übungsübersicht!$E$7:$M$83,3,FALSE)&lt;0.5,($BA25)-(2*0.5),(($BA25)-(2*(VLOOKUP($X25,Übungsübersicht!$E$7:$M$83,3,FALSE))))))&lt;1,0,(IF(VLOOKUP($X25,Zyklus!$A$14:$U$68,9,FALSE)=0,"RPE 9",IF(VLOOKUP($X25,Übungsübersicht!$E$7:$M$83,3,FALSE)&lt;0.5,($BA25)-(2*0.5),(($BA25)-(2*(VLOOKUP($X25,Übungsübersicht!$E$7:$M$83,3,FALSE)))))))),"RPE 9")</f>
        <v>82.5</v>
      </c>
      <c r="BE25" s="655">
        <f ca="1">IFERROR(IF(IF(VLOOKUP($X25,Zyklus!$A$14:$U$68,9,FALSE)=0,"RPE 9",IF(VLOOKUP($X25,Übungsübersicht!$E$7:$M$83,3,FALSE)&lt;0.5,($BA25)-(1*0.5),(($Y25)-(1*(VLOOKUP($X25,Übungsübersicht!$E$7:$M$83,3,FALSE))))))&lt;1,0,(IF(VLOOKUP($X25,Zyklus!$A$14:$U$68,9,FALSE)=0,"RPE 9",IF(VLOOKUP($X25,Übungsübersicht!$E$7:$M$83,3,FALSE)&lt;0.5,($BA25)-(1*0.5),(($Y25)-(1*(VLOOKUP($X25,Übungsübersicht!$E$7:$M$83,3,FALSE)))))))),"RPE 9")</f>
        <v>85</v>
      </c>
      <c r="BF25" s="655">
        <f t="shared" ca="1" si="1"/>
        <v>87.5</v>
      </c>
      <c r="BG25" s="655">
        <f ca="1">IFERROR(IF(VLOOKUP($X25,Zyklus!$A$14:$U$68,9,FALSE)=0,"RPE 9",IF(VLOOKUP($X25,Übungsübersicht!$E$7:$M$83,3,FALSE)&lt;0.5,($AY25)+(1*0.5),(($AY25)+(1*(VLOOKUP($X25,Übungsübersicht!$E$7:$M$83,3,FALSE)))))),"RPE 9")</f>
        <v>90</v>
      </c>
      <c r="BH25" s="655">
        <f ca="1">IFERROR(IF(VLOOKUP($X25,Zyklus!$A$14:$U$68,9,FALSE)=0,"RPE 9",IF(VLOOKUP($X25,Übungsübersicht!$E$7:$M$83,3,FALSE)&lt;0.5,($BA25)+(2*0.5),(($BA25)+(2*(VLOOKUP($X25,Übungsübersicht!$E$7:$M$83,3,FALSE)))))),"RPE 9")</f>
        <v>92.5</v>
      </c>
      <c r="BI25" s="655">
        <f ca="1">IFERROR(IF(VLOOKUP($X25,Zyklus!$A$14:$U$68,9,FALSE)=0,"RPE 9",IF(VLOOKUP($X25,Übungsübersicht!$E$7:$M$83,3,FALSE)&lt;0.5,($BA25)+(3*0.5),(($BA25)+(3*(VLOOKUP($X25,Übungsübersicht!$E$7:$M$83,3,FALSE)))))),"RPE 9")</f>
        <v>95</v>
      </c>
    </row>
    <row r="26" spans="1:61" ht="30" customHeight="1">
      <c r="B26" s="868" t="s">
        <v>416</v>
      </c>
      <c r="D26" s="324">
        <v>5</v>
      </c>
      <c r="E26" s="325">
        <f t="shared" si="2"/>
        <v>103.22580645161291</v>
      </c>
      <c r="F26" s="343">
        <f t="shared" si="3"/>
        <v>0.88888888888888884</v>
      </c>
      <c r="H26" s="324">
        <v>5</v>
      </c>
      <c r="I26" s="325">
        <f t="shared" si="5"/>
        <v>102.85714285714285</v>
      </c>
      <c r="J26" s="343">
        <f t="shared" si="4"/>
        <v>0.8571428571428571</v>
      </c>
      <c r="O26" s="495" t="s">
        <v>153</v>
      </c>
      <c r="P26" s="636"/>
      <c r="Q26" s="636">
        <f>Dashboard!$C$20*'Funktions-Tabelle'!Q10</f>
        <v>46.8</v>
      </c>
      <c r="R26" s="636"/>
      <c r="S26" s="636">
        <f>Dashboard!$C$20*'Funktions-Tabelle'!S10</f>
        <v>70.2</v>
      </c>
      <c r="T26" s="636"/>
      <c r="U26" s="637">
        <f>Dashboard!$C$20*'Funktions-Tabelle'!U10</f>
        <v>109.19999999999999</v>
      </c>
      <c r="X26" s="654" t="str">
        <f ca="1">INDEX(OFFSET(Zyklus!$A$13,23,0),1)</f>
        <v>Brust Presse</v>
      </c>
      <c r="Y26" s="655">
        <f ca="1">MROUND(INDEX(OFFSET(Zyklus!$I$13,23,0),1),(IF(VLOOKUP($X26,Übungsübersicht!$E$7:$K$80,3)=0,0.1,(VLOOKUP($X26,Übungsübersicht!$E$7:$K$80,3)))))</f>
        <v>102.5</v>
      </c>
      <c r="Z26" s="655"/>
      <c r="AA26" s="655">
        <f ca="1">IFERROR(IF($Y26=0,2*(VLOOKUP($X26,Übungsübersicht!$E$7:$M$83,3,FALSE)),IF($Y26&gt;100,(MROUND(($Y26*0.1),(VLOOKUP($X26,Übungsübersicht!$E$7:$M$83,3,FALSE)))),IF($Y26&gt;80,(MROUND(($Y26*0.1),(VLOOKUP($X26,Übungsübersicht!$E$7:$M$83,3,FALSE)))),IF($Y26&gt;50,(MROUND(($Y26*0.2),(VLOOKUP($X26,Übungsübersicht!$E$7:$M$83,3,FALSE)))),IF($Y26&gt;25,(MROUND(($Y26*0.3),(VLOOKUP($X26,Übungsübersicht!$E$7:$M$83,3,FALSE)))),IF($Y26&gt;15,(MROUND(($Y26*0.4),(VLOOKUP($X26,Übungsübersicht!$E$7:$M$83,3,FALSE)))),IF($Y26&gt;(VLOOKUP($X26,Übungsübersicht!$E$7:$M$83,3,FALSE)),(VLOOKUP($X26,Übungsübersicht!$E$7:$M$83,3,FALSE)),""))))))),2*(VLOOKUP($X26,Übungsübersicht!$E$7:$M$83,3,FALSE)))</f>
        <v>10</v>
      </c>
      <c r="AB26" s="655">
        <f ca="1">IFERROR(IF($Y26=0,4*(VLOOKUP($X26,Übungsübersicht!$E$7:$M$83,3,FALSE)),IF($Y26&gt;100,(MROUND(($Y26*0.3),(VLOOKUP($X26,Übungsübersicht!$E$7:$M$83,3,FALSE)))),IF($Y26&gt;80,(MROUND(($Y26*0.3),(VLOOKUP($X26,Übungsübersicht!$E$7:$M$83,3,FALSE)))),IF($Y26&gt;50,(MROUND(($Y26*0.4),(VLOOKUP($X26,Übungsübersicht!$E$7:$M$83,3,FALSE)))),IF($Y26&gt;25,(MROUND(($Y26*0.5),(VLOOKUP($X26,Übungsübersicht!$E$7:$M$83,3,FALSE)))),IF($Y26&gt;15,(MROUND(($Y26*0.6),(VLOOKUP($X26,Übungsübersicht!$E$7:$M$83,3,FALSE)))),IF($Y26&gt;(VLOOKUP($X26,Übungsübersicht!$E$7:$M$83,3,FALSE)),(VLOOKUP($X26,Übungsübersicht!$E$7:$M$83,3,FALSE)),""))))))),4*(VLOOKUP($X26,Übungsübersicht!$E$7:$M$83,3,FALSE)))</f>
        <v>30</v>
      </c>
      <c r="AC26" s="655">
        <f ca="1">IFERROR((IF($Y26=0,8*(VLOOKUP($X26,Übungsübersicht!$E$7:$M$83,3,FALSE)),(($Y26)-(3*(VLOOKUP($X26,Übungsübersicht!$E$7:$M$83,3,FALSE)))))),8*(VLOOKUP($X26,Übungsübersicht!$E$7:$M$83,3,FALSE)))</f>
        <v>95</v>
      </c>
      <c r="AD26" s="655">
        <f ca="1">IFERROR(((IF($Y26=0,10*(VLOOKUP($X26,Übungsübersicht!$E$7:$M$83,3,FALSE)),($Y26)-(2*(VLOOKUP($X26,Übungsübersicht!$E$7:$M$83,3,FALSE)))))),10*(VLOOKUP($X26,Übungsübersicht!$E$7:$M$83,3,FALSE)))</f>
        <v>97.5</v>
      </c>
      <c r="AE26" s="655">
        <f ca="1">IFERROR(((IF($Y26=0,10*(VLOOKUP($X26,Übungsübersicht!$E$7:$M$83,3,FALSE)),($Y26)-(1*(VLOOKUP($X26,Übungsübersicht!$E$7:$M$83,3,FALSE)))))),10*(VLOOKUP($X26,Übungsübersicht!$E$7:$M$83,3,FALSE)))</f>
        <v>100</v>
      </c>
      <c r="AF26" s="655">
        <f ca="1">IFERROR(IF($Y26=0,20*(VLOOKUP($X26,Übungsübersicht!$E$7:$M$83,3,FALSE)),($Y26)),20*(VLOOKUP($X26,Übungsübersicht!$E$7:$M$83,3,FALSE)))</f>
        <v>102.5</v>
      </c>
      <c r="AG26" s="655">
        <f ca="1">IFERROR(IF($Y26=0,30*(VLOOKUP($X26,Übungsübersicht!$E$7:$M$83,3,FALSE)),($Y26)+(1*(VLOOKUP($X26,Übungsübersicht!$E$7:$M$83,3,FALSE)))),30*(VLOOKUP($X26,Übungsübersicht!$E$7:$M$83,3,FALSE)))</f>
        <v>105</v>
      </c>
      <c r="AH26" s="655">
        <f ca="1">IFERROR(IF($Y26=0,30*(VLOOKUP($X26,Übungsübersicht!$E$7:$M$83,3,FALSE)),($Y26)+(2*(VLOOKUP($X26,Übungsübersicht!$E$7:$M$83,3,FALSE)))),30*(VLOOKUP($X26,Übungsübersicht!$E$7:$M$83,3,FALSE)))</f>
        <v>107.5</v>
      </c>
      <c r="AI26" s="655">
        <f ca="1">IFERROR(IF($Y26=0,30*(VLOOKUP($X26,Übungsübersicht!$E$7:$M$83,3,FALSE)),($Y26)+(3*(VLOOKUP($X26,Übungsübersicht!$E$7:$M$83,3,FALSE)))),30*(VLOOKUP($X26,Übungsübersicht!$E$7:$M$83,3,FALSE)))</f>
        <v>110</v>
      </c>
      <c r="AJ26" s="655">
        <f ca="1">IFERROR(IF($Y26=0,40*(VLOOKUP($X26,Übungsübersicht!$E$7:$M$83,3,FALSE)),IF($Y26&gt;100,(MROUND(($Y26*1.7),(VLOOKUP($X26,Übungsübersicht!$E$7:$M$83,3,FALSE)))),IF($Y26&gt;80,(MROUND(($Y26*1.7),(VLOOKUP($X26,Übungsübersicht!$E$7:$M$83,3,FALSE)))),IF($Y26&gt;50,(MROUND(($Y26*1.6),(VLOOKUP($X26,Übungsübersicht!$E$7:$M$83,3,FALSE)))),IF($Y26&gt;25,(MROUND(($Y26*1.5),(VLOOKUP($X26,Übungsübersicht!$E$7:$M$83,3,FALSE)))),IF($Y26&gt;15,(MROUND(($Y26*1.4),(VLOOKUP($X26,Übungsübersicht!$E$7:$M$83,3,FALSE)))),IF($Y26&gt;(VLOOKUP($X26,Übungsübersicht!$E$7:$M$83,3,FALSE)),30*(VLOOKUP($X26,Übungsübersicht!$E$7:$M$83,3,FALSE)),""))))))),40*(VLOOKUP($X26,Übungsübersicht!$E$7:$M$83,3,FALSE)))</f>
        <v>175</v>
      </c>
      <c r="AK26" s="656">
        <f ca="1">IFERROR(IF($Y26=0,50*(VLOOKUP($X26,Übungsübersicht!$E$7:$M$83,3,FALSE)),IF($Y26&gt;100,(MROUND(($Y26*1.9),(VLOOKUP($X26,Übungsübersicht!$E$7:$M$83,3,FALSE)))),IF($Y26&gt;80,(MROUND(($Y26*1.9),(VLOOKUP($X26,Übungsübersicht!$E$7:$M$83,3,FALSE)))),IF($Y26&gt;50,(MROUND(($Y26*1.8),(VLOOKUP($X26,Übungsübersicht!$E$7:$M$83,3,FALSE)))),IF($Y26&gt;25,(MROUND(($Y26*1.7),(VLOOKUP($X26,Übungsübersicht!$E$7:$M$83,3,FALSE)))),IF($Y26&gt;15,(MROUND(($Y26*1.6),(VLOOKUP($X26,Übungsübersicht!$E$7:$M$83,3,FALSE)))),IF($Y26&gt;(VLOOKUP($X26,Übungsübersicht!$E$7:$M$83,3,FALSE)),40*(VLOOKUP($X26,Übungsübersicht!$E$7:$M$83,3,FALSE)),""))))))),50*(VLOOKUP($X26,Übungsübersicht!$E$7:$M$83,3,FALSE)))</f>
        <v>195</v>
      </c>
      <c r="AN26" s="655">
        <f ca="1">MROUND(INDEX(OFFSET(Zyklus!$M$13,23,0),1),(IF(VLOOKUP($X26,Übungsübersicht!$E$7:$K$80,3)=0,0.1,(VLOOKUP($X26,Übungsübersicht!$E$7:$K$80,3)))))</f>
        <v>102.5</v>
      </c>
      <c r="AP26" s="652">
        <f ca="1">IFERROR(IF(IF(VLOOKUP($X26,Zyklus!$A$14:$U$68,9,FALSE)=0,"RPE 8",IF(VLOOKUP($X26,Übungsübersicht!$E$7:$M$83,3,FALSE)&lt;0.5,($AN26)-(3*0.5),(($AN26)-(3*(VLOOKUP($X26,Übungsübersicht!$E$7:$M$83,3,FALSE))))))&lt;1,0,(IF(VLOOKUP($X26,Zyklus!$A$14:$U$68,9,FALSE)=0,"RPE 8",IF(VLOOKUP($X26,Übungsübersicht!$E$7:$M$83,3,FALSE)&lt;0.5,($AN26)-(3*0.5),(($AN26)-(3*(VLOOKUP($X26,Übungsübersicht!$E$7:$M$83,3,FALSE)))))))),"RPE 8")</f>
        <v>95</v>
      </c>
      <c r="AQ26" s="652">
        <f ca="1">IFERROR(IF(IF(VLOOKUP($X26,Zyklus!$A$14:$U$68,9,FALSE)=0,"RPE 8",IF(VLOOKUP($X26,Übungsübersicht!$E$7:$M$83,3,FALSE)&lt;0.5,($AN26)-(2*0.5),(($AN26)-(2*(VLOOKUP($X26,Übungsübersicht!$E$7:$M$83,3,FALSE))))))&lt;1,0,(IF(VLOOKUP($X26,Zyklus!$A$14:$U$68,9,FALSE)=0,"RPE 8",IF(VLOOKUP($X26,Übungsübersicht!$E$7:$M$83,3,FALSE)&lt;0.5,($AN26)-(2*0.5),(($AN26)-(2*(VLOOKUP($X26,Übungsübersicht!$E$7:$M$83,3,FALSE)))))))),"RPE 8")</f>
        <v>97.5</v>
      </c>
      <c r="AR26" s="652">
        <f ca="1">IFERROR(IF(IF(VLOOKUP($X26,Zyklus!$A$14:$U$68,9,FALSE)=0,"RPE 8",IF(VLOOKUP($X26,Übungsübersicht!$E$7:$M$83,3,FALSE)&lt;0.5,($AN26)-(1*0.5),(($Y26)-(1*(VLOOKUP($X26,Übungsübersicht!$E$7:$M$83,3,FALSE))))))&lt;1,0,(IF(VLOOKUP($X26,Zyklus!$A$14:$U$68,9,FALSE)=0,"RPE 8",IF(VLOOKUP($X26,Übungsübersicht!$E$7:$M$83,3,FALSE)&lt;0.5,($AN26)-(1*0.5),(($Y26)-(1*(VLOOKUP($X26,Übungsübersicht!$E$7:$M$83,3,FALSE)))))))),"RPE 8")</f>
        <v>100</v>
      </c>
      <c r="AS26" s="652">
        <f t="shared" ca="1" si="0"/>
        <v>102.5</v>
      </c>
      <c r="AT26" s="652">
        <f ca="1">IFERROR(IF(VLOOKUP($X26,Zyklus!$A$14:$U$68,9,FALSE)=0,"RPE 8",IF(VLOOKUP($X26,Übungsübersicht!$E$7:$M$83,3,FALSE)&lt;0.5,($AN26)+(1*0.5),(($Y26)+(1*(VLOOKUP($X26,Übungsübersicht!$E$7:$M$83,3,FALSE)))))),"RPE 8")</f>
        <v>105</v>
      </c>
      <c r="AU26" s="652">
        <f ca="1">IFERROR(IF(VLOOKUP($X26,Zyklus!$A$14:$U$68,9,FALSE)=0,"RPE 8",IF(VLOOKUP($X26,Übungsübersicht!$E$7:$M$83,3,FALSE)&lt;0.5,($AN26)+(2*0.5),(($AN26)+(2*(VLOOKUP($X26,Übungsübersicht!$E$7:$M$83,3,FALSE)))))),"RPE 8")</f>
        <v>107.5</v>
      </c>
      <c r="AV26" s="652">
        <f ca="1">IFERROR(IF(VLOOKUP($X26,Zyklus!$A$14:$U$68,9,FALSE)=0,"RPE 8",IF(VLOOKUP($X26,Übungsübersicht!$E$7:$M$83,3,FALSE)&lt;0.5,($AN26)+(3*0.5),(($AN26)+(3*(VLOOKUP($X26,Übungsübersicht!$E$7:$M$83,3,FALSE)))))),"RPE 8")</f>
        <v>110</v>
      </c>
      <c r="AY26" s="655">
        <f ca="1">MROUND(INDEX(OFFSET(Zyklus!$M$13,23,0),1),(IF(VLOOKUP($X26,Übungsübersicht!$E$7:$K$80,3)=0,0.1,(VLOOKUP($X26,Übungsübersicht!$E$7:$K$80,3)))))</f>
        <v>102.5</v>
      </c>
      <c r="BA26" s="652">
        <f ca="1">MROUND(INDEX(OFFSET(Zyklus!$Q$13,23,0),1),(IF(VLOOKUP($X26,Übungsübersicht!$E$7:$K$80,3)=0,0.1,(VLOOKUP($X26,Übungsübersicht!$E$7:$K$80,3)))))</f>
        <v>102.5</v>
      </c>
      <c r="BC26" s="652">
        <f ca="1">IFERROR(IF(IF(VLOOKUP($X26,Zyklus!$A$14:$U$68,9,FALSE)=0,"RPE 9",IF(VLOOKUP($X26,Übungsübersicht!$E$7:$M$83,3,FALSE)&lt;0.5,($BA26)-(3*0.5),(($BA26)-(3*(VLOOKUP($X26,Übungsübersicht!$E$7:$M$83,3,FALSE))))))&lt;1,0,(IF(VLOOKUP($X26,Zyklus!$A$14:$U$68,9,FALSE)=0,"RPE 9",IF(VLOOKUP($X26,Übungsübersicht!$E$7:$M$83,3,FALSE)&lt;0.5,($BA26)-(3*0.5),(($BA26)-(3*(VLOOKUP($X26,Übungsübersicht!$E$7:$M$83,3,FALSE)))))))),"RPE 9")</f>
        <v>95</v>
      </c>
      <c r="BD26" s="652">
        <f ca="1">IFERROR(IF(IF(VLOOKUP($X26,Zyklus!$A$14:$U$68,9,FALSE)=0,"RPE 9",IF(VLOOKUP($X26,Übungsübersicht!$E$7:$M$83,3,FALSE)&lt;0.5,($BA26)-(2*0.5),(($BA26)-(2*(VLOOKUP($X26,Übungsübersicht!$E$7:$M$83,3,FALSE))))))&lt;1,0,(IF(VLOOKUP($X26,Zyklus!$A$14:$U$68,9,FALSE)=0,"RPE 9",IF(VLOOKUP($X26,Übungsübersicht!$E$7:$M$83,3,FALSE)&lt;0.5,($BA26)-(2*0.5),(($BA26)-(2*(VLOOKUP($X26,Übungsübersicht!$E$7:$M$83,3,FALSE)))))))),"RPE 9")</f>
        <v>97.5</v>
      </c>
      <c r="BE26" s="652">
        <f ca="1">IFERROR(IF(IF(VLOOKUP($X26,Zyklus!$A$14:$U$68,9,FALSE)=0,"RPE 9",IF(VLOOKUP($X26,Übungsübersicht!$E$7:$M$83,3,FALSE)&lt;0.5,($BA26)-(1*0.5),(($Y26)-(1*(VLOOKUP($X26,Übungsübersicht!$E$7:$M$83,3,FALSE))))))&lt;1,0,(IF(VLOOKUP($X26,Zyklus!$A$14:$U$68,9,FALSE)=0,"RPE 9",IF(VLOOKUP($X26,Übungsübersicht!$E$7:$M$83,3,FALSE)&lt;0.5,($BA26)-(1*0.5),(($Y26)-(1*(VLOOKUP($X26,Übungsübersicht!$E$7:$M$83,3,FALSE)))))))),"RPE 9")</f>
        <v>100</v>
      </c>
      <c r="BF26" s="652">
        <f t="shared" ca="1" si="1"/>
        <v>102.5</v>
      </c>
      <c r="BG26" s="652">
        <f ca="1">IFERROR(IF(VLOOKUP($X26,Zyklus!$A$14:$U$68,9,FALSE)=0,"RPE 9",IF(VLOOKUP($X26,Übungsübersicht!$E$7:$M$83,3,FALSE)&lt;0.5,($AY26)+(1*0.5),(($AY26)+(1*(VLOOKUP($X26,Übungsübersicht!$E$7:$M$83,3,FALSE)))))),"RPE 9")</f>
        <v>105</v>
      </c>
      <c r="BH26" s="652">
        <f ca="1">IFERROR(IF(VLOOKUP($X26,Zyklus!$A$14:$U$68,9,FALSE)=0,"RPE 9",IF(VLOOKUP($X26,Übungsübersicht!$E$7:$M$83,3,FALSE)&lt;0.5,($BA26)+(2*0.5),(($BA26)+(2*(VLOOKUP($X26,Übungsübersicht!$E$7:$M$83,3,FALSE)))))),"RPE 9")</f>
        <v>107.5</v>
      </c>
      <c r="BI26" s="652">
        <f ca="1">IFERROR(IF(VLOOKUP($X26,Zyklus!$A$14:$U$68,9,FALSE)=0,"RPE 9",IF(VLOOKUP($X26,Übungsübersicht!$E$7:$M$83,3,FALSE)&lt;0.5,($BA26)+(3*0.5),(($BA26)+(3*(VLOOKUP($X26,Übungsübersicht!$E$7:$M$83,3,FALSE)))))),"RPE 9")</f>
        <v>110</v>
      </c>
    </row>
    <row r="27" spans="1:61" ht="30" customHeight="1">
      <c r="B27" s="868" t="str">
        <f>IF(1&lt;=VALUE(LEFT(Dashboard!$C$31,1)),"Woche 1","")</f>
        <v>Woche 1</v>
      </c>
      <c r="D27" s="326">
        <v>6</v>
      </c>
      <c r="E27" s="323">
        <f t="shared" si="2"/>
        <v>100</v>
      </c>
      <c r="F27" s="344">
        <f t="shared" si="3"/>
        <v>0.86111111111111105</v>
      </c>
      <c r="H27" s="326">
        <v>6</v>
      </c>
      <c r="I27" s="323">
        <f t="shared" si="5"/>
        <v>100</v>
      </c>
      <c r="J27" s="344">
        <f t="shared" si="4"/>
        <v>0.83333333333333337</v>
      </c>
      <c r="X27" s="651" t="str">
        <f ca="1">INDEX(OFFSET(Zyklus!$A$13,24,0),1)</f>
        <v>Rudern Kabelzug</v>
      </c>
      <c r="Y27" s="652">
        <f ca="1">MROUND(INDEX(OFFSET(Zyklus!$I$13,24,0),1),(IF(VLOOKUP($X27,Übungsübersicht!$E$7:$K$80,3)=0,0.1,(VLOOKUP($X27,Übungsübersicht!$E$7:$K$80,3)))))</f>
        <v>70</v>
      </c>
      <c r="Z27" s="652"/>
      <c r="AA27" s="652">
        <f ca="1">IFERROR(IF($Y27=0,2*(VLOOKUP($X27,Übungsübersicht!$E$7:$M$83,3,FALSE)),IF($Y27&gt;100,(MROUND(($Y27*0.1),(VLOOKUP($X27,Übungsübersicht!$E$7:$M$83,3,FALSE)))),IF($Y27&gt;80,(MROUND(($Y27*0.1),(VLOOKUP($X27,Übungsübersicht!$E$7:$M$83,3,FALSE)))),IF($Y27&gt;50,(MROUND(($Y27*0.2),(VLOOKUP($X27,Übungsübersicht!$E$7:$M$83,3,FALSE)))),IF($Y27&gt;25,(MROUND(($Y27*0.3),(VLOOKUP($X27,Übungsübersicht!$E$7:$M$83,3,FALSE)))),IF($Y27&gt;15,(MROUND(($Y27*0.4),(VLOOKUP($X27,Übungsübersicht!$E$7:$M$83,3,FALSE)))),IF($Y27&gt;(VLOOKUP($X27,Übungsübersicht!$E$7:$M$83,3,FALSE)),(VLOOKUP($X27,Übungsübersicht!$E$7:$M$83,3,FALSE)),""))))))),2*(VLOOKUP($X27,Übungsübersicht!$E$7:$M$83,3,FALSE)))</f>
        <v>15</v>
      </c>
      <c r="AB27" s="652">
        <f ca="1">IFERROR(IF($Y27=0,4*(VLOOKUP($X27,Übungsübersicht!$E$7:$M$83,3,FALSE)),IF($Y27&gt;100,(MROUND(($Y27*0.3),(VLOOKUP($X27,Übungsübersicht!$E$7:$M$83,3,FALSE)))),IF($Y27&gt;80,(MROUND(($Y27*0.3),(VLOOKUP($X27,Übungsübersicht!$E$7:$M$83,3,FALSE)))),IF($Y27&gt;50,(MROUND(($Y27*0.4),(VLOOKUP($X27,Übungsübersicht!$E$7:$M$83,3,FALSE)))),IF($Y27&gt;25,(MROUND(($Y27*0.5),(VLOOKUP($X27,Übungsübersicht!$E$7:$M$83,3,FALSE)))),IF($Y27&gt;15,(MROUND(($Y27*0.6),(VLOOKUP($X27,Übungsübersicht!$E$7:$M$83,3,FALSE)))),IF($Y27&gt;(VLOOKUP($X27,Übungsübersicht!$E$7:$M$83,3,FALSE)),(VLOOKUP($X27,Übungsübersicht!$E$7:$M$83,3,FALSE)),""))))))),4*(VLOOKUP($X27,Übungsübersicht!$E$7:$M$83,3,FALSE)))</f>
        <v>30</v>
      </c>
      <c r="AC27" s="652">
        <f ca="1">IFERROR((IF($Y27=0,8*(VLOOKUP($X27,Übungsübersicht!$E$7:$M$83,3,FALSE)),(($Y27)-(3*(VLOOKUP($X27,Übungsübersicht!$E$7:$M$83,3,FALSE)))))),8*(VLOOKUP($X27,Übungsübersicht!$E$7:$M$83,3,FALSE)))</f>
        <v>55</v>
      </c>
      <c r="AD27" s="652">
        <f ca="1">IFERROR(((IF($Y27=0,10*(VLOOKUP($X27,Übungsübersicht!$E$7:$M$83,3,FALSE)),($Y27)-(2*(VLOOKUP($X27,Übungsübersicht!$E$7:$M$83,3,FALSE)))))),10*(VLOOKUP($X27,Übungsübersicht!$E$7:$M$83,3,FALSE)))</f>
        <v>60</v>
      </c>
      <c r="AE27" s="652">
        <f ca="1">IFERROR(((IF($Y27=0,10*(VLOOKUP($X27,Übungsübersicht!$E$7:$M$83,3,FALSE)),($Y27)-(1*(VLOOKUP($X27,Übungsübersicht!$E$7:$M$83,3,FALSE)))))),10*(VLOOKUP($X27,Übungsübersicht!$E$7:$M$83,3,FALSE)))</f>
        <v>65</v>
      </c>
      <c r="AF27" s="652">
        <f ca="1">IFERROR(IF($Y27=0,20*(VLOOKUP($X27,Übungsübersicht!$E$7:$M$83,3,FALSE)),($Y27)),20*(VLOOKUP($X27,Übungsübersicht!$E$7:$M$83,3,FALSE)))</f>
        <v>70</v>
      </c>
      <c r="AG27" s="652">
        <f ca="1">IFERROR(IF($Y27=0,30*(VLOOKUP($X27,Übungsübersicht!$E$7:$M$83,3,FALSE)),($Y27)+(1*(VLOOKUP($X27,Übungsübersicht!$E$7:$M$83,3,FALSE)))),30*(VLOOKUP($X27,Übungsübersicht!$E$7:$M$83,3,FALSE)))</f>
        <v>75</v>
      </c>
      <c r="AH27" s="652">
        <f ca="1">IFERROR(IF($Y27=0,30*(VLOOKUP($X27,Übungsübersicht!$E$7:$M$83,3,FALSE)),($Y27)+(2*(VLOOKUP($X27,Übungsübersicht!$E$7:$M$83,3,FALSE)))),30*(VLOOKUP($X27,Übungsübersicht!$E$7:$M$83,3,FALSE)))</f>
        <v>80</v>
      </c>
      <c r="AI27" s="652">
        <f ca="1">IFERROR(IF($Y27=0,30*(VLOOKUP($X27,Übungsübersicht!$E$7:$M$83,3,FALSE)),($Y27)+(3*(VLOOKUP($X27,Übungsübersicht!$E$7:$M$83,3,FALSE)))),30*(VLOOKUP($X27,Übungsübersicht!$E$7:$M$83,3,FALSE)))</f>
        <v>85</v>
      </c>
      <c r="AJ27" s="652">
        <f ca="1">IFERROR(IF($Y27=0,40*(VLOOKUP($X27,Übungsübersicht!$E$7:$M$83,3,FALSE)),IF($Y27&gt;100,(MROUND(($Y27*1.7),(VLOOKUP($X27,Übungsübersicht!$E$7:$M$83,3,FALSE)))),IF($Y27&gt;80,(MROUND(($Y27*1.7),(VLOOKUP($X27,Übungsübersicht!$E$7:$M$83,3,FALSE)))),IF($Y27&gt;50,(MROUND(($Y27*1.6),(VLOOKUP($X27,Übungsübersicht!$E$7:$M$83,3,FALSE)))),IF($Y27&gt;25,(MROUND(($Y27*1.5),(VLOOKUP($X27,Übungsübersicht!$E$7:$M$83,3,FALSE)))),IF($Y27&gt;15,(MROUND(($Y27*1.4),(VLOOKUP($X27,Übungsübersicht!$E$7:$M$83,3,FALSE)))),IF($Y27&gt;(VLOOKUP($X27,Übungsübersicht!$E$7:$M$83,3,FALSE)),30*(VLOOKUP($X27,Übungsübersicht!$E$7:$M$83,3,FALSE)),""))))))),40*(VLOOKUP($X27,Übungsübersicht!$E$7:$M$83,3,FALSE)))</f>
        <v>110</v>
      </c>
      <c r="AK27" s="653">
        <f ca="1">IFERROR(IF($Y27=0,50*(VLOOKUP($X27,Übungsübersicht!$E$7:$M$83,3,FALSE)),IF($Y27&gt;100,(MROUND(($Y27*1.9),(VLOOKUP($X27,Übungsübersicht!$E$7:$M$83,3,FALSE)))),IF($Y27&gt;80,(MROUND(($Y27*1.9),(VLOOKUP($X27,Übungsübersicht!$E$7:$M$83,3,FALSE)))),IF($Y27&gt;50,(MROUND(($Y27*1.8),(VLOOKUP($X27,Übungsübersicht!$E$7:$M$83,3,FALSE)))),IF($Y27&gt;25,(MROUND(($Y27*1.7),(VLOOKUP($X27,Übungsübersicht!$E$7:$M$83,3,FALSE)))),IF($Y27&gt;15,(MROUND(($Y27*1.6),(VLOOKUP($X27,Übungsübersicht!$E$7:$M$83,3,FALSE)))),IF($Y27&gt;(VLOOKUP($X27,Übungsübersicht!$E$7:$M$83,3,FALSE)),40*(VLOOKUP($X27,Übungsübersicht!$E$7:$M$83,3,FALSE)),""))))))),50*(VLOOKUP($X27,Übungsübersicht!$E$7:$M$83,3,FALSE)))</f>
        <v>125</v>
      </c>
      <c r="AN27" s="652">
        <f ca="1">MROUND(INDEX(OFFSET(Zyklus!$M$13,24,0),1),(IF(VLOOKUP($X27,Übungsübersicht!$E$7:$K$80,3)=0,0.1,(VLOOKUP($X27,Übungsübersicht!$E$7:$K$80,3)))))</f>
        <v>70</v>
      </c>
      <c r="AP27" s="655">
        <f ca="1">IFERROR(IF(IF(VLOOKUP($X27,Zyklus!$A$14:$U$68,9,FALSE)=0,"RPE 8",IF(VLOOKUP($X27,Übungsübersicht!$E$7:$M$83,3,FALSE)&lt;0.5,($AN27)-(3*0.5),(($AN27)-(3*(VLOOKUP($X27,Übungsübersicht!$E$7:$M$83,3,FALSE))))))&lt;1,0,(IF(VLOOKUP($X27,Zyklus!$A$14:$U$68,9,FALSE)=0,"RPE 8",IF(VLOOKUP($X27,Übungsübersicht!$E$7:$M$83,3,FALSE)&lt;0.5,($AN27)-(3*0.5),(($AN27)-(3*(VLOOKUP($X27,Übungsübersicht!$E$7:$M$83,3,FALSE)))))))),"RPE 8")</f>
        <v>55</v>
      </c>
      <c r="AQ27" s="655">
        <f ca="1">IFERROR(IF(IF(VLOOKUP($X27,Zyklus!$A$14:$U$68,9,FALSE)=0,"RPE 8",IF(VLOOKUP($X27,Übungsübersicht!$E$7:$M$83,3,FALSE)&lt;0.5,($AN27)-(2*0.5),(($AN27)-(2*(VLOOKUP($X27,Übungsübersicht!$E$7:$M$83,3,FALSE))))))&lt;1,0,(IF(VLOOKUP($X27,Zyklus!$A$14:$U$68,9,FALSE)=0,"RPE 8",IF(VLOOKUP($X27,Übungsübersicht!$E$7:$M$83,3,FALSE)&lt;0.5,($AN27)-(2*0.5),(($AN27)-(2*(VLOOKUP($X27,Übungsübersicht!$E$7:$M$83,3,FALSE)))))))),"RPE 8")</f>
        <v>60</v>
      </c>
      <c r="AR27" s="655">
        <f ca="1">IFERROR(IF(IF(VLOOKUP($X27,Zyklus!$A$14:$U$68,9,FALSE)=0,"RPE 8",IF(VLOOKUP($X27,Übungsübersicht!$E$7:$M$83,3,FALSE)&lt;0.5,($AN27)-(1*0.5),(($Y27)-(1*(VLOOKUP($X27,Übungsübersicht!$E$7:$M$83,3,FALSE))))))&lt;1,0,(IF(VLOOKUP($X27,Zyklus!$A$14:$U$68,9,FALSE)=0,"RPE 8",IF(VLOOKUP($X27,Übungsübersicht!$E$7:$M$83,3,FALSE)&lt;0.5,($AN27)-(1*0.5),(($Y27)-(1*(VLOOKUP($X27,Übungsübersicht!$E$7:$M$83,3,FALSE)))))))),"RPE 8")</f>
        <v>65</v>
      </c>
      <c r="AS27" s="655">
        <f t="shared" ca="1" si="0"/>
        <v>70</v>
      </c>
      <c r="AT27" s="655">
        <f ca="1">IFERROR(IF(VLOOKUP($X27,Zyklus!$A$14:$U$68,9,FALSE)=0,"RPE 8",IF(VLOOKUP($X27,Übungsübersicht!$E$7:$M$83,3,FALSE)&lt;0.5,($AN27)+(1*0.5),(($Y27)+(1*(VLOOKUP($X27,Übungsübersicht!$E$7:$M$83,3,FALSE)))))),"RPE 8")</f>
        <v>75</v>
      </c>
      <c r="AU27" s="655">
        <f ca="1">IFERROR(IF(VLOOKUP($X27,Zyklus!$A$14:$U$68,9,FALSE)=0,"RPE 8",IF(VLOOKUP($X27,Übungsübersicht!$E$7:$M$83,3,FALSE)&lt;0.5,($AN27)+(2*0.5),(($AN27)+(2*(VLOOKUP($X27,Übungsübersicht!$E$7:$M$83,3,FALSE)))))),"RPE 8")</f>
        <v>80</v>
      </c>
      <c r="AV27" s="655">
        <f ca="1">IFERROR(IF(VLOOKUP($X27,Zyklus!$A$14:$U$68,9,FALSE)=0,"RPE 8",IF(VLOOKUP($X27,Übungsübersicht!$E$7:$M$83,3,FALSE)&lt;0.5,($AN27)+(3*0.5),(($AN27)+(3*(VLOOKUP($X27,Übungsübersicht!$E$7:$M$83,3,FALSE)))))),"RPE 8")</f>
        <v>85</v>
      </c>
      <c r="AY27" s="652">
        <f ca="1">MROUND(INDEX(OFFSET(Zyklus!$M$13,24,0),1),(IF(VLOOKUP($X27,Übungsübersicht!$E$7:$K$80,3)=0,0.1,(VLOOKUP($X27,Übungsübersicht!$E$7:$K$80,3)))))</f>
        <v>70</v>
      </c>
      <c r="BA27" s="655">
        <f ca="1">MROUND(INDEX(OFFSET(Zyklus!$Q$13,24,0),1),(IF(VLOOKUP($X27,Übungsübersicht!$E$7:$K$80,3)=0,0.1,(VLOOKUP($X27,Übungsübersicht!$E$7:$K$80,3)))))</f>
        <v>70</v>
      </c>
      <c r="BC27" s="655">
        <f ca="1">IFERROR(IF(IF(VLOOKUP($X27,Zyklus!$A$14:$U$68,9,FALSE)=0,"RPE 9",IF(VLOOKUP($X27,Übungsübersicht!$E$7:$M$83,3,FALSE)&lt;0.5,($BA27)-(3*0.5),(($BA27)-(3*(VLOOKUP($X27,Übungsübersicht!$E$7:$M$83,3,FALSE))))))&lt;1,0,(IF(VLOOKUP($X27,Zyklus!$A$14:$U$68,9,FALSE)=0,"RPE 9",IF(VLOOKUP($X27,Übungsübersicht!$E$7:$M$83,3,FALSE)&lt;0.5,($BA27)-(3*0.5),(($BA27)-(3*(VLOOKUP($X27,Übungsübersicht!$E$7:$M$83,3,FALSE)))))))),"RPE 9")</f>
        <v>55</v>
      </c>
      <c r="BD27" s="655">
        <f ca="1">IFERROR(IF(IF(VLOOKUP($X27,Zyklus!$A$14:$U$68,9,FALSE)=0,"RPE 9",IF(VLOOKUP($X27,Übungsübersicht!$E$7:$M$83,3,FALSE)&lt;0.5,($BA27)-(2*0.5),(($BA27)-(2*(VLOOKUP($X27,Übungsübersicht!$E$7:$M$83,3,FALSE))))))&lt;1,0,(IF(VLOOKUP($X27,Zyklus!$A$14:$U$68,9,FALSE)=0,"RPE 9",IF(VLOOKUP($X27,Übungsübersicht!$E$7:$M$83,3,FALSE)&lt;0.5,($BA27)-(2*0.5),(($BA27)-(2*(VLOOKUP($X27,Übungsübersicht!$E$7:$M$83,3,FALSE)))))))),"RPE 9")</f>
        <v>60</v>
      </c>
      <c r="BE27" s="655">
        <f ca="1">IFERROR(IF(IF(VLOOKUP($X27,Zyklus!$A$14:$U$68,9,FALSE)=0,"RPE 9",IF(VLOOKUP($X27,Übungsübersicht!$E$7:$M$83,3,FALSE)&lt;0.5,($BA27)-(1*0.5),(($Y27)-(1*(VLOOKUP($X27,Übungsübersicht!$E$7:$M$83,3,FALSE))))))&lt;1,0,(IF(VLOOKUP($X27,Zyklus!$A$14:$U$68,9,FALSE)=0,"RPE 9",IF(VLOOKUP($X27,Übungsübersicht!$E$7:$M$83,3,FALSE)&lt;0.5,($BA27)-(1*0.5),(($Y27)-(1*(VLOOKUP($X27,Übungsübersicht!$E$7:$M$83,3,FALSE)))))))),"RPE 9")</f>
        <v>65</v>
      </c>
      <c r="BF27" s="655">
        <f t="shared" ca="1" si="1"/>
        <v>70</v>
      </c>
      <c r="BG27" s="655">
        <f ca="1">IFERROR(IF(VLOOKUP($X27,Zyklus!$A$14:$U$68,9,FALSE)=0,"RPE 9",IF(VLOOKUP($X27,Übungsübersicht!$E$7:$M$83,3,FALSE)&lt;0.5,($AY27)+(1*0.5),(($AY27)+(1*(VLOOKUP($X27,Übungsübersicht!$E$7:$M$83,3,FALSE)))))),"RPE 9")</f>
        <v>75</v>
      </c>
      <c r="BH27" s="655">
        <f ca="1">IFERROR(IF(VLOOKUP($X27,Zyklus!$A$14:$U$68,9,FALSE)=0,"RPE 9",IF(VLOOKUP($X27,Übungsübersicht!$E$7:$M$83,3,FALSE)&lt;0.5,($BA27)+(2*0.5),(($BA27)+(2*(VLOOKUP($X27,Übungsübersicht!$E$7:$M$83,3,FALSE)))))),"RPE 9")</f>
        <v>80</v>
      </c>
      <c r="BI27" s="655">
        <f ca="1">IFERROR(IF(VLOOKUP($X27,Zyklus!$A$14:$U$68,9,FALSE)=0,"RPE 9",IF(VLOOKUP($X27,Übungsübersicht!$E$7:$M$83,3,FALSE)&lt;0.5,($BA27)+(3*0.5),(($BA27)+(3*(VLOOKUP($X27,Übungsübersicht!$E$7:$M$83,3,FALSE)))))),"RPE 9")</f>
        <v>85</v>
      </c>
    </row>
    <row r="28" spans="1:61" ht="30" customHeight="1">
      <c r="B28" s="868" t="str">
        <f>IF(2&lt;=VALUE(LEFT(Dashboard!$C$31,1)),"Woche 2","")</f>
        <v>Woche 2</v>
      </c>
      <c r="D28" s="324">
        <v>7</v>
      </c>
      <c r="E28" s="325">
        <f t="shared" si="2"/>
        <v>96.774193548387103</v>
      </c>
      <c r="F28" s="343">
        <f t="shared" si="3"/>
        <v>0.83333333333333326</v>
      </c>
      <c r="H28" s="324">
        <v>7</v>
      </c>
      <c r="I28" s="325">
        <f t="shared" si="5"/>
        <v>97.297297297297291</v>
      </c>
      <c r="J28" s="343">
        <f t="shared" si="4"/>
        <v>0.81081081081081074</v>
      </c>
      <c r="X28" s="654" t="str">
        <f ca="1">INDEX(OFFSET(Zyklus!$A$13,25,0),1)</f>
        <v>Butterfly Maschine</v>
      </c>
      <c r="Y28" s="655">
        <f ca="1">MROUND(INDEX(OFFSET(Zyklus!$I$13,25,0),1),(IF(VLOOKUP($X28,Übungsübersicht!$E$7:$K$80,3)=0,0.1,(VLOOKUP($X28,Übungsübersicht!$E$7:$K$80,3)))))</f>
        <v>50</v>
      </c>
      <c r="Z28" s="655"/>
      <c r="AA28" s="655">
        <f ca="1">IFERROR(IF($Y28=0,2*(VLOOKUP($X28,Übungsübersicht!$E$7:$M$83,3,FALSE)),IF($Y28&gt;100,(MROUND(($Y28*0.1),(VLOOKUP($X28,Übungsübersicht!$E$7:$M$83,3,FALSE)))),IF($Y28&gt;80,(MROUND(($Y28*0.1),(VLOOKUP($X28,Übungsübersicht!$E$7:$M$83,3,FALSE)))),IF($Y28&gt;50,(MROUND(($Y28*0.2),(VLOOKUP($X28,Übungsübersicht!$E$7:$M$83,3,FALSE)))),IF($Y28&gt;25,(MROUND(($Y28*0.3),(VLOOKUP($X28,Übungsübersicht!$E$7:$M$83,3,FALSE)))),IF($Y28&gt;15,(MROUND(($Y28*0.4),(VLOOKUP($X28,Übungsübersicht!$E$7:$M$83,3,FALSE)))),IF($Y28&gt;(VLOOKUP($X28,Übungsübersicht!$E$7:$M$83,3,FALSE)),(VLOOKUP($X28,Übungsübersicht!$E$7:$M$83,3,FALSE)),""))))))),2*(VLOOKUP($X28,Übungsübersicht!$E$7:$M$83,3,FALSE)))</f>
        <v>15</v>
      </c>
      <c r="AB28" s="655">
        <f ca="1">IFERROR(IF($Y28=0,4*(VLOOKUP($X28,Übungsübersicht!$E$7:$M$83,3,FALSE)),IF($Y28&gt;100,(MROUND(($Y28*0.3),(VLOOKUP($X28,Übungsübersicht!$E$7:$M$83,3,FALSE)))),IF($Y28&gt;80,(MROUND(($Y28*0.3),(VLOOKUP($X28,Übungsübersicht!$E$7:$M$83,3,FALSE)))),IF($Y28&gt;50,(MROUND(($Y28*0.4),(VLOOKUP($X28,Übungsübersicht!$E$7:$M$83,3,FALSE)))),IF($Y28&gt;25,(MROUND(($Y28*0.5),(VLOOKUP($X28,Übungsübersicht!$E$7:$M$83,3,FALSE)))),IF($Y28&gt;15,(MROUND(($Y28*0.6),(VLOOKUP($X28,Übungsübersicht!$E$7:$M$83,3,FALSE)))),IF($Y28&gt;(VLOOKUP($X28,Übungsübersicht!$E$7:$M$83,3,FALSE)),(VLOOKUP($X28,Übungsübersicht!$E$7:$M$83,3,FALSE)),""))))))),4*(VLOOKUP($X28,Übungsübersicht!$E$7:$M$83,3,FALSE)))</f>
        <v>25</v>
      </c>
      <c r="AC28" s="655">
        <f ca="1">IFERROR((IF($Y28=0,8*(VLOOKUP($X28,Übungsübersicht!$E$7:$M$83,3,FALSE)),(($Y28)-(3*(VLOOKUP($X28,Übungsübersicht!$E$7:$M$83,3,FALSE)))))),8*(VLOOKUP($X28,Übungsübersicht!$E$7:$M$83,3,FALSE)))</f>
        <v>35</v>
      </c>
      <c r="AD28" s="655">
        <f ca="1">IFERROR(((IF($Y28=0,10*(VLOOKUP($X28,Übungsübersicht!$E$7:$M$83,3,FALSE)),($Y28)-(2*(VLOOKUP($X28,Übungsübersicht!$E$7:$M$83,3,FALSE)))))),10*(VLOOKUP($X28,Übungsübersicht!$E$7:$M$83,3,FALSE)))</f>
        <v>40</v>
      </c>
      <c r="AE28" s="655">
        <f ca="1">IFERROR(((IF($Y28=0,10*(VLOOKUP($X28,Übungsübersicht!$E$7:$M$83,3,FALSE)),($Y28)-(1*(VLOOKUP($X28,Übungsübersicht!$E$7:$M$83,3,FALSE)))))),10*(VLOOKUP($X28,Übungsübersicht!$E$7:$M$83,3,FALSE)))</f>
        <v>45</v>
      </c>
      <c r="AF28" s="655">
        <f ca="1">IFERROR(IF($Y28=0,20*(VLOOKUP($X28,Übungsübersicht!$E$7:$M$83,3,FALSE)),($Y28)),20*(VLOOKUP($X28,Übungsübersicht!$E$7:$M$83,3,FALSE)))</f>
        <v>50</v>
      </c>
      <c r="AG28" s="655">
        <f ca="1">IFERROR(IF($Y28=0,30*(VLOOKUP($X28,Übungsübersicht!$E$7:$M$83,3,FALSE)),($Y28)+(1*(VLOOKUP($X28,Übungsübersicht!$E$7:$M$83,3,FALSE)))),30*(VLOOKUP($X28,Übungsübersicht!$E$7:$M$83,3,FALSE)))</f>
        <v>55</v>
      </c>
      <c r="AH28" s="655">
        <f ca="1">IFERROR(IF($Y28=0,30*(VLOOKUP($X28,Übungsübersicht!$E$7:$M$83,3,FALSE)),($Y28)+(2*(VLOOKUP($X28,Übungsübersicht!$E$7:$M$83,3,FALSE)))),30*(VLOOKUP($X28,Übungsübersicht!$E$7:$M$83,3,FALSE)))</f>
        <v>60</v>
      </c>
      <c r="AI28" s="655">
        <f ca="1">IFERROR(IF($Y28=0,30*(VLOOKUP($X28,Übungsübersicht!$E$7:$M$83,3,FALSE)),($Y28)+(3*(VLOOKUP($X28,Übungsübersicht!$E$7:$M$83,3,FALSE)))),30*(VLOOKUP($X28,Übungsübersicht!$E$7:$M$83,3,FALSE)))</f>
        <v>65</v>
      </c>
      <c r="AJ28" s="655">
        <f ca="1">IFERROR(IF($Y28=0,40*(VLOOKUP($X28,Übungsübersicht!$E$7:$M$83,3,FALSE)),IF($Y28&gt;100,(MROUND(($Y28*1.7),(VLOOKUP($X28,Übungsübersicht!$E$7:$M$83,3,FALSE)))),IF($Y28&gt;80,(MROUND(($Y28*1.7),(VLOOKUP($X28,Übungsübersicht!$E$7:$M$83,3,FALSE)))),IF($Y28&gt;50,(MROUND(($Y28*1.6),(VLOOKUP($X28,Übungsübersicht!$E$7:$M$83,3,FALSE)))),IF($Y28&gt;25,(MROUND(($Y28*1.5),(VLOOKUP($X28,Übungsübersicht!$E$7:$M$83,3,FALSE)))),IF($Y28&gt;15,(MROUND(($Y28*1.4),(VLOOKUP($X28,Übungsübersicht!$E$7:$M$83,3,FALSE)))),IF($Y28&gt;(VLOOKUP($X28,Übungsübersicht!$E$7:$M$83,3,FALSE)),30*(VLOOKUP($X28,Übungsübersicht!$E$7:$M$83,3,FALSE)),""))))))),40*(VLOOKUP($X28,Übungsübersicht!$E$7:$M$83,3,FALSE)))</f>
        <v>75</v>
      </c>
      <c r="AK28" s="656">
        <f ca="1">IFERROR(IF($Y28=0,50*(VLOOKUP($X28,Übungsübersicht!$E$7:$M$83,3,FALSE)),IF($Y28&gt;100,(MROUND(($Y28*1.9),(VLOOKUP($X28,Übungsübersicht!$E$7:$M$83,3,FALSE)))),IF($Y28&gt;80,(MROUND(($Y28*1.9),(VLOOKUP($X28,Übungsübersicht!$E$7:$M$83,3,FALSE)))),IF($Y28&gt;50,(MROUND(($Y28*1.8),(VLOOKUP($X28,Übungsübersicht!$E$7:$M$83,3,FALSE)))),IF($Y28&gt;25,(MROUND(($Y28*1.7),(VLOOKUP($X28,Übungsübersicht!$E$7:$M$83,3,FALSE)))),IF($Y28&gt;15,(MROUND(($Y28*1.6),(VLOOKUP($X28,Übungsübersicht!$E$7:$M$83,3,FALSE)))),IF($Y28&gt;(VLOOKUP($X28,Übungsübersicht!$E$7:$M$83,3,FALSE)),40*(VLOOKUP($X28,Übungsübersicht!$E$7:$M$83,3,FALSE)),""))))))),50*(VLOOKUP($X28,Übungsübersicht!$E$7:$M$83,3,FALSE)))</f>
        <v>85</v>
      </c>
      <c r="AN28" s="655">
        <f ca="1">MROUND(INDEX(OFFSET(Zyklus!$M$13,25,0),1),(IF(VLOOKUP($X28,Übungsübersicht!$E$7:$K$80,3)=0,0.1,(VLOOKUP($X28,Übungsübersicht!$E$7:$K$80,3)))))</f>
        <v>50</v>
      </c>
      <c r="AP28" s="652">
        <f ca="1">IFERROR(IF(IF(VLOOKUP($X28,Zyklus!$A$14:$U$68,9,FALSE)=0,"RPE 8",IF(VLOOKUP($X28,Übungsübersicht!$E$7:$M$83,3,FALSE)&lt;0.5,($AN28)-(3*0.5),(($AN28)-(3*(VLOOKUP($X28,Übungsübersicht!$E$7:$M$83,3,FALSE))))))&lt;1,0,(IF(VLOOKUP($X28,Zyklus!$A$14:$U$68,9,FALSE)=0,"RPE 8",IF(VLOOKUP($X28,Übungsübersicht!$E$7:$M$83,3,FALSE)&lt;0.5,($AN28)-(3*0.5),(($AN28)-(3*(VLOOKUP($X28,Übungsübersicht!$E$7:$M$83,3,FALSE)))))))),"RPE 8")</f>
        <v>35</v>
      </c>
      <c r="AQ28" s="652">
        <f ca="1">IFERROR(IF(IF(VLOOKUP($X28,Zyklus!$A$14:$U$68,9,FALSE)=0,"RPE 8",IF(VLOOKUP($X28,Übungsübersicht!$E$7:$M$83,3,FALSE)&lt;0.5,($AN28)-(2*0.5),(($AN28)-(2*(VLOOKUP($X28,Übungsübersicht!$E$7:$M$83,3,FALSE))))))&lt;1,0,(IF(VLOOKUP($X28,Zyklus!$A$14:$U$68,9,FALSE)=0,"RPE 8",IF(VLOOKUP($X28,Übungsübersicht!$E$7:$M$83,3,FALSE)&lt;0.5,($AN28)-(2*0.5),(($AN28)-(2*(VLOOKUP($X28,Übungsübersicht!$E$7:$M$83,3,FALSE)))))))),"RPE 8")</f>
        <v>40</v>
      </c>
      <c r="AR28" s="652">
        <f ca="1">IFERROR(IF(IF(VLOOKUP($X28,Zyklus!$A$14:$U$68,9,FALSE)=0,"RPE 8",IF(VLOOKUP($X28,Übungsübersicht!$E$7:$M$83,3,FALSE)&lt;0.5,($AN28)-(1*0.5),(($Y28)-(1*(VLOOKUP($X28,Übungsübersicht!$E$7:$M$83,3,FALSE))))))&lt;1,0,(IF(VLOOKUP($X28,Zyklus!$A$14:$U$68,9,FALSE)=0,"RPE 8",IF(VLOOKUP($X28,Übungsübersicht!$E$7:$M$83,3,FALSE)&lt;0.5,($AN28)-(1*0.5),(($Y28)-(1*(VLOOKUP($X28,Übungsübersicht!$E$7:$M$83,3,FALSE)))))))),"RPE 8")</f>
        <v>45</v>
      </c>
      <c r="AS28" s="652">
        <f t="shared" ca="1" si="0"/>
        <v>50</v>
      </c>
      <c r="AT28" s="652">
        <f ca="1">IFERROR(IF(VLOOKUP($X28,Zyklus!$A$14:$U$68,9,FALSE)=0,"RPE 8",IF(VLOOKUP($X28,Übungsübersicht!$E$7:$M$83,3,FALSE)&lt;0.5,($AN28)+(1*0.5),(($Y28)+(1*(VLOOKUP($X28,Übungsübersicht!$E$7:$M$83,3,FALSE)))))),"RPE 8")</f>
        <v>55</v>
      </c>
      <c r="AU28" s="652">
        <f ca="1">IFERROR(IF(VLOOKUP($X28,Zyklus!$A$14:$U$68,9,FALSE)=0,"RPE 8",IF(VLOOKUP($X28,Übungsübersicht!$E$7:$M$83,3,FALSE)&lt;0.5,($AN28)+(2*0.5),(($AN28)+(2*(VLOOKUP($X28,Übungsübersicht!$E$7:$M$83,3,FALSE)))))),"RPE 8")</f>
        <v>60</v>
      </c>
      <c r="AV28" s="652">
        <f ca="1">IFERROR(IF(VLOOKUP($X28,Zyklus!$A$14:$U$68,9,FALSE)=0,"RPE 8",IF(VLOOKUP($X28,Übungsübersicht!$E$7:$M$83,3,FALSE)&lt;0.5,($AN28)+(3*0.5),(($AN28)+(3*(VLOOKUP($X28,Übungsübersicht!$E$7:$M$83,3,FALSE)))))),"RPE 8")</f>
        <v>65</v>
      </c>
      <c r="AY28" s="655">
        <f ca="1">MROUND(INDEX(OFFSET(Zyklus!$M$13,25,0),1),(IF(VLOOKUP($X28,Übungsübersicht!$E$7:$K$80,3)=0,0.1,(VLOOKUP($X28,Übungsübersicht!$E$7:$K$80,3)))))</f>
        <v>50</v>
      </c>
      <c r="BA28" s="652">
        <f ca="1">MROUND(INDEX(OFFSET(Zyklus!$Q$13,25,0),1),(IF(VLOOKUP($X28,Übungsübersicht!$E$7:$K$80,3)=0,0.1,(VLOOKUP($X28,Übungsübersicht!$E$7:$K$80,3)))))</f>
        <v>50</v>
      </c>
      <c r="BC28" s="652">
        <f ca="1">IFERROR(IF(IF(VLOOKUP($X28,Zyklus!$A$14:$U$68,9,FALSE)=0,"RPE 9",IF(VLOOKUP($X28,Übungsübersicht!$E$7:$M$83,3,FALSE)&lt;0.5,($BA28)-(3*0.5),(($BA28)-(3*(VLOOKUP($X28,Übungsübersicht!$E$7:$M$83,3,FALSE))))))&lt;1,0,(IF(VLOOKUP($X28,Zyklus!$A$14:$U$68,9,FALSE)=0,"RPE 9",IF(VLOOKUP($X28,Übungsübersicht!$E$7:$M$83,3,FALSE)&lt;0.5,($BA28)-(3*0.5),(($BA28)-(3*(VLOOKUP($X28,Übungsübersicht!$E$7:$M$83,3,FALSE)))))))),"RPE 9")</f>
        <v>35</v>
      </c>
      <c r="BD28" s="652">
        <f ca="1">IFERROR(IF(IF(VLOOKUP($X28,Zyklus!$A$14:$U$68,9,FALSE)=0,"RPE 9",IF(VLOOKUP($X28,Übungsübersicht!$E$7:$M$83,3,FALSE)&lt;0.5,($BA28)-(2*0.5),(($BA28)-(2*(VLOOKUP($X28,Übungsübersicht!$E$7:$M$83,3,FALSE))))))&lt;1,0,(IF(VLOOKUP($X28,Zyklus!$A$14:$U$68,9,FALSE)=0,"RPE 9",IF(VLOOKUP($X28,Übungsübersicht!$E$7:$M$83,3,FALSE)&lt;0.5,($BA28)-(2*0.5),(($BA28)-(2*(VLOOKUP($X28,Übungsübersicht!$E$7:$M$83,3,FALSE)))))))),"RPE 9")</f>
        <v>40</v>
      </c>
      <c r="BE28" s="652">
        <f ca="1">IFERROR(IF(IF(VLOOKUP($X28,Zyklus!$A$14:$U$68,9,FALSE)=0,"RPE 9",IF(VLOOKUP($X28,Übungsübersicht!$E$7:$M$83,3,FALSE)&lt;0.5,($BA28)-(1*0.5),(($Y28)-(1*(VLOOKUP($X28,Übungsübersicht!$E$7:$M$83,3,FALSE))))))&lt;1,0,(IF(VLOOKUP($X28,Zyklus!$A$14:$U$68,9,FALSE)=0,"RPE 9",IF(VLOOKUP($X28,Übungsübersicht!$E$7:$M$83,3,FALSE)&lt;0.5,($BA28)-(1*0.5),(($Y28)-(1*(VLOOKUP($X28,Übungsübersicht!$E$7:$M$83,3,FALSE)))))))),"RPE 9")</f>
        <v>45</v>
      </c>
      <c r="BF28" s="652">
        <f t="shared" ca="1" si="1"/>
        <v>50</v>
      </c>
      <c r="BG28" s="652">
        <f ca="1">IFERROR(IF(VLOOKUP($X28,Zyklus!$A$14:$U$68,9,FALSE)=0,"RPE 9",IF(VLOOKUP($X28,Übungsübersicht!$E$7:$M$83,3,FALSE)&lt;0.5,($AY28)+(1*0.5),(($AY28)+(1*(VLOOKUP($X28,Übungsübersicht!$E$7:$M$83,3,FALSE)))))),"RPE 9")</f>
        <v>55</v>
      </c>
      <c r="BH28" s="652">
        <f ca="1">IFERROR(IF(VLOOKUP($X28,Zyklus!$A$14:$U$68,9,FALSE)=0,"RPE 9",IF(VLOOKUP($X28,Übungsübersicht!$E$7:$M$83,3,FALSE)&lt;0.5,($BA28)+(2*0.5),(($BA28)+(2*(VLOOKUP($X28,Übungsübersicht!$E$7:$M$83,3,FALSE)))))),"RPE 9")</f>
        <v>60</v>
      </c>
      <c r="BI28" s="652">
        <f ca="1">IFERROR(IF(VLOOKUP($X28,Zyklus!$A$14:$U$68,9,FALSE)=0,"RPE 9",IF(VLOOKUP($X28,Übungsübersicht!$E$7:$M$83,3,FALSE)&lt;0.5,($BA28)+(3*0.5),(($BA28)+(3*(VLOOKUP($X28,Übungsübersicht!$E$7:$M$83,3,FALSE)))))),"RPE 9")</f>
        <v>65</v>
      </c>
    </row>
    <row r="29" spans="1:61" ht="30" customHeight="1">
      <c r="B29" s="868" t="str">
        <f>IF(3&lt;=VALUE(LEFT(Dashboard!$C$31,1)),"Woche 3","")</f>
        <v>Woche 3</v>
      </c>
      <c r="D29" s="326">
        <v>8</v>
      </c>
      <c r="E29" s="323">
        <f t="shared" si="2"/>
        <v>93.548387096774192</v>
      </c>
      <c r="F29" s="344">
        <f t="shared" si="3"/>
        <v>0.80555555555555547</v>
      </c>
      <c r="H29" s="326">
        <v>8</v>
      </c>
      <c r="I29" s="323">
        <f t="shared" si="5"/>
        <v>94.736842105263165</v>
      </c>
      <c r="J29" s="344">
        <f t="shared" si="4"/>
        <v>0.78947368421052633</v>
      </c>
      <c r="X29" s="651" t="str">
        <f ca="1">INDEX(OFFSET(Zyklus!$A$13,26,0),1)</f>
        <v>Latzug Eng</v>
      </c>
      <c r="Y29" s="652">
        <f ca="1">MROUND(INDEX(OFFSET(Zyklus!$I$13,26,0),1),(IF(VLOOKUP($X29,Übungsübersicht!$E$7:$K$80,3)=0,0.1,(VLOOKUP($X29,Übungsübersicht!$E$7:$K$80,3)))))</f>
        <v>65</v>
      </c>
      <c r="Z29" s="652"/>
      <c r="AA29" s="652">
        <f ca="1">IFERROR(IF($Y29=0,2*(VLOOKUP($X29,Übungsübersicht!$E$7:$M$83,3,FALSE)),IF($Y29&gt;100,(MROUND(($Y29*0.1),(VLOOKUP($X29,Übungsübersicht!$E$7:$M$83,3,FALSE)))),IF($Y29&gt;80,(MROUND(($Y29*0.1),(VLOOKUP($X29,Übungsübersicht!$E$7:$M$83,3,FALSE)))),IF($Y29&gt;50,(MROUND(($Y29*0.2),(VLOOKUP($X29,Übungsübersicht!$E$7:$M$83,3,FALSE)))),IF($Y29&gt;25,(MROUND(($Y29*0.3),(VLOOKUP($X29,Übungsübersicht!$E$7:$M$83,3,FALSE)))),IF($Y29&gt;15,(MROUND(($Y29*0.4),(VLOOKUP($X29,Übungsübersicht!$E$7:$M$83,3,FALSE)))),IF($Y29&gt;(VLOOKUP($X29,Übungsübersicht!$E$7:$M$83,3,FALSE)),(VLOOKUP($X29,Übungsübersicht!$E$7:$M$83,3,FALSE)),""))))))),2*(VLOOKUP($X29,Übungsübersicht!$E$7:$M$83,3,FALSE)))</f>
        <v>15</v>
      </c>
      <c r="AB29" s="652">
        <f ca="1">IFERROR(IF($Y29=0,4*(VLOOKUP($X29,Übungsübersicht!$E$7:$M$83,3,FALSE)),IF($Y29&gt;100,(MROUND(($Y29*0.3),(VLOOKUP($X29,Übungsübersicht!$E$7:$M$83,3,FALSE)))),IF($Y29&gt;80,(MROUND(($Y29*0.3),(VLOOKUP($X29,Übungsübersicht!$E$7:$M$83,3,FALSE)))),IF($Y29&gt;50,(MROUND(($Y29*0.4),(VLOOKUP($X29,Übungsübersicht!$E$7:$M$83,3,FALSE)))),IF($Y29&gt;25,(MROUND(($Y29*0.5),(VLOOKUP($X29,Übungsübersicht!$E$7:$M$83,3,FALSE)))),IF($Y29&gt;15,(MROUND(($Y29*0.6),(VLOOKUP($X29,Übungsübersicht!$E$7:$M$83,3,FALSE)))),IF($Y29&gt;(VLOOKUP($X29,Übungsübersicht!$E$7:$M$83,3,FALSE)),(VLOOKUP($X29,Übungsübersicht!$E$7:$M$83,3,FALSE)),""))))))),4*(VLOOKUP($X29,Übungsübersicht!$E$7:$M$83,3,FALSE)))</f>
        <v>25</v>
      </c>
      <c r="AC29" s="652">
        <f ca="1">IFERROR((IF($Y29=0,8*(VLOOKUP($X29,Übungsübersicht!$E$7:$M$83,3,FALSE)),(($Y29)-(3*(VLOOKUP($X29,Übungsübersicht!$E$7:$M$83,3,FALSE)))))),8*(VLOOKUP($X29,Übungsübersicht!$E$7:$M$83,3,FALSE)))</f>
        <v>50</v>
      </c>
      <c r="AD29" s="652">
        <f ca="1">IFERROR(((IF($Y29=0,10*(VLOOKUP($X29,Übungsübersicht!$E$7:$M$83,3,FALSE)),($Y29)-(2*(VLOOKUP($X29,Übungsübersicht!$E$7:$M$83,3,FALSE)))))),10*(VLOOKUP($X29,Übungsübersicht!$E$7:$M$83,3,FALSE)))</f>
        <v>55</v>
      </c>
      <c r="AE29" s="652">
        <f ca="1">IFERROR(((IF($Y29=0,10*(VLOOKUP($X29,Übungsübersicht!$E$7:$M$83,3,FALSE)),($Y29)-(1*(VLOOKUP($X29,Übungsübersicht!$E$7:$M$83,3,FALSE)))))),10*(VLOOKUP($X29,Übungsübersicht!$E$7:$M$83,3,FALSE)))</f>
        <v>60</v>
      </c>
      <c r="AF29" s="652">
        <f ca="1">IFERROR(IF($Y29=0,20*(VLOOKUP($X29,Übungsübersicht!$E$7:$M$83,3,FALSE)),($Y29)),20*(VLOOKUP($X29,Übungsübersicht!$E$7:$M$83,3,FALSE)))</f>
        <v>65</v>
      </c>
      <c r="AG29" s="652">
        <f ca="1">IFERROR(IF($Y29=0,30*(VLOOKUP($X29,Übungsübersicht!$E$7:$M$83,3,FALSE)),($Y29)+(1*(VLOOKUP($X29,Übungsübersicht!$E$7:$M$83,3,FALSE)))),30*(VLOOKUP($X29,Übungsübersicht!$E$7:$M$83,3,FALSE)))</f>
        <v>70</v>
      </c>
      <c r="AH29" s="652">
        <f ca="1">IFERROR(IF($Y29=0,30*(VLOOKUP($X29,Übungsübersicht!$E$7:$M$83,3,FALSE)),($Y29)+(2*(VLOOKUP($X29,Übungsübersicht!$E$7:$M$83,3,FALSE)))),30*(VLOOKUP($X29,Übungsübersicht!$E$7:$M$83,3,FALSE)))</f>
        <v>75</v>
      </c>
      <c r="AI29" s="652">
        <f ca="1">IFERROR(IF($Y29=0,30*(VLOOKUP($X29,Übungsübersicht!$E$7:$M$83,3,FALSE)),($Y29)+(3*(VLOOKUP($X29,Übungsübersicht!$E$7:$M$83,3,FALSE)))),30*(VLOOKUP($X29,Übungsübersicht!$E$7:$M$83,3,FALSE)))</f>
        <v>80</v>
      </c>
      <c r="AJ29" s="652">
        <f ca="1">IFERROR(IF($Y29=0,40*(VLOOKUP($X29,Übungsübersicht!$E$7:$M$83,3,FALSE)),IF($Y29&gt;100,(MROUND(($Y29*1.7),(VLOOKUP($X29,Übungsübersicht!$E$7:$M$83,3,FALSE)))),IF($Y29&gt;80,(MROUND(($Y29*1.7),(VLOOKUP($X29,Übungsübersicht!$E$7:$M$83,3,FALSE)))),IF($Y29&gt;50,(MROUND(($Y29*1.6),(VLOOKUP($X29,Übungsübersicht!$E$7:$M$83,3,FALSE)))),IF($Y29&gt;25,(MROUND(($Y29*1.5),(VLOOKUP($X29,Übungsübersicht!$E$7:$M$83,3,FALSE)))),IF($Y29&gt;15,(MROUND(($Y29*1.4),(VLOOKUP($X29,Übungsübersicht!$E$7:$M$83,3,FALSE)))),IF($Y29&gt;(VLOOKUP($X29,Übungsübersicht!$E$7:$M$83,3,FALSE)),30*(VLOOKUP($X29,Übungsübersicht!$E$7:$M$83,3,FALSE)),""))))))),40*(VLOOKUP($X29,Übungsübersicht!$E$7:$M$83,3,FALSE)))</f>
        <v>105</v>
      </c>
      <c r="AK29" s="653">
        <f ca="1">IFERROR(IF($Y29=0,50*(VLOOKUP($X29,Übungsübersicht!$E$7:$M$83,3,FALSE)),IF($Y29&gt;100,(MROUND(($Y29*1.9),(VLOOKUP($X29,Übungsübersicht!$E$7:$M$83,3,FALSE)))),IF($Y29&gt;80,(MROUND(($Y29*1.9),(VLOOKUP($X29,Übungsübersicht!$E$7:$M$83,3,FALSE)))),IF($Y29&gt;50,(MROUND(($Y29*1.8),(VLOOKUP($X29,Übungsübersicht!$E$7:$M$83,3,FALSE)))),IF($Y29&gt;25,(MROUND(($Y29*1.7),(VLOOKUP($X29,Übungsübersicht!$E$7:$M$83,3,FALSE)))),IF($Y29&gt;15,(MROUND(($Y29*1.6),(VLOOKUP($X29,Übungsübersicht!$E$7:$M$83,3,FALSE)))),IF($Y29&gt;(VLOOKUP($X29,Übungsübersicht!$E$7:$M$83,3,FALSE)),40*(VLOOKUP($X29,Übungsübersicht!$E$7:$M$83,3,FALSE)),""))))))),50*(VLOOKUP($X29,Übungsübersicht!$E$7:$M$83,3,FALSE)))</f>
        <v>115</v>
      </c>
      <c r="AN29" s="652">
        <f ca="1">MROUND(INDEX(OFFSET(Zyklus!$M$13,26,0),1),(IF(VLOOKUP($X29,Übungsübersicht!$E$7:$K$80,3)=0,0.1,(VLOOKUP($X29,Übungsübersicht!$E$7:$K$80,3)))))</f>
        <v>65</v>
      </c>
      <c r="AP29" s="655">
        <f ca="1">IFERROR(IF(IF(VLOOKUP($X29,Zyklus!$A$14:$U$68,9,FALSE)=0,"RPE 8",IF(VLOOKUP($X29,Übungsübersicht!$E$7:$M$83,3,FALSE)&lt;0.5,($AN29)-(3*0.5),(($AN29)-(3*(VLOOKUP($X29,Übungsübersicht!$E$7:$M$83,3,FALSE))))))&lt;1,0,(IF(VLOOKUP($X29,Zyklus!$A$14:$U$68,9,FALSE)=0,"RPE 8",IF(VLOOKUP($X29,Übungsübersicht!$E$7:$M$83,3,FALSE)&lt;0.5,($AN29)-(3*0.5),(($AN29)-(3*(VLOOKUP($X29,Übungsübersicht!$E$7:$M$83,3,FALSE)))))))),"RPE 8")</f>
        <v>50</v>
      </c>
      <c r="AQ29" s="655">
        <f ca="1">IFERROR(IF(IF(VLOOKUP($X29,Zyklus!$A$14:$U$68,9,FALSE)=0,"RPE 8",IF(VLOOKUP($X29,Übungsübersicht!$E$7:$M$83,3,FALSE)&lt;0.5,($AN29)-(2*0.5),(($AN29)-(2*(VLOOKUP($X29,Übungsübersicht!$E$7:$M$83,3,FALSE))))))&lt;1,0,(IF(VLOOKUP($X29,Zyklus!$A$14:$U$68,9,FALSE)=0,"RPE 8",IF(VLOOKUP($X29,Übungsübersicht!$E$7:$M$83,3,FALSE)&lt;0.5,($AN29)-(2*0.5),(($AN29)-(2*(VLOOKUP($X29,Übungsübersicht!$E$7:$M$83,3,FALSE)))))))),"RPE 8")</f>
        <v>55</v>
      </c>
      <c r="AR29" s="655">
        <f ca="1">IFERROR(IF(IF(VLOOKUP($X29,Zyklus!$A$14:$U$68,9,FALSE)=0,"RPE 8",IF(VLOOKUP($X29,Übungsübersicht!$E$7:$M$83,3,FALSE)&lt;0.5,($AN29)-(1*0.5),(($Y29)-(1*(VLOOKUP($X29,Übungsübersicht!$E$7:$M$83,3,FALSE))))))&lt;1,0,(IF(VLOOKUP($X29,Zyklus!$A$14:$U$68,9,FALSE)=0,"RPE 8",IF(VLOOKUP($X29,Übungsübersicht!$E$7:$M$83,3,FALSE)&lt;0.5,($AN29)-(1*0.5),(($Y29)-(1*(VLOOKUP($X29,Übungsübersicht!$E$7:$M$83,3,FALSE)))))))),"RPE 8")</f>
        <v>60</v>
      </c>
      <c r="AS29" s="655">
        <f t="shared" ca="1" si="0"/>
        <v>65</v>
      </c>
      <c r="AT29" s="655">
        <f ca="1">IFERROR(IF(VLOOKUP($X29,Zyklus!$A$14:$U$68,9,FALSE)=0,"RPE 8",IF(VLOOKUP($X29,Übungsübersicht!$E$7:$M$83,3,FALSE)&lt;0.5,($AN29)+(1*0.5),(($Y29)+(1*(VLOOKUP($X29,Übungsübersicht!$E$7:$M$83,3,FALSE)))))),"RPE 8")</f>
        <v>70</v>
      </c>
      <c r="AU29" s="655">
        <f ca="1">IFERROR(IF(VLOOKUP($X29,Zyklus!$A$14:$U$68,9,FALSE)=0,"RPE 8",IF(VLOOKUP($X29,Übungsübersicht!$E$7:$M$83,3,FALSE)&lt;0.5,($AN29)+(2*0.5),(($AN29)+(2*(VLOOKUP($X29,Übungsübersicht!$E$7:$M$83,3,FALSE)))))),"RPE 8")</f>
        <v>75</v>
      </c>
      <c r="AV29" s="655">
        <f ca="1">IFERROR(IF(VLOOKUP($X29,Zyklus!$A$14:$U$68,9,FALSE)=0,"RPE 8",IF(VLOOKUP($X29,Übungsübersicht!$E$7:$M$83,3,FALSE)&lt;0.5,($AN29)+(3*0.5),(($AN29)+(3*(VLOOKUP($X29,Übungsübersicht!$E$7:$M$83,3,FALSE)))))),"RPE 8")</f>
        <v>80</v>
      </c>
      <c r="AY29" s="652">
        <f ca="1">MROUND(INDEX(OFFSET(Zyklus!$M$13,26,0),1),(IF(VLOOKUP($X29,Übungsübersicht!$E$7:$K$80,3)=0,0.1,(VLOOKUP($X29,Übungsübersicht!$E$7:$K$80,3)))))</f>
        <v>65</v>
      </c>
      <c r="BA29" s="655">
        <f ca="1">MROUND(INDEX(OFFSET(Zyklus!$Q$13,26,0),1),(IF(VLOOKUP($X29,Übungsübersicht!$E$7:$K$80,3)=0,0.1,(VLOOKUP($X29,Übungsübersicht!$E$7:$K$80,3)))))</f>
        <v>65</v>
      </c>
      <c r="BC29" s="655">
        <f ca="1">IFERROR(IF(IF(VLOOKUP($X29,Zyklus!$A$14:$U$68,9,FALSE)=0,"RPE 9",IF(VLOOKUP($X29,Übungsübersicht!$E$7:$M$83,3,FALSE)&lt;0.5,($BA29)-(3*0.5),(($BA29)-(3*(VLOOKUP($X29,Übungsübersicht!$E$7:$M$83,3,FALSE))))))&lt;1,0,(IF(VLOOKUP($X29,Zyklus!$A$14:$U$68,9,FALSE)=0,"RPE 9",IF(VLOOKUP($X29,Übungsübersicht!$E$7:$M$83,3,FALSE)&lt;0.5,($BA29)-(3*0.5),(($BA29)-(3*(VLOOKUP($X29,Übungsübersicht!$E$7:$M$83,3,FALSE)))))))),"RPE 9")</f>
        <v>50</v>
      </c>
      <c r="BD29" s="655">
        <f ca="1">IFERROR(IF(IF(VLOOKUP($X29,Zyklus!$A$14:$U$68,9,FALSE)=0,"RPE 9",IF(VLOOKUP($X29,Übungsübersicht!$E$7:$M$83,3,FALSE)&lt;0.5,($BA29)-(2*0.5),(($BA29)-(2*(VLOOKUP($X29,Übungsübersicht!$E$7:$M$83,3,FALSE))))))&lt;1,0,(IF(VLOOKUP($X29,Zyklus!$A$14:$U$68,9,FALSE)=0,"RPE 9",IF(VLOOKUP($X29,Übungsübersicht!$E$7:$M$83,3,FALSE)&lt;0.5,($BA29)-(2*0.5),(($BA29)-(2*(VLOOKUP($X29,Übungsübersicht!$E$7:$M$83,3,FALSE)))))))),"RPE 9")</f>
        <v>55</v>
      </c>
      <c r="BE29" s="655">
        <f ca="1">IFERROR(IF(IF(VLOOKUP($X29,Zyklus!$A$14:$U$68,9,FALSE)=0,"RPE 9",IF(VLOOKUP($X29,Übungsübersicht!$E$7:$M$83,3,FALSE)&lt;0.5,($BA29)-(1*0.5),(($Y29)-(1*(VLOOKUP($X29,Übungsübersicht!$E$7:$M$83,3,FALSE))))))&lt;1,0,(IF(VLOOKUP($X29,Zyklus!$A$14:$U$68,9,FALSE)=0,"RPE 9",IF(VLOOKUP($X29,Übungsübersicht!$E$7:$M$83,3,FALSE)&lt;0.5,($BA29)-(1*0.5),(($Y29)-(1*(VLOOKUP($X29,Übungsübersicht!$E$7:$M$83,3,FALSE)))))))),"RPE 9")</f>
        <v>60</v>
      </c>
      <c r="BF29" s="655">
        <f t="shared" ca="1" si="1"/>
        <v>65</v>
      </c>
      <c r="BG29" s="655">
        <f ca="1">IFERROR(IF(VLOOKUP($X29,Zyklus!$A$14:$U$68,9,FALSE)=0,"RPE 9",IF(VLOOKUP($X29,Übungsübersicht!$E$7:$M$83,3,FALSE)&lt;0.5,($AY29)+(1*0.5),(($AY29)+(1*(VLOOKUP($X29,Übungsübersicht!$E$7:$M$83,3,FALSE)))))),"RPE 9")</f>
        <v>70</v>
      </c>
      <c r="BH29" s="655">
        <f ca="1">IFERROR(IF(VLOOKUP($X29,Zyklus!$A$14:$U$68,9,FALSE)=0,"RPE 9",IF(VLOOKUP($X29,Übungsübersicht!$E$7:$M$83,3,FALSE)&lt;0.5,($BA29)+(2*0.5),(($BA29)+(2*(VLOOKUP($X29,Übungsübersicht!$E$7:$M$83,3,FALSE)))))),"RPE 9")</f>
        <v>75</v>
      </c>
      <c r="BI29" s="655">
        <f ca="1">IFERROR(IF(VLOOKUP($X29,Zyklus!$A$14:$U$68,9,FALSE)=0,"RPE 9",IF(VLOOKUP($X29,Übungsübersicht!$E$7:$M$83,3,FALSE)&lt;0.5,($BA29)+(3*0.5),(($BA29)+(3*(VLOOKUP($X29,Übungsübersicht!$E$7:$M$83,3,FALSE)))))),"RPE 9")</f>
        <v>80</v>
      </c>
    </row>
    <row r="30" spans="1:61" ht="30" customHeight="1">
      <c r="B30" s="868" t="str">
        <f>IF(4&lt;=VALUE(LEFT(Dashboard!$C$31,1)),"Woche 4","")</f>
        <v>Woche 4</v>
      </c>
      <c r="D30" s="324">
        <v>9</v>
      </c>
      <c r="E30" s="325">
        <f t="shared" si="2"/>
        <v>90.322580645161295</v>
      </c>
      <c r="F30" s="343">
        <f t="shared" si="3"/>
        <v>0.77777777777777779</v>
      </c>
      <c r="H30" s="324">
        <v>9</v>
      </c>
      <c r="I30" s="325">
        <f t="shared" si="5"/>
        <v>92.307692307692307</v>
      </c>
      <c r="J30" s="343">
        <f t="shared" si="4"/>
        <v>0.76923076923076927</v>
      </c>
      <c r="O30" s="1029" t="s">
        <v>402</v>
      </c>
      <c r="P30" s="1029"/>
      <c r="Q30" s="1029"/>
      <c r="R30" s="1029"/>
      <c r="S30" s="1029"/>
      <c r="T30" s="1029"/>
      <c r="U30" s="1029"/>
      <c r="X30" s="654" t="str">
        <f ca="1">INDEX(OFFSET(Zyklus!$A$13,27,0),1)</f>
        <v>Facepulls</v>
      </c>
      <c r="Y30" s="655">
        <f ca="1">MROUND(INDEX(OFFSET(Zyklus!$I$13,27,0),1),(IF(VLOOKUP($X30,Übungsübersicht!$E$7:$K$80,3)=0,0.1,(VLOOKUP($X30,Übungsübersicht!$E$7:$K$80,3)))))</f>
        <v>14</v>
      </c>
      <c r="Z30" s="655"/>
      <c r="AA30" s="655">
        <f ca="1">IFERROR(IF($Y30=0,2*(VLOOKUP($X30,Übungsübersicht!$E$7:$M$83,3,FALSE)),IF($Y30&gt;100,(MROUND(($Y30*0.1),(VLOOKUP($X30,Übungsübersicht!$E$7:$M$83,3,FALSE)))),IF($Y30&gt;80,(MROUND(($Y30*0.1),(VLOOKUP($X30,Übungsübersicht!$E$7:$M$83,3,FALSE)))),IF($Y30&gt;50,(MROUND(($Y30*0.2),(VLOOKUP($X30,Übungsübersicht!$E$7:$M$83,3,FALSE)))),IF($Y30&gt;25,(MROUND(($Y30*0.3),(VLOOKUP($X30,Übungsübersicht!$E$7:$M$83,3,FALSE)))),IF($Y30&gt;15,(MROUND(($Y30*0.4),(VLOOKUP($X30,Übungsübersicht!$E$7:$M$83,3,FALSE)))),IF($Y30&gt;(VLOOKUP($X30,Übungsübersicht!$E$7:$M$83,3,FALSE)),(VLOOKUP($X30,Übungsübersicht!$E$7:$M$83,3,FALSE)),""))))))),2*(VLOOKUP($X30,Übungsübersicht!$E$7:$M$83,3,FALSE)))</f>
        <v>2</v>
      </c>
      <c r="AB30" s="655">
        <f ca="1">IFERROR(IF($Y30=0,4*(VLOOKUP($X30,Übungsübersicht!$E$7:$M$83,3,FALSE)),IF($Y30&gt;100,(MROUND(($Y30*0.3),(VLOOKUP($X30,Übungsübersicht!$E$7:$M$83,3,FALSE)))),IF($Y30&gt;80,(MROUND(($Y30*0.3),(VLOOKUP($X30,Übungsübersicht!$E$7:$M$83,3,FALSE)))),IF($Y30&gt;50,(MROUND(($Y30*0.4),(VLOOKUP($X30,Übungsübersicht!$E$7:$M$83,3,FALSE)))),IF($Y30&gt;25,(MROUND(($Y30*0.5),(VLOOKUP($X30,Übungsübersicht!$E$7:$M$83,3,FALSE)))),IF($Y30&gt;15,(MROUND(($Y30*0.6),(VLOOKUP($X30,Übungsübersicht!$E$7:$M$83,3,FALSE)))),IF($Y30&gt;(VLOOKUP($X30,Übungsübersicht!$E$7:$M$83,3,FALSE)),(VLOOKUP($X30,Übungsübersicht!$E$7:$M$83,3,FALSE)),""))))))),4*(VLOOKUP($X30,Übungsübersicht!$E$7:$M$83,3,FALSE)))</f>
        <v>2</v>
      </c>
      <c r="AC30" s="655">
        <f ca="1">IFERROR((IF($Y30=0,8*(VLOOKUP($X30,Übungsübersicht!$E$7:$M$83,3,FALSE)),(($Y30)-(3*(VLOOKUP($X30,Übungsübersicht!$E$7:$M$83,3,FALSE)))))),8*(VLOOKUP($X30,Übungsübersicht!$E$7:$M$83,3,FALSE)))</f>
        <v>8</v>
      </c>
      <c r="AD30" s="655">
        <f ca="1">IFERROR(((IF($Y30=0,10*(VLOOKUP($X30,Übungsübersicht!$E$7:$M$83,3,FALSE)),($Y30)-(2*(VLOOKUP($X30,Übungsübersicht!$E$7:$M$83,3,FALSE)))))),10*(VLOOKUP($X30,Übungsübersicht!$E$7:$M$83,3,FALSE)))</f>
        <v>10</v>
      </c>
      <c r="AE30" s="655">
        <f ca="1">IFERROR(((IF($Y30=0,10*(VLOOKUP($X30,Übungsübersicht!$E$7:$M$83,3,FALSE)),($Y30)-(1*(VLOOKUP($X30,Übungsübersicht!$E$7:$M$83,3,FALSE)))))),10*(VLOOKUP($X30,Übungsübersicht!$E$7:$M$83,3,FALSE)))</f>
        <v>12</v>
      </c>
      <c r="AF30" s="655">
        <f ca="1">IFERROR(IF($Y30=0,20*(VLOOKUP($X30,Übungsübersicht!$E$7:$M$83,3,FALSE)),($Y30)),20*(VLOOKUP($X30,Übungsübersicht!$E$7:$M$83,3,FALSE)))</f>
        <v>14</v>
      </c>
      <c r="AG30" s="655">
        <f ca="1">IFERROR(IF($Y30=0,30*(VLOOKUP($X30,Übungsübersicht!$E$7:$M$83,3,FALSE)),($Y30)+(1*(VLOOKUP($X30,Übungsübersicht!$E$7:$M$83,3,FALSE)))),30*(VLOOKUP($X30,Übungsübersicht!$E$7:$M$83,3,FALSE)))</f>
        <v>16</v>
      </c>
      <c r="AH30" s="655">
        <f ca="1">IFERROR(IF($Y30=0,30*(VLOOKUP($X30,Übungsübersicht!$E$7:$M$83,3,FALSE)),($Y30)+(2*(VLOOKUP($X30,Übungsübersicht!$E$7:$M$83,3,FALSE)))),30*(VLOOKUP($X30,Übungsübersicht!$E$7:$M$83,3,FALSE)))</f>
        <v>18</v>
      </c>
      <c r="AI30" s="655">
        <f ca="1">IFERROR(IF($Y30=0,30*(VLOOKUP($X30,Übungsübersicht!$E$7:$M$83,3,FALSE)),($Y30)+(3*(VLOOKUP($X30,Übungsübersicht!$E$7:$M$83,3,FALSE)))),30*(VLOOKUP($X30,Übungsübersicht!$E$7:$M$83,3,FALSE)))</f>
        <v>20</v>
      </c>
      <c r="AJ30" s="655">
        <f ca="1">IFERROR(IF($Y30=0,40*(VLOOKUP($X30,Übungsübersicht!$E$7:$M$83,3,FALSE)),IF($Y30&gt;100,(MROUND(($Y30*1.7),(VLOOKUP($X30,Übungsübersicht!$E$7:$M$83,3,FALSE)))),IF($Y30&gt;80,(MROUND(($Y30*1.7),(VLOOKUP($X30,Übungsübersicht!$E$7:$M$83,3,FALSE)))),IF($Y30&gt;50,(MROUND(($Y30*1.6),(VLOOKUP($X30,Übungsübersicht!$E$7:$M$83,3,FALSE)))),IF($Y30&gt;25,(MROUND(($Y30*1.5),(VLOOKUP($X30,Übungsübersicht!$E$7:$M$83,3,FALSE)))),IF($Y30&gt;15,(MROUND(($Y30*1.4),(VLOOKUP($X30,Übungsübersicht!$E$7:$M$83,3,FALSE)))),IF($Y30&gt;(VLOOKUP($X30,Übungsübersicht!$E$7:$M$83,3,FALSE)),30*(VLOOKUP($X30,Übungsübersicht!$E$7:$M$83,3,FALSE)),""))))))),40*(VLOOKUP($X30,Übungsübersicht!$E$7:$M$83,3,FALSE)))</f>
        <v>60</v>
      </c>
      <c r="AK30" s="656">
        <f ca="1">IFERROR(IF($Y30=0,50*(VLOOKUP($X30,Übungsübersicht!$E$7:$M$83,3,FALSE)),IF($Y30&gt;100,(MROUND(($Y30*1.9),(VLOOKUP($X30,Übungsübersicht!$E$7:$M$83,3,FALSE)))),IF($Y30&gt;80,(MROUND(($Y30*1.9),(VLOOKUP($X30,Übungsübersicht!$E$7:$M$83,3,FALSE)))),IF($Y30&gt;50,(MROUND(($Y30*1.8),(VLOOKUP($X30,Übungsübersicht!$E$7:$M$83,3,FALSE)))),IF($Y30&gt;25,(MROUND(($Y30*1.7),(VLOOKUP($X30,Übungsübersicht!$E$7:$M$83,3,FALSE)))),IF($Y30&gt;15,(MROUND(($Y30*1.6),(VLOOKUP($X30,Übungsübersicht!$E$7:$M$83,3,FALSE)))),IF($Y30&gt;(VLOOKUP($X30,Übungsübersicht!$E$7:$M$83,3,FALSE)),40*(VLOOKUP($X30,Übungsübersicht!$E$7:$M$83,3,FALSE)),""))))))),50*(VLOOKUP($X30,Übungsübersicht!$E$7:$M$83,3,FALSE)))</f>
        <v>80</v>
      </c>
      <c r="AN30" s="655">
        <f ca="1">MROUND(INDEX(OFFSET(Zyklus!$M$13,27,0),1),(IF(VLOOKUP($X30,Übungsübersicht!$E$7:$K$80,3)=0,0.1,(VLOOKUP($X30,Übungsübersicht!$E$7:$K$80,3)))))</f>
        <v>14</v>
      </c>
      <c r="AP30" s="652">
        <f ca="1">IFERROR(IF(IF(VLOOKUP($X30,Zyklus!$A$14:$U$68,9,FALSE)=0,"RPE 8",IF(VLOOKUP($X30,Übungsübersicht!$E$7:$M$83,3,FALSE)&lt;0.5,($AN30)-(3*0.5),(($AN30)-(3*(VLOOKUP($X30,Übungsübersicht!$E$7:$M$83,3,FALSE))))))&lt;1,0,(IF(VLOOKUP($X30,Zyklus!$A$14:$U$68,9,FALSE)=0,"RPE 8",IF(VLOOKUP($X30,Übungsübersicht!$E$7:$M$83,3,FALSE)&lt;0.5,($AN30)-(3*0.5),(($AN30)-(3*(VLOOKUP($X30,Übungsübersicht!$E$7:$M$83,3,FALSE)))))))),"RPE 8")</f>
        <v>8</v>
      </c>
      <c r="AQ30" s="652">
        <f ca="1">IFERROR(IF(IF(VLOOKUP($X30,Zyklus!$A$14:$U$68,9,FALSE)=0,"RPE 8",IF(VLOOKUP($X30,Übungsübersicht!$E$7:$M$83,3,FALSE)&lt;0.5,($AN30)-(2*0.5),(($AN30)-(2*(VLOOKUP($X30,Übungsübersicht!$E$7:$M$83,3,FALSE))))))&lt;1,0,(IF(VLOOKUP($X30,Zyklus!$A$14:$U$68,9,FALSE)=0,"RPE 8",IF(VLOOKUP($X30,Übungsübersicht!$E$7:$M$83,3,FALSE)&lt;0.5,($AN30)-(2*0.5),(($AN30)-(2*(VLOOKUP($X30,Übungsübersicht!$E$7:$M$83,3,FALSE)))))))),"RPE 8")</f>
        <v>10</v>
      </c>
      <c r="AR30" s="652">
        <f ca="1">IFERROR(IF(IF(VLOOKUP($X30,Zyklus!$A$14:$U$68,9,FALSE)=0,"RPE 8",IF(VLOOKUP($X30,Übungsübersicht!$E$7:$M$83,3,FALSE)&lt;0.5,($AN30)-(1*0.5),(($Y30)-(1*(VLOOKUP($X30,Übungsübersicht!$E$7:$M$83,3,FALSE))))))&lt;1,0,(IF(VLOOKUP($X30,Zyklus!$A$14:$U$68,9,FALSE)=0,"RPE 8",IF(VLOOKUP($X30,Übungsübersicht!$E$7:$M$83,3,FALSE)&lt;0.5,($AN30)-(1*0.5),(($Y30)-(1*(VLOOKUP($X30,Übungsübersicht!$E$7:$M$83,3,FALSE)))))))),"RPE 8")</f>
        <v>12</v>
      </c>
      <c r="AS30" s="652">
        <f t="shared" ca="1" si="0"/>
        <v>14</v>
      </c>
      <c r="AT30" s="652">
        <f ca="1">IFERROR(IF(VLOOKUP($X30,Zyklus!$A$14:$U$68,9,FALSE)=0,"RPE 8",IF(VLOOKUP($X30,Übungsübersicht!$E$7:$M$83,3,FALSE)&lt;0.5,($AN30)+(1*0.5),(($Y30)+(1*(VLOOKUP($X30,Übungsübersicht!$E$7:$M$83,3,FALSE)))))),"RPE 8")</f>
        <v>16</v>
      </c>
      <c r="AU30" s="652">
        <f ca="1">IFERROR(IF(VLOOKUP($X30,Zyklus!$A$14:$U$68,9,FALSE)=0,"RPE 8",IF(VLOOKUP($X30,Übungsübersicht!$E$7:$M$83,3,FALSE)&lt;0.5,($AN30)+(2*0.5),(($AN30)+(2*(VLOOKUP($X30,Übungsübersicht!$E$7:$M$83,3,FALSE)))))),"RPE 8")</f>
        <v>18</v>
      </c>
      <c r="AV30" s="652">
        <f ca="1">IFERROR(IF(VLOOKUP($X30,Zyklus!$A$14:$U$68,9,FALSE)=0,"RPE 8",IF(VLOOKUP($X30,Übungsübersicht!$E$7:$M$83,3,FALSE)&lt;0.5,($AN30)+(3*0.5),(($AN30)+(3*(VLOOKUP($X30,Übungsübersicht!$E$7:$M$83,3,FALSE)))))),"RPE 8")</f>
        <v>20</v>
      </c>
      <c r="AY30" s="655">
        <f ca="1">MROUND(INDEX(OFFSET(Zyklus!$M$13,27,0),1),(IF(VLOOKUP($X30,Übungsübersicht!$E$7:$K$80,3)=0,0.1,(VLOOKUP($X30,Übungsübersicht!$E$7:$K$80,3)))))</f>
        <v>14</v>
      </c>
      <c r="BA30" s="652">
        <f ca="1">MROUND(INDEX(OFFSET(Zyklus!$Q$13,27,0),1),(IF(VLOOKUP($X30,Übungsübersicht!$E$7:$K$80,3)=0,0.1,(VLOOKUP($X30,Übungsübersicht!$E$7:$K$80,3)))))</f>
        <v>14</v>
      </c>
      <c r="BC30" s="652">
        <f ca="1">IFERROR(IF(IF(VLOOKUP($X30,Zyklus!$A$14:$U$68,9,FALSE)=0,"RPE 9",IF(VLOOKUP($X30,Übungsübersicht!$E$7:$M$83,3,FALSE)&lt;0.5,($BA30)-(3*0.5),(($BA30)-(3*(VLOOKUP($X30,Übungsübersicht!$E$7:$M$83,3,FALSE))))))&lt;1,0,(IF(VLOOKUP($X30,Zyklus!$A$14:$U$68,9,FALSE)=0,"RPE 9",IF(VLOOKUP($X30,Übungsübersicht!$E$7:$M$83,3,FALSE)&lt;0.5,($BA30)-(3*0.5),(($BA30)-(3*(VLOOKUP($X30,Übungsübersicht!$E$7:$M$83,3,FALSE)))))))),"RPE 9")</f>
        <v>8</v>
      </c>
      <c r="BD30" s="652">
        <f ca="1">IFERROR(IF(IF(VLOOKUP($X30,Zyklus!$A$14:$U$68,9,FALSE)=0,"RPE 9",IF(VLOOKUP($X30,Übungsübersicht!$E$7:$M$83,3,FALSE)&lt;0.5,($BA30)-(2*0.5),(($BA30)-(2*(VLOOKUP($X30,Übungsübersicht!$E$7:$M$83,3,FALSE))))))&lt;1,0,(IF(VLOOKUP($X30,Zyklus!$A$14:$U$68,9,FALSE)=0,"RPE 9",IF(VLOOKUP($X30,Übungsübersicht!$E$7:$M$83,3,FALSE)&lt;0.5,($BA30)-(2*0.5),(($BA30)-(2*(VLOOKUP($X30,Übungsübersicht!$E$7:$M$83,3,FALSE)))))))),"RPE 9")</f>
        <v>10</v>
      </c>
      <c r="BE30" s="652">
        <f ca="1">IFERROR(IF(IF(VLOOKUP($X30,Zyklus!$A$14:$U$68,9,FALSE)=0,"RPE 9",IF(VLOOKUP($X30,Übungsübersicht!$E$7:$M$83,3,FALSE)&lt;0.5,($BA30)-(1*0.5),(($Y30)-(1*(VLOOKUP($X30,Übungsübersicht!$E$7:$M$83,3,FALSE))))))&lt;1,0,(IF(VLOOKUP($X30,Zyklus!$A$14:$U$68,9,FALSE)=0,"RPE 9",IF(VLOOKUP($X30,Übungsübersicht!$E$7:$M$83,3,FALSE)&lt;0.5,($BA30)-(1*0.5),(($Y30)-(1*(VLOOKUP($X30,Übungsübersicht!$E$7:$M$83,3,FALSE)))))))),"RPE 9")</f>
        <v>12</v>
      </c>
      <c r="BF30" s="652">
        <f t="shared" ca="1" si="1"/>
        <v>14</v>
      </c>
      <c r="BG30" s="652">
        <f ca="1">IFERROR(IF(VLOOKUP($X30,Zyklus!$A$14:$U$68,9,FALSE)=0,"RPE 9",IF(VLOOKUP($X30,Übungsübersicht!$E$7:$M$83,3,FALSE)&lt;0.5,($AY30)+(1*0.5),(($AY30)+(1*(VLOOKUP($X30,Übungsübersicht!$E$7:$M$83,3,FALSE)))))),"RPE 9")</f>
        <v>16</v>
      </c>
      <c r="BH30" s="652">
        <f ca="1">IFERROR(IF(VLOOKUP($X30,Zyklus!$A$14:$U$68,9,FALSE)=0,"RPE 9",IF(VLOOKUP($X30,Übungsübersicht!$E$7:$M$83,3,FALSE)&lt;0.5,($BA30)+(2*0.5),(($BA30)+(2*(VLOOKUP($X30,Übungsübersicht!$E$7:$M$83,3,FALSE)))))),"RPE 9")</f>
        <v>18</v>
      </c>
      <c r="BI30" s="652">
        <f ca="1">IFERROR(IF(VLOOKUP($X30,Zyklus!$A$14:$U$68,9,FALSE)=0,"RPE 9",IF(VLOOKUP($X30,Übungsübersicht!$E$7:$M$83,3,FALSE)&lt;0.5,($BA30)+(3*0.5),(($BA30)+(3*(VLOOKUP($X30,Übungsübersicht!$E$7:$M$83,3,FALSE)))))),"RPE 9")</f>
        <v>20</v>
      </c>
    </row>
    <row r="31" spans="1:61" ht="30" customHeight="1">
      <c r="B31" s="868" t="str">
        <f>IF(5&lt;=VALUE(LEFT(Dashboard!$C$31,1)),"Woche 5","")</f>
        <v>Woche 5</v>
      </c>
      <c r="D31" s="326">
        <v>10</v>
      </c>
      <c r="E31" s="323">
        <f t="shared" si="2"/>
        <v>87.096774193548399</v>
      </c>
      <c r="F31" s="344">
        <f t="shared" si="3"/>
        <v>0.75</v>
      </c>
      <c r="H31" s="326">
        <v>10</v>
      </c>
      <c r="I31" s="323">
        <f t="shared" si="5"/>
        <v>90</v>
      </c>
      <c r="J31" s="344">
        <f t="shared" si="4"/>
        <v>0.75</v>
      </c>
      <c r="X31" s="651" t="str">
        <f ca="1">INDEX(OFFSET(Zyklus!$A$13,28,0),1)</f>
        <v>Cable Push Down</v>
      </c>
      <c r="Y31" s="652">
        <f ca="1">MROUND(INDEX(OFFSET(Zyklus!$I$13,28,0),1),(IF(VLOOKUP($X31,Übungsübersicht!$E$7:$K$80,3)=0,0.1,(VLOOKUP($X31,Übungsübersicht!$E$7:$K$80,3)))))</f>
        <v>32.5</v>
      </c>
      <c r="Z31" s="652"/>
      <c r="AA31" s="652">
        <f ca="1">IFERROR(IF($Y31=0,2*(VLOOKUP($X31,Übungsübersicht!$E$7:$M$83,3,FALSE)),IF($Y31&gt;100,(MROUND(($Y31*0.1),(VLOOKUP($X31,Übungsübersicht!$E$7:$M$83,3,FALSE)))),IF($Y31&gt;80,(MROUND(($Y31*0.1),(VLOOKUP($X31,Übungsübersicht!$E$7:$M$83,3,FALSE)))),IF($Y31&gt;50,(MROUND(($Y31*0.2),(VLOOKUP($X31,Übungsübersicht!$E$7:$M$83,3,FALSE)))),IF($Y31&gt;25,(MROUND(($Y31*0.3),(VLOOKUP($X31,Übungsübersicht!$E$7:$M$83,3,FALSE)))),IF($Y31&gt;15,(MROUND(($Y31*0.4),(VLOOKUP($X31,Übungsübersicht!$E$7:$M$83,3,FALSE)))),IF($Y31&gt;(VLOOKUP($X31,Übungsübersicht!$E$7:$M$83,3,FALSE)),(VLOOKUP($X31,Übungsübersicht!$E$7:$M$83,3,FALSE)),""))))))),2*(VLOOKUP($X31,Übungsübersicht!$E$7:$M$83,3,FALSE)))</f>
        <v>10</v>
      </c>
      <c r="AB31" s="652">
        <f ca="1">IFERROR(IF($Y31=0,4*(VLOOKUP($X31,Übungsübersicht!$E$7:$M$83,3,FALSE)),IF($Y31&gt;100,(MROUND(($Y31*0.3),(VLOOKUP($X31,Übungsübersicht!$E$7:$M$83,3,FALSE)))),IF($Y31&gt;80,(MROUND(($Y31*0.3),(VLOOKUP($X31,Übungsübersicht!$E$7:$M$83,3,FALSE)))),IF($Y31&gt;50,(MROUND(($Y31*0.4),(VLOOKUP($X31,Übungsübersicht!$E$7:$M$83,3,FALSE)))),IF($Y31&gt;25,(MROUND(($Y31*0.5),(VLOOKUP($X31,Übungsübersicht!$E$7:$M$83,3,FALSE)))),IF($Y31&gt;15,(MROUND(($Y31*0.6),(VLOOKUP($X31,Übungsübersicht!$E$7:$M$83,3,FALSE)))),IF($Y31&gt;(VLOOKUP($X31,Übungsübersicht!$E$7:$M$83,3,FALSE)),(VLOOKUP($X31,Übungsübersicht!$E$7:$M$83,3,FALSE)),""))))))),4*(VLOOKUP($X31,Übungsübersicht!$E$7:$M$83,3,FALSE)))</f>
        <v>17.5</v>
      </c>
      <c r="AC31" s="652">
        <f ca="1">IFERROR((IF($Y31=0,8*(VLOOKUP($X31,Übungsübersicht!$E$7:$M$83,3,FALSE)),(($Y31)-(3*(VLOOKUP($X31,Übungsübersicht!$E$7:$M$83,3,FALSE)))))),8*(VLOOKUP($X31,Übungsübersicht!$E$7:$M$83,3,FALSE)))</f>
        <v>25</v>
      </c>
      <c r="AD31" s="652">
        <f ca="1">IFERROR(((IF($Y31=0,10*(VLOOKUP($X31,Übungsübersicht!$E$7:$M$83,3,FALSE)),($Y31)-(2*(VLOOKUP($X31,Übungsübersicht!$E$7:$M$83,3,FALSE)))))),10*(VLOOKUP($X31,Übungsübersicht!$E$7:$M$83,3,FALSE)))</f>
        <v>27.5</v>
      </c>
      <c r="AE31" s="652">
        <f ca="1">IFERROR(((IF($Y31=0,10*(VLOOKUP($X31,Übungsübersicht!$E$7:$M$83,3,FALSE)),($Y31)-(1*(VLOOKUP($X31,Übungsübersicht!$E$7:$M$83,3,FALSE)))))),10*(VLOOKUP($X31,Übungsübersicht!$E$7:$M$83,3,FALSE)))</f>
        <v>30</v>
      </c>
      <c r="AF31" s="652">
        <f ca="1">IFERROR(IF($Y31=0,20*(VLOOKUP($X31,Übungsübersicht!$E$7:$M$83,3,FALSE)),($Y31)),20*(VLOOKUP($X31,Übungsübersicht!$E$7:$M$83,3,FALSE)))</f>
        <v>32.5</v>
      </c>
      <c r="AG31" s="652">
        <f ca="1">IFERROR(IF($Y31=0,30*(VLOOKUP($X31,Übungsübersicht!$E$7:$M$83,3,FALSE)),($Y31)+(1*(VLOOKUP($X31,Übungsübersicht!$E$7:$M$83,3,FALSE)))),30*(VLOOKUP($X31,Übungsübersicht!$E$7:$M$83,3,FALSE)))</f>
        <v>35</v>
      </c>
      <c r="AH31" s="652">
        <f ca="1">IFERROR(IF($Y31=0,30*(VLOOKUP($X31,Übungsübersicht!$E$7:$M$83,3,FALSE)),($Y31)+(2*(VLOOKUP($X31,Übungsübersicht!$E$7:$M$83,3,FALSE)))),30*(VLOOKUP($X31,Übungsübersicht!$E$7:$M$83,3,FALSE)))</f>
        <v>37.5</v>
      </c>
      <c r="AI31" s="652">
        <f ca="1">IFERROR(IF($Y31=0,30*(VLOOKUP($X31,Übungsübersicht!$E$7:$M$83,3,FALSE)),($Y31)+(3*(VLOOKUP($X31,Übungsübersicht!$E$7:$M$83,3,FALSE)))),30*(VLOOKUP($X31,Übungsübersicht!$E$7:$M$83,3,FALSE)))</f>
        <v>40</v>
      </c>
      <c r="AJ31" s="652">
        <f ca="1">IFERROR(IF($Y31=0,40*(VLOOKUP($X31,Übungsübersicht!$E$7:$M$83,3,FALSE)),IF($Y31&gt;100,(MROUND(($Y31*1.7),(VLOOKUP($X31,Übungsübersicht!$E$7:$M$83,3,FALSE)))),IF($Y31&gt;80,(MROUND(($Y31*1.7),(VLOOKUP($X31,Übungsübersicht!$E$7:$M$83,3,FALSE)))),IF($Y31&gt;50,(MROUND(($Y31*1.6),(VLOOKUP($X31,Übungsübersicht!$E$7:$M$83,3,FALSE)))),IF($Y31&gt;25,(MROUND(($Y31*1.5),(VLOOKUP($X31,Übungsübersicht!$E$7:$M$83,3,FALSE)))),IF($Y31&gt;15,(MROUND(($Y31*1.4),(VLOOKUP($X31,Übungsübersicht!$E$7:$M$83,3,FALSE)))),IF($Y31&gt;(VLOOKUP($X31,Übungsübersicht!$E$7:$M$83,3,FALSE)),30*(VLOOKUP($X31,Übungsübersicht!$E$7:$M$83,3,FALSE)),""))))))),40*(VLOOKUP($X31,Übungsübersicht!$E$7:$M$83,3,FALSE)))</f>
        <v>50</v>
      </c>
      <c r="AK31" s="653">
        <f ca="1">IFERROR(IF($Y31=0,50*(VLOOKUP($X31,Übungsübersicht!$E$7:$M$83,3,FALSE)),IF($Y31&gt;100,(MROUND(($Y31*1.9),(VLOOKUP($X31,Übungsübersicht!$E$7:$M$83,3,FALSE)))),IF($Y31&gt;80,(MROUND(($Y31*1.9),(VLOOKUP($X31,Übungsübersicht!$E$7:$M$83,3,FALSE)))),IF($Y31&gt;50,(MROUND(($Y31*1.8),(VLOOKUP($X31,Übungsübersicht!$E$7:$M$83,3,FALSE)))),IF($Y31&gt;25,(MROUND(($Y31*1.7),(VLOOKUP($X31,Übungsübersicht!$E$7:$M$83,3,FALSE)))),IF($Y31&gt;15,(MROUND(($Y31*1.6),(VLOOKUP($X31,Übungsübersicht!$E$7:$M$83,3,FALSE)))),IF($Y31&gt;(VLOOKUP($X31,Übungsübersicht!$E$7:$M$83,3,FALSE)),40*(VLOOKUP($X31,Übungsübersicht!$E$7:$M$83,3,FALSE)),""))))))),50*(VLOOKUP($X31,Übungsübersicht!$E$7:$M$83,3,FALSE)))</f>
        <v>55</v>
      </c>
      <c r="AN31" s="652">
        <f ca="1">MROUND(INDEX(OFFSET(Zyklus!$M$13,28,0),1),(IF(VLOOKUP($X31,Übungsübersicht!$E$7:$K$80,3)=0,0.1,(VLOOKUP($X31,Übungsübersicht!$E$7:$K$80,3)))))</f>
        <v>32.5</v>
      </c>
      <c r="AP31" s="655">
        <f ca="1">IFERROR(IF(IF(VLOOKUP($X31,Zyklus!$A$14:$U$68,9,FALSE)=0,"RPE 8",IF(VLOOKUP($X31,Übungsübersicht!$E$7:$M$83,3,FALSE)&lt;0.5,($AN31)-(3*0.5),(($AN31)-(3*(VLOOKUP($X31,Übungsübersicht!$E$7:$M$83,3,FALSE))))))&lt;1,0,(IF(VLOOKUP($X31,Zyklus!$A$14:$U$68,9,FALSE)=0,"RPE 8",IF(VLOOKUP($X31,Übungsübersicht!$E$7:$M$83,3,FALSE)&lt;0.5,($AN31)-(3*0.5),(($AN31)-(3*(VLOOKUP($X31,Übungsübersicht!$E$7:$M$83,3,FALSE)))))))),"RPE 8")</f>
        <v>25</v>
      </c>
      <c r="AQ31" s="655">
        <f ca="1">IFERROR(IF(IF(VLOOKUP($X31,Zyklus!$A$14:$U$68,9,FALSE)=0,"RPE 8",IF(VLOOKUP($X31,Übungsübersicht!$E$7:$M$83,3,FALSE)&lt;0.5,($AN31)-(2*0.5),(($AN31)-(2*(VLOOKUP($X31,Übungsübersicht!$E$7:$M$83,3,FALSE))))))&lt;1,0,(IF(VLOOKUP($X31,Zyklus!$A$14:$U$68,9,FALSE)=0,"RPE 8",IF(VLOOKUP($X31,Übungsübersicht!$E$7:$M$83,3,FALSE)&lt;0.5,($AN31)-(2*0.5),(($AN31)-(2*(VLOOKUP($X31,Übungsübersicht!$E$7:$M$83,3,FALSE)))))))),"RPE 8")</f>
        <v>27.5</v>
      </c>
      <c r="AR31" s="655">
        <f ca="1">IFERROR(IF(IF(VLOOKUP($X31,Zyklus!$A$14:$U$68,9,FALSE)=0,"RPE 8",IF(VLOOKUP($X31,Übungsübersicht!$E$7:$M$83,3,FALSE)&lt;0.5,($AN31)-(1*0.5),(($Y31)-(1*(VLOOKUP($X31,Übungsübersicht!$E$7:$M$83,3,FALSE))))))&lt;1,0,(IF(VLOOKUP($X31,Zyklus!$A$14:$U$68,9,FALSE)=0,"RPE 8",IF(VLOOKUP($X31,Übungsübersicht!$E$7:$M$83,3,FALSE)&lt;0.5,($AN31)-(1*0.5),(($Y31)-(1*(VLOOKUP($X31,Übungsübersicht!$E$7:$M$83,3,FALSE)))))))),"RPE 8")</f>
        <v>30</v>
      </c>
      <c r="AS31" s="655">
        <f t="shared" ca="1" si="0"/>
        <v>32.5</v>
      </c>
      <c r="AT31" s="655">
        <f ca="1">IFERROR(IF(VLOOKUP($X31,Zyklus!$A$14:$U$68,9,FALSE)=0,"RPE 8",IF(VLOOKUP($X31,Übungsübersicht!$E$7:$M$83,3,FALSE)&lt;0.5,($AN31)+(1*0.5),(($Y31)+(1*(VLOOKUP($X31,Übungsübersicht!$E$7:$M$83,3,FALSE)))))),"RPE 8")</f>
        <v>35</v>
      </c>
      <c r="AU31" s="655">
        <f ca="1">IFERROR(IF(VLOOKUP($X31,Zyklus!$A$14:$U$68,9,FALSE)=0,"RPE 8",IF(VLOOKUP($X31,Übungsübersicht!$E$7:$M$83,3,FALSE)&lt;0.5,($AN31)+(2*0.5),(($AN31)+(2*(VLOOKUP($X31,Übungsübersicht!$E$7:$M$83,3,FALSE)))))),"RPE 8")</f>
        <v>37.5</v>
      </c>
      <c r="AV31" s="655">
        <f ca="1">IFERROR(IF(VLOOKUP($X31,Zyklus!$A$14:$U$68,9,FALSE)=0,"RPE 8",IF(VLOOKUP($X31,Übungsübersicht!$E$7:$M$83,3,FALSE)&lt;0.5,($AN31)+(3*0.5),(($AN31)+(3*(VLOOKUP($X31,Übungsübersicht!$E$7:$M$83,3,FALSE)))))),"RPE 8")</f>
        <v>40</v>
      </c>
      <c r="AY31" s="652">
        <f ca="1">MROUND(INDEX(OFFSET(Zyklus!$M$13,28,0),1),(IF(VLOOKUP($X31,Übungsübersicht!$E$7:$K$80,3)=0,0.1,(VLOOKUP($X31,Übungsübersicht!$E$7:$K$80,3)))))</f>
        <v>32.5</v>
      </c>
      <c r="BA31" s="655">
        <f ca="1">MROUND(INDEX(OFFSET(Zyklus!$Q$13,28,0),1),(IF(VLOOKUP($X31,Übungsübersicht!$E$7:$K$80,3)=0,0.1,(VLOOKUP($X31,Übungsübersicht!$E$7:$K$80,3)))))</f>
        <v>32.5</v>
      </c>
      <c r="BC31" s="655">
        <f ca="1">IFERROR(IF(IF(VLOOKUP($X31,Zyklus!$A$14:$U$68,9,FALSE)=0,"RPE 9",IF(VLOOKUP($X31,Übungsübersicht!$E$7:$M$83,3,FALSE)&lt;0.5,($BA31)-(3*0.5),(($BA31)-(3*(VLOOKUP($X31,Übungsübersicht!$E$7:$M$83,3,FALSE))))))&lt;1,0,(IF(VLOOKUP($X31,Zyklus!$A$14:$U$68,9,FALSE)=0,"RPE 9",IF(VLOOKUP($X31,Übungsübersicht!$E$7:$M$83,3,FALSE)&lt;0.5,($BA31)-(3*0.5),(($BA31)-(3*(VLOOKUP($X31,Übungsübersicht!$E$7:$M$83,3,FALSE)))))))),"RPE 9")</f>
        <v>25</v>
      </c>
      <c r="BD31" s="655">
        <f ca="1">IFERROR(IF(IF(VLOOKUP($X31,Zyklus!$A$14:$U$68,9,FALSE)=0,"RPE 9",IF(VLOOKUP($X31,Übungsübersicht!$E$7:$M$83,3,FALSE)&lt;0.5,($BA31)-(2*0.5),(($BA31)-(2*(VLOOKUP($X31,Übungsübersicht!$E$7:$M$83,3,FALSE))))))&lt;1,0,(IF(VLOOKUP($X31,Zyklus!$A$14:$U$68,9,FALSE)=0,"RPE 9",IF(VLOOKUP($X31,Übungsübersicht!$E$7:$M$83,3,FALSE)&lt;0.5,($BA31)-(2*0.5),(($BA31)-(2*(VLOOKUP($X31,Übungsübersicht!$E$7:$M$83,3,FALSE)))))))),"RPE 9")</f>
        <v>27.5</v>
      </c>
      <c r="BE31" s="655">
        <f ca="1">IFERROR(IF(IF(VLOOKUP($X31,Zyklus!$A$14:$U$68,9,FALSE)=0,"RPE 9",IF(VLOOKUP($X31,Übungsübersicht!$E$7:$M$83,3,FALSE)&lt;0.5,($BA31)-(1*0.5),(($Y31)-(1*(VLOOKUP($X31,Übungsübersicht!$E$7:$M$83,3,FALSE))))))&lt;1,0,(IF(VLOOKUP($X31,Zyklus!$A$14:$U$68,9,FALSE)=0,"RPE 9",IF(VLOOKUP($X31,Übungsübersicht!$E$7:$M$83,3,FALSE)&lt;0.5,($BA31)-(1*0.5),(($Y31)-(1*(VLOOKUP($X31,Übungsübersicht!$E$7:$M$83,3,FALSE)))))))),"RPE 9")</f>
        <v>30</v>
      </c>
      <c r="BF31" s="655">
        <f t="shared" ca="1" si="1"/>
        <v>32.5</v>
      </c>
      <c r="BG31" s="655">
        <f ca="1">IFERROR(IF(VLOOKUP($X31,Zyklus!$A$14:$U$68,9,FALSE)=0,"RPE 9",IF(VLOOKUP($X31,Übungsübersicht!$E$7:$M$83,3,FALSE)&lt;0.5,($AY31)+(1*0.5),(($AY31)+(1*(VLOOKUP($X31,Übungsübersicht!$E$7:$M$83,3,FALSE)))))),"RPE 9")</f>
        <v>35</v>
      </c>
      <c r="BH31" s="655">
        <f ca="1">IFERROR(IF(VLOOKUP($X31,Zyklus!$A$14:$U$68,9,FALSE)=0,"RPE 9",IF(VLOOKUP($X31,Übungsübersicht!$E$7:$M$83,3,FALSE)&lt;0.5,($BA31)+(2*0.5),(($BA31)+(2*(VLOOKUP($X31,Übungsübersicht!$E$7:$M$83,3,FALSE)))))),"RPE 9")</f>
        <v>37.5</v>
      </c>
      <c r="BI31" s="655">
        <f ca="1">IFERROR(IF(VLOOKUP($X31,Zyklus!$A$14:$U$68,9,FALSE)=0,"RPE 9",IF(VLOOKUP($X31,Übungsübersicht!$E$7:$M$83,3,FALSE)&lt;0.5,($BA31)+(3*0.5),(($BA31)+(3*(VLOOKUP($X31,Übungsübersicht!$E$7:$M$83,3,FALSE)))))),"RPE 9")</f>
        <v>40</v>
      </c>
    </row>
    <row r="32" spans="1:61" ht="30" customHeight="1">
      <c r="B32" s="868" t="str">
        <f>IF(6&lt;=VALUE(LEFT(Dashboard!$C$31,1)),"Woche 6","")</f>
        <v/>
      </c>
      <c r="D32" s="324">
        <v>11</v>
      </c>
      <c r="E32" s="325">
        <f t="shared" si="2"/>
        <v>83.870967741935488</v>
      </c>
      <c r="F32" s="343">
        <f t="shared" si="3"/>
        <v>0.72222222222222221</v>
      </c>
      <c r="H32" s="324">
        <v>11</v>
      </c>
      <c r="I32" s="325">
        <f t="shared" si="5"/>
        <v>87.804878048780481</v>
      </c>
      <c r="J32" s="343">
        <f t="shared" si="4"/>
        <v>0.73170731707317072</v>
      </c>
      <c r="O32" s="488" t="s">
        <v>0</v>
      </c>
      <c r="P32" s="1030" t="s">
        <v>312</v>
      </c>
      <c r="Q32" s="1030"/>
      <c r="R32" s="1030" t="s">
        <v>313</v>
      </c>
      <c r="S32" s="1030"/>
      <c r="T32" s="1030" t="s">
        <v>314</v>
      </c>
      <c r="U32" s="1031"/>
      <c r="X32" s="654" t="str">
        <f ca="1">INDEX(OFFSET(Zyklus!$A$13,29,0),1)</f>
        <v>Cable Biceps Curls</v>
      </c>
      <c r="Y32" s="655">
        <f ca="1">MROUND(INDEX(OFFSET(Zyklus!$I$13,29,0),1),(IF(VLOOKUP($X32,Übungsübersicht!$E$7:$K$80,3)=0,0.1,(VLOOKUP($X32,Übungsübersicht!$E$7:$K$80,3)))))</f>
        <v>25</v>
      </c>
      <c r="Z32" s="655"/>
      <c r="AA32" s="655">
        <f ca="1">IFERROR(IF($Y32=0,2*(VLOOKUP($X32,Übungsübersicht!$E$7:$M$83,3,FALSE)),IF($Y32&gt;100,(MROUND(($Y32*0.1),(VLOOKUP($X32,Übungsübersicht!$E$7:$M$83,3,FALSE)))),IF($Y32&gt;80,(MROUND(($Y32*0.1),(VLOOKUP($X32,Übungsübersicht!$E$7:$M$83,3,FALSE)))),IF($Y32&gt;50,(MROUND(($Y32*0.2),(VLOOKUP($X32,Übungsübersicht!$E$7:$M$83,3,FALSE)))),IF($Y32&gt;25,(MROUND(($Y32*0.3),(VLOOKUP($X32,Übungsübersicht!$E$7:$M$83,3,FALSE)))),IF($Y32&gt;15,(MROUND(($Y32*0.4),(VLOOKUP($X32,Übungsübersicht!$E$7:$M$83,3,FALSE)))),IF($Y32&gt;(VLOOKUP($X32,Übungsübersicht!$E$7:$M$83,3,FALSE)),(VLOOKUP($X32,Übungsübersicht!$E$7:$M$83,3,FALSE)),""))))))),2*(VLOOKUP($X32,Übungsübersicht!$E$7:$M$83,3,FALSE)))</f>
        <v>10</v>
      </c>
      <c r="AB32" s="655">
        <f ca="1">IFERROR(IF($Y32=0,4*(VLOOKUP($X32,Übungsübersicht!$E$7:$M$83,3,FALSE)),IF($Y32&gt;100,(MROUND(($Y32*0.3),(VLOOKUP($X32,Übungsübersicht!$E$7:$M$83,3,FALSE)))),IF($Y32&gt;80,(MROUND(($Y32*0.3),(VLOOKUP($X32,Übungsübersicht!$E$7:$M$83,3,FALSE)))),IF($Y32&gt;50,(MROUND(($Y32*0.4),(VLOOKUP($X32,Übungsübersicht!$E$7:$M$83,3,FALSE)))),IF($Y32&gt;25,(MROUND(($Y32*0.5),(VLOOKUP($X32,Übungsübersicht!$E$7:$M$83,3,FALSE)))),IF($Y32&gt;15,(MROUND(($Y32*0.6),(VLOOKUP($X32,Übungsübersicht!$E$7:$M$83,3,FALSE)))),IF($Y32&gt;(VLOOKUP($X32,Übungsübersicht!$E$7:$M$83,3,FALSE)),(VLOOKUP($X32,Übungsübersicht!$E$7:$M$83,3,FALSE)),""))))))),4*(VLOOKUP($X32,Übungsübersicht!$E$7:$M$83,3,FALSE)))</f>
        <v>15</v>
      </c>
      <c r="AC32" s="655">
        <f ca="1">IFERROR((IF($Y32=0,8*(VLOOKUP($X32,Übungsübersicht!$E$7:$M$83,3,FALSE)),(($Y32)-(3*(VLOOKUP($X32,Übungsübersicht!$E$7:$M$83,3,FALSE)))))),8*(VLOOKUP($X32,Übungsübersicht!$E$7:$M$83,3,FALSE)))</f>
        <v>17.5</v>
      </c>
      <c r="AD32" s="655">
        <f ca="1">IFERROR(((IF($Y32=0,10*(VLOOKUP($X32,Übungsübersicht!$E$7:$M$83,3,FALSE)),($Y32)-(2*(VLOOKUP($X32,Übungsübersicht!$E$7:$M$83,3,FALSE)))))),10*(VLOOKUP($X32,Übungsübersicht!$E$7:$M$83,3,FALSE)))</f>
        <v>20</v>
      </c>
      <c r="AE32" s="655">
        <f ca="1">IFERROR(((IF($Y32=0,10*(VLOOKUP($X32,Übungsübersicht!$E$7:$M$83,3,FALSE)),($Y32)-(1*(VLOOKUP($X32,Übungsübersicht!$E$7:$M$83,3,FALSE)))))),10*(VLOOKUP($X32,Übungsübersicht!$E$7:$M$83,3,FALSE)))</f>
        <v>22.5</v>
      </c>
      <c r="AF32" s="655">
        <f ca="1">IFERROR(IF($Y32=0,20*(VLOOKUP($X32,Übungsübersicht!$E$7:$M$83,3,FALSE)),($Y32)),20*(VLOOKUP($X32,Übungsübersicht!$E$7:$M$83,3,FALSE)))</f>
        <v>25</v>
      </c>
      <c r="AG32" s="655">
        <f ca="1">IFERROR(IF($Y32=0,30*(VLOOKUP($X32,Übungsübersicht!$E$7:$M$83,3,FALSE)),($Y32)+(1*(VLOOKUP($X32,Übungsübersicht!$E$7:$M$83,3,FALSE)))),30*(VLOOKUP($X32,Übungsübersicht!$E$7:$M$83,3,FALSE)))</f>
        <v>27.5</v>
      </c>
      <c r="AH32" s="655">
        <f ca="1">IFERROR(IF($Y32=0,30*(VLOOKUP($X32,Übungsübersicht!$E$7:$M$83,3,FALSE)),($Y32)+(2*(VLOOKUP($X32,Übungsübersicht!$E$7:$M$83,3,FALSE)))),30*(VLOOKUP($X32,Übungsübersicht!$E$7:$M$83,3,FALSE)))</f>
        <v>30</v>
      </c>
      <c r="AI32" s="655">
        <f ca="1">IFERROR(IF($Y32=0,30*(VLOOKUP($X32,Übungsübersicht!$E$7:$M$83,3,FALSE)),($Y32)+(3*(VLOOKUP($X32,Übungsübersicht!$E$7:$M$83,3,FALSE)))),30*(VLOOKUP($X32,Übungsübersicht!$E$7:$M$83,3,FALSE)))</f>
        <v>32.5</v>
      </c>
      <c r="AJ32" s="655">
        <f ca="1">IFERROR(IF($Y32=0,40*(VLOOKUP($X32,Übungsübersicht!$E$7:$M$83,3,FALSE)),IF($Y32&gt;100,(MROUND(($Y32*1.7),(VLOOKUP($X32,Übungsübersicht!$E$7:$M$83,3,FALSE)))),IF($Y32&gt;80,(MROUND(($Y32*1.7),(VLOOKUP($X32,Übungsübersicht!$E$7:$M$83,3,FALSE)))),IF($Y32&gt;50,(MROUND(($Y32*1.6),(VLOOKUP($X32,Übungsübersicht!$E$7:$M$83,3,FALSE)))),IF($Y32&gt;25,(MROUND(($Y32*1.5),(VLOOKUP($X32,Übungsübersicht!$E$7:$M$83,3,FALSE)))),IF($Y32&gt;15,(MROUND(($Y32*1.4),(VLOOKUP($X32,Übungsübersicht!$E$7:$M$83,3,FALSE)))),IF($Y32&gt;(VLOOKUP($X32,Übungsübersicht!$E$7:$M$83,3,FALSE)),30*(VLOOKUP($X32,Übungsübersicht!$E$7:$M$83,3,FALSE)),""))))))),40*(VLOOKUP($X32,Übungsübersicht!$E$7:$M$83,3,FALSE)))</f>
        <v>35</v>
      </c>
      <c r="AK32" s="656">
        <f ca="1">IFERROR(IF($Y32=0,50*(VLOOKUP($X32,Übungsübersicht!$E$7:$M$83,3,FALSE)),IF($Y32&gt;100,(MROUND(($Y32*1.9),(VLOOKUP($X32,Übungsübersicht!$E$7:$M$83,3,FALSE)))),IF($Y32&gt;80,(MROUND(($Y32*1.9),(VLOOKUP($X32,Übungsübersicht!$E$7:$M$83,3,FALSE)))),IF($Y32&gt;50,(MROUND(($Y32*1.8),(VLOOKUP($X32,Übungsübersicht!$E$7:$M$83,3,FALSE)))),IF($Y32&gt;25,(MROUND(($Y32*1.7),(VLOOKUP($X32,Übungsübersicht!$E$7:$M$83,3,FALSE)))),IF($Y32&gt;15,(MROUND(($Y32*1.6),(VLOOKUP($X32,Übungsübersicht!$E$7:$M$83,3,FALSE)))),IF($Y32&gt;(VLOOKUP($X32,Übungsübersicht!$E$7:$M$83,3,FALSE)),40*(VLOOKUP($X32,Übungsübersicht!$E$7:$M$83,3,FALSE)),""))))))),50*(VLOOKUP($X32,Übungsübersicht!$E$7:$M$83,3,FALSE)))</f>
        <v>40</v>
      </c>
      <c r="AN32" s="655">
        <f ca="1">MROUND(INDEX(OFFSET(Zyklus!$M$13,29,0),1),(IF(VLOOKUP($X32,Übungsübersicht!$E$7:$K$80,3)=0,0.1,(VLOOKUP($X32,Übungsübersicht!$E$7:$K$80,3)))))</f>
        <v>25</v>
      </c>
      <c r="AP32" s="652">
        <f ca="1">IFERROR(IF(IF(VLOOKUP($X32,Zyklus!$A$14:$U$68,9,FALSE)=0,"RPE 8",IF(VLOOKUP($X32,Übungsübersicht!$E$7:$M$83,3,FALSE)&lt;0.5,($AN32)-(3*0.5),(($AN32)-(3*(VLOOKUP($X32,Übungsübersicht!$E$7:$M$83,3,FALSE))))))&lt;1,0,(IF(VLOOKUP($X32,Zyklus!$A$14:$U$68,9,FALSE)=0,"RPE 8",IF(VLOOKUP($X32,Übungsübersicht!$E$7:$M$83,3,FALSE)&lt;0.5,($AN32)-(3*0.5),(($AN32)-(3*(VLOOKUP($X32,Übungsübersicht!$E$7:$M$83,3,FALSE)))))))),"RPE 8")</f>
        <v>17.5</v>
      </c>
      <c r="AQ32" s="652">
        <f ca="1">IFERROR(IF(IF(VLOOKUP($X32,Zyklus!$A$14:$U$68,9,FALSE)=0,"RPE 8",IF(VLOOKUP($X32,Übungsübersicht!$E$7:$M$83,3,FALSE)&lt;0.5,($AN32)-(2*0.5),(($AN32)-(2*(VLOOKUP($X32,Übungsübersicht!$E$7:$M$83,3,FALSE))))))&lt;1,0,(IF(VLOOKUP($X32,Zyklus!$A$14:$U$68,9,FALSE)=0,"RPE 8",IF(VLOOKUP($X32,Übungsübersicht!$E$7:$M$83,3,FALSE)&lt;0.5,($AN32)-(2*0.5),(($AN32)-(2*(VLOOKUP($X32,Übungsübersicht!$E$7:$M$83,3,FALSE)))))))),"RPE 8")</f>
        <v>20</v>
      </c>
      <c r="AR32" s="652">
        <f ca="1">IFERROR(IF(IF(VLOOKUP($X32,Zyklus!$A$14:$U$68,9,FALSE)=0,"RPE 8",IF(VLOOKUP($X32,Übungsübersicht!$E$7:$M$83,3,FALSE)&lt;0.5,($AN32)-(1*0.5),(($Y32)-(1*(VLOOKUP($X32,Übungsübersicht!$E$7:$M$83,3,FALSE))))))&lt;1,0,(IF(VLOOKUP($X32,Zyklus!$A$14:$U$68,9,FALSE)=0,"RPE 8",IF(VLOOKUP($X32,Übungsübersicht!$E$7:$M$83,3,FALSE)&lt;0.5,($AN32)-(1*0.5),(($Y32)-(1*(VLOOKUP($X32,Übungsübersicht!$E$7:$M$83,3,FALSE)))))))),"RPE 8")</f>
        <v>22.5</v>
      </c>
      <c r="AS32" s="652">
        <f t="shared" ca="1" si="0"/>
        <v>25</v>
      </c>
      <c r="AT32" s="652">
        <f ca="1">IFERROR(IF(VLOOKUP($X32,Zyklus!$A$14:$U$68,9,FALSE)=0,"RPE 8",IF(VLOOKUP($X32,Übungsübersicht!$E$7:$M$83,3,FALSE)&lt;0.5,($AN32)+(1*0.5),(($Y32)+(1*(VLOOKUP($X32,Übungsübersicht!$E$7:$M$83,3,FALSE)))))),"RPE 8")</f>
        <v>27.5</v>
      </c>
      <c r="AU32" s="652">
        <f ca="1">IFERROR(IF(VLOOKUP($X32,Zyklus!$A$14:$U$68,9,FALSE)=0,"RPE 8",IF(VLOOKUP($X32,Übungsübersicht!$E$7:$M$83,3,FALSE)&lt;0.5,($AN32)+(2*0.5),(($AN32)+(2*(VLOOKUP($X32,Übungsübersicht!$E$7:$M$83,3,FALSE)))))),"RPE 8")</f>
        <v>30</v>
      </c>
      <c r="AV32" s="652">
        <f ca="1">IFERROR(IF(VLOOKUP($X32,Zyklus!$A$14:$U$68,9,FALSE)=0,"RPE 8",IF(VLOOKUP($X32,Übungsübersicht!$E$7:$M$83,3,FALSE)&lt;0.5,($AN32)+(3*0.5),(($AN32)+(3*(VLOOKUP($X32,Übungsübersicht!$E$7:$M$83,3,FALSE)))))),"RPE 8")</f>
        <v>32.5</v>
      </c>
      <c r="AY32" s="655">
        <f ca="1">MROUND(INDEX(OFFSET(Zyklus!$M$13,29,0),1),(IF(VLOOKUP($X32,Übungsübersicht!$E$7:$K$80,3)=0,0.1,(VLOOKUP($X32,Übungsübersicht!$E$7:$K$80,3)))))</f>
        <v>25</v>
      </c>
      <c r="BA32" s="652">
        <f ca="1">MROUND(INDEX(OFFSET(Zyklus!$Q$13,29,0),1),(IF(VLOOKUP($X32,Übungsübersicht!$E$7:$K$80,3)=0,0.1,(VLOOKUP($X32,Übungsübersicht!$E$7:$K$80,3)))))</f>
        <v>25</v>
      </c>
      <c r="BC32" s="652">
        <f ca="1">IFERROR(IF(IF(VLOOKUP($X32,Zyklus!$A$14:$U$68,9,FALSE)=0,"RPE 9",IF(VLOOKUP($X32,Übungsübersicht!$E$7:$M$83,3,FALSE)&lt;0.5,($BA32)-(3*0.5),(($BA32)-(3*(VLOOKUP($X32,Übungsübersicht!$E$7:$M$83,3,FALSE))))))&lt;1,0,(IF(VLOOKUP($X32,Zyklus!$A$14:$U$68,9,FALSE)=0,"RPE 9",IF(VLOOKUP($X32,Übungsübersicht!$E$7:$M$83,3,FALSE)&lt;0.5,($BA32)-(3*0.5),(($BA32)-(3*(VLOOKUP($X32,Übungsübersicht!$E$7:$M$83,3,FALSE)))))))),"RPE 9")</f>
        <v>17.5</v>
      </c>
      <c r="BD32" s="652">
        <f ca="1">IFERROR(IF(IF(VLOOKUP($X32,Zyklus!$A$14:$U$68,9,FALSE)=0,"RPE 9",IF(VLOOKUP($X32,Übungsübersicht!$E$7:$M$83,3,FALSE)&lt;0.5,($BA32)-(2*0.5),(($BA32)-(2*(VLOOKUP($X32,Übungsübersicht!$E$7:$M$83,3,FALSE))))))&lt;1,0,(IF(VLOOKUP($X32,Zyklus!$A$14:$U$68,9,FALSE)=0,"RPE 9",IF(VLOOKUP($X32,Übungsübersicht!$E$7:$M$83,3,FALSE)&lt;0.5,($BA32)-(2*0.5),(($BA32)-(2*(VLOOKUP($X32,Übungsübersicht!$E$7:$M$83,3,FALSE)))))))),"RPE 9")</f>
        <v>20</v>
      </c>
      <c r="BE32" s="652">
        <f ca="1">IFERROR(IF(IF(VLOOKUP($X32,Zyklus!$A$14:$U$68,9,FALSE)=0,"RPE 9",IF(VLOOKUP($X32,Übungsübersicht!$E$7:$M$83,3,FALSE)&lt;0.5,($BA32)-(1*0.5),(($Y32)-(1*(VLOOKUP($X32,Übungsübersicht!$E$7:$M$83,3,FALSE))))))&lt;1,0,(IF(VLOOKUP($X32,Zyklus!$A$14:$U$68,9,FALSE)=0,"RPE 9",IF(VLOOKUP($X32,Übungsübersicht!$E$7:$M$83,3,FALSE)&lt;0.5,($BA32)-(1*0.5),(($Y32)-(1*(VLOOKUP($X32,Übungsübersicht!$E$7:$M$83,3,FALSE)))))))),"RPE 9")</f>
        <v>22.5</v>
      </c>
      <c r="BF32" s="652">
        <f t="shared" ca="1" si="1"/>
        <v>25</v>
      </c>
      <c r="BG32" s="652">
        <f ca="1">IFERROR(IF(VLOOKUP($X32,Zyklus!$A$14:$U$68,9,FALSE)=0,"RPE 9",IF(VLOOKUP($X32,Übungsübersicht!$E$7:$M$83,3,FALSE)&lt;0.5,($AY32)+(1*0.5),(($AY32)+(1*(VLOOKUP($X32,Übungsübersicht!$E$7:$M$83,3,FALSE)))))),"RPE 9")</f>
        <v>27.5</v>
      </c>
      <c r="BH32" s="652">
        <f ca="1">IFERROR(IF(VLOOKUP($X32,Zyklus!$A$14:$U$68,9,FALSE)=0,"RPE 9",IF(VLOOKUP($X32,Übungsübersicht!$E$7:$M$83,3,FALSE)&lt;0.5,($BA32)+(2*0.5),(($BA32)+(2*(VLOOKUP($X32,Übungsübersicht!$E$7:$M$83,3,FALSE)))))),"RPE 9")</f>
        <v>30</v>
      </c>
      <c r="BI32" s="652">
        <f ca="1">IFERROR(IF(VLOOKUP($X32,Zyklus!$A$14:$U$68,9,FALSE)=0,"RPE 9",IF(VLOOKUP($X32,Übungsübersicht!$E$7:$M$83,3,FALSE)&lt;0.5,($BA32)+(3*0.5),(($BA32)+(3*(VLOOKUP($X32,Übungsübersicht!$E$7:$M$83,3,FALSE)))))),"RPE 9")</f>
        <v>32.5</v>
      </c>
    </row>
    <row r="33" spans="2:61" ht="30" customHeight="1">
      <c r="B33" s="868" t="str">
        <f>IF(7&lt;=VALUE(LEFT(Dashboard!$C$31,1)),"Woche 7","")</f>
        <v/>
      </c>
      <c r="D33" s="326">
        <v>12</v>
      </c>
      <c r="E33" s="323">
        <f t="shared" si="2"/>
        <v>80.645161290322591</v>
      </c>
      <c r="F33" s="344">
        <f t="shared" si="3"/>
        <v>0.69444444444444442</v>
      </c>
      <c r="H33" s="326">
        <v>12</v>
      </c>
      <c r="I33" s="323">
        <f t="shared" si="5"/>
        <v>85.714285714285722</v>
      </c>
      <c r="J33" s="344">
        <f t="shared" si="4"/>
        <v>0.7142857142857143</v>
      </c>
      <c r="O33" s="489" t="s">
        <v>317</v>
      </c>
      <c r="P33" s="490" t="s">
        <v>315</v>
      </c>
      <c r="Q33" s="490" t="s">
        <v>316</v>
      </c>
      <c r="R33" s="490" t="s">
        <v>315</v>
      </c>
      <c r="S33" s="490" t="s">
        <v>316</v>
      </c>
      <c r="T33" s="490" t="s">
        <v>315</v>
      </c>
      <c r="U33" s="491" t="s">
        <v>316</v>
      </c>
      <c r="X33" s="651">
        <f ca="1">INDEX(OFFSET(Zyklus!$A$13,30,0),1)</f>
        <v>0</v>
      </c>
      <c r="Y33" s="652" t="e">
        <f ca="1">MROUND(INDEX(OFFSET(Zyklus!$I$13,30,0),1),(IF(VLOOKUP($X33,Übungsübersicht!$E$7:$K$80,3)=0,0.1,(VLOOKUP($X33,Übungsübersicht!$E$7:$K$80,3)))))</f>
        <v>#N/A</v>
      </c>
      <c r="Z33" s="652"/>
      <c r="AA33" s="652" t="e">
        <f ca="1">IFERROR(IF($Y33=0,2*(VLOOKUP($X33,Übungsübersicht!$E$7:$M$83,3,FALSE)),IF($Y33&gt;100,(MROUND(($Y33*0.1),(VLOOKUP($X33,Übungsübersicht!$E$7:$M$83,3,FALSE)))),IF($Y33&gt;80,(MROUND(($Y33*0.1),(VLOOKUP($X33,Übungsübersicht!$E$7:$M$83,3,FALSE)))),IF($Y33&gt;50,(MROUND(($Y33*0.2),(VLOOKUP($X33,Übungsübersicht!$E$7:$M$83,3,FALSE)))),IF($Y33&gt;25,(MROUND(($Y33*0.3),(VLOOKUP($X33,Übungsübersicht!$E$7:$M$83,3,FALSE)))),IF($Y33&gt;15,(MROUND(($Y33*0.4),(VLOOKUP($X33,Übungsübersicht!$E$7:$M$83,3,FALSE)))),IF($Y33&gt;(VLOOKUP($X33,Übungsübersicht!$E$7:$M$83,3,FALSE)),(VLOOKUP($X33,Übungsübersicht!$E$7:$M$83,3,FALSE)),""))))))),2*(VLOOKUP($X33,Übungsübersicht!$E$7:$M$83,3,FALSE)))</f>
        <v>#N/A</v>
      </c>
      <c r="AB33" s="652" t="e">
        <f ca="1">IFERROR(IF($Y33=0,4*(VLOOKUP($X33,Übungsübersicht!$E$7:$M$83,3,FALSE)),IF($Y33&gt;100,(MROUND(($Y33*0.3),(VLOOKUP($X33,Übungsübersicht!$E$7:$M$83,3,FALSE)))),IF($Y33&gt;80,(MROUND(($Y33*0.3),(VLOOKUP($X33,Übungsübersicht!$E$7:$M$83,3,FALSE)))),IF($Y33&gt;50,(MROUND(($Y33*0.4),(VLOOKUP($X33,Übungsübersicht!$E$7:$M$83,3,FALSE)))),IF($Y33&gt;25,(MROUND(($Y33*0.5),(VLOOKUP($X33,Übungsübersicht!$E$7:$M$83,3,FALSE)))),IF($Y33&gt;15,(MROUND(($Y33*0.6),(VLOOKUP($X33,Übungsübersicht!$E$7:$M$83,3,FALSE)))),IF($Y33&gt;(VLOOKUP($X33,Übungsübersicht!$E$7:$M$83,3,FALSE)),(VLOOKUP($X33,Übungsübersicht!$E$7:$M$83,3,FALSE)),""))))))),4*(VLOOKUP($X33,Übungsübersicht!$E$7:$M$83,3,FALSE)))</f>
        <v>#N/A</v>
      </c>
      <c r="AC33" s="652" t="e">
        <f ca="1">IFERROR((IF($Y33=0,8*(VLOOKUP($X33,Übungsübersicht!$E$7:$M$83,3,FALSE)),(($Y33)-(3*(VLOOKUP($X33,Übungsübersicht!$E$7:$M$83,3,FALSE)))))),8*(VLOOKUP($X33,Übungsübersicht!$E$7:$M$83,3,FALSE)))</f>
        <v>#N/A</v>
      </c>
      <c r="AD33" s="652" t="e">
        <f ca="1">IFERROR(((IF($Y33=0,10*(VLOOKUP($X33,Übungsübersicht!$E$7:$M$83,3,FALSE)),($Y33)-(2*(VLOOKUP($X33,Übungsübersicht!$E$7:$M$83,3,FALSE)))))),10*(VLOOKUP($X33,Übungsübersicht!$E$7:$M$83,3,FALSE)))</f>
        <v>#N/A</v>
      </c>
      <c r="AE33" s="652" t="e">
        <f ca="1">IFERROR(((IF($Y33=0,10*(VLOOKUP($X33,Übungsübersicht!$E$7:$M$83,3,FALSE)),($Y33)-(1*(VLOOKUP($X33,Übungsübersicht!$E$7:$M$83,3,FALSE)))))),10*(VLOOKUP($X33,Übungsübersicht!$E$7:$M$83,3,FALSE)))</f>
        <v>#N/A</v>
      </c>
      <c r="AF33" s="652" t="e">
        <f ca="1">IFERROR(IF($Y33=0,20*(VLOOKUP($X33,Übungsübersicht!$E$7:$M$83,3,FALSE)),($Y33)),20*(VLOOKUP($X33,Übungsübersicht!$E$7:$M$83,3,FALSE)))</f>
        <v>#N/A</v>
      </c>
      <c r="AG33" s="652" t="e">
        <f ca="1">IFERROR(IF($Y33=0,30*(VLOOKUP($X33,Übungsübersicht!$E$7:$M$83,3,FALSE)),($Y33)+(1*(VLOOKUP($X33,Übungsübersicht!$E$7:$M$83,3,FALSE)))),30*(VLOOKUP($X33,Übungsübersicht!$E$7:$M$83,3,FALSE)))</f>
        <v>#N/A</v>
      </c>
      <c r="AH33" s="652" t="e">
        <f ca="1">IFERROR(IF($Y33=0,30*(VLOOKUP($X33,Übungsübersicht!$E$7:$M$83,3,FALSE)),($Y33)+(2*(VLOOKUP($X33,Übungsübersicht!$E$7:$M$83,3,FALSE)))),30*(VLOOKUP($X33,Übungsübersicht!$E$7:$M$83,3,FALSE)))</f>
        <v>#N/A</v>
      </c>
      <c r="AI33" s="652" t="e">
        <f ca="1">IFERROR(IF($Y33=0,30*(VLOOKUP($X33,Übungsübersicht!$E$7:$M$83,3,FALSE)),($Y33)+(3*(VLOOKUP($X33,Übungsübersicht!$E$7:$M$83,3,FALSE)))),30*(VLOOKUP($X33,Übungsübersicht!$E$7:$M$83,3,FALSE)))</f>
        <v>#N/A</v>
      </c>
      <c r="AJ33" s="652" t="e">
        <f ca="1">IFERROR(IF($Y33=0,40*(VLOOKUP($X33,Übungsübersicht!$E$7:$M$83,3,FALSE)),IF($Y33&gt;100,(MROUND(($Y33*1.7),(VLOOKUP($X33,Übungsübersicht!$E$7:$M$83,3,FALSE)))),IF($Y33&gt;80,(MROUND(($Y33*1.7),(VLOOKUP($X33,Übungsübersicht!$E$7:$M$83,3,FALSE)))),IF($Y33&gt;50,(MROUND(($Y33*1.6),(VLOOKUP($X33,Übungsübersicht!$E$7:$M$83,3,FALSE)))),IF($Y33&gt;25,(MROUND(($Y33*1.5),(VLOOKUP($X33,Übungsübersicht!$E$7:$M$83,3,FALSE)))),IF($Y33&gt;15,(MROUND(($Y33*1.4),(VLOOKUP($X33,Übungsübersicht!$E$7:$M$83,3,FALSE)))),IF($Y33&gt;(VLOOKUP($X33,Übungsübersicht!$E$7:$M$83,3,FALSE)),30*(VLOOKUP($X33,Übungsübersicht!$E$7:$M$83,3,FALSE)),""))))))),40*(VLOOKUP($X33,Übungsübersicht!$E$7:$M$83,3,FALSE)))</f>
        <v>#N/A</v>
      </c>
      <c r="AK33" s="653" t="e">
        <f ca="1">IFERROR(IF($Y33=0,50*(VLOOKUP($X33,Übungsübersicht!$E$7:$M$83,3,FALSE)),IF($Y33&gt;100,(MROUND(($Y33*1.9),(VLOOKUP($X33,Übungsübersicht!$E$7:$M$83,3,FALSE)))),IF($Y33&gt;80,(MROUND(($Y33*1.9),(VLOOKUP($X33,Übungsübersicht!$E$7:$M$83,3,FALSE)))),IF($Y33&gt;50,(MROUND(($Y33*1.8),(VLOOKUP($X33,Übungsübersicht!$E$7:$M$83,3,FALSE)))),IF($Y33&gt;25,(MROUND(($Y33*1.7),(VLOOKUP($X33,Übungsübersicht!$E$7:$M$83,3,FALSE)))),IF($Y33&gt;15,(MROUND(($Y33*1.6),(VLOOKUP($X33,Übungsübersicht!$E$7:$M$83,3,FALSE)))),IF($Y33&gt;(VLOOKUP($X33,Übungsübersicht!$E$7:$M$83,3,FALSE)),40*(VLOOKUP($X33,Übungsübersicht!$E$7:$M$83,3,FALSE)),""))))))),50*(VLOOKUP($X33,Übungsübersicht!$E$7:$M$83,3,FALSE)))</f>
        <v>#N/A</v>
      </c>
      <c r="AN33" s="652" t="e">
        <f ca="1">MROUND(INDEX(OFFSET(Zyklus!$M$13,30,0),1),(IF(VLOOKUP($X33,Übungsübersicht!$E$7:$K$80,3)=0,0.1,(VLOOKUP($X33,Übungsübersicht!$E$7:$K$80,3)))))</f>
        <v>#N/A</v>
      </c>
      <c r="AP33" s="655" t="str">
        <f ca="1">IFERROR(IF(IF(VLOOKUP($X33,Zyklus!$A$14:$U$68,9,FALSE)=0,"RPE 8",IF(VLOOKUP($X33,Übungsübersicht!$E$7:$M$83,3,FALSE)&lt;0.5,($AN33)-(3*0.5),(($AN33)-(3*(VLOOKUP($X33,Übungsübersicht!$E$7:$M$83,3,FALSE))))))&lt;1,0,(IF(VLOOKUP($X33,Zyklus!$A$14:$U$68,9,FALSE)=0,"RPE 8",IF(VLOOKUP($X33,Übungsübersicht!$E$7:$M$83,3,FALSE)&lt;0.5,($AN33)-(3*0.5),(($AN33)-(3*(VLOOKUP($X33,Übungsübersicht!$E$7:$M$83,3,FALSE)))))))),"RPE 8")</f>
        <v>RPE 8</v>
      </c>
      <c r="AQ33" s="655" t="str">
        <f ca="1">IFERROR(IF(IF(VLOOKUP($X33,Zyklus!$A$14:$U$68,9,FALSE)=0,"RPE 8",IF(VLOOKUP($X33,Übungsübersicht!$E$7:$M$83,3,FALSE)&lt;0.5,($AN33)-(2*0.5),(($AN33)-(2*(VLOOKUP($X33,Übungsübersicht!$E$7:$M$83,3,FALSE))))))&lt;1,0,(IF(VLOOKUP($X33,Zyklus!$A$14:$U$68,9,FALSE)=0,"RPE 8",IF(VLOOKUP($X33,Übungsübersicht!$E$7:$M$83,3,FALSE)&lt;0.5,($AN33)-(2*0.5),(($AN33)-(2*(VLOOKUP($X33,Übungsübersicht!$E$7:$M$83,3,FALSE)))))))),"RPE 8")</f>
        <v>RPE 8</v>
      </c>
      <c r="AR33" s="655" t="str">
        <f ca="1">IFERROR(IF(IF(VLOOKUP($X33,Zyklus!$A$14:$U$68,9,FALSE)=0,"RPE 8",IF(VLOOKUP($X33,Übungsübersicht!$E$7:$M$83,3,FALSE)&lt;0.5,($AN33)-(1*0.5),(($Y33)-(1*(VLOOKUP($X33,Übungsübersicht!$E$7:$M$83,3,FALSE))))))&lt;1,0,(IF(VLOOKUP($X33,Zyklus!$A$14:$U$68,9,FALSE)=0,"RPE 8",IF(VLOOKUP($X33,Übungsübersicht!$E$7:$M$83,3,FALSE)&lt;0.5,($AN33)-(1*0.5),(($Y33)-(1*(VLOOKUP($X33,Übungsübersicht!$E$7:$M$83,3,FALSE)))))))),"RPE 8")</f>
        <v>RPE 8</v>
      </c>
      <c r="AS33" s="655" t="str">
        <f t="shared" ca="1" si="0"/>
        <v>RPE 8</v>
      </c>
      <c r="AT33" s="655" t="str">
        <f ca="1">IFERROR(IF(VLOOKUP($X33,Zyklus!$A$14:$U$68,9,FALSE)=0,"RPE 8",IF(VLOOKUP($X33,Übungsübersicht!$E$7:$M$83,3,FALSE)&lt;0.5,($AN33)+(1*0.5),(($Y33)+(1*(VLOOKUP($X33,Übungsübersicht!$E$7:$M$83,3,FALSE)))))),"RPE 8")</f>
        <v>RPE 8</v>
      </c>
      <c r="AU33" s="655" t="str">
        <f ca="1">IFERROR(IF(VLOOKUP($X33,Zyklus!$A$14:$U$68,9,FALSE)=0,"RPE 8",IF(VLOOKUP($X33,Übungsübersicht!$E$7:$M$83,3,FALSE)&lt;0.5,($AN33)+(2*0.5),(($AN33)+(2*(VLOOKUP($X33,Übungsübersicht!$E$7:$M$83,3,FALSE)))))),"RPE 8")</f>
        <v>RPE 8</v>
      </c>
      <c r="AV33" s="655" t="str">
        <f ca="1">IFERROR(IF(VLOOKUP($X33,Zyklus!$A$14:$U$68,9,FALSE)=0,"RPE 8",IF(VLOOKUP($X33,Übungsübersicht!$E$7:$M$83,3,FALSE)&lt;0.5,($AN33)+(3*0.5),(($AN33)+(3*(VLOOKUP($X33,Übungsübersicht!$E$7:$M$83,3,FALSE)))))),"RPE 8")</f>
        <v>RPE 8</v>
      </c>
      <c r="AY33" s="652" t="e">
        <f ca="1">MROUND(INDEX(OFFSET(Zyklus!$M$13,30,0),1),(IF(VLOOKUP($X33,Übungsübersicht!$E$7:$K$80,3)=0,0.1,(VLOOKUP($X33,Übungsübersicht!$E$7:$K$80,3)))))</f>
        <v>#N/A</v>
      </c>
      <c r="BA33" s="655" t="e">
        <f ca="1">MROUND(INDEX(OFFSET(Zyklus!$Q$13,30,0),1),(IF(VLOOKUP($X33,Übungsübersicht!$E$7:$K$80,3)=0,0.1,(VLOOKUP($X33,Übungsübersicht!$E$7:$K$80,3)))))</f>
        <v>#N/A</v>
      </c>
      <c r="BC33" s="655" t="str">
        <f ca="1">IFERROR(IF(IF(VLOOKUP($X33,Zyklus!$A$14:$U$68,9,FALSE)=0,"RPE 9",IF(VLOOKUP($X33,Übungsübersicht!$E$7:$M$83,3,FALSE)&lt;0.5,($BA33)-(3*0.5),(($BA33)-(3*(VLOOKUP($X33,Übungsübersicht!$E$7:$M$83,3,FALSE))))))&lt;1,0,(IF(VLOOKUP($X33,Zyklus!$A$14:$U$68,9,FALSE)=0,"RPE 9",IF(VLOOKUP($X33,Übungsübersicht!$E$7:$M$83,3,FALSE)&lt;0.5,($BA33)-(3*0.5),(($BA33)-(3*(VLOOKUP($X33,Übungsübersicht!$E$7:$M$83,3,FALSE)))))))),"RPE 9")</f>
        <v>RPE 9</v>
      </c>
      <c r="BD33" s="655" t="str">
        <f ca="1">IFERROR(IF(IF(VLOOKUP($X33,Zyklus!$A$14:$U$68,9,FALSE)=0,"RPE 9",IF(VLOOKUP($X33,Übungsübersicht!$E$7:$M$83,3,FALSE)&lt;0.5,($BA33)-(2*0.5),(($BA33)-(2*(VLOOKUP($X33,Übungsübersicht!$E$7:$M$83,3,FALSE))))))&lt;1,0,(IF(VLOOKUP($X33,Zyklus!$A$14:$U$68,9,FALSE)=0,"RPE 9",IF(VLOOKUP($X33,Übungsübersicht!$E$7:$M$83,3,FALSE)&lt;0.5,($BA33)-(2*0.5),(($BA33)-(2*(VLOOKUP($X33,Übungsübersicht!$E$7:$M$83,3,FALSE)))))))),"RPE 9")</f>
        <v>RPE 9</v>
      </c>
      <c r="BE33" s="655" t="str">
        <f ca="1">IFERROR(IF(IF(VLOOKUP($X33,Zyklus!$A$14:$U$68,9,FALSE)=0,"RPE 9",IF(VLOOKUP($X33,Übungsübersicht!$E$7:$M$83,3,FALSE)&lt;0.5,($BA33)-(1*0.5),(($Y33)-(1*(VLOOKUP($X33,Übungsübersicht!$E$7:$M$83,3,FALSE))))))&lt;1,0,(IF(VLOOKUP($X33,Zyklus!$A$14:$U$68,9,FALSE)=0,"RPE 9",IF(VLOOKUP($X33,Übungsübersicht!$E$7:$M$83,3,FALSE)&lt;0.5,($BA33)-(1*0.5),(($Y33)-(1*(VLOOKUP($X33,Übungsübersicht!$E$7:$M$83,3,FALSE)))))))),"RPE 9")</f>
        <v>RPE 9</v>
      </c>
      <c r="BF33" s="655" t="str">
        <f t="shared" ca="1" si="1"/>
        <v>RPE 9</v>
      </c>
      <c r="BG33" s="655" t="str">
        <f ca="1">IFERROR(IF(VLOOKUP($X33,Zyklus!$A$14:$U$68,9,FALSE)=0,"RPE 9",IF(VLOOKUP($X33,Übungsübersicht!$E$7:$M$83,3,FALSE)&lt;0.5,($AY33)+(1*0.5),(($AY33)+(1*(VLOOKUP($X33,Übungsübersicht!$E$7:$M$83,3,FALSE)))))),"RPE 9")</f>
        <v>RPE 9</v>
      </c>
      <c r="BH33" s="655" t="str">
        <f ca="1">IFERROR(IF(VLOOKUP($X33,Zyklus!$A$14:$U$68,9,FALSE)=0,"RPE 9",IF(VLOOKUP($X33,Übungsübersicht!$E$7:$M$83,3,FALSE)&lt;0.5,($BA33)+(2*0.5),(($BA33)+(2*(VLOOKUP($X33,Übungsübersicht!$E$7:$M$83,3,FALSE)))))),"RPE 9")</f>
        <v>RPE 9</v>
      </c>
      <c r="BI33" s="655" t="str">
        <f ca="1">IFERROR(IF(VLOOKUP($X33,Zyklus!$A$14:$U$68,9,FALSE)=0,"RPE 9",IF(VLOOKUP($X33,Übungsübersicht!$E$7:$M$83,3,FALSE)&lt;0.5,($BA33)+(3*0.5),(($BA33)+(3*(VLOOKUP($X33,Übungsübersicht!$E$7:$M$83,3,FALSE)))))),"RPE 9")</f>
        <v>RPE 9</v>
      </c>
    </row>
    <row r="34" spans="2:61" ht="30" customHeight="1">
      <c r="B34" s="868" t="str">
        <f>IF(8&lt;=VALUE(LEFT(Dashboard!$C$31,1)),"Woche 8","")</f>
        <v/>
      </c>
      <c r="D34" s="324">
        <v>13</v>
      </c>
      <c r="E34" s="325">
        <f t="shared" si="2"/>
        <v>77.41935483870968</v>
      </c>
      <c r="F34" s="343">
        <f t="shared" si="3"/>
        <v>0.66666666666666663</v>
      </c>
      <c r="H34" s="324">
        <v>13</v>
      </c>
      <c r="I34" s="325">
        <f t="shared" si="5"/>
        <v>83.720930232558132</v>
      </c>
      <c r="J34" s="343">
        <f t="shared" si="4"/>
        <v>0.69767441860465107</v>
      </c>
      <c r="O34" s="492" t="s">
        <v>19</v>
      </c>
      <c r="P34" s="493">
        <v>0</v>
      </c>
      <c r="Q34" s="493">
        <v>1.3</v>
      </c>
      <c r="R34" s="493">
        <v>1.3</v>
      </c>
      <c r="S34" s="493">
        <v>2</v>
      </c>
      <c r="T34" s="493">
        <v>2</v>
      </c>
      <c r="U34" s="494">
        <v>2.5</v>
      </c>
      <c r="X34" s="654" t="str">
        <f ca="1">INDEX(OFFSET(Zyklus!$A$13,31,0),1)</f>
        <v>UK 2</v>
      </c>
      <c r="Y34" s="655">
        <f ca="1">MROUND(INDEX(OFFSET(Zyklus!$I$13,31,0),1),(IF(VLOOKUP($X34,Übungsübersicht!$E$7:$K$80,3)=0,0.1,(VLOOKUP($X34,Übungsübersicht!$E$7:$K$80,3)))))</f>
        <v>0</v>
      </c>
      <c r="Z34" s="655"/>
      <c r="AA34" s="655" t="e">
        <f ca="1">IFERROR(IF($Y34=0,2*(VLOOKUP($X34,Übungsübersicht!$E$7:$M$83,3,FALSE)),IF($Y34&gt;100,(MROUND(($Y34*0.1),(VLOOKUP($X34,Übungsübersicht!$E$7:$M$83,3,FALSE)))),IF($Y34&gt;80,(MROUND(($Y34*0.1),(VLOOKUP($X34,Übungsübersicht!$E$7:$M$83,3,FALSE)))),IF($Y34&gt;50,(MROUND(($Y34*0.2),(VLOOKUP($X34,Übungsübersicht!$E$7:$M$83,3,FALSE)))),IF($Y34&gt;25,(MROUND(($Y34*0.3),(VLOOKUP($X34,Übungsübersicht!$E$7:$M$83,3,FALSE)))),IF($Y34&gt;15,(MROUND(($Y34*0.4),(VLOOKUP($X34,Übungsübersicht!$E$7:$M$83,3,FALSE)))),IF($Y34&gt;(VLOOKUP($X34,Übungsübersicht!$E$7:$M$83,3,FALSE)),(VLOOKUP($X34,Übungsübersicht!$E$7:$M$83,3,FALSE)),""))))))),2*(VLOOKUP($X34,Übungsübersicht!$E$7:$M$83,3,FALSE)))</f>
        <v>#N/A</v>
      </c>
      <c r="AB34" s="655" t="e">
        <f ca="1">IFERROR(IF($Y34=0,4*(VLOOKUP($X34,Übungsübersicht!$E$7:$M$83,3,FALSE)),IF($Y34&gt;100,(MROUND(($Y34*0.3),(VLOOKUP($X34,Übungsübersicht!$E$7:$M$83,3,FALSE)))),IF($Y34&gt;80,(MROUND(($Y34*0.3),(VLOOKUP($X34,Übungsübersicht!$E$7:$M$83,3,FALSE)))),IF($Y34&gt;50,(MROUND(($Y34*0.4),(VLOOKUP($X34,Übungsübersicht!$E$7:$M$83,3,FALSE)))),IF($Y34&gt;25,(MROUND(($Y34*0.5),(VLOOKUP($X34,Übungsübersicht!$E$7:$M$83,3,FALSE)))),IF($Y34&gt;15,(MROUND(($Y34*0.6),(VLOOKUP($X34,Übungsübersicht!$E$7:$M$83,3,FALSE)))),IF($Y34&gt;(VLOOKUP($X34,Übungsübersicht!$E$7:$M$83,3,FALSE)),(VLOOKUP($X34,Übungsübersicht!$E$7:$M$83,3,FALSE)),""))))))),4*(VLOOKUP($X34,Übungsübersicht!$E$7:$M$83,3,FALSE)))</f>
        <v>#N/A</v>
      </c>
      <c r="AC34" s="655" t="e">
        <f ca="1">IFERROR((IF($Y34=0,8*(VLOOKUP($X34,Übungsübersicht!$E$7:$M$83,3,FALSE)),(($Y34)-(3*(VLOOKUP($X34,Übungsübersicht!$E$7:$M$83,3,FALSE)))))),8*(VLOOKUP($X34,Übungsübersicht!$E$7:$M$83,3,FALSE)))</f>
        <v>#N/A</v>
      </c>
      <c r="AD34" s="655" t="e">
        <f ca="1">IFERROR(((IF($Y34=0,10*(VLOOKUP($X34,Übungsübersicht!$E$7:$M$83,3,FALSE)),($Y34)-(2*(VLOOKUP($X34,Übungsübersicht!$E$7:$M$83,3,FALSE)))))),10*(VLOOKUP($X34,Übungsübersicht!$E$7:$M$83,3,FALSE)))</f>
        <v>#N/A</v>
      </c>
      <c r="AE34" s="655" t="e">
        <f ca="1">IFERROR(((IF($Y34=0,10*(VLOOKUP($X34,Übungsübersicht!$E$7:$M$83,3,FALSE)),($Y34)-(1*(VLOOKUP($X34,Übungsübersicht!$E$7:$M$83,3,FALSE)))))),10*(VLOOKUP($X34,Übungsübersicht!$E$7:$M$83,3,FALSE)))</f>
        <v>#N/A</v>
      </c>
      <c r="AF34" s="655" t="e">
        <f ca="1">IFERROR(IF($Y34=0,20*(VLOOKUP($X34,Übungsübersicht!$E$7:$M$83,3,FALSE)),($Y34)),20*(VLOOKUP($X34,Übungsübersicht!$E$7:$M$83,3,FALSE)))</f>
        <v>#N/A</v>
      </c>
      <c r="AG34" s="655" t="e">
        <f ca="1">IFERROR(IF($Y34=0,30*(VLOOKUP($X34,Übungsübersicht!$E$7:$M$83,3,FALSE)),($Y34)+(1*(VLOOKUP($X34,Übungsübersicht!$E$7:$M$83,3,FALSE)))),30*(VLOOKUP($X34,Übungsübersicht!$E$7:$M$83,3,FALSE)))</f>
        <v>#N/A</v>
      </c>
      <c r="AH34" s="655" t="e">
        <f ca="1">IFERROR(IF($Y34=0,30*(VLOOKUP($X34,Übungsübersicht!$E$7:$M$83,3,FALSE)),($Y34)+(2*(VLOOKUP($X34,Übungsübersicht!$E$7:$M$83,3,FALSE)))),30*(VLOOKUP($X34,Übungsübersicht!$E$7:$M$83,3,FALSE)))</f>
        <v>#N/A</v>
      </c>
      <c r="AI34" s="655" t="e">
        <f ca="1">IFERROR(IF($Y34=0,30*(VLOOKUP($X34,Übungsübersicht!$E$7:$M$83,3,FALSE)),($Y34)+(3*(VLOOKUP($X34,Übungsübersicht!$E$7:$M$83,3,FALSE)))),30*(VLOOKUP($X34,Übungsübersicht!$E$7:$M$83,3,FALSE)))</f>
        <v>#N/A</v>
      </c>
      <c r="AJ34" s="655" t="e">
        <f ca="1">IFERROR(IF($Y34=0,40*(VLOOKUP($X34,Übungsübersicht!$E$7:$M$83,3,FALSE)),IF($Y34&gt;100,(MROUND(($Y34*1.7),(VLOOKUP($X34,Übungsübersicht!$E$7:$M$83,3,FALSE)))),IF($Y34&gt;80,(MROUND(($Y34*1.7),(VLOOKUP($X34,Übungsübersicht!$E$7:$M$83,3,FALSE)))),IF($Y34&gt;50,(MROUND(($Y34*1.6),(VLOOKUP($X34,Übungsübersicht!$E$7:$M$83,3,FALSE)))),IF($Y34&gt;25,(MROUND(($Y34*1.5),(VLOOKUP($X34,Übungsübersicht!$E$7:$M$83,3,FALSE)))),IF($Y34&gt;15,(MROUND(($Y34*1.4),(VLOOKUP($X34,Übungsübersicht!$E$7:$M$83,3,FALSE)))),IF($Y34&gt;(VLOOKUP($X34,Übungsübersicht!$E$7:$M$83,3,FALSE)),30*(VLOOKUP($X34,Übungsübersicht!$E$7:$M$83,3,FALSE)),""))))))),40*(VLOOKUP($X34,Übungsübersicht!$E$7:$M$83,3,FALSE)))</f>
        <v>#N/A</v>
      </c>
      <c r="AK34" s="656" t="e">
        <f ca="1">IFERROR(IF($Y34=0,50*(VLOOKUP($X34,Übungsübersicht!$E$7:$M$83,3,FALSE)),IF($Y34&gt;100,(MROUND(($Y34*1.9),(VLOOKUP($X34,Übungsübersicht!$E$7:$M$83,3,FALSE)))),IF($Y34&gt;80,(MROUND(($Y34*1.9),(VLOOKUP($X34,Übungsübersicht!$E$7:$M$83,3,FALSE)))),IF($Y34&gt;50,(MROUND(($Y34*1.8),(VLOOKUP($X34,Übungsübersicht!$E$7:$M$83,3,FALSE)))),IF($Y34&gt;25,(MROUND(($Y34*1.7),(VLOOKUP($X34,Übungsübersicht!$E$7:$M$83,3,FALSE)))),IF($Y34&gt;15,(MROUND(($Y34*1.6),(VLOOKUP($X34,Übungsübersicht!$E$7:$M$83,3,FALSE)))),IF($Y34&gt;(VLOOKUP($X34,Übungsübersicht!$E$7:$M$83,3,FALSE)),40*(VLOOKUP($X34,Übungsübersicht!$E$7:$M$83,3,FALSE)),""))))))),50*(VLOOKUP($X34,Übungsübersicht!$E$7:$M$83,3,FALSE)))</f>
        <v>#N/A</v>
      </c>
      <c r="AN34" s="655">
        <f ca="1">MROUND(INDEX(OFFSET(Zyklus!$M$13,31,0),1),(IF(VLOOKUP($X34,Übungsübersicht!$E$7:$K$80,3)=0,0.1,(VLOOKUP($X34,Übungsübersicht!$E$7:$K$80,3)))))</f>
        <v>0</v>
      </c>
      <c r="AP34" s="652" t="str">
        <f ca="1">IFERROR(IF(IF(VLOOKUP($X34,Zyklus!$A$14:$U$68,9,FALSE)=0,"RPE 8",IF(VLOOKUP($X34,Übungsübersicht!$E$7:$M$83,3,FALSE)&lt;0.5,($AN34)-(3*0.5),(($AN34)-(3*(VLOOKUP($X34,Übungsübersicht!$E$7:$M$83,3,FALSE))))))&lt;1,0,(IF(VLOOKUP($X34,Zyklus!$A$14:$U$68,9,FALSE)=0,"RPE 8",IF(VLOOKUP($X34,Übungsübersicht!$E$7:$M$83,3,FALSE)&lt;0.5,($AN34)-(3*0.5),(($AN34)-(3*(VLOOKUP($X34,Übungsübersicht!$E$7:$M$83,3,FALSE)))))))),"RPE 8")</f>
        <v>RPE 8</v>
      </c>
      <c r="AQ34" s="652" t="str">
        <f ca="1">IFERROR(IF(IF(VLOOKUP($X34,Zyklus!$A$14:$U$68,9,FALSE)=0,"RPE 8",IF(VLOOKUP($X34,Übungsübersicht!$E$7:$M$83,3,FALSE)&lt;0.5,($AN34)-(2*0.5),(($AN34)-(2*(VLOOKUP($X34,Übungsübersicht!$E$7:$M$83,3,FALSE))))))&lt;1,0,(IF(VLOOKUP($X34,Zyklus!$A$14:$U$68,9,FALSE)=0,"RPE 8",IF(VLOOKUP($X34,Übungsübersicht!$E$7:$M$83,3,FALSE)&lt;0.5,($AN34)-(2*0.5),(($AN34)-(2*(VLOOKUP($X34,Übungsübersicht!$E$7:$M$83,3,FALSE)))))))),"RPE 8")</f>
        <v>RPE 8</v>
      </c>
      <c r="AR34" s="652" t="str">
        <f ca="1">IFERROR(IF(IF(VLOOKUP($X34,Zyklus!$A$14:$U$68,9,FALSE)=0,"RPE 8",IF(VLOOKUP($X34,Übungsübersicht!$E$7:$M$83,3,FALSE)&lt;0.5,($AN34)-(1*0.5),(($Y34)-(1*(VLOOKUP($X34,Übungsübersicht!$E$7:$M$83,3,FALSE))))))&lt;1,0,(IF(VLOOKUP($X34,Zyklus!$A$14:$U$68,9,FALSE)=0,"RPE 8",IF(VLOOKUP($X34,Übungsübersicht!$E$7:$M$83,3,FALSE)&lt;0.5,($AN34)-(1*0.5),(($Y34)-(1*(VLOOKUP($X34,Übungsübersicht!$E$7:$M$83,3,FALSE)))))))),"RPE 8")</f>
        <v>RPE 8</v>
      </c>
      <c r="AS34" s="652" t="str">
        <f t="shared" ca="1" si="0"/>
        <v>RPE 8</v>
      </c>
      <c r="AT34" s="652" t="str">
        <f ca="1">IFERROR(IF(VLOOKUP($X34,Zyklus!$A$14:$U$68,9,FALSE)=0,"RPE 8",IF(VLOOKUP($X34,Übungsübersicht!$E$7:$M$83,3,FALSE)&lt;0.5,($AN34)+(1*0.5),(($Y34)+(1*(VLOOKUP($X34,Übungsübersicht!$E$7:$M$83,3,FALSE)))))),"RPE 8")</f>
        <v>RPE 8</v>
      </c>
      <c r="AU34" s="652" t="str">
        <f ca="1">IFERROR(IF(VLOOKUP($X34,Zyklus!$A$14:$U$68,9,FALSE)=0,"RPE 8",IF(VLOOKUP($X34,Übungsübersicht!$E$7:$M$83,3,FALSE)&lt;0.5,($AN34)+(2*0.5),(($AN34)+(2*(VLOOKUP($X34,Übungsübersicht!$E$7:$M$83,3,FALSE)))))),"RPE 8")</f>
        <v>RPE 8</v>
      </c>
      <c r="AV34" s="652" t="str">
        <f ca="1">IFERROR(IF(VLOOKUP($X34,Zyklus!$A$14:$U$68,9,FALSE)=0,"RPE 8",IF(VLOOKUP($X34,Übungsübersicht!$E$7:$M$83,3,FALSE)&lt;0.5,($AN34)+(3*0.5),(($AN34)+(3*(VLOOKUP($X34,Übungsübersicht!$E$7:$M$83,3,FALSE)))))),"RPE 8")</f>
        <v>RPE 8</v>
      </c>
      <c r="AY34" s="655">
        <f ca="1">MROUND(INDEX(OFFSET(Zyklus!$M$13,31,0),1),(IF(VLOOKUP($X34,Übungsübersicht!$E$7:$K$80,3)=0,0.1,(VLOOKUP($X34,Übungsübersicht!$E$7:$K$80,3)))))</f>
        <v>0</v>
      </c>
      <c r="BA34" s="652">
        <f ca="1">MROUND(INDEX(OFFSET(Zyklus!$Q$13,31,0),1),(IF(VLOOKUP($X34,Übungsübersicht!$E$7:$K$80,3)=0,0.1,(VLOOKUP($X34,Übungsübersicht!$E$7:$K$80,3)))))</f>
        <v>0</v>
      </c>
      <c r="BC34" s="652" t="str">
        <f ca="1">IFERROR(IF(IF(VLOOKUP($X34,Zyklus!$A$14:$U$68,9,FALSE)=0,"RPE 9",IF(VLOOKUP($X34,Übungsübersicht!$E$7:$M$83,3,FALSE)&lt;0.5,($BA34)-(3*0.5),(($BA34)-(3*(VLOOKUP($X34,Übungsübersicht!$E$7:$M$83,3,FALSE))))))&lt;1,0,(IF(VLOOKUP($X34,Zyklus!$A$14:$U$68,9,FALSE)=0,"RPE 9",IF(VLOOKUP($X34,Übungsübersicht!$E$7:$M$83,3,FALSE)&lt;0.5,($BA34)-(3*0.5),(($BA34)-(3*(VLOOKUP($X34,Übungsübersicht!$E$7:$M$83,3,FALSE)))))))),"RPE 9")</f>
        <v>RPE 9</v>
      </c>
      <c r="BD34" s="652" t="str">
        <f ca="1">IFERROR(IF(IF(VLOOKUP($X34,Zyklus!$A$14:$U$68,9,FALSE)=0,"RPE 9",IF(VLOOKUP($X34,Übungsübersicht!$E$7:$M$83,3,FALSE)&lt;0.5,($BA34)-(2*0.5),(($BA34)-(2*(VLOOKUP($X34,Übungsübersicht!$E$7:$M$83,3,FALSE))))))&lt;1,0,(IF(VLOOKUP($X34,Zyklus!$A$14:$U$68,9,FALSE)=0,"RPE 9",IF(VLOOKUP($X34,Übungsübersicht!$E$7:$M$83,3,FALSE)&lt;0.5,($BA34)-(2*0.5),(($BA34)-(2*(VLOOKUP($X34,Übungsübersicht!$E$7:$M$83,3,FALSE)))))))),"RPE 9")</f>
        <v>RPE 9</v>
      </c>
      <c r="BE34" s="652" t="str">
        <f ca="1">IFERROR(IF(IF(VLOOKUP($X34,Zyklus!$A$14:$U$68,9,FALSE)=0,"RPE 9",IF(VLOOKUP($X34,Übungsübersicht!$E$7:$M$83,3,FALSE)&lt;0.5,($BA34)-(1*0.5),(($Y34)-(1*(VLOOKUP($X34,Übungsübersicht!$E$7:$M$83,3,FALSE))))))&lt;1,0,(IF(VLOOKUP($X34,Zyklus!$A$14:$U$68,9,FALSE)=0,"RPE 9",IF(VLOOKUP($X34,Übungsübersicht!$E$7:$M$83,3,FALSE)&lt;0.5,($BA34)-(1*0.5),(($Y34)-(1*(VLOOKUP($X34,Übungsübersicht!$E$7:$M$83,3,FALSE)))))))),"RPE 9")</f>
        <v>RPE 9</v>
      </c>
      <c r="BF34" s="652" t="str">
        <f t="shared" ca="1" si="1"/>
        <v>RPE 9</v>
      </c>
      <c r="BG34" s="652" t="str">
        <f ca="1">IFERROR(IF(VLOOKUP($X34,Zyklus!$A$14:$U$68,9,FALSE)=0,"RPE 9",IF(VLOOKUP($X34,Übungsübersicht!$E$7:$M$83,3,FALSE)&lt;0.5,($AY34)+(1*0.5),(($AY34)+(1*(VLOOKUP($X34,Übungsübersicht!$E$7:$M$83,3,FALSE)))))),"RPE 9")</f>
        <v>RPE 9</v>
      </c>
      <c r="BH34" s="652" t="str">
        <f ca="1">IFERROR(IF(VLOOKUP($X34,Zyklus!$A$14:$U$68,9,FALSE)=0,"RPE 9",IF(VLOOKUP($X34,Übungsübersicht!$E$7:$M$83,3,FALSE)&lt;0.5,($BA34)+(2*0.5),(($BA34)+(2*(VLOOKUP($X34,Übungsübersicht!$E$7:$M$83,3,FALSE)))))),"RPE 9")</f>
        <v>RPE 9</v>
      </c>
      <c r="BI34" s="652" t="str">
        <f ca="1">IFERROR(IF(VLOOKUP($X34,Zyklus!$A$14:$U$68,9,FALSE)=0,"RPE 9",IF(VLOOKUP($X34,Übungsübersicht!$E$7:$M$83,3,FALSE)&lt;0.5,($BA34)+(3*0.5),(($BA34)+(3*(VLOOKUP($X34,Übungsübersicht!$E$7:$M$83,3,FALSE)))))),"RPE 9")</f>
        <v>RPE 9</v>
      </c>
    </row>
    <row r="35" spans="2:61" ht="30" customHeight="1">
      <c r="D35" s="326">
        <v>14</v>
      </c>
      <c r="E35" s="323">
        <f t="shared" si="2"/>
        <v>74.193548387096783</v>
      </c>
      <c r="F35" s="344">
        <f t="shared" si="3"/>
        <v>0.63888888888888895</v>
      </c>
      <c r="H35" s="326">
        <v>14</v>
      </c>
      <c r="I35" s="323">
        <f t="shared" si="5"/>
        <v>81.818181818181813</v>
      </c>
      <c r="J35" s="344">
        <f t="shared" si="4"/>
        <v>0.68181818181818177</v>
      </c>
      <c r="O35" s="489" t="s">
        <v>2</v>
      </c>
      <c r="P35" s="490">
        <v>0</v>
      </c>
      <c r="Q35" s="490">
        <v>0.9</v>
      </c>
      <c r="R35" s="490">
        <v>0.9</v>
      </c>
      <c r="S35" s="490">
        <v>1.4</v>
      </c>
      <c r="T35" s="490">
        <v>1.4</v>
      </c>
      <c r="U35" s="491">
        <v>2</v>
      </c>
      <c r="X35" s="651" t="str">
        <f ca="1">INDEX(OFFSET(Zyklus!$A$13,32,0),1)</f>
        <v>Übung</v>
      </c>
      <c r="Y35" s="652" t="e">
        <f ca="1">MROUND(INDEX(OFFSET(Zyklus!$I$13,32,0),1),(IF(VLOOKUP($X35,Übungsübersicht!$E$7:$K$80,3)=0,0.1,(VLOOKUP($X35,Übungsübersicht!$E$7:$K$80,3)))))</f>
        <v>#VALUE!</v>
      </c>
      <c r="Z35" s="652"/>
      <c r="AA35" s="652" t="e">
        <f ca="1">IFERROR(IF($Y35=0,2*(VLOOKUP($X35,Übungsübersicht!$E$7:$M$83,3,FALSE)),IF($Y35&gt;100,(MROUND(($Y35*0.1),(VLOOKUP($X35,Übungsübersicht!$E$7:$M$83,3,FALSE)))),IF($Y35&gt;80,(MROUND(($Y35*0.1),(VLOOKUP($X35,Übungsübersicht!$E$7:$M$83,3,FALSE)))),IF($Y35&gt;50,(MROUND(($Y35*0.2),(VLOOKUP($X35,Übungsübersicht!$E$7:$M$83,3,FALSE)))),IF($Y35&gt;25,(MROUND(($Y35*0.3),(VLOOKUP($X35,Übungsübersicht!$E$7:$M$83,3,FALSE)))),IF($Y35&gt;15,(MROUND(($Y35*0.4),(VLOOKUP($X35,Übungsübersicht!$E$7:$M$83,3,FALSE)))),IF($Y35&gt;(VLOOKUP($X35,Übungsübersicht!$E$7:$M$83,3,FALSE)),(VLOOKUP($X35,Übungsübersicht!$E$7:$M$83,3,FALSE)),""))))))),2*(VLOOKUP($X35,Übungsübersicht!$E$7:$M$83,3,FALSE)))</f>
        <v>#VALUE!</v>
      </c>
      <c r="AB35" s="652" t="e">
        <f ca="1">IFERROR(IF($Y35=0,4*(VLOOKUP($X35,Übungsübersicht!$E$7:$M$83,3,FALSE)),IF($Y35&gt;100,(MROUND(($Y35*0.3),(VLOOKUP($X35,Übungsübersicht!$E$7:$M$83,3,FALSE)))),IF($Y35&gt;80,(MROUND(($Y35*0.3),(VLOOKUP($X35,Übungsübersicht!$E$7:$M$83,3,FALSE)))),IF($Y35&gt;50,(MROUND(($Y35*0.4),(VLOOKUP($X35,Übungsübersicht!$E$7:$M$83,3,FALSE)))),IF($Y35&gt;25,(MROUND(($Y35*0.5),(VLOOKUP($X35,Übungsübersicht!$E$7:$M$83,3,FALSE)))),IF($Y35&gt;15,(MROUND(($Y35*0.6),(VLOOKUP($X35,Übungsübersicht!$E$7:$M$83,3,FALSE)))),IF($Y35&gt;(VLOOKUP($X35,Übungsübersicht!$E$7:$M$83,3,FALSE)),(VLOOKUP($X35,Übungsübersicht!$E$7:$M$83,3,FALSE)),""))))))),4*(VLOOKUP($X35,Übungsübersicht!$E$7:$M$83,3,FALSE)))</f>
        <v>#VALUE!</v>
      </c>
      <c r="AC35" s="652" t="e">
        <f ca="1">IFERROR((IF($Y35=0,8*(VLOOKUP($X35,Übungsübersicht!$E$7:$M$83,3,FALSE)),(($Y35)-(3*(VLOOKUP($X35,Übungsübersicht!$E$7:$M$83,3,FALSE)))))),8*(VLOOKUP($X35,Übungsübersicht!$E$7:$M$83,3,FALSE)))</f>
        <v>#VALUE!</v>
      </c>
      <c r="AD35" s="652" t="e">
        <f ca="1">IFERROR(((IF($Y35=0,10*(VLOOKUP($X35,Übungsübersicht!$E$7:$M$83,3,FALSE)),($Y35)-(2*(VLOOKUP($X35,Übungsübersicht!$E$7:$M$83,3,FALSE)))))),10*(VLOOKUP($X35,Übungsübersicht!$E$7:$M$83,3,FALSE)))</f>
        <v>#VALUE!</v>
      </c>
      <c r="AE35" s="652" t="e">
        <f ca="1">IFERROR(((IF($Y35=0,10*(VLOOKUP($X35,Übungsübersicht!$E$7:$M$83,3,FALSE)),($Y35)-(1*(VLOOKUP($X35,Übungsübersicht!$E$7:$M$83,3,FALSE)))))),10*(VLOOKUP($X35,Übungsübersicht!$E$7:$M$83,3,FALSE)))</f>
        <v>#VALUE!</v>
      </c>
      <c r="AF35" s="652" t="e">
        <f ca="1">IFERROR(IF($Y35=0,20*(VLOOKUP($X35,Übungsübersicht!$E$7:$M$83,3,FALSE)),($Y35)),20*(VLOOKUP($X35,Übungsübersicht!$E$7:$M$83,3,FALSE)))</f>
        <v>#VALUE!</v>
      </c>
      <c r="AG35" s="652" t="e">
        <f ca="1">IFERROR(IF($Y35=0,30*(VLOOKUP($X35,Übungsübersicht!$E$7:$M$83,3,FALSE)),($Y35)+(1*(VLOOKUP($X35,Übungsübersicht!$E$7:$M$83,3,FALSE)))),30*(VLOOKUP($X35,Übungsübersicht!$E$7:$M$83,3,FALSE)))</f>
        <v>#VALUE!</v>
      </c>
      <c r="AH35" s="652" t="e">
        <f ca="1">IFERROR(IF($Y35=0,30*(VLOOKUP($X35,Übungsübersicht!$E$7:$M$83,3,FALSE)),($Y35)+(2*(VLOOKUP($X35,Übungsübersicht!$E$7:$M$83,3,FALSE)))),30*(VLOOKUP($X35,Übungsübersicht!$E$7:$M$83,3,FALSE)))</f>
        <v>#VALUE!</v>
      </c>
      <c r="AI35" s="652" t="e">
        <f ca="1">IFERROR(IF($Y35=0,30*(VLOOKUP($X35,Übungsübersicht!$E$7:$M$83,3,FALSE)),($Y35)+(3*(VLOOKUP($X35,Übungsübersicht!$E$7:$M$83,3,FALSE)))),30*(VLOOKUP($X35,Übungsübersicht!$E$7:$M$83,3,FALSE)))</f>
        <v>#VALUE!</v>
      </c>
      <c r="AJ35" s="652" t="e">
        <f ca="1">IFERROR(IF($Y35=0,40*(VLOOKUP($X35,Übungsübersicht!$E$7:$M$83,3,FALSE)),IF($Y35&gt;100,(MROUND(($Y35*1.7),(VLOOKUP($X35,Übungsübersicht!$E$7:$M$83,3,FALSE)))),IF($Y35&gt;80,(MROUND(($Y35*1.7),(VLOOKUP($X35,Übungsübersicht!$E$7:$M$83,3,FALSE)))),IF($Y35&gt;50,(MROUND(($Y35*1.6),(VLOOKUP($X35,Übungsübersicht!$E$7:$M$83,3,FALSE)))),IF($Y35&gt;25,(MROUND(($Y35*1.5),(VLOOKUP($X35,Übungsübersicht!$E$7:$M$83,3,FALSE)))),IF($Y35&gt;15,(MROUND(($Y35*1.4),(VLOOKUP($X35,Übungsübersicht!$E$7:$M$83,3,FALSE)))),IF($Y35&gt;(VLOOKUP($X35,Übungsübersicht!$E$7:$M$83,3,FALSE)),30*(VLOOKUP($X35,Übungsübersicht!$E$7:$M$83,3,FALSE)),""))))))),40*(VLOOKUP($X35,Übungsübersicht!$E$7:$M$83,3,FALSE)))</f>
        <v>#VALUE!</v>
      </c>
      <c r="AK35" s="653" t="e">
        <f ca="1">IFERROR(IF($Y35=0,50*(VLOOKUP($X35,Übungsübersicht!$E$7:$M$83,3,FALSE)),IF($Y35&gt;100,(MROUND(($Y35*1.9),(VLOOKUP($X35,Übungsübersicht!$E$7:$M$83,3,FALSE)))),IF($Y35&gt;80,(MROUND(($Y35*1.9),(VLOOKUP($X35,Übungsübersicht!$E$7:$M$83,3,FALSE)))),IF($Y35&gt;50,(MROUND(($Y35*1.8),(VLOOKUP($X35,Übungsübersicht!$E$7:$M$83,3,FALSE)))),IF($Y35&gt;25,(MROUND(($Y35*1.7),(VLOOKUP($X35,Übungsübersicht!$E$7:$M$83,3,FALSE)))),IF($Y35&gt;15,(MROUND(($Y35*1.6),(VLOOKUP($X35,Übungsübersicht!$E$7:$M$83,3,FALSE)))),IF($Y35&gt;(VLOOKUP($X35,Übungsübersicht!$E$7:$M$83,3,FALSE)),40*(VLOOKUP($X35,Übungsübersicht!$E$7:$M$83,3,FALSE)),""))))))),50*(VLOOKUP($X35,Übungsübersicht!$E$7:$M$83,3,FALSE)))</f>
        <v>#VALUE!</v>
      </c>
      <c r="AN35" s="652" t="e">
        <f ca="1">MROUND(INDEX(OFFSET(Zyklus!$M$13,32,0),1),(IF(VLOOKUP($X35,Übungsübersicht!$E$7:$K$80,3)=0,0.1,(VLOOKUP($X35,Übungsübersicht!$E$7:$K$80,3)))))</f>
        <v>#VALUE!</v>
      </c>
      <c r="AP35" s="655" t="str">
        <f ca="1">IFERROR(IF(IF(VLOOKUP($X35,Zyklus!$A$14:$U$68,9,FALSE)=0,"RPE 8",IF(VLOOKUP($X35,Übungsübersicht!$E$7:$M$83,3,FALSE)&lt;0.5,($AN35)-(3*0.5),(($AN35)-(3*(VLOOKUP($X35,Übungsübersicht!$E$7:$M$83,3,FALSE))))))&lt;1,0,(IF(VLOOKUP($X35,Zyklus!$A$14:$U$68,9,FALSE)=0,"RPE 8",IF(VLOOKUP($X35,Übungsübersicht!$E$7:$M$83,3,FALSE)&lt;0.5,($AN35)-(3*0.5),(($AN35)-(3*(VLOOKUP($X35,Übungsübersicht!$E$7:$M$83,3,FALSE)))))))),"RPE 8")</f>
        <v>RPE 8</v>
      </c>
      <c r="AQ35" s="655" t="str">
        <f ca="1">IFERROR(IF(IF(VLOOKUP($X35,Zyklus!$A$14:$U$68,9,FALSE)=0,"RPE 8",IF(VLOOKUP($X35,Übungsübersicht!$E$7:$M$83,3,FALSE)&lt;0.5,($AN35)-(2*0.5),(($AN35)-(2*(VLOOKUP($X35,Übungsübersicht!$E$7:$M$83,3,FALSE))))))&lt;1,0,(IF(VLOOKUP($X35,Zyklus!$A$14:$U$68,9,FALSE)=0,"RPE 8",IF(VLOOKUP($X35,Übungsübersicht!$E$7:$M$83,3,FALSE)&lt;0.5,($AN35)-(2*0.5),(($AN35)-(2*(VLOOKUP($X35,Übungsübersicht!$E$7:$M$83,3,FALSE)))))))),"RPE 8")</f>
        <v>RPE 8</v>
      </c>
      <c r="AR35" s="655" t="str">
        <f ca="1">IFERROR(IF(IF(VLOOKUP($X35,Zyklus!$A$14:$U$68,9,FALSE)=0,"RPE 8",IF(VLOOKUP($X35,Übungsübersicht!$E$7:$M$83,3,FALSE)&lt;0.5,($AN35)-(1*0.5),(($Y35)-(1*(VLOOKUP($X35,Übungsübersicht!$E$7:$M$83,3,FALSE))))))&lt;1,0,(IF(VLOOKUP($X35,Zyklus!$A$14:$U$68,9,FALSE)=0,"RPE 8",IF(VLOOKUP($X35,Übungsübersicht!$E$7:$M$83,3,FALSE)&lt;0.5,($AN35)-(1*0.5),(($Y35)-(1*(VLOOKUP($X35,Übungsübersicht!$E$7:$M$83,3,FALSE)))))))),"RPE 8")</f>
        <v>RPE 8</v>
      </c>
      <c r="AS35" s="655" t="str">
        <f t="shared" ca="1" si="0"/>
        <v>RPE 8</v>
      </c>
      <c r="AT35" s="655" t="str">
        <f ca="1">IFERROR(IF(VLOOKUP($X35,Zyklus!$A$14:$U$68,9,FALSE)=0,"RPE 8",IF(VLOOKUP($X35,Übungsübersicht!$E$7:$M$83,3,FALSE)&lt;0.5,($AN35)+(1*0.5),(($Y35)+(1*(VLOOKUP($X35,Übungsübersicht!$E$7:$M$83,3,FALSE)))))),"RPE 8")</f>
        <v>RPE 8</v>
      </c>
      <c r="AU35" s="655" t="str">
        <f ca="1">IFERROR(IF(VLOOKUP($X35,Zyklus!$A$14:$U$68,9,FALSE)=0,"RPE 8",IF(VLOOKUP($X35,Übungsübersicht!$E$7:$M$83,3,FALSE)&lt;0.5,($AN35)+(2*0.5),(($AN35)+(2*(VLOOKUP($X35,Übungsübersicht!$E$7:$M$83,3,FALSE)))))),"RPE 8")</f>
        <v>RPE 8</v>
      </c>
      <c r="AV35" s="655" t="str">
        <f ca="1">IFERROR(IF(VLOOKUP($X35,Zyklus!$A$14:$U$68,9,FALSE)=0,"RPE 8",IF(VLOOKUP($X35,Übungsübersicht!$E$7:$M$83,3,FALSE)&lt;0.5,($AN35)+(3*0.5),(($AN35)+(3*(VLOOKUP($X35,Übungsübersicht!$E$7:$M$83,3,FALSE)))))),"RPE 8")</f>
        <v>RPE 8</v>
      </c>
      <c r="AY35" s="652" t="e">
        <f ca="1">MROUND(INDEX(OFFSET(Zyklus!$M$13,32,0),1),(IF(VLOOKUP($X35,Übungsübersicht!$E$7:$K$80,3)=0,0.1,(VLOOKUP($X35,Übungsübersicht!$E$7:$K$80,3)))))</f>
        <v>#VALUE!</v>
      </c>
      <c r="BA35" s="655" t="e">
        <f ca="1">MROUND(INDEX(OFFSET(Zyklus!$Q$13,32,0),1),(IF(VLOOKUP($X35,Übungsübersicht!$E$7:$K$80,3)=0,0.1,(VLOOKUP($X35,Übungsübersicht!$E$7:$K$80,3)))))</f>
        <v>#VALUE!</v>
      </c>
      <c r="BC35" s="655" t="str">
        <f ca="1">IFERROR(IF(IF(VLOOKUP($X35,Zyklus!$A$14:$U$68,9,FALSE)=0,"RPE 9",IF(VLOOKUP($X35,Übungsübersicht!$E$7:$M$83,3,FALSE)&lt;0.5,($BA35)-(3*0.5),(($BA35)-(3*(VLOOKUP($X35,Übungsübersicht!$E$7:$M$83,3,FALSE))))))&lt;1,0,(IF(VLOOKUP($X35,Zyklus!$A$14:$U$68,9,FALSE)=0,"RPE 9",IF(VLOOKUP($X35,Übungsübersicht!$E$7:$M$83,3,FALSE)&lt;0.5,($BA35)-(3*0.5),(($BA35)-(3*(VLOOKUP($X35,Übungsübersicht!$E$7:$M$83,3,FALSE)))))))),"RPE 9")</f>
        <v>RPE 9</v>
      </c>
      <c r="BD35" s="655" t="str">
        <f ca="1">IFERROR(IF(IF(VLOOKUP($X35,Zyklus!$A$14:$U$68,9,FALSE)=0,"RPE 9",IF(VLOOKUP($X35,Übungsübersicht!$E$7:$M$83,3,FALSE)&lt;0.5,($BA35)-(2*0.5),(($BA35)-(2*(VLOOKUP($X35,Übungsübersicht!$E$7:$M$83,3,FALSE))))))&lt;1,0,(IF(VLOOKUP($X35,Zyklus!$A$14:$U$68,9,FALSE)=0,"RPE 9",IF(VLOOKUP($X35,Übungsübersicht!$E$7:$M$83,3,FALSE)&lt;0.5,($BA35)-(2*0.5),(($BA35)-(2*(VLOOKUP($X35,Übungsübersicht!$E$7:$M$83,3,FALSE)))))))),"RPE 9")</f>
        <v>RPE 9</v>
      </c>
      <c r="BE35" s="655" t="str">
        <f ca="1">IFERROR(IF(IF(VLOOKUP($X35,Zyklus!$A$14:$U$68,9,FALSE)=0,"RPE 9",IF(VLOOKUP($X35,Übungsübersicht!$E$7:$M$83,3,FALSE)&lt;0.5,($BA35)-(1*0.5),(($Y35)-(1*(VLOOKUP($X35,Übungsübersicht!$E$7:$M$83,3,FALSE))))))&lt;1,0,(IF(VLOOKUP($X35,Zyklus!$A$14:$U$68,9,FALSE)=0,"RPE 9",IF(VLOOKUP($X35,Übungsübersicht!$E$7:$M$83,3,FALSE)&lt;0.5,($BA35)-(1*0.5),(($Y35)-(1*(VLOOKUP($X35,Übungsübersicht!$E$7:$M$83,3,FALSE)))))))),"RPE 9")</f>
        <v>RPE 9</v>
      </c>
      <c r="BF35" s="655" t="str">
        <f t="shared" ca="1" si="1"/>
        <v>RPE 9</v>
      </c>
      <c r="BG35" s="655" t="str">
        <f ca="1">IFERROR(IF(VLOOKUP($X35,Zyklus!$A$14:$U$68,9,FALSE)=0,"RPE 9",IF(VLOOKUP($X35,Übungsübersicht!$E$7:$M$83,3,FALSE)&lt;0.5,($AY35)+(1*0.5),(($AY35)+(1*(VLOOKUP($X35,Übungsübersicht!$E$7:$M$83,3,FALSE)))))),"RPE 9")</f>
        <v>RPE 9</v>
      </c>
      <c r="BH35" s="655" t="str">
        <f ca="1">IFERROR(IF(VLOOKUP($X35,Zyklus!$A$14:$U$68,9,FALSE)=0,"RPE 9",IF(VLOOKUP($X35,Übungsübersicht!$E$7:$M$83,3,FALSE)&lt;0.5,($BA35)+(2*0.5),(($BA35)+(2*(VLOOKUP($X35,Übungsübersicht!$E$7:$M$83,3,FALSE)))))),"RPE 9")</f>
        <v>RPE 9</v>
      </c>
      <c r="BI35" s="655" t="str">
        <f ca="1">IFERROR(IF(VLOOKUP($X35,Zyklus!$A$14:$U$68,9,FALSE)=0,"RPE 9",IF(VLOOKUP($X35,Übungsübersicht!$E$7:$M$83,3,FALSE)&lt;0.5,($BA35)+(3*0.5),(($BA35)+(3*(VLOOKUP($X35,Übungsübersicht!$E$7:$M$83,3,FALSE)))))),"RPE 9")</f>
        <v>RPE 9</v>
      </c>
    </row>
    <row r="36" spans="2:61" ht="30" customHeight="1">
      <c r="D36" s="324">
        <v>15</v>
      </c>
      <c r="E36" s="325">
        <f t="shared" si="2"/>
        <v>70.967741935483872</v>
      </c>
      <c r="F36" s="343">
        <f t="shared" si="3"/>
        <v>0.61111111111111105</v>
      </c>
      <c r="H36" s="324">
        <v>15</v>
      </c>
      <c r="I36" s="325">
        <f t="shared" si="5"/>
        <v>80</v>
      </c>
      <c r="J36" s="343">
        <f t="shared" si="4"/>
        <v>0.66666666666666663</v>
      </c>
      <c r="O36" s="492" t="s">
        <v>225</v>
      </c>
      <c r="P36" s="493">
        <v>0</v>
      </c>
      <c r="Q36" s="493">
        <v>1.5</v>
      </c>
      <c r="R36" s="493">
        <v>1.5</v>
      </c>
      <c r="S36" s="493">
        <v>2.2000000000000002</v>
      </c>
      <c r="T36" s="493">
        <v>2.2000000000000002</v>
      </c>
      <c r="U36" s="494">
        <v>3</v>
      </c>
      <c r="X36" s="654" t="str">
        <f ca="1">INDEX(OFFSET(Zyklus!$A$13,33,0),1)</f>
        <v>Kniebeuge</v>
      </c>
      <c r="Y36" s="655">
        <f ca="1">MROUND(INDEX(OFFSET(Zyklus!$I$13,33,0),1),(IF(VLOOKUP($X36,Übungsübersicht!$E$7:$K$80,3)=0,0.1,(VLOOKUP($X36,Übungsübersicht!$E$7:$K$80,3)))))</f>
        <v>117.5</v>
      </c>
      <c r="Z36" s="655"/>
      <c r="AA36" s="655">
        <f ca="1">IFERROR(IF($Y36=0,2*(VLOOKUP($X36,Übungsübersicht!$E$7:$M$83,3,FALSE)),IF($Y36&gt;100,(MROUND(($Y36*0.1),(VLOOKUP($X36,Übungsübersicht!$E$7:$M$83,3,FALSE)))),IF($Y36&gt;80,(MROUND(($Y36*0.1),(VLOOKUP($X36,Übungsübersicht!$E$7:$M$83,3,FALSE)))),IF($Y36&gt;50,(MROUND(($Y36*0.2),(VLOOKUP($X36,Übungsübersicht!$E$7:$M$83,3,FALSE)))),IF($Y36&gt;25,(MROUND(($Y36*0.3),(VLOOKUP($X36,Übungsübersicht!$E$7:$M$83,3,FALSE)))),IF($Y36&gt;15,(MROUND(($Y36*0.4),(VLOOKUP($X36,Übungsübersicht!$E$7:$M$83,3,FALSE)))),IF($Y36&gt;(VLOOKUP($X36,Übungsübersicht!$E$7:$M$83,3,FALSE)),(VLOOKUP($X36,Übungsübersicht!$E$7:$M$83,3,FALSE)),""))))))),2*(VLOOKUP($X36,Übungsübersicht!$E$7:$M$83,3,FALSE)))</f>
        <v>12.5</v>
      </c>
      <c r="AB36" s="655">
        <f ca="1">IFERROR(IF($Y36=0,4*(VLOOKUP($X36,Übungsübersicht!$E$7:$M$83,3,FALSE)),IF($Y36&gt;100,(MROUND(($Y36*0.3),(VLOOKUP($X36,Übungsübersicht!$E$7:$M$83,3,FALSE)))),IF($Y36&gt;80,(MROUND(($Y36*0.3),(VLOOKUP($X36,Übungsübersicht!$E$7:$M$83,3,FALSE)))),IF($Y36&gt;50,(MROUND(($Y36*0.4),(VLOOKUP($X36,Übungsübersicht!$E$7:$M$83,3,FALSE)))),IF($Y36&gt;25,(MROUND(($Y36*0.5),(VLOOKUP($X36,Übungsübersicht!$E$7:$M$83,3,FALSE)))),IF($Y36&gt;15,(MROUND(($Y36*0.6),(VLOOKUP($X36,Übungsübersicht!$E$7:$M$83,3,FALSE)))),IF($Y36&gt;(VLOOKUP($X36,Übungsübersicht!$E$7:$M$83,3,FALSE)),(VLOOKUP($X36,Übungsübersicht!$E$7:$M$83,3,FALSE)),""))))))),4*(VLOOKUP($X36,Übungsübersicht!$E$7:$M$83,3,FALSE)))</f>
        <v>35</v>
      </c>
      <c r="AC36" s="655">
        <f ca="1">IFERROR((IF($Y36=0,8*(VLOOKUP($X36,Übungsübersicht!$E$7:$M$83,3,FALSE)),(($Y36)-(3*(VLOOKUP($X36,Übungsübersicht!$E$7:$M$83,3,FALSE)))))),8*(VLOOKUP($X36,Übungsübersicht!$E$7:$M$83,3,FALSE)))</f>
        <v>110</v>
      </c>
      <c r="AD36" s="655">
        <f ca="1">IFERROR(((IF($Y36=0,10*(VLOOKUP($X36,Übungsübersicht!$E$7:$M$83,3,FALSE)),($Y36)-(2*(VLOOKUP($X36,Übungsübersicht!$E$7:$M$83,3,FALSE)))))),10*(VLOOKUP($X36,Übungsübersicht!$E$7:$M$83,3,FALSE)))</f>
        <v>112.5</v>
      </c>
      <c r="AE36" s="655">
        <f ca="1">IFERROR(((IF($Y36=0,10*(VLOOKUP($X36,Übungsübersicht!$E$7:$M$83,3,FALSE)),($Y36)-(1*(VLOOKUP($X36,Übungsübersicht!$E$7:$M$83,3,FALSE)))))),10*(VLOOKUP($X36,Übungsübersicht!$E$7:$M$83,3,FALSE)))</f>
        <v>115</v>
      </c>
      <c r="AF36" s="655">
        <f ca="1">IFERROR(IF($Y36=0,20*(VLOOKUP($X36,Übungsübersicht!$E$7:$M$83,3,FALSE)),($Y36)),20*(VLOOKUP($X36,Übungsübersicht!$E$7:$M$83,3,FALSE)))</f>
        <v>117.5</v>
      </c>
      <c r="AG36" s="655">
        <f ca="1">IFERROR(IF($Y36=0,30*(VLOOKUP($X36,Übungsübersicht!$E$7:$M$83,3,FALSE)),($Y36)+(1*(VLOOKUP($X36,Übungsübersicht!$E$7:$M$83,3,FALSE)))),30*(VLOOKUP($X36,Übungsübersicht!$E$7:$M$83,3,FALSE)))</f>
        <v>120</v>
      </c>
      <c r="AH36" s="655">
        <f ca="1">IFERROR(IF($Y36=0,30*(VLOOKUP($X36,Übungsübersicht!$E$7:$M$83,3,FALSE)),($Y36)+(2*(VLOOKUP($X36,Übungsübersicht!$E$7:$M$83,3,FALSE)))),30*(VLOOKUP($X36,Übungsübersicht!$E$7:$M$83,3,FALSE)))</f>
        <v>122.5</v>
      </c>
      <c r="AI36" s="655">
        <f ca="1">IFERROR(IF($Y36=0,30*(VLOOKUP($X36,Übungsübersicht!$E$7:$M$83,3,FALSE)),($Y36)+(3*(VLOOKUP($X36,Übungsübersicht!$E$7:$M$83,3,FALSE)))),30*(VLOOKUP($X36,Übungsübersicht!$E$7:$M$83,3,FALSE)))</f>
        <v>125</v>
      </c>
      <c r="AJ36" s="655">
        <f ca="1">IFERROR(IF($Y36=0,40*(VLOOKUP($X36,Übungsübersicht!$E$7:$M$83,3,FALSE)),IF($Y36&gt;100,(MROUND(($Y36*1.7),(VLOOKUP($X36,Übungsübersicht!$E$7:$M$83,3,FALSE)))),IF($Y36&gt;80,(MROUND(($Y36*1.7),(VLOOKUP($X36,Übungsübersicht!$E$7:$M$83,3,FALSE)))),IF($Y36&gt;50,(MROUND(($Y36*1.6),(VLOOKUP($X36,Übungsübersicht!$E$7:$M$83,3,FALSE)))),IF($Y36&gt;25,(MROUND(($Y36*1.5),(VLOOKUP($X36,Übungsübersicht!$E$7:$M$83,3,FALSE)))),IF($Y36&gt;15,(MROUND(($Y36*1.4),(VLOOKUP($X36,Übungsübersicht!$E$7:$M$83,3,FALSE)))),IF($Y36&gt;(VLOOKUP($X36,Übungsübersicht!$E$7:$M$83,3,FALSE)),30*(VLOOKUP($X36,Übungsübersicht!$E$7:$M$83,3,FALSE)),""))))))),40*(VLOOKUP($X36,Übungsübersicht!$E$7:$M$83,3,FALSE)))</f>
        <v>200</v>
      </c>
      <c r="AK36" s="656">
        <f ca="1">IFERROR(IF($Y36=0,50*(VLOOKUP($X36,Übungsübersicht!$E$7:$M$83,3,FALSE)),IF($Y36&gt;100,(MROUND(($Y36*1.9),(VLOOKUP($X36,Übungsübersicht!$E$7:$M$83,3,FALSE)))),IF($Y36&gt;80,(MROUND(($Y36*1.9),(VLOOKUP($X36,Übungsübersicht!$E$7:$M$83,3,FALSE)))),IF($Y36&gt;50,(MROUND(($Y36*1.8),(VLOOKUP($X36,Übungsübersicht!$E$7:$M$83,3,FALSE)))),IF($Y36&gt;25,(MROUND(($Y36*1.7),(VLOOKUP($X36,Übungsübersicht!$E$7:$M$83,3,FALSE)))),IF($Y36&gt;15,(MROUND(($Y36*1.6),(VLOOKUP($X36,Übungsübersicht!$E$7:$M$83,3,FALSE)))),IF($Y36&gt;(VLOOKUP($X36,Übungsübersicht!$E$7:$M$83,3,FALSE)),40*(VLOOKUP($X36,Übungsübersicht!$E$7:$M$83,3,FALSE)),""))))))),50*(VLOOKUP($X36,Übungsübersicht!$E$7:$M$83,3,FALSE)))</f>
        <v>222.5</v>
      </c>
      <c r="AN36" s="655">
        <f ca="1">MROUND(INDEX(OFFSET(Zyklus!$M$13,33,0),1),(IF(VLOOKUP($X36,Übungsübersicht!$E$7:$K$80,3)=0,0.1,(VLOOKUP($X36,Übungsübersicht!$E$7:$K$80,3)))))</f>
        <v>117.5</v>
      </c>
      <c r="AP36" s="652">
        <f ca="1">IFERROR(IF(IF(VLOOKUP($X36,Zyklus!$A$14:$U$68,9,FALSE)=0,"RPE 8",IF(VLOOKUP($X36,Übungsübersicht!$E$7:$M$83,3,FALSE)&lt;0.5,($AN36)-(3*0.5),(($AN36)-(3*(VLOOKUP($X36,Übungsübersicht!$E$7:$M$83,3,FALSE))))))&lt;1,0,(IF(VLOOKUP($X36,Zyklus!$A$14:$U$68,9,FALSE)=0,"RPE 8",IF(VLOOKUP($X36,Übungsübersicht!$E$7:$M$83,3,FALSE)&lt;0.5,($AN36)-(3*0.5),(($AN36)-(3*(VLOOKUP($X36,Übungsübersicht!$E$7:$M$83,3,FALSE)))))))),"RPE 8")</f>
        <v>110</v>
      </c>
      <c r="AQ36" s="652">
        <f ca="1">IFERROR(IF(IF(VLOOKUP($X36,Zyklus!$A$14:$U$68,9,FALSE)=0,"RPE 8",IF(VLOOKUP($X36,Übungsübersicht!$E$7:$M$83,3,FALSE)&lt;0.5,($AN36)-(2*0.5),(($AN36)-(2*(VLOOKUP($X36,Übungsübersicht!$E$7:$M$83,3,FALSE))))))&lt;1,0,(IF(VLOOKUP($X36,Zyklus!$A$14:$U$68,9,FALSE)=0,"RPE 8",IF(VLOOKUP($X36,Übungsübersicht!$E$7:$M$83,3,FALSE)&lt;0.5,($AN36)-(2*0.5),(($AN36)-(2*(VLOOKUP($X36,Übungsübersicht!$E$7:$M$83,3,FALSE)))))))),"RPE 8")</f>
        <v>112.5</v>
      </c>
      <c r="AR36" s="652">
        <f ca="1">IFERROR(IF(IF(VLOOKUP($X36,Zyklus!$A$14:$U$68,9,FALSE)=0,"RPE 8",IF(VLOOKUP($X36,Übungsübersicht!$E$7:$M$83,3,FALSE)&lt;0.5,($AN36)-(1*0.5),(($Y36)-(1*(VLOOKUP($X36,Übungsübersicht!$E$7:$M$83,3,FALSE))))))&lt;1,0,(IF(VLOOKUP($X36,Zyklus!$A$14:$U$68,9,FALSE)=0,"RPE 8",IF(VLOOKUP($X36,Übungsübersicht!$E$7:$M$83,3,FALSE)&lt;0.5,($AN36)-(1*0.5),(($Y36)-(1*(VLOOKUP($X36,Übungsübersicht!$E$7:$M$83,3,FALSE)))))))),"RPE 8")</f>
        <v>115</v>
      </c>
      <c r="AS36" s="652">
        <f t="shared" ca="1" si="0"/>
        <v>117.5</v>
      </c>
      <c r="AT36" s="652">
        <f ca="1">IFERROR(IF(VLOOKUP($X36,Zyklus!$A$14:$U$68,9,FALSE)=0,"RPE 8",IF(VLOOKUP($X36,Übungsübersicht!$E$7:$M$83,3,FALSE)&lt;0.5,($AN36)+(1*0.5),(($Y36)+(1*(VLOOKUP($X36,Übungsübersicht!$E$7:$M$83,3,FALSE)))))),"RPE 8")</f>
        <v>120</v>
      </c>
      <c r="AU36" s="652">
        <f ca="1">IFERROR(IF(VLOOKUP($X36,Zyklus!$A$14:$U$68,9,FALSE)=0,"RPE 8",IF(VLOOKUP($X36,Übungsübersicht!$E$7:$M$83,3,FALSE)&lt;0.5,($AN36)+(2*0.5),(($AN36)+(2*(VLOOKUP($X36,Übungsübersicht!$E$7:$M$83,3,FALSE)))))),"RPE 8")</f>
        <v>122.5</v>
      </c>
      <c r="AV36" s="652">
        <f ca="1">IFERROR(IF(VLOOKUP($X36,Zyklus!$A$14:$U$68,9,FALSE)=0,"RPE 8",IF(VLOOKUP($X36,Übungsübersicht!$E$7:$M$83,3,FALSE)&lt;0.5,($AN36)+(3*0.5),(($AN36)+(3*(VLOOKUP($X36,Übungsübersicht!$E$7:$M$83,3,FALSE)))))),"RPE 8")</f>
        <v>125</v>
      </c>
      <c r="AY36" s="655">
        <f ca="1">MROUND(INDEX(OFFSET(Zyklus!$M$13,33,0),1),(IF(VLOOKUP($X36,Übungsübersicht!$E$7:$K$80,3)=0,0.1,(VLOOKUP($X36,Übungsübersicht!$E$7:$K$80,3)))))</f>
        <v>117.5</v>
      </c>
      <c r="BA36" s="652">
        <f ca="1">MROUND(INDEX(OFFSET(Zyklus!$Q$13,33,0),1),(IF(VLOOKUP($X36,Übungsübersicht!$E$7:$K$80,3)=0,0.1,(VLOOKUP($X36,Übungsübersicht!$E$7:$K$80,3)))))</f>
        <v>117.5</v>
      </c>
      <c r="BC36" s="652">
        <f ca="1">IFERROR(IF(IF(VLOOKUP($X36,Zyklus!$A$14:$U$68,9,FALSE)=0,"RPE 9",IF(VLOOKUP($X36,Übungsübersicht!$E$7:$M$83,3,FALSE)&lt;0.5,($BA36)-(3*0.5),(($BA36)-(3*(VLOOKUP($X36,Übungsübersicht!$E$7:$M$83,3,FALSE))))))&lt;1,0,(IF(VLOOKUP($X36,Zyklus!$A$14:$U$68,9,FALSE)=0,"RPE 9",IF(VLOOKUP($X36,Übungsübersicht!$E$7:$M$83,3,FALSE)&lt;0.5,($BA36)-(3*0.5),(($BA36)-(3*(VLOOKUP($X36,Übungsübersicht!$E$7:$M$83,3,FALSE)))))))),"RPE 9")</f>
        <v>110</v>
      </c>
      <c r="BD36" s="652">
        <f ca="1">IFERROR(IF(IF(VLOOKUP($X36,Zyklus!$A$14:$U$68,9,FALSE)=0,"RPE 9",IF(VLOOKUP($X36,Übungsübersicht!$E$7:$M$83,3,FALSE)&lt;0.5,($BA36)-(2*0.5),(($BA36)-(2*(VLOOKUP($X36,Übungsübersicht!$E$7:$M$83,3,FALSE))))))&lt;1,0,(IF(VLOOKUP($X36,Zyklus!$A$14:$U$68,9,FALSE)=0,"RPE 9",IF(VLOOKUP($X36,Übungsübersicht!$E$7:$M$83,3,FALSE)&lt;0.5,($BA36)-(2*0.5),(($BA36)-(2*(VLOOKUP($X36,Übungsübersicht!$E$7:$M$83,3,FALSE)))))))),"RPE 9")</f>
        <v>112.5</v>
      </c>
      <c r="BE36" s="652">
        <f ca="1">IFERROR(IF(IF(VLOOKUP($X36,Zyklus!$A$14:$U$68,9,FALSE)=0,"RPE 9",IF(VLOOKUP($X36,Übungsübersicht!$E$7:$M$83,3,FALSE)&lt;0.5,($BA36)-(1*0.5),(($Y36)-(1*(VLOOKUP($X36,Übungsübersicht!$E$7:$M$83,3,FALSE))))))&lt;1,0,(IF(VLOOKUP($X36,Zyklus!$A$14:$U$68,9,FALSE)=0,"RPE 9",IF(VLOOKUP($X36,Übungsübersicht!$E$7:$M$83,3,FALSE)&lt;0.5,($BA36)-(1*0.5),(($Y36)-(1*(VLOOKUP($X36,Übungsübersicht!$E$7:$M$83,3,FALSE)))))))),"RPE 9")</f>
        <v>115</v>
      </c>
      <c r="BF36" s="652">
        <f t="shared" ca="1" si="1"/>
        <v>117.5</v>
      </c>
      <c r="BG36" s="652">
        <f ca="1">IFERROR(IF(VLOOKUP($X36,Zyklus!$A$14:$U$68,9,FALSE)=0,"RPE 9",IF(VLOOKUP($X36,Übungsübersicht!$E$7:$M$83,3,FALSE)&lt;0.5,($AY36)+(1*0.5),(($AY36)+(1*(VLOOKUP($X36,Übungsübersicht!$E$7:$M$83,3,FALSE)))))),"RPE 9")</f>
        <v>120</v>
      </c>
      <c r="BH36" s="652">
        <f ca="1">IFERROR(IF(VLOOKUP($X36,Zyklus!$A$14:$U$68,9,FALSE)=0,"RPE 9",IF(VLOOKUP($X36,Übungsübersicht!$E$7:$M$83,3,FALSE)&lt;0.5,($BA36)+(2*0.5),(($BA36)+(2*(VLOOKUP($X36,Übungsübersicht!$E$7:$M$83,3,FALSE)))))),"RPE 9")</f>
        <v>122.5</v>
      </c>
      <c r="BI36" s="652">
        <f ca="1">IFERROR(IF(VLOOKUP($X36,Zyklus!$A$14:$U$68,9,FALSE)=0,"RPE 9",IF(VLOOKUP($X36,Übungsübersicht!$E$7:$M$83,3,FALSE)&lt;0.5,($BA36)+(3*0.5),(($BA36)+(3*(VLOOKUP($X36,Übungsübersicht!$E$7:$M$83,3,FALSE)))))),"RPE 9")</f>
        <v>125</v>
      </c>
    </row>
    <row r="37" spans="2:61" ht="30" customHeight="1">
      <c r="D37" s="326">
        <v>16</v>
      </c>
      <c r="E37" s="323">
        <f t="shared" si="2"/>
        <v>67.741935483870975</v>
      </c>
      <c r="F37" s="344">
        <f t="shared" si="3"/>
        <v>0.58333333333333337</v>
      </c>
      <c r="H37" s="326">
        <v>16</v>
      </c>
      <c r="I37" s="323">
        <f t="shared" si="5"/>
        <v>78.260869565217391</v>
      </c>
      <c r="J37" s="344">
        <f t="shared" si="4"/>
        <v>0.65217391304347827</v>
      </c>
      <c r="O37" s="489" t="s">
        <v>135</v>
      </c>
      <c r="P37" s="490">
        <v>0</v>
      </c>
      <c r="Q37" s="490">
        <v>0.8</v>
      </c>
      <c r="R37" s="490">
        <v>0.8</v>
      </c>
      <c r="S37" s="490">
        <v>1.3</v>
      </c>
      <c r="T37" s="490">
        <v>1.3</v>
      </c>
      <c r="U37" s="491">
        <v>2</v>
      </c>
      <c r="X37" s="651" t="str">
        <f ca="1">INDEX(OFFSET(Zyklus!$A$13,34,0),1)</f>
        <v>Rumänisches Kreuzheben</v>
      </c>
      <c r="Y37" s="652">
        <f ca="1">MROUND(INDEX(OFFSET(Zyklus!$I$13,34,0),1),(IF(VLOOKUP($X37,Übungsübersicht!$E$7:$K$80,3)=0,0.1,(VLOOKUP($X37,Übungsübersicht!$E$7:$K$80,3)))))</f>
        <v>110</v>
      </c>
      <c r="Z37" s="652"/>
      <c r="AA37" s="652">
        <f ca="1">IFERROR(IF($Y37=0,2*(VLOOKUP($X37,Übungsübersicht!$E$7:$M$83,3,FALSE)),IF($Y37&gt;100,(MROUND(($Y37*0.1),(VLOOKUP($X37,Übungsübersicht!$E$7:$M$83,3,FALSE)))),IF($Y37&gt;80,(MROUND(($Y37*0.1),(VLOOKUP($X37,Übungsübersicht!$E$7:$M$83,3,FALSE)))),IF($Y37&gt;50,(MROUND(($Y37*0.2),(VLOOKUP($X37,Übungsübersicht!$E$7:$M$83,3,FALSE)))),IF($Y37&gt;25,(MROUND(($Y37*0.3),(VLOOKUP($X37,Übungsübersicht!$E$7:$M$83,3,FALSE)))),IF($Y37&gt;15,(MROUND(($Y37*0.4),(VLOOKUP($X37,Übungsübersicht!$E$7:$M$83,3,FALSE)))),IF($Y37&gt;(VLOOKUP($X37,Übungsübersicht!$E$7:$M$83,3,FALSE)),(VLOOKUP($X37,Übungsübersicht!$E$7:$M$83,3,FALSE)),""))))))),2*(VLOOKUP($X37,Übungsübersicht!$E$7:$M$83,3,FALSE)))</f>
        <v>10</v>
      </c>
      <c r="AB37" s="652">
        <f ca="1">IFERROR(IF($Y37=0,4*(VLOOKUP($X37,Übungsübersicht!$E$7:$M$83,3,FALSE)),IF($Y37&gt;100,(MROUND(($Y37*0.3),(VLOOKUP($X37,Übungsübersicht!$E$7:$M$83,3,FALSE)))),IF($Y37&gt;80,(MROUND(($Y37*0.3),(VLOOKUP($X37,Übungsübersicht!$E$7:$M$83,3,FALSE)))),IF($Y37&gt;50,(MROUND(($Y37*0.4),(VLOOKUP($X37,Übungsübersicht!$E$7:$M$83,3,FALSE)))),IF($Y37&gt;25,(MROUND(($Y37*0.5),(VLOOKUP($X37,Übungsübersicht!$E$7:$M$83,3,FALSE)))),IF($Y37&gt;15,(MROUND(($Y37*0.6),(VLOOKUP($X37,Übungsübersicht!$E$7:$M$83,3,FALSE)))),IF($Y37&gt;(VLOOKUP($X37,Übungsübersicht!$E$7:$M$83,3,FALSE)),(VLOOKUP($X37,Übungsübersicht!$E$7:$M$83,3,FALSE)),""))))))),4*(VLOOKUP($X37,Übungsübersicht!$E$7:$M$83,3,FALSE)))</f>
        <v>32.5</v>
      </c>
      <c r="AC37" s="652">
        <f ca="1">IFERROR((IF($Y37=0,8*(VLOOKUP($X37,Übungsübersicht!$E$7:$M$83,3,FALSE)),(($Y37)-(3*(VLOOKUP($X37,Übungsübersicht!$E$7:$M$83,3,FALSE)))))),8*(VLOOKUP($X37,Übungsübersicht!$E$7:$M$83,3,FALSE)))</f>
        <v>102.5</v>
      </c>
      <c r="AD37" s="652">
        <f ca="1">IFERROR(((IF($Y37=0,10*(VLOOKUP($X37,Übungsübersicht!$E$7:$M$83,3,FALSE)),($Y37)-(2*(VLOOKUP($X37,Übungsübersicht!$E$7:$M$83,3,FALSE)))))),10*(VLOOKUP($X37,Übungsübersicht!$E$7:$M$83,3,FALSE)))</f>
        <v>105</v>
      </c>
      <c r="AE37" s="652">
        <f ca="1">IFERROR(((IF($Y37=0,10*(VLOOKUP($X37,Übungsübersicht!$E$7:$M$83,3,FALSE)),($Y37)-(1*(VLOOKUP($X37,Übungsübersicht!$E$7:$M$83,3,FALSE)))))),10*(VLOOKUP($X37,Übungsübersicht!$E$7:$M$83,3,FALSE)))</f>
        <v>107.5</v>
      </c>
      <c r="AF37" s="652">
        <f ca="1">IFERROR(IF($Y37=0,20*(VLOOKUP($X37,Übungsübersicht!$E$7:$M$83,3,FALSE)),($Y37)),20*(VLOOKUP($X37,Übungsübersicht!$E$7:$M$83,3,FALSE)))</f>
        <v>110</v>
      </c>
      <c r="AG37" s="652">
        <f ca="1">IFERROR(IF($Y37=0,30*(VLOOKUP($X37,Übungsübersicht!$E$7:$M$83,3,FALSE)),($Y37)+(1*(VLOOKUP($X37,Übungsübersicht!$E$7:$M$83,3,FALSE)))),30*(VLOOKUP($X37,Übungsübersicht!$E$7:$M$83,3,FALSE)))</f>
        <v>112.5</v>
      </c>
      <c r="AH37" s="652">
        <f ca="1">IFERROR(IF($Y37=0,30*(VLOOKUP($X37,Übungsübersicht!$E$7:$M$83,3,FALSE)),($Y37)+(2*(VLOOKUP($X37,Übungsübersicht!$E$7:$M$83,3,FALSE)))),30*(VLOOKUP($X37,Übungsübersicht!$E$7:$M$83,3,FALSE)))</f>
        <v>115</v>
      </c>
      <c r="AI37" s="652">
        <f ca="1">IFERROR(IF($Y37=0,30*(VLOOKUP($X37,Übungsübersicht!$E$7:$M$83,3,FALSE)),($Y37)+(3*(VLOOKUP($X37,Übungsübersicht!$E$7:$M$83,3,FALSE)))),30*(VLOOKUP($X37,Übungsübersicht!$E$7:$M$83,3,FALSE)))</f>
        <v>117.5</v>
      </c>
      <c r="AJ37" s="652">
        <f ca="1">IFERROR(IF($Y37=0,40*(VLOOKUP($X37,Übungsübersicht!$E$7:$M$83,3,FALSE)),IF($Y37&gt;100,(MROUND(($Y37*1.7),(VLOOKUP($X37,Übungsübersicht!$E$7:$M$83,3,FALSE)))),IF($Y37&gt;80,(MROUND(($Y37*1.7),(VLOOKUP($X37,Übungsübersicht!$E$7:$M$83,3,FALSE)))),IF($Y37&gt;50,(MROUND(($Y37*1.6),(VLOOKUP($X37,Übungsübersicht!$E$7:$M$83,3,FALSE)))),IF($Y37&gt;25,(MROUND(($Y37*1.5),(VLOOKUP($X37,Übungsübersicht!$E$7:$M$83,3,FALSE)))),IF($Y37&gt;15,(MROUND(($Y37*1.4),(VLOOKUP($X37,Übungsübersicht!$E$7:$M$83,3,FALSE)))),IF($Y37&gt;(VLOOKUP($X37,Übungsübersicht!$E$7:$M$83,3,FALSE)),30*(VLOOKUP($X37,Übungsübersicht!$E$7:$M$83,3,FALSE)),""))))))),40*(VLOOKUP($X37,Übungsübersicht!$E$7:$M$83,3,FALSE)))</f>
        <v>187.5</v>
      </c>
      <c r="AK37" s="653">
        <f ca="1">IFERROR(IF($Y37=0,50*(VLOOKUP($X37,Übungsübersicht!$E$7:$M$83,3,FALSE)),IF($Y37&gt;100,(MROUND(($Y37*1.9),(VLOOKUP($X37,Übungsübersicht!$E$7:$M$83,3,FALSE)))),IF($Y37&gt;80,(MROUND(($Y37*1.9),(VLOOKUP($X37,Übungsübersicht!$E$7:$M$83,3,FALSE)))),IF($Y37&gt;50,(MROUND(($Y37*1.8),(VLOOKUP($X37,Übungsübersicht!$E$7:$M$83,3,FALSE)))),IF($Y37&gt;25,(MROUND(($Y37*1.7),(VLOOKUP($X37,Übungsübersicht!$E$7:$M$83,3,FALSE)))),IF($Y37&gt;15,(MROUND(($Y37*1.6),(VLOOKUP($X37,Übungsübersicht!$E$7:$M$83,3,FALSE)))),IF($Y37&gt;(VLOOKUP($X37,Übungsübersicht!$E$7:$M$83,3,FALSE)),40*(VLOOKUP($X37,Übungsübersicht!$E$7:$M$83,3,FALSE)),""))))))),50*(VLOOKUP($X37,Übungsübersicht!$E$7:$M$83,3,FALSE)))</f>
        <v>210</v>
      </c>
      <c r="AN37" s="652">
        <f ca="1">MROUND(INDEX(OFFSET(Zyklus!$M$13,34,0),1),(IF(VLOOKUP($X37,Übungsübersicht!$E$7:$K$80,3)=0,0.1,(VLOOKUP($X37,Übungsübersicht!$E$7:$K$80,3)))))</f>
        <v>110</v>
      </c>
      <c r="AP37" s="655">
        <f ca="1">IFERROR(IF(IF(VLOOKUP($X37,Zyklus!$A$14:$U$68,9,FALSE)=0,"RPE 8",IF(VLOOKUP($X37,Übungsübersicht!$E$7:$M$83,3,FALSE)&lt;0.5,($AN37)-(3*0.5),(($AN37)-(3*(VLOOKUP($X37,Übungsübersicht!$E$7:$M$83,3,FALSE))))))&lt;1,0,(IF(VLOOKUP($X37,Zyklus!$A$14:$U$68,9,FALSE)=0,"RPE 8",IF(VLOOKUP($X37,Übungsübersicht!$E$7:$M$83,3,FALSE)&lt;0.5,($AN37)-(3*0.5),(($AN37)-(3*(VLOOKUP($X37,Übungsübersicht!$E$7:$M$83,3,FALSE)))))))),"RPE 8")</f>
        <v>102.5</v>
      </c>
      <c r="AQ37" s="655">
        <f ca="1">IFERROR(IF(IF(VLOOKUP($X37,Zyklus!$A$14:$U$68,9,FALSE)=0,"RPE 8",IF(VLOOKUP($X37,Übungsübersicht!$E$7:$M$83,3,FALSE)&lt;0.5,($AN37)-(2*0.5),(($AN37)-(2*(VLOOKUP($X37,Übungsübersicht!$E$7:$M$83,3,FALSE))))))&lt;1,0,(IF(VLOOKUP($X37,Zyklus!$A$14:$U$68,9,FALSE)=0,"RPE 8",IF(VLOOKUP($X37,Übungsübersicht!$E$7:$M$83,3,FALSE)&lt;0.5,($AN37)-(2*0.5),(($AN37)-(2*(VLOOKUP($X37,Übungsübersicht!$E$7:$M$83,3,FALSE)))))))),"RPE 8")</f>
        <v>105</v>
      </c>
      <c r="AR37" s="655">
        <f ca="1">IFERROR(IF(IF(VLOOKUP($X37,Zyklus!$A$14:$U$68,9,FALSE)=0,"RPE 8",IF(VLOOKUP($X37,Übungsübersicht!$E$7:$M$83,3,FALSE)&lt;0.5,($AN37)-(1*0.5),(($Y37)-(1*(VLOOKUP($X37,Übungsübersicht!$E$7:$M$83,3,FALSE))))))&lt;1,0,(IF(VLOOKUP($X37,Zyklus!$A$14:$U$68,9,FALSE)=0,"RPE 8",IF(VLOOKUP($X37,Übungsübersicht!$E$7:$M$83,3,FALSE)&lt;0.5,($AN37)-(1*0.5),(($Y37)-(1*(VLOOKUP($X37,Übungsübersicht!$E$7:$M$83,3,FALSE)))))))),"RPE 8")</f>
        <v>107.5</v>
      </c>
      <c r="AS37" s="655">
        <f t="shared" ca="1" si="0"/>
        <v>110</v>
      </c>
      <c r="AT37" s="655">
        <f ca="1">IFERROR(IF(VLOOKUP($X37,Zyklus!$A$14:$U$68,9,FALSE)=0,"RPE 8",IF(VLOOKUP($X37,Übungsübersicht!$E$7:$M$83,3,FALSE)&lt;0.5,($AN37)+(1*0.5),(($Y37)+(1*(VLOOKUP($X37,Übungsübersicht!$E$7:$M$83,3,FALSE)))))),"RPE 8")</f>
        <v>112.5</v>
      </c>
      <c r="AU37" s="655">
        <f ca="1">IFERROR(IF(VLOOKUP($X37,Zyklus!$A$14:$U$68,9,FALSE)=0,"RPE 8",IF(VLOOKUP($X37,Übungsübersicht!$E$7:$M$83,3,FALSE)&lt;0.5,($AN37)+(2*0.5),(($AN37)+(2*(VLOOKUP($X37,Übungsübersicht!$E$7:$M$83,3,FALSE)))))),"RPE 8")</f>
        <v>115</v>
      </c>
      <c r="AV37" s="655">
        <f ca="1">IFERROR(IF(VLOOKUP($X37,Zyklus!$A$14:$U$68,9,FALSE)=0,"RPE 8",IF(VLOOKUP($X37,Übungsübersicht!$E$7:$M$83,3,FALSE)&lt;0.5,($AN37)+(3*0.5),(($AN37)+(3*(VLOOKUP($X37,Übungsübersicht!$E$7:$M$83,3,FALSE)))))),"RPE 8")</f>
        <v>117.5</v>
      </c>
      <c r="AY37" s="652">
        <f ca="1">MROUND(INDEX(OFFSET(Zyklus!$M$13,34,0),1),(IF(VLOOKUP($X37,Übungsübersicht!$E$7:$K$80,3)=0,0.1,(VLOOKUP($X37,Übungsübersicht!$E$7:$K$80,3)))))</f>
        <v>110</v>
      </c>
      <c r="BA37" s="655">
        <f ca="1">MROUND(INDEX(OFFSET(Zyklus!$Q$13,34,0),1),(IF(VLOOKUP($X37,Übungsübersicht!$E$7:$K$80,3)=0,0.1,(VLOOKUP($X37,Übungsübersicht!$E$7:$K$80,3)))))</f>
        <v>110</v>
      </c>
      <c r="BC37" s="655">
        <f ca="1">IFERROR(IF(IF(VLOOKUP($X37,Zyklus!$A$14:$U$68,9,FALSE)=0,"RPE 9",IF(VLOOKUP($X37,Übungsübersicht!$E$7:$M$83,3,FALSE)&lt;0.5,($BA37)-(3*0.5),(($BA37)-(3*(VLOOKUP($X37,Übungsübersicht!$E$7:$M$83,3,FALSE))))))&lt;1,0,(IF(VLOOKUP($X37,Zyklus!$A$14:$U$68,9,FALSE)=0,"RPE 9",IF(VLOOKUP($X37,Übungsübersicht!$E$7:$M$83,3,FALSE)&lt;0.5,($BA37)-(3*0.5),(($BA37)-(3*(VLOOKUP($X37,Übungsübersicht!$E$7:$M$83,3,FALSE)))))))),"RPE 9")</f>
        <v>102.5</v>
      </c>
      <c r="BD37" s="655">
        <f ca="1">IFERROR(IF(IF(VLOOKUP($X37,Zyklus!$A$14:$U$68,9,FALSE)=0,"RPE 9",IF(VLOOKUP($X37,Übungsübersicht!$E$7:$M$83,3,FALSE)&lt;0.5,($BA37)-(2*0.5),(($BA37)-(2*(VLOOKUP($X37,Übungsübersicht!$E$7:$M$83,3,FALSE))))))&lt;1,0,(IF(VLOOKUP($X37,Zyklus!$A$14:$U$68,9,FALSE)=0,"RPE 9",IF(VLOOKUP($X37,Übungsübersicht!$E$7:$M$83,3,FALSE)&lt;0.5,($BA37)-(2*0.5),(($BA37)-(2*(VLOOKUP($X37,Übungsübersicht!$E$7:$M$83,3,FALSE)))))))),"RPE 9")</f>
        <v>105</v>
      </c>
      <c r="BE37" s="655">
        <f ca="1">IFERROR(IF(IF(VLOOKUP($X37,Zyklus!$A$14:$U$68,9,FALSE)=0,"RPE 9",IF(VLOOKUP($X37,Übungsübersicht!$E$7:$M$83,3,FALSE)&lt;0.5,($BA37)-(1*0.5),(($Y37)-(1*(VLOOKUP($X37,Übungsübersicht!$E$7:$M$83,3,FALSE))))))&lt;1,0,(IF(VLOOKUP($X37,Zyklus!$A$14:$U$68,9,FALSE)=0,"RPE 9",IF(VLOOKUP($X37,Übungsübersicht!$E$7:$M$83,3,FALSE)&lt;0.5,($BA37)-(1*0.5),(($Y37)-(1*(VLOOKUP($X37,Übungsübersicht!$E$7:$M$83,3,FALSE)))))))),"RPE 9")</f>
        <v>107.5</v>
      </c>
      <c r="BF37" s="655">
        <f t="shared" ca="1" si="1"/>
        <v>110</v>
      </c>
      <c r="BG37" s="655">
        <f ca="1">IFERROR(IF(VLOOKUP($X37,Zyklus!$A$14:$U$68,9,FALSE)=0,"RPE 9",IF(VLOOKUP($X37,Übungsübersicht!$E$7:$M$83,3,FALSE)&lt;0.5,($AY37)+(1*0.5),(($AY37)+(1*(VLOOKUP($X37,Übungsübersicht!$E$7:$M$83,3,FALSE)))))),"RPE 9")</f>
        <v>112.5</v>
      </c>
      <c r="BH37" s="655">
        <f ca="1">IFERROR(IF(VLOOKUP($X37,Zyklus!$A$14:$U$68,9,FALSE)=0,"RPE 9",IF(VLOOKUP($X37,Übungsübersicht!$E$7:$M$83,3,FALSE)&lt;0.5,($BA37)+(2*0.5),(($BA37)+(2*(VLOOKUP($X37,Übungsübersicht!$E$7:$M$83,3,FALSE)))))),"RPE 9")</f>
        <v>115</v>
      </c>
      <c r="BI37" s="655">
        <f ca="1">IFERROR(IF(VLOOKUP($X37,Zyklus!$A$14:$U$68,9,FALSE)=0,"RPE 9",IF(VLOOKUP($X37,Übungsübersicht!$E$7:$M$83,3,FALSE)&lt;0.5,($BA37)+(3*0.5),(($BA37)+(3*(VLOOKUP($X37,Übungsübersicht!$E$7:$M$83,3,FALSE)))))),"RPE 9")</f>
        <v>117.5</v>
      </c>
    </row>
    <row r="38" spans="2:61" ht="30" customHeight="1">
      <c r="D38" s="324">
        <v>17</v>
      </c>
      <c r="E38" s="325">
        <f t="shared" si="2"/>
        <v>64.516129032258064</v>
      </c>
      <c r="F38" s="343">
        <f t="shared" si="3"/>
        <v>0.55555555555555547</v>
      </c>
      <c r="H38" s="324">
        <v>17</v>
      </c>
      <c r="I38" s="325">
        <f t="shared" si="5"/>
        <v>76.59574468085107</v>
      </c>
      <c r="J38" s="343">
        <f t="shared" si="4"/>
        <v>0.63829787234042556</v>
      </c>
      <c r="O38" s="495" t="s">
        <v>153</v>
      </c>
      <c r="P38" s="496">
        <v>0</v>
      </c>
      <c r="Q38" s="496">
        <v>0.6</v>
      </c>
      <c r="R38" s="496">
        <v>0.6</v>
      </c>
      <c r="S38" s="496">
        <v>0.9</v>
      </c>
      <c r="T38" s="496">
        <v>0.9</v>
      </c>
      <c r="U38" s="497">
        <v>1.4</v>
      </c>
      <c r="X38" s="654" t="str">
        <f ca="1">INDEX(OFFSET(Zyklus!$A$13,35,0),1)</f>
        <v xml:space="preserve">Beinstrecker </v>
      </c>
      <c r="Y38" s="655">
        <f ca="1">MROUND(INDEX(OFFSET(Zyklus!$I$13,35,0),1),(IF(VLOOKUP($X38,Übungsübersicht!$E$7:$K$80,3)=0,0.1,(VLOOKUP($X38,Übungsübersicht!$E$7:$K$80,3)))))</f>
        <v>75</v>
      </c>
      <c r="Z38" s="655"/>
      <c r="AA38" s="655">
        <f ca="1">IFERROR(IF($Y38=0,2*(VLOOKUP($X38,Übungsübersicht!$E$7:$M$83,3,FALSE)),IF($Y38&gt;100,(MROUND(($Y38*0.1),(VLOOKUP($X38,Übungsübersicht!$E$7:$M$83,3,FALSE)))),IF($Y38&gt;80,(MROUND(($Y38*0.1),(VLOOKUP($X38,Übungsübersicht!$E$7:$M$83,3,FALSE)))),IF($Y38&gt;50,(MROUND(($Y38*0.2),(VLOOKUP($X38,Übungsübersicht!$E$7:$M$83,3,FALSE)))),IF($Y38&gt;25,(MROUND(($Y38*0.3),(VLOOKUP($X38,Übungsübersicht!$E$7:$M$83,3,FALSE)))),IF($Y38&gt;15,(MROUND(($Y38*0.4),(VLOOKUP($X38,Übungsübersicht!$E$7:$M$83,3,FALSE)))),IF($Y38&gt;(VLOOKUP($X38,Übungsübersicht!$E$7:$M$83,3,FALSE)),(VLOOKUP($X38,Übungsübersicht!$E$7:$M$83,3,FALSE)),""))))))),2*(VLOOKUP($X38,Übungsübersicht!$E$7:$M$83,3,FALSE)))</f>
        <v>15</v>
      </c>
      <c r="AB38" s="655">
        <f ca="1">IFERROR(IF($Y38=0,4*(VLOOKUP($X38,Übungsübersicht!$E$7:$M$83,3,FALSE)),IF($Y38&gt;100,(MROUND(($Y38*0.3),(VLOOKUP($X38,Übungsübersicht!$E$7:$M$83,3,FALSE)))),IF($Y38&gt;80,(MROUND(($Y38*0.3),(VLOOKUP($X38,Übungsübersicht!$E$7:$M$83,3,FALSE)))),IF($Y38&gt;50,(MROUND(($Y38*0.4),(VLOOKUP($X38,Übungsübersicht!$E$7:$M$83,3,FALSE)))),IF($Y38&gt;25,(MROUND(($Y38*0.5),(VLOOKUP($X38,Übungsübersicht!$E$7:$M$83,3,FALSE)))),IF($Y38&gt;15,(MROUND(($Y38*0.6),(VLOOKUP($X38,Übungsübersicht!$E$7:$M$83,3,FALSE)))),IF($Y38&gt;(VLOOKUP($X38,Übungsübersicht!$E$7:$M$83,3,FALSE)),(VLOOKUP($X38,Übungsübersicht!$E$7:$M$83,3,FALSE)),""))))))),4*(VLOOKUP($X38,Übungsübersicht!$E$7:$M$83,3,FALSE)))</f>
        <v>30</v>
      </c>
      <c r="AC38" s="655">
        <f ca="1">IFERROR((IF($Y38=0,8*(VLOOKUP($X38,Übungsübersicht!$E$7:$M$83,3,FALSE)),(($Y38)-(3*(VLOOKUP($X38,Übungsübersicht!$E$7:$M$83,3,FALSE)))))),8*(VLOOKUP($X38,Übungsübersicht!$E$7:$M$83,3,FALSE)))</f>
        <v>60</v>
      </c>
      <c r="AD38" s="655">
        <f ca="1">IFERROR(((IF($Y38=0,10*(VLOOKUP($X38,Übungsübersicht!$E$7:$M$83,3,FALSE)),($Y38)-(2*(VLOOKUP($X38,Übungsübersicht!$E$7:$M$83,3,FALSE)))))),10*(VLOOKUP($X38,Übungsübersicht!$E$7:$M$83,3,FALSE)))</f>
        <v>65</v>
      </c>
      <c r="AE38" s="655">
        <f ca="1">IFERROR(((IF($Y38=0,10*(VLOOKUP($X38,Übungsübersicht!$E$7:$M$83,3,FALSE)),($Y38)-(1*(VLOOKUP($X38,Übungsübersicht!$E$7:$M$83,3,FALSE)))))),10*(VLOOKUP($X38,Übungsübersicht!$E$7:$M$83,3,FALSE)))</f>
        <v>70</v>
      </c>
      <c r="AF38" s="655">
        <f ca="1">IFERROR(IF($Y38=0,20*(VLOOKUP($X38,Übungsübersicht!$E$7:$M$83,3,FALSE)),($Y38)),20*(VLOOKUP($X38,Übungsübersicht!$E$7:$M$83,3,FALSE)))</f>
        <v>75</v>
      </c>
      <c r="AG38" s="655">
        <f ca="1">IFERROR(IF($Y38=0,30*(VLOOKUP($X38,Übungsübersicht!$E$7:$M$83,3,FALSE)),($Y38)+(1*(VLOOKUP($X38,Übungsübersicht!$E$7:$M$83,3,FALSE)))),30*(VLOOKUP($X38,Übungsübersicht!$E$7:$M$83,3,FALSE)))</f>
        <v>80</v>
      </c>
      <c r="AH38" s="655">
        <f ca="1">IFERROR(IF($Y38=0,30*(VLOOKUP($X38,Übungsübersicht!$E$7:$M$83,3,FALSE)),($Y38)+(2*(VLOOKUP($X38,Übungsübersicht!$E$7:$M$83,3,FALSE)))),30*(VLOOKUP($X38,Übungsübersicht!$E$7:$M$83,3,FALSE)))</f>
        <v>85</v>
      </c>
      <c r="AI38" s="655">
        <f ca="1">IFERROR(IF($Y38=0,30*(VLOOKUP($X38,Übungsübersicht!$E$7:$M$83,3,FALSE)),($Y38)+(3*(VLOOKUP($X38,Übungsübersicht!$E$7:$M$83,3,FALSE)))),30*(VLOOKUP($X38,Übungsübersicht!$E$7:$M$83,3,FALSE)))</f>
        <v>90</v>
      </c>
      <c r="AJ38" s="655">
        <f ca="1">IFERROR(IF($Y38=0,40*(VLOOKUP($X38,Übungsübersicht!$E$7:$M$83,3,FALSE)),IF($Y38&gt;100,(MROUND(($Y38*1.7),(VLOOKUP($X38,Übungsübersicht!$E$7:$M$83,3,FALSE)))),IF($Y38&gt;80,(MROUND(($Y38*1.7),(VLOOKUP($X38,Übungsübersicht!$E$7:$M$83,3,FALSE)))),IF($Y38&gt;50,(MROUND(($Y38*1.6),(VLOOKUP($X38,Übungsübersicht!$E$7:$M$83,3,FALSE)))),IF($Y38&gt;25,(MROUND(($Y38*1.5),(VLOOKUP($X38,Übungsübersicht!$E$7:$M$83,3,FALSE)))),IF($Y38&gt;15,(MROUND(($Y38*1.4),(VLOOKUP($X38,Übungsübersicht!$E$7:$M$83,3,FALSE)))),IF($Y38&gt;(VLOOKUP($X38,Übungsübersicht!$E$7:$M$83,3,FALSE)),30*(VLOOKUP($X38,Übungsübersicht!$E$7:$M$83,3,FALSE)),""))))))),40*(VLOOKUP($X38,Übungsübersicht!$E$7:$M$83,3,FALSE)))</f>
        <v>120</v>
      </c>
      <c r="AK38" s="656">
        <f ca="1">IFERROR(IF($Y38=0,50*(VLOOKUP($X38,Übungsübersicht!$E$7:$M$83,3,FALSE)),IF($Y38&gt;100,(MROUND(($Y38*1.9),(VLOOKUP($X38,Übungsübersicht!$E$7:$M$83,3,FALSE)))),IF($Y38&gt;80,(MROUND(($Y38*1.9),(VLOOKUP($X38,Übungsübersicht!$E$7:$M$83,3,FALSE)))),IF($Y38&gt;50,(MROUND(($Y38*1.8),(VLOOKUP($X38,Übungsübersicht!$E$7:$M$83,3,FALSE)))),IF($Y38&gt;25,(MROUND(($Y38*1.7),(VLOOKUP($X38,Übungsübersicht!$E$7:$M$83,3,FALSE)))),IF($Y38&gt;15,(MROUND(($Y38*1.6),(VLOOKUP($X38,Übungsübersicht!$E$7:$M$83,3,FALSE)))),IF($Y38&gt;(VLOOKUP($X38,Übungsübersicht!$E$7:$M$83,3,FALSE)),40*(VLOOKUP($X38,Übungsübersicht!$E$7:$M$83,3,FALSE)),""))))))),50*(VLOOKUP($X38,Übungsübersicht!$E$7:$M$83,3,FALSE)))</f>
        <v>135</v>
      </c>
      <c r="AN38" s="655">
        <f ca="1">MROUND(INDEX(OFFSET(Zyklus!$M$13,35,0),1),(IF(VLOOKUP($X38,Übungsübersicht!$E$7:$K$80,3)=0,0.1,(VLOOKUP($X38,Übungsübersicht!$E$7:$K$80,3)))))</f>
        <v>75</v>
      </c>
      <c r="AP38" s="652">
        <f ca="1">IFERROR(IF(IF(VLOOKUP($X38,Zyklus!$A$14:$U$68,9,FALSE)=0,"RPE 8",IF(VLOOKUP($X38,Übungsübersicht!$E$7:$M$83,3,FALSE)&lt;0.5,($AN38)-(3*0.5),(($AN38)-(3*(VLOOKUP($X38,Übungsübersicht!$E$7:$M$83,3,FALSE))))))&lt;1,0,(IF(VLOOKUP($X38,Zyklus!$A$14:$U$68,9,FALSE)=0,"RPE 8",IF(VLOOKUP($X38,Übungsübersicht!$E$7:$M$83,3,FALSE)&lt;0.5,($AN38)-(3*0.5),(($AN38)-(3*(VLOOKUP($X38,Übungsübersicht!$E$7:$M$83,3,FALSE)))))))),"RPE 8")</f>
        <v>60</v>
      </c>
      <c r="AQ38" s="652">
        <f ca="1">IFERROR(IF(IF(VLOOKUP($X38,Zyklus!$A$14:$U$68,9,FALSE)=0,"RPE 8",IF(VLOOKUP($X38,Übungsübersicht!$E$7:$M$83,3,FALSE)&lt;0.5,($AN38)-(2*0.5),(($AN38)-(2*(VLOOKUP($X38,Übungsübersicht!$E$7:$M$83,3,FALSE))))))&lt;1,0,(IF(VLOOKUP($X38,Zyklus!$A$14:$U$68,9,FALSE)=0,"RPE 8",IF(VLOOKUP($X38,Übungsübersicht!$E$7:$M$83,3,FALSE)&lt;0.5,($AN38)-(2*0.5),(($AN38)-(2*(VLOOKUP($X38,Übungsübersicht!$E$7:$M$83,3,FALSE)))))))),"RPE 8")</f>
        <v>65</v>
      </c>
      <c r="AR38" s="652">
        <f ca="1">IFERROR(IF(IF(VLOOKUP($X38,Zyklus!$A$14:$U$68,9,FALSE)=0,"RPE 8",IF(VLOOKUP($X38,Übungsübersicht!$E$7:$M$83,3,FALSE)&lt;0.5,($AN38)-(1*0.5),(($Y38)-(1*(VLOOKUP($X38,Übungsübersicht!$E$7:$M$83,3,FALSE))))))&lt;1,0,(IF(VLOOKUP($X38,Zyklus!$A$14:$U$68,9,FALSE)=0,"RPE 8",IF(VLOOKUP($X38,Übungsübersicht!$E$7:$M$83,3,FALSE)&lt;0.5,($AN38)-(1*0.5),(($Y38)-(1*(VLOOKUP($X38,Übungsübersicht!$E$7:$M$83,3,FALSE)))))))),"RPE 8")</f>
        <v>70</v>
      </c>
      <c r="AS38" s="652">
        <f t="shared" ca="1" si="0"/>
        <v>75</v>
      </c>
      <c r="AT38" s="652">
        <f ca="1">IFERROR(IF(VLOOKUP($X38,Zyklus!$A$14:$U$68,9,FALSE)=0,"RPE 8",IF(VLOOKUP($X38,Übungsübersicht!$E$7:$M$83,3,FALSE)&lt;0.5,($AN38)+(1*0.5),(($Y38)+(1*(VLOOKUP($X38,Übungsübersicht!$E$7:$M$83,3,FALSE)))))),"RPE 8")</f>
        <v>80</v>
      </c>
      <c r="AU38" s="652">
        <f ca="1">IFERROR(IF(VLOOKUP($X38,Zyklus!$A$14:$U$68,9,FALSE)=0,"RPE 8",IF(VLOOKUP($X38,Übungsübersicht!$E$7:$M$83,3,FALSE)&lt;0.5,($AN38)+(2*0.5),(($AN38)+(2*(VLOOKUP($X38,Übungsübersicht!$E$7:$M$83,3,FALSE)))))),"RPE 8")</f>
        <v>85</v>
      </c>
      <c r="AV38" s="652">
        <f ca="1">IFERROR(IF(VLOOKUP($X38,Zyklus!$A$14:$U$68,9,FALSE)=0,"RPE 8",IF(VLOOKUP($X38,Übungsübersicht!$E$7:$M$83,3,FALSE)&lt;0.5,($AN38)+(3*0.5),(($AN38)+(3*(VLOOKUP($X38,Übungsübersicht!$E$7:$M$83,3,FALSE)))))),"RPE 8")</f>
        <v>90</v>
      </c>
      <c r="AY38" s="655">
        <f ca="1">MROUND(INDEX(OFFSET(Zyklus!$M$13,35,0),1),(IF(VLOOKUP($X38,Übungsübersicht!$E$7:$K$80,3)=0,0.1,(VLOOKUP($X38,Übungsübersicht!$E$7:$K$80,3)))))</f>
        <v>75</v>
      </c>
      <c r="BA38" s="652">
        <f ca="1">MROUND(INDEX(OFFSET(Zyklus!$Q$13,35,0),1),(IF(VLOOKUP($X38,Übungsübersicht!$E$7:$K$80,3)=0,0.1,(VLOOKUP($X38,Übungsübersicht!$E$7:$K$80,3)))))</f>
        <v>75</v>
      </c>
      <c r="BC38" s="652">
        <f ca="1">IFERROR(IF(IF(VLOOKUP($X38,Zyklus!$A$14:$U$68,9,FALSE)=0,"RPE 9",IF(VLOOKUP($X38,Übungsübersicht!$E$7:$M$83,3,FALSE)&lt;0.5,($BA38)-(3*0.5),(($BA38)-(3*(VLOOKUP($X38,Übungsübersicht!$E$7:$M$83,3,FALSE))))))&lt;1,0,(IF(VLOOKUP($X38,Zyklus!$A$14:$U$68,9,FALSE)=0,"RPE 9",IF(VLOOKUP($X38,Übungsübersicht!$E$7:$M$83,3,FALSE)&lt;0.5,($BA38)-(3*0.5),(($BA38)-(3*(VLOOKUP($X38,Übungsübersicht!$E$7:$M$83,3,FALSE)))))))),"RPE 9")</f>
        <v>60</v>
      </c>
      <c r="BD38" s="652">
        <f ca="1">IFERROR(IF(IF(VLOOKUP($X38,Zyklus!$A$14:$U$68,9,FALSE)=0,"RPE 9",IF(VLOOKUP($X38,Übungsübersicht!$E$7:$M$83,3,FALSE)&lt;0.5,($BA38)-(2*0.5),(($BA38)-(2*(VLOOKUP($X38,Übungsübersicht!$E$7:$M$83,3,FALSE))))))&lt;1,0,(IF(VLOOKUP($X38,Zyklus!$A$14:$U$68,9,FALSE)=0,"RPE 9",IF(VLOOKUP($X38,Übungsübersicht!$E$7:$M$83,3,FALSE)&lt;0.5,($BA38)-(2*0.5),(($BA38)-(2*(VLOOKUP($X38,Übungsübersicht!$E$7:$M$83,3,FALSE)))))))),"RPE 9")</f>
        <v>65</v>
      </c>
      <c r="BE38" s="652">
        <f ca="1">IFERROR(IF(IF(VLOOKUP($X38,Zyklus!$A$14:$U$68,9,FALSE)=0,"RPE 9",IF(VLOOKUP($X38,Übungsübersicht!$E$7:$M$83,3,FALSE)&lt;0.5,($BA38)-(1*0.5),(($Y38)-(1*(VLOOKUP($X38,Übungsübersicht!$E$7:$M$83,3,FALSE))))))&lt;1,0,(IF(VLOOKUP($X38,Zyklus!$A$14:$U$68,9,FALSE)=0,"RPE 9",IF(VLOOKUP($X38,Übungsübersicht!$E$7:$M$83,3,FALSE)&lt;0.5,($BA38)-(1*0.5),(($Y38)-(1*(VLOOKUP($X38,Übungsübersicht!$E$7:$M$83,3,FALSE)))))))),"RPE 9")</f>
        <v>70</v>
      </c>
      <c r="BF38" s="652">
        <f t="shared" ca="1" si="1"/>
        <v>75</v>
      </c>
      <c r="BG38" s="652">
        <f ca="1">IFERROR(IF(VLOOKUP($X38,Zyklus!$A$14:$U$68,9,FALSE)=0,"RPE 9",IF(VLOOKUP($X38,Übungsübersicht!$E$7:$M$83,3,FALSE)&lt;0.5,($AY38)+(1*0.5),(($AY38)+(1*(VLOOKUP($X38,Übungsübersicht!$E$7:$M$83,3,FALSE)))))),"RPE 9")</f>
        <v>80</v>
      </c>
      <c r="BH38" s="652">
        <f ca="1">IFERROR(IF(VLOOKUP($X38,Zyklus!$A$14:$U$68,9,FALSE)=0,"RPE 9",IF(VLOOKUP($X38,Übungsübersicht!$E$7:$M$83,3,FALSE)&lt;0.5,($BA38)+(2*0.5),(($BA38)+(2*(VLOOKUP($X38,Übungsübersicht!$E$7:$M$83,3,FALSE)))))),"RPE 9")</f>
        <v>85</v>
      </c>
      <c r="BI38" s="652">
        <f ca="1">IFERROR(IF(VLOOKUP($X38,Zyklus!$A$14:$U$68,9,FALSE)=0,"RPE 9",IF(VLOOKUP($X38,Übungsübersicht!$E$7:$M$83,3,FALSE)&lt;0.5,($BA38)+(3*0.5),(($BA38)+(3*(VLOOKUP($X38,Übungsübersicht!$E$7:$M$83,3,FALSE)))))),"RPE 9")</f>
        <v>90</v>
      </c>
    </row>
    <row r="39" spans="2:61" ht="30" customHeight="1">
      <c r="D39" s="326">
        <v>18</v>
      </c>
      <c r="E39" s="323">
        <f t="shared" si="2"/>
        <v>61.290322580645167</v>
      </c>
      <c r="F39" s="344">
        <f t="shared" si="3"/>
        <v>0.52777777777777779</v>
      </c>
      <c r="H39" s="326">
        <v>18</v>
      </c>
      <c r="I39" s="323">
        <f t="shared" si="5"/>
        <v>75</v>
      </c>
      <c r="J39" s="344">
        <f t="shared" si="4"/>
        <v>0.625</v>
      </c>
      <c r="X39" s="651" t="str">
        <f ca="1">INDEX(OFFSET(Zyklus!$A$13,36,0),1)</f>
        <v>Ausfallschritte</v>
      </c>
      <c r="Y39" s="652">
        <f ca="1">MROUND(INDEX(OFFSET(Zyklus!$I$13,36,0),1),(IF(VLOOKUP($X39,Übungsübersicht!$E$7:$K$80,3)=0,0.1,(VLOOKUP($X39,Übungsübersicht!$E$7:$K$80,3)))))</f>
        <v>15</v>
      </c>
      <c r="Z39" s="652"/>
      <c r="AA39" s="652">
        <f ca="1">IFERROR(IF($Y39=0,2*(VLOOKUP($X39,Übungsübersicht!$E$7:$M$83,3,FALSE)),IF($Y39&gt;100,(MROUND(($Y39*0.1),(VLOOKUP($X39,Übungsübersicht!$E$7:$M$83,3,FALSE)))),IF($Y39&gt;80,(MROUND(($Y39*0.1),(VLOOKUP($X39,Übungsübersicht!$E$7:$M$83,3,FALSE)))),IF($Y39&gt;50,(MROUND(($Y39*0.2),(VLOOKUP($X39,Übungsübersicht!$E$7:$M$83,3,FALSE)))),IF($Y39&gt;25,(MROUND(($Y39*0.3),(VLOOKUP($X39,Übungsübersicht!$E$7:$M$83,3,FALSE)))),IF($Y39&gt;15,(MROUND(($Y39*0.4),(VLOOKUP($X39,Übungsübersicht!$E$7:$M$83,3,FALSE)))),IF($Y39&gt;(VLOOKUP($X39,Übungsübersicht!$E$7:$M$83,3,FALSE)),(VLOOKUP($X39,Übungsübersicht!$E$7:$M$83,3,FALSE)),""))))))),2*(VLOOKUP($X39,Übungsübersicht!$E$7:$M$83,3,FALSE)))</f>
        <v>5</v>
      </c>
      <c r="AB39" s="652">
        <f ca="1">IFERROR(IF($Y39=0,4*(VLOOKUP($X39,Übungsübersicht!$E$7:$M$83,3,FALSE)),IF($Y39&gt;100,(MROUND(($Y39*0.3),(VLOOKUP($X39,Übungsübersicht!$E$7:$M$83,3,FALSE)))),IF($Y39&gt;80,(MROUND(($Y39*0.3),(VLOOKUP($X39,Übungsübersicht!$E$7:$M$83,3,FALSE)))),IF($Y39&gt;50,(MROUND(($Y39*0.4),(VLOOKUP($X39,Übungsübersicht!$E$7:$M$83,3,FALSE)))),IF($Y39&gt;25,(MROUND(($Y39*0.5),(VLOOKUP($X39,Übungsübersicht!$E$7:$M$83,3,FALSE)))),IF($Y39&gt;15,(MROUND(($Y39*0.6),(VLOOKUP($X39,Übungsübersicht!$E$7:$M$83,3,FALSE)))),IF($Y39&gt;(VLOOKUP($X39,Übungsübersicht!$E$7:$M$83,3,FALSE)),(VLOOKUP($X39,Übungsübersicht!$E$7:$M$83,3,FALSE)),""))))))),4*(VLOOKUP($X39,Übungsübersicht!$E$7:$M$83,3,FALSE)))</f>
        <v>5</v>
      </c>
      <c r="AC39" s="652">
        <f ca="1">IFERROR((IF($Y39=0,8*(VLOOKUP($X39,Übungsübersicht!$E$7:$M$83,3,FALSE)),(($Y39)-(3*(VLOOKUP($X39,Übungsübersicht!$E$7:$M$83,3,FALSE)))))),8*(VLOOKUP($X39,Übungsübersicht!$E$7:$M$83,3,FALSE)))</f>
        <v>0</v>
      </c>
      <c r="AD39" s="652">
        <f ca="1">IFERROR(((IF($Y39=0,10*(VLOOKUP($X39,Übungsübersicht!$E$7:$M$83,3,FALSE)),($Y39)-(2*(VLOOKUP($X39,Übungsübersicht!$E$7:$M$83,3,FALSE)))))),10*(VLOOKUP($X39,Übungsübersicht!$E$7:$M$83,3,FALSE)))</f>
        <v>5</v>
      </c>
      <c r="AE39" s="652">
        <f ca="1">IFERROR(((IF($Y39=0,10*(VLOOKUP($X39,Übungsübersicht!$E$7:$M$83,3,FALSE)),($Y39)-(1*(VLOOKUP($X39,Übungsübersicht!$E$7:$M$83,3,FALSE)))))),10*(VLOOKUP($X39,Übungsübersicht!$E$7:$M$83,3,FALSE)))</f>
        <v>10</v>
      </c>
      <c r="AF39" s="652">
        <f ca="1">IFERROR(IF($Y39=0,20*(VLOOKUP($X39,Übungsübersicht!$E$7:$M$83,3,FALSE)),($Y39)),20*(VLOOKUP($X39,Übungsübersicht!$E$7:$M$83,3,FALSE)))</f>
        <v>15</v>
      </c>
      <c r="AG39" s="652">
        <f ca="1">IFERROR(IF($Y39=0,30*(VLOOKUP($X39,Übungsübersicht!$E$7:$M$83,3,FALSE)),($Y39)+(1*(VLOOKUP($X39,Übungsübersicht!$E$7:$M$83,3,FALSE)))),30*(VLOOKUP($X39,Übungsübersicht!$E$7:$M$83,3,FALSE)))</f>
        <v>20</v>
      </c>
      <c r="AH39" s="652">
        <f ca="1">IFERROR(IF($Y39=0,30*(VLOOKUP($X39,Übungsübersicht!$E$7:$M$83,3,FALSE)),($Y39)+(2*(VLOOKUP($X39,Übungsübersicht!$E$7:$M$83,3,FALSE)))),30*(VLOOKUP($X39,Übungsübersicht!$E$7:$M$83,3,FALSE)))</f>
        <v>25</v>
      </c>
      <c r="AI39" s="652">
        <f ca="1">IFERROR(IF($Y39=0,30*(VLOOKUP($X39,Übungsübersicht!$E$7:$M$83,3,FALSE)),($Y39)+(3*(VLOOKUP($X39,Übungsübersicht!$E$7:$M$83,3,FALSE)))),30*(VLOOKUP($X39,Übungsübersicht!$E$7:$M$83,3,FALSE)))</f>
        <v>30</v>
      </c>
      <c r="AJ39" s="652">
        <f ca="1">IFERROR(IF($Y39=0,40*(VLOOKUP($X39,Übungsübersicht!$E$7:$M$83,3,FALSE)),IF($Y39&gt;100,(MROUND(($Y39*1.7),(VLOOKUP($X39,Übungsübersicht!$E$7:$M$83,3,FALSE)))),IF($Y39&gt;80,(MROUND(($Y39*1.7),(VLOOKUP($X39,Übungsübersicht!$E$7:$M$83,3,FALSE)))),IF($Y39&gt;50,(MROUND(($Y39*1.6),(VLOOKUP($X39,Übungsübersicht!$E$7:$M$83,3,FALSE)))),IF($Y39&gt;25,(MROUND(($Y39*1.5),(VLOOKUP($X39,Übungsübersicht!$E$7:$M$83,3,FALSE)))),IF($Y39&gt;15,(MROUND(($Y39*1.4),(VLOOKUP($X39,Übungsübersicht!$E$7:$M$83,3,FALSE)))),IF($Y39&gt;(VLOOKUP($X39,Übungsübersicht!$E$7:$M$83,3,FALSE)),30*(VLOOKUP($X39,Übungsübersicht!$E$7:$M$83,3,FALSE)),""))))))),40*(VLOOKUP($X39,Übungsübersicht!$E$7:$M$83,3,FALSE)))</f>
        <v>150</v>
      </c>
      <c r="AK39" s="653">
        <f ca="1">IFERROR(IF($Y39=0,50*(VLOOKUP($X39,Übungsübersicht!$E$7:$M$83,3,FALSE)),IF($Y39&gt;100,(MROUND(($Y39*1.9),(VLOOKUP($X39,Übungsübersicht!$E$7:$M$83,3,FALSE)))),IF($Y39&gt;80,(MROUND(($Y39*1.9),(VLOOKUP($X39,Übungsübersicht!$E$7:$M$83,3,FALSE)))),IF($Y39&gt;50,(MROUND(($Y39*1.8),(VLOOKUP($X39,Übungsübersicht!$E$7:$M$83,3,FALSE)))),IF($Y39&gt;25,(MROUND(($Y39*1.7),(VLOOKUP($X39,Übungsübersicht!$E$7:$M$83,3,FALSE)))),IF($Y39&gt;15,(MROUND(($Y39*1.6),(VLOOKUP($X39,Übungsübersicht!$E$7:$M$83,3,FALSE)))),IF($Y39&gt;(VLOOKUP($X39,Übungsübersicht!$E$7:$M$83,3,FALSE)),40*(VLOOKUP($X39,Übungsübersicht!$E$7:$M$83,3,FALSE)),""))))))),50*(VLOOKUP($X39,Übungsübersicht!$E$7:$M$83,3,FALSE)))</f>
        <v>200</v>
      </c>
      <c r="AN39" s="652">
        <f ca="1">MROUND(INDEX(OFFSET(Zyklus!$M$13,36,0),1),(IF(VLOOKUP($X39,Übungsübersicht!$E$7:$K$80,3)=0,0.1,(VLOOKUP($X39,Übungsübersicht!$E$7:$K$80,3)))))</f>
        <v>15</v>
      </c>
      <c r="AP39" s="655">
        <f ca="1">IFERROR(IF(IF(VLOOKUP($X39,Zyklus!$A$14:$U$68,9,FALSE)=0,"RPE 8",IF(VLOOKUP($X39,Übungsübersicht!$E$7:$M$83,3,FALSE)&lt;0.5,($AN39)-(3*0.5),(($AN39)-(3*(VLOOKUP($X39,Übungsübersicht!$E$7:$M$83,3,FALSE))))))&lt;1,0,(IF(VLOOKUP($X39,Zyklus!$A$14:$U$68,9,FALSE)=0,"RPE 8",IF(VLOOKUP($X39,Übungsübersicht!$E$7:$M$83,3,FALSE)&lt;0.5,($AN39)-(3*0.5),(($AN39)-(3*(VLOOKUP($X39,Übungsübersicht!$E$7:$M$83,3,FALSE)))))))),"RPE 8")</f>
        <v>0</v>
      </c>
      <c r="AQ39" s="655">
        <f ca="1">IFERROR(IF(IF(VLOOKUP($X39,Zyklus!$A$14:$U$68,9,FALSE)=0,"RPE 8",IF(VLOOKUP($X39,Übungsübersicht!$E$7:$M$83,3,FALSE)&lt;0.5,($AN39)-(2*0.5),(($AN39)-(2*(VLOOKUP($X39,Übungsübersicht!$E$7:$M$83,3,FALSE))))))&lt;1,0,(IF(VLOOKUP($X39,Zyklus!$A$14:$U$68,9,FALSE)=0,"RPE 8",IF(VLOOKUP($X39,Übungsübersicht!$E$7:$M$83,3,FALSE)&lt;0.5,($AN39)-(2*0.5),(($AN39)-(2*(VLOOKUP($X39,Übungsübersicht!$E$7:$M$83,3,FALSE)))))))),"RPE 8")</f>
        <v>5</v>
      </c>
      <c r="AR39" s="655">
        <f ca="1">IFERROR(IF(IF(VLOOKUP($X39,Zyklus!$A$14:$U$68,9,FALSE)=0,"RPE 8",IF(VLOOKUP($X39,Übungsübersicht!$E$7:$M$83,3,FALSE)&lt;0.5,($AN39)-(1*0.5),(($Y39)-(1*(VLOOKUP($X39,Übungsübersicht!$E$7:$M$83,3,FALSE))))))&lt;1,0,(IF(VLOOKUP($X39,Zyklus!$A$14:$U$68,9,FALSE)=0,"RPE 8",IF(VLOOKUP($X39,Übungsübersicht!$E$7:$M$83,3,FALSE)&lt;0.5,($AN39)-(1*0.5),(($Y39)-(1*(VLOOKUP($X39,Übungsübersicht!$E$7:$M$83,3,FALSE)))))))),"RPE 8")</f>
        <v>10</v>
      </c>
      <c r="AS39" s="655">
        <f t="shared" ca="1" si="0"/>
        <v>15</v>
      </c>
      <c r="AT39" s="655">
        <f ca="1">IFERROR(IF(VLOOKUP($X39,Zyklus!$A$14:$U$68,9,FALSE)=0,"RPE 8",IF(VLOOKUP($X39,Übungsübersicht!$E$7:$M$83,3,FALSE)&lt;0.5,($AN39)+(1*0.5),(($Y39)+(1*(VLOOKUP($X39,Übungsübersicht!$E$7:$M$83,3,FALSE)))))),"RPE 8")</f>
        <v>20</v>
      </c>
      <c r="AU39" s="655">
        <f ca="1">IFERROR(IF(VLOOKUP($X39,Zyklus!$A$14:$U$68,9,FALSE)=0,"RPE 8",IF(VLOOKUP($X39,Übungsübersicht!$E$7:$M$83,3,FALSE)&lt;0.5,($AN39)+(2*0.5),(($AN39)+(2*(VLOOKUP($X39,Übungsübersicht!$E$7:$M$83,3,FALSE)))))),"RPE 8")</f>
        <v>25</v>
      </c>
      <c r="AV39" s="655">
        <f ca="1">IFERROR(IF(VLOOKUP($X39,Zyklus!$A$14:$U$68,9,FALSE)=0,"RPE 8",IF(VLOOKUP($X39,Übungsübersicht!$E$7:$M$83,3,FALSE)&lt;0.5,($AN39)+(3*0.5),(($AN39)+(3*(VLOOKUP($X39,Übungsübersicht!$E$7:$M$83,3,FALSE)))))),"RPE 8")</f>
        <v>30</v>
      </c>
      <c r="AY39" s="652">
        <f ca="1">MROUND(INDEX(OFFSET(Zyklus!$M$13,36,0),1),(IF(VLOOKUP($X39,Übungsübersicht!$E$7:$K$80,3)=0,0.1,(VLOOKUP($X39,Übungsübersicht!$E$7:$K$80,3)))))</f>
        <v>15</v>
      </c>
      <c r="BA39" s="655">
        <f ca="1">MROUND(INDEX(OFFSET(Zyklus!$Q$13,36,0),1),(IF(VLOOKUP($X39,Übungsübersicht!$E$7:$K$80,3)=0,0.1,(VLOOKUP($X39,Übungsübersicht!$E$7:$K$80,3)))))</f>
        <v>15</v>
      </c>
      <c r="BC39" s="655">
        <f ca="1">IFERROR(IF(IF(VLOOKUP($X39,Zyklus!$A$14:$U$68,9,FALSE)=0,"RPE 9",IF(VLOOKUP($X39,Übungsübersicht!$E$7:$M$83,3,FALSE)&lt;0.5,($BA39)-(3*0.5),(($BA39)-(3*(VLOOKUP($X39,Übungsübersicht!$E$7:$M$83,3,FALSE))))))&lt;1,0,(IF(VLOOKUP($X39,Zyklus!$A$14:$U$68,9,FALSE)=0,"RPE 9",IF(VLOOKUP($X39,Übungsübersicht!$E$7:$M$83,3,FALSE)&lt;0.5,($BA39)-(3*0.5),(($BA39)-(3*(VLOOKUP($X39,Übungsübersicht!$E$7:$M$83,3,FALSE)))))))),"RPE 9")</f>
        <v>0</v>
      </c>
      <c r="BD39" s="655">
        <f ca="1">IFERROR(IF(IF(VLOOKUP($X39,Zyklus!$A$14:$U$68,9,FALSE)=0,"RPE 9",IF(VLOOKUP($X39,Übungsübersicht!$E$7:$M$83,3,FALSE)&lt;0.5,($BA39)-(2*0.5),(($BA39)-(2*(VLOOKUP($X39,Übungsübersicht!$E$7:$M$83,3,FALSE))))))&lt;1,0,(IF(VLOOKUP($X39,Zyklus!$A$14:$U$68,9,FALSE)=0,"RPE 9",IF(VLOOKUP($X39,Übungsübersicht!$E$7:$M$83,3,FALSE)&lt;0.5,($BA39)-(2*0.5),(($BA39)-(2*(VLOOKUP($X39,Übungsübersicht!$E$7:$M$83,3,FALSE)))))))),"RPE 9")</f>
        <v>5</v>
      </c>
      <c r="BE39" s="655">
        <f ca="1">IFERROR(IF(IF(VLOOKUP($X39,Zyklus!$A$14:$U$68,9,FALSE)=0,"RPE 9",IF(VLOOKUP($X39,Übungsübersicht!$E$7:$M$83,3,FALSE)&lt;0.5,($BA39)-(1*0.5),(($Y39)-(1*(VLOOKUP($X39,Übungsübersicht!$E$7:$M$83,3,FALSE))))))&lt;1,0,(IF(VLOOKUP($X39,Zyklus!$A$14:$U$68,9,FALSE)=0,"RPE 9",IF(VLOOKUP($X39,Übungsübersicht!$E$7:$M$83,3,FALSE)&lt;0.5,($BA39)-(1*0.5),(($Y39)-(1*(VLOOKUP($X39,Übungsübersicht!$E$7:$M$83,3,FALSE)))))))),"RPE 9")</f>
        <v>10</v>
      </c>
      <c r="BF39" s="655">
        <f t="shared" ca="1" si="1"/>
        <v>15</v>
      </c>
      <c r="BG39" s="655">
        <f ca="1">IFERROR(IF(VLOOKUP($X39,Zyklus!$A$14:$U$68,9,FALSE)=0,"RPE 9",IF(VLOOKUP($X39,Übungsübersicht!$E$7:$M$83,3,FALSE)&lt;0.5,($AY39)+(1*0.5),(($AY39)+(1*(VLOOKUP($X39,Übungsübersicht!$E$7:$M$83,3,FALSE)))))),"RPE 9")</f>
        <v>20</v>
      </c>
      <c r="BH39" s="655">
        <f ca="1">IFERROR(IF(VLOOKUP($X39,Zyklus!$A$14:$U$68,9,FALSE)=0,"RPE 9",IF(VLOOKUP($X39,Übungsübersicht!$E$7:$M$83,3,FALSE)&lt;0.5,($BA39)+(2*0.5),(($BA39)+(2*(VLOOKUP($X39,Übungsübersicht!$E$7:$M$83,3,FALSE)))))),"RPE 9")</f>
        <v>25</v>
      </c>
      <c r="BI39" s="655">
        <f ca="1">IFERROR(IF(VLOOKUP($X39,Zyklus!$A$14:$U$68,9,FALSE)=0,"RPE 9",IF(VLOOKUP($X39,Übungsübersicht!$E$7:$M$83,3,FALSE)&lt;0.5,($BA39)+(3*0.5),(($BA39)+(3*(VLOOKUP($X39,Übungsübersicht!$E$7:$M$83,3,FALSE)))))),"RPE 9")</f>
        <v>30</v>
      </c>
    </row>
    <row r="40" spans="2:61" ht="30" customHeight="1">
      <c r="D40" s="324">
        <v>19</v>
      </c>
      <c r="E40" s="325">
        <f t="shared" si="2"/>
        <v>58.064516129032263</v>
      </c>
      <c r="F40" s="343">
        <f t="shared" si="3"/>
        <v>0.5</v>
      </c>
      <c r="H40" s="324">
        <v>19</v>
      </c>
      <c r="I40" s="325">
        <f t="shared" si="5"/>
        <v>73.469387755102048</v>
      </c>
      <c r="J40" s="343">
        <f t="shared" si="4"/>
        <v>0.61224489795918369</v>
      </c>
      <c r="X40" s="654" t="str">
        <f ca="1">INDEX(OFFSET(Zyklus!$A$13,37,0),1)</f>
        <v>Wadenheben</v>
      </c>
      <c r="Y40" s="655">
        <f ca="1">MROUND(INDEX(OFFSET(Zyklus!$I$13,37,0),1),(IF(VLOOKUP($X40,Übungsübersicht!$E$7:$K$80,3)=0,0.1,(VLOOKUP($X40,Übungsübersicht!$E$7:$K$80,3)))))</f>
        <v>10</v>
      </c>
      <c r="Z40" s="655"/>
      <c r="AA40" s="655">
        <f ca="1">IFERROR(IF($Y40=0,2*(VLOOKUP($X40,Übungsübersicht!$E$7:$M$83,3,FALSE)),IF($Y40&gt;100,(MROUND(($Y40*0.1),(VLOOKUP($X40,Übungsübersicht!$E$7:$M$83,3,FALSE)))),IF($Y40&gt;80,(MROUND(($Y40*0.1),(VLOOKUP($X40,Übungsübersicht!$E$7:$M$83,3,FALSE)))),IF($Y40&gt;50,(MROUND(($Y40*0.2),(VLOOKUP($X40,Übungsübersicht!$E$7:$M$83,3,FALSE)))),IF($Y40&gt;25,(MROUND(($Y40*0.3),(VLOOKUP($X40,Übungsübersicht!$E$7:$M$83,3,FALSE)))),IF($Y40&gt;15,(MROUND(($Y40*0.4),(VLOOKUP($X40,Übungsübersicht!$E$7:$M$83,3,FALSE)))),IF($Y40&gt;(VLOOKUP($X40,Übungsübersicht!$E$7:$M$83,3,FALSE)),(VLOOKUP($X40,Übungsübersicht!$E$7:$M$83,3,FALSE)),""))))))),2*(VLOOKUP($X40,Übungsübersicht!$E$7:$M$83,3,FALSE)))</f>
        <v>2.5</v>
      </c>
      <c r="AB40" s="655">
        <f ca="1">IFERROR(IF($Y40=0,4*(VLOOKUP($X40,Übungsübersicht!$E$7:$M$83,3,FALSE)),IF($Y40&gt;100,(MROUND(($Y40*0.3),(VLOOKUP($X40,Übungsübersicht!$E$7:$M$83,3,FALSE)))),IF($Y40&gt;80,(MROUND(($Y40*0.3),(VLOOKUP($X40,Übungsübersicht!$E$7:$M$83,3,FALSE)))),IF($Y40&gt;50,(MROUND(($Y40*0.4),(VLOOKUP($X40,Übungsübersicht!$E$7:$M$83,3,FALSE)))),IF($Y40&gt;25,(MROUND(($Y40*0.5),(VLOOKUP($X40,Übungsübersicht!$E$7:$M$83,3,FALSE)))),IF($Y40&gt;15,(MROUND(($Y40*0.6),(VLOOKUP($X40,Übungsübersicht!$E$7:$M$83,3,FALSE)))),IF($Y40&gt;(VLOOKUP($X40,Übungsübersicht!$E$7:$M$83,3,FALSE)),(VLOOKUP($X40,Übungsübersicht!$E$7:$M$83,3,FALSE)),""))))))),4*(VLOOKUP($X40,Übungsübersicht!$E$7:$M$83,3,FALSE)))</f>
        <v>2.5</v>
      </c>
      <c r="AC40" s="655">
        <f ca="1">IFERROR((IF($Y40=0,8*(VLOOKUP($X40,Übungsübersicht!$E$7:$M$83,3,FALSE)),(($Y40)-(3*(VLOOKUP($X40,Übungsübersicht!$E$7:$M$83,3,FALSE)))))),8*(VLOOKUP($X40,Übungsübersicht!$E$7:$M$83,3,FALSE)))</f>
        <v>2.5</v>
      </c>
      <c r="AD40" s="655">
        <f ca="1">IFERROR(((IF($Y40=0,10*(VLOOKUP($X40,Übungsübersicht!$E$7:$M$83,3,FALSE)),($Y40)-(2*(VLOOKUP($X40,Übungsübersicht!$E$7:$M$83,3,FALSE)))))),10*(VLOOKUP($X40,Übungsübersicht!$E$7:$M$83,3,FALSE)))</f>
        <v>5</v>
      </c>
      <c r="AE40" s="655">
        <f ca="1">IFERROR(((IF($Y40=0,10*(VLOOKUP($X40,Übungsübersicht!$E$7:$M$83,3,FALSE)),($Y40)-(1*(VLOOKUP($X40,Übungsübersicht!$E$7:$M$83,3,FALSE)))))),10*(VLOOKUP($X40,Übungsübersicht!$E$7:$M$83,3,FALSE)))</f>
        <v>7.5</v>
      </c>
      <c r="AF40" s="655">
        <f ca="1">IFERROR(IF($Y40=0,20*(VLOOKUP($X40,Übungsübersicht!$E$7:$M$83,3,FALSE)),($Y40)),20*(VLOOKUP($X40,Übungsübersicht!$E$7:$M$83,3,FALSE)))</f>
        <v>10</v>
      </c>
      <c r="AG40" s="655">
        <f ca="1">IFERROR(IF($Y40=0,30*(VLOOKUP($X40,Übungsübersicht!$E$7:$M$83,3,FALSE)),($Y40)+(1*(VLOOKUP($X40,Übungsübersicht!$E$7:$M$83,3,FALSE)))),30*(VLOOKUP($X40,Übungsübersicht!$E$7:$M$83,3,FALSE)))</f>
        <v>12.5</v>
      </c>
      <c r="AH40" s="655">
        <f ca="1">IFERROR(IF($Y40=0,30*(VLOOKUP($X40,Übungsübersicht!$E$7:$M$83,3,FALSE)),($Y40)+(2*(VLOOKUP($X40,Übungsübersicht!$E$7:$M$83,3,FALSE)))),30*(VLOOKUP($X40,Übungsübersicht!$E$7:$M$83,3,FALSE)))</f>
        <v>15</v>
      </c>
      <c r="AI40" s="655">
        <f ca="1">IFERROR(IF($Y40=0,30*(VLOOKUP($X40,Übungsübersicht!$E$7:$M$83,3,FALSE)),($Y40)+(3*(VLOOKUP($X40,Übungsübersicht!$E$7:$M$83,3,FALSE)))),30*(VLOOKUP($X40,Übungsübersicht!$E$7:$M$83,3,FALSE)))</f>
        <v>17.5</v>
      </c>
      <c r="AJ40" s="655">
        <f ca="1">IFERROR(IF($Y40=0,40*(VLOOKUP($X40,Übungsübersicht!$E$7:$M$83,3,FALSE)),IF($Y40&gt;100,(MROUND(($Y40*1.7),(VLOOKUP($X40,Übungsübersicht!$E$7:$M$83,3,FALSE)))),IF($Y40&gt;80,(MROUND(($Y40*1.7),(VLOOKUP($X40,Übungsübersicht!$E$7:$M$83,3,FALSE)))),IF($Y40&gt;50,(MROUND(($Y40*1.6),(VLOOKUP($X40,Übungsübersicht!$E$7:$M$83,3,FALSE)))),IF($Y40&gt;25,(MROUND(($Y40*1.5),(VLOOKUP($X40,Übungsübersicht!$E$7:$M$83,3,FALSE)))),IF($Y40&gt;15,(MROUND(($Y40*1.4),(VLOOKUP($X40,Übungsübersicht!$E$7:$M$83,3,FALSE)))),IF($Y40&gt;(VLOOKUP($X40,Übungsübersicht!$E$7:$M$83,3,FALSE)),30*(VLOOKUP($X40,Übungsübersicht!$E$7:$M$83,3,FALSE)),""))))))),40*(VLOOKUP($X40,Übungsübersicht!$E$7:$M$83,3,FALSE)))</f>
        <v>75</v>
      </c>
      <c r="AK40" s="656">
        <f ca="1">IFERROR(IF($Y40=0,50*(VLOOKUP($X40,Übungsübersicht!$E$7:$M$83,3,FALSE)),IF($Y40&gt;100,(MROUND(($Y40*1.9),(VLOOKUP($X40,Übungsübersicht!$E$7:$M$83,3,FALSE)))),IF($Y40&gt;80,(MROUND(($Y40*1.9),(VLOOKUP($X40,Übungsübersicht!$E$7:$M$83,3,FALSE)))),IF($Y40&gt;50,(MROUND(($Y40*1.8),(VLOOKUP($X40,Übungsübersicht!$E$7:$M$83,3,FALSE)))),IF($Y40&gt;25,(MROUND(($Y40*1.7),(VLOOKUP($X40,Übungsübersicht!$E$7:$M$83,3,FALSE)))),IF($Y40&gt;15,(MROUND(($Y40*1.6),(VLOOKUP($X40,Übungsübersicht!$E$7:$M$83,3,FALSE)))),IF($Y40&gt;(VLOOKUP($X40,Übungsübersicht!$E$7:$M$83,3,FALSE)),40*(VLOOKUP($X40,Übungsübersicht!$E$7:$M$83,3,FALSE)),""))))))),50*(VLOOKUP($X40,Übungsübersicht!$E$7:$M$83,3,FALSE)))</f>
        <v>100</v>
      </c>
      <c r="AN40" s="655">
        <f ca="1">MROUND(INDEX(OFFSET(Zyklus!$M$13,37,0),1),(IF(VLOOKUP($X40,Übungsübersicht!$E$7:$K$80,3)=0,0.1,(VLOOKUP($X40,Übungsübersicht!$E$7:$K$80,3)))))</f>
        <v>10</v>
      </c>
      <c r="AP40" s="652">
        <f ca="1">IFERROR(IF(IF(VLOOKUP($X40,Zyklus!$A$14:$U$68,9,FALSE)=0,"RPE 8",IF(VLOOKUP($X40,Übungsübersicht!$E$7:$M$83,3,FALSE)&lt;0.5,($AN40)-(3*0.5),(($AN40)-(3*(VLOOKUP($X40,Übungsübersicht!$E$7:$M$83,3,FALSE))))))&lt;1,0,(IF(VLOOKUP($X40,Zyklus!$A$14:$U$68,9,FALSE)=0,"RPE 8",IF(VLOOKUP($X40,Übungsübersicht!$E$7:$M$83,3,FALSE)&lt;0.5,($AN40)-(3*0.5),(($AN40)-(3*(VLOOKUP($X40,Übungsübersicht!$E$7:$M$83,3,FALSE)))))))),"RPE 8")</f>
        <v>2.5</v>
      </c>
      <c r="AQ40" s="652">
        <f ca="1">IFERROR(IF(IF(VLOOKUP($X40,Zyklus!$A$14:$U$68,9,FALSE)=0,"RPE 8",IF(VLOOKUP($X40,Übungsübersicht!$E$7:$M$83,3,FALSE)&lt;0.5,($AN40)-(2*0.5),(($AN40)-(2*(VLOOKUP($X40,Übungsübersicht!$E$7:$M$83,3,FALSE))))))&lt;1,0,(IF(VLOOKUP($X40,Zyklus!$A$14:$U$68,9,FALSE)=0,"RPE 8",IF(VLOOKUP($X40,Übungsübersicht!$E$7:$M$83,3,FALSE)&lt;0.5,($AN40)-(2*0.5),(($AN40)-(2*(VLOOKUP($X40,Übungsübersicht!$E$7:$M$83,3,FALSE)))))))),"RPE 8")</f>
        <v>5</v>
      </c>
      <c r="AR40" s="652">
        <f ca="1">IFERROR(IF(IF(VLOOKUP($X40,Zyklus!$A$14:$U$68,9,FALSE)=0,"RPE 8",IF(VLOOKUP($X40,Übungsübersicht!$E$7:$M$83,3,FALSE)&lt;0.5,($AN40)-(1*0.5),(($Y40)-(1*(VLOOKUP($X40,Übungsübersicht!$E$7:$M$83,3,FALSE))))))&lt;1,0,(IF(VLOOKUP($X40,Zyklus!$A$14:$U$68,9,FALSE)=0,"RPE 8",IF(VLOOKUP($X40,Übungsübersicht!$E$7:$M$83,3,FALSE)&lt;0.5,($AN40)-(1*0.5),(($Y40)-(1*(VLOOKUP($X40,Übungsübersicht!$E$7:$M$83,3,FALSE)))))))),"RPE 8")</f>
        <v>7.5</v>
      </c>
      <c r="AS40" s="652">
        <f t="shared" ca="1" si="0"/>
        <v>10</v>
      </c>
      <c r="AT40" s="652">
        <f ca="1">IFERROR(IF(VLOOKUP($X40,Zyklus!$A$14:$U$68,9,FALSE)=0,"RPE 8",IF(VLOOKUP($X40,Übungsübersicht!$E$7:$M$83,3,FALSE)&lt;0.5,($AN40)+(1*0.5),(($Y40)+(1*(VLOOKUP($X40,Übungsübersicht!$E$7:$M$83,3,FALSE)))))),"RPE 8")</f>
        <v>12.5</v>
      </c>
      <c r="AU40" s="652">
        <f ca="1">IFERROR(IF(VLOOKUP($X40,Zyklus!$A$14:$U$68,9,FALSE)=0,"RPE 8",IF(VLOOKUP($X40,Übungsübersicht!$E$7:$M$83,3,FALSE)&lt;0.5,($AN40)+(2*0.5),(($AN40)+(2*(VLOOKUP($X40,Übungsübersicht!$E$7:$M$83,3,FALSE)))))),"RPE 8")</f>
        <v>15</v>
      </c>
      <c r="AV40" s="652">
        <f ca="1">IFERROR(IF(VLOOKUP($X40,Zyklus!$A$14:$U$68,9,FALSE)=0,"RPE 8",IF(VLOOKUP($X40,Übungsübersicht!$E$7:$M$83,3,FALSE)&lt;0.5,($AN40)+(3*0.5),(($AN40)+(3*(VLOOKUP($X40,Übungsübersicht!$E$7:$M$83,3,FALSE)))))),"RPE 8")</f>
        <v>17.5</v>
      </c>
      <c r="AY40" s="655">
        <f ca="1">MROUND(INDEX(OFFSET(Zyklus!$M$13,37,0),1),(IF(VLOOKUP($X40,Übungsübersicht!$E$7:$K$80,3)=0,0.1,(VLOOKUP($X40,Übungsübersicht!$E$7:$K$80,3)))))</f>
        <v>10</v>
      </c>
      <c r="BA40" s="652">
        <f ca="1">MROUND(INDEX(OFFSET(Zyklus!$Q$13,37,0),1),(IF(VLOOKUP($X40,Übungsübersicht!$E$7:$K$80,3)=0,0.1,(VLOOKUP($X40,Übungsübersicht!$E$7:$K$80,3)))))</f>
        <v>10</v>
      </c>
      <c r="BC40" s="652">
        <f ca="1">IFERROR(IF(IF(VLOOKUP($X40,Zyklus!$A$14:$U$68,9,FALSE)=0,"RPE 9",IF(VLOOKUP($X40,Übungsübersicht!$E$7:$M$83,3,FALSE)&lt;0.5,($BA40)-(3*0.5),(($BA40)-(3*(VLOOKUP($X40,Übungsübersicht!$E$7:$M$83,3,FALSE))))))&lt;1,0,(IF(VLOOKUP($X40,Zyklus!$A$14:$U$68,9,FALSE)=0,"RPE 9",IF(VLOOKUP($X40,Übungsübersicht!$E$7:$M$83,3,FALSE)&lt;0.5,($BA40)-(3*0.5),(($BA40)-(3*(VLOOKUP($X40,Übungsübersicht!$E$7:$M$83,3,FALSE)))))))),"RPE 9")</f>
        <v>2.5</v>
      </c>
      <c r="BD40" s="652">
        <f ca="1">IFERROR(IF(IF(VLOOKUP($X40,Zyklus!$A$14:$U$68,9,FALSE)=0,"RPE 9",IF(VLOOKUP($X40,Übungsübersicht!$E$7:$M$83,3,FALSE)&lt;0.5,($BA40)-(2*0.5),(($BA40)-(2*(VLOOKUP($X40,Übungsübersicht!$E$7:$M$83,3,FALSE))))))&lt;1,0,(IF(VLOOKUP($X40,Zyklus!$A$14:$U$68,9,FALSE)=0,"RPE 9",IF(VLOOKUP($X40,Übungsübersicht!$E$7:$M$83,3,FALSE)&lt;0.5,($BA40)-(2*0.5),(($BA40)-(2*(VLOOKUP($X40,Übungsübersicht!$E$7:$M$83,3,FALSE)))))))),"RPE 9")</f>
        <v>5</v>
      </c>
      <c r="BE40" s="652">
        <f ca="1">IFERROR(IF(IF(VLOOKUP($X40,Zyklus!$A$14:$U$68,9,FALSE)=0,"RPE 9",IF(VLOOKUP($X40,Übungsübersicht!$E$7:$M$83,3,FALSE)&lt;0.5,($BA40)-(1*0.5),(($Y40)-(1*(VLOOKUP($X40,Übungsübersicht!$E$7:$M$83,3,FALSE))))))&lt;1,0,(IF(VLOOKUP($X40,Zyklus!$A$14:$U$68,9,FALSE)=0,"RPE 9",IF(VLOOKUP($X40,Übungsübersicht!$E$7:$M$83,3,FALSE)&lt;0.5,($BA40)-(1*0.5),(($Y40)-(1*(VLOOKUP($X40,Übungsübersicht!$E$7:$M$83,3,FALSE)))))))),"RPE 9")</f>
        <v>7.5</v>
      </c>
      <c r="BF40" s="652">
        <f t="shared" ca="1" si="1"/>
        <v>10</v>
      </c>
      <c r="BG40" s="652">
        <f ca="1">IFERROR(IF(VLOOKUP($X40,Zyklus!$A$14:$U$68,9,FALSE)=0,"RPE 9",IF(VLOOKUP($X40,Übungsübersicht!$E$7:$M$83,3,FALSE)&lt;0.5,($AY40)+(1*0.5),(($AY40)+(1*(VLOOKUP($X40,Übungsübersicht!$E$7:$M$83,3,FALSE)))))),"RPE 9")</f>
        <v>12.5</v>
      </c>
      <c r="BH40" s="652">
        <f ca="1">IFERROR(IF(VLOOKUP($X40,Zyklus!$A$14:$U$68,9,FALSE)=0,"RPE 9",IF(VLOOKUP($X40,Übungsübersicht!$E$7:$M$83,3,FALSE)&lt;0.5,($BA40)+(2*0.5),(($BA40)+(2*(VLOOKUP($X40,Übungsübersicht!$E$7:$M$83,3,FALSE)))))),"RPE 9")</f>
        <v>15</v>
      </c>
      <c r="BI40" s="652">
        <f ca="1">IFERROR(IF(VLOOKUP($X40,Zyklus!$A$14:$U$68,9,FALSE)=0,"RPE 9",IF(VLOOKUP($X40,Übungsübersicht!$E$7:$M$83,3,FALSE)&lt;0.5,($BA40)+(3*0.5),(($BA40)+(3*(VLOOKUP($X40,Übungsübersicht!$E$7:$M$83,3,FALSE)))))),"RPE 9")</f>
        <v>17.5</v>
      </c>
    </row>
    <row r="41" spans="2:61" ht="30" customHeight="1">
      <c r="D41" s="326">
        <v>20</v>
      </c>
      <c r="E41" s="323">
        <f t="shared" si="2"/>
        <v>54.838709677419359</v>
      </c>
      <c r="F41" s="344">
        <f t="shared" si="3"/>
        <v>0.47222222222222221</v>
      </c>
      <c r="H41" s="326">
        <v>20</v>
      </c>
      <c r="I41" s="323">
        <f t="shared" si="5"/>
        <v>72</v>
      </c>
      <c r="J41" s="344">
        <f t="shared" si="4"/>
        <v>0.6</v>
      </c>
      <c r="O41" s="631" t="s">
        <v>349</v>
      </c>
      <c r="R41" s="820" t="s">
        <v>354</v>
      </c>
      <c r="S41" s="821"/>
      <c r="U41" s="629" t="s">
        <v>355</v>
      </c>
      <c r="X41" s="651" t="str">
        <f ca="1">INDEX(OFFSET(Zyklus!$A$13,38,0),1)</f>
        <v>Crunches</v>
      </c>
      <c r="Y41" s="652">
        <f ca="1">MROUND(INDEX(OFFSET(Zyklus!$I$13,38,0),1),(IF(VLOOKUP($X41,Übungsübersicht!$E$7:$K$80,3)=0,0.1,(VLOOKUP($X41,Übungsübersicht!$E$7:$K$80,3)))))</f>
        <v>0</v>
      </c>
      <c r="Z41" s="652"/>
      <c r="AA41" s="652">
        <f ca="1">IFERROR(IF($Y41=0,2*(VLOOKUP($X41,Übungsübersicht!$E$7:$M$83,3,FALSE)),IF($Y41&gt;100,(MROUND(($Y41*0.1),(VLOOKUP($X41,Übungsübersicht!$E$7:$M$83,3,FALSE)))),IF($Y41&gt;80,(MROUND(($Y41*0.1),(VLOOKUP($X41,Übungsübersicht!$E$7:$M$83,3,FALSE)))),IF($Y41&gt;50,(MROUND(($Y41*0.2),(VLOOKUP($X41,Übungsübersicht!$E$7:$M$83,3,FALSE)))),IF($Y41&gt;25,(MROUND(($Y41*0.3),(VLOOKUP($X41,Übungsübersicht!$E$7:$M$83,3,FALSE)))),IF($Y41&gt;15,(MROUND(($Y41*0.4),(VLOOKUP($X41,Übungsübersicht!$E$7:$M$83,3,FALSE)))),IF($Y41&gt;(VLOOKUP($X41,Übungsübersicht!$E$7:$M$83,3,FALSE)),(VLOOKUP($X41,Übungsübersicht!$E$7:$M$83,3,FALSE)),""))))))),2*(VLOOKUP($X41,Übungsübersicht!$E$7:$M$83,3,FALSE)))</f>
        <v>0</v>
      </c>
      <c r="AB41" s="652">
        <f ca="1">IFERROR(IF($Y41=0,4*(VLOOKUP($X41,Übungsübersicht!$E$7:$M$83,3,FALSE)),IF($Y41&gt;100,(MROUND(($Y41*0.3),(VLOOKUP($X41,Übungsübersicht!$E$7:$M$83,3,FALSE)))),IF($Y41&gt;80,(MROUND(($Y41*0.3),(VLOOKUP($X41,Übungsübersicht!$E$7:$M$83,3,FALSE)))),IF($Y41&gt;50,(MROUND(($Y41*0.4),(VLOOKUP($X41,Übungsübersicht!$E$7:$M$83,3,FALSE)))),IF($Y41&gt;25,(MROUND(($Y41*0.5),(VLOOKUP($X41,Übungsübersicht!$E$7:$M$83,3,FALSE)))),IF($Y41&gt;15,(MROUND(($Y41*0.6),(VLOOKUP($X41,Übungsübersicht!$E$7:$M$83,3,FALSE)))),IF($Y41&gt;(VLOOKUP($X41,Übungsübersicht!$E$7:$M$83,3,FALSE)),(VLOOKUP($X41,Übungsübersicht!$E$7:$M$83,3,FALSE)),""))))))),4*(VLOOKUP($X41,Übungsübersicht!$E$7:$M$83,3,FALSE)))</f>
        <v>0</v>
      </c>
      <c r="AC41" s="652">
        <f ca="1">IFERROR((IF($Y41=0,8*(VLOOKUP($X41,Übungsübersicht!$E$7:$M$83,3,FALSE)),(($Y41)-(3*(VLOOKUP($X41,Übungsübersicht!$E$7:$M$83,3,FALSE)))))),8*(VLOOKUP($X41,Übungsübersicht!$E$7:$M$83,3,FALSE)))</f>
        <v>0</v>
      </c>
      <c r="AD41" s="652">
        <f ca="1">IFERROR(((IF($Y41=0,10*(VLOOKUP($X41,Übungsübersicht!$E$7:$M$83,3,FALSE)),($Y41)-(2*(VLOOKUP($X41,Übungsübersicht!$E$7:$M$83,3,FALSE)))))),10*(VLOOKUP($X41,Übungsübersicht!$E$7:$M$83,3,FALSE)))</f>
        <v>0</v>
      </c>
      <c r="AE41" s="652">
        <f ca="1">IFERROR(((IF($Y41=0,10*(VLOOKUP($X41,Übungsübersicht!$E$7:$M$83,3,FALSE)),($Y41)-(1*(VLOOKUP($X41,Übungsübersicht!$E$7:$M$83,3,FALSE)))))),10*(VLOOKUP($X41,Übungsübersicht!$E$7:$M$83,3,FALSE)))</f>
        <v>0</v>
      </c>
      <c r="AF41" s="652">
        <f ca="1">IFERROR(IF($Y41=0,20*(VLOOKUP($X41,Übungsübersicht!$E$7:$M$83,3,FALSE)),($Y41)),20*(VLOOKUP($X41,Übungsübersicht!$E$7:$M$83,3,FALSE)))</f>
        <v>0</v>
      </c>
      <c r="AG41" s="652">
        <f ca="1">IFERROR(IF($Y41=0,30*(VLOOKUP($X41,Übungsübersicht!$E$7:$M$83,3,FALSE)),($Y41)+(1*(VLOOKUP($X41,Übungsübersicht!$E$7:$M$83,3,FALSE)))),30*(VLOOKUP($X41,Übungsübersicht!$E$7:$M$83,3,FALSE)))</f>
        <v>0</v>
      </c>
      <c r="AH41" s="652">
        <f ca="1">IFERROR(IF($Y41=0,30*(VLOOKUP($X41,Übungsübersicht!$E$7:$M$83,3,FALSE)),($Y41)+(2*(VLOOKUP($X41,Übungsübersicht!$E$7:$M$83,3,FALSE)))),30*(VLOOKUP($X41,Übungsübersicht!$E$7:$M$83,3,FALSE)))</f>
        <v>0</v>
      </c>
      <c r="AI41" s="652">
        <f ca="1">IFERROR(IF($Y41=0,30*(VLOOKUP($X41,Übungsübersicht!$E$7:$M$83,3,FALSE)),($Y41)+(3*(VLOOKUP($X41,Übungsübersicht!$E$7:$M$83,3,FALSE)))),30*(VLOOKUP($X41,Übungsübersicht!$E$7:$M$83,3,FALSE)))</f>
        <v>0</v>
      </c>
      <c r="AJ41" s="652">
        <f ca="1">IFERROR(IF($Y41=0,40*(VLOOKUP($X41,Übungsübersicht!$E$7:$M$83,3,FALSE)),IF($Y41&gt;100,(MROUND(($Y41*1.7),(VLOOKUP($X41,Übungsübersicht!$E$7:$M$83,3,FALSE)))),IF($Y41&gt;80,(MROUND(($Y41*1.7),(VLOOKUP($X41,Übungsübersicht!$E$7:$M$83,3,FALSE)))),IF($Y41&gt;50,(MROUND(($Y41*1.6),(VLOOKUP($X41,Übungsübersicht!$E$7:$M$83,3,FALSE)))),IF($Y41&gt;25,(MROUND(($Y41*1.5),(VLOOKUP($X41,Übungsübersicht!$E$7:$M$83,3,FALSE)))),IF($Y41&gt;15,(MROUND(($Y41*1.4),(VLOOKUP($X41,Übungsübersicht!$E$7:$M$83,3,FALSE)))),IF($Y41&gt;(VLOOKUP($X41,Übungsübersicht!$E$7:$M$83,3,FALSE)),30*(VLOOKUP($X41,Übungsübersicht!$E$7:$M$83,3,FALSE)),""))))))),40*(VLOOKUP($X41,Übungsübersicht!$E$7:$M$83,3,FALSE)))</f>
        <v>0</v>
      </c>
      <c r="AK41" s="653">
        <f ca="1">IFERROR(IF($Y41=0,50*(VLOOKUP($X41,Übungsübersicht!$E$7:$M$83,3,FALSE)),IF($Y41&gt;100,(MROUND(($Y41*1.9),(VLOOKUP($X41,Übungsübersicht!$E$7:$M$83,3,FALSE)))),IF($Y41&gt;80,(MROUND(($Y41*1.9),(VLOOKUP($X41,Übungsübersicht!$E$7:$M$83,3,FALSE)))),IF($Y41&gt;50,(MROUND(($Y41*1.8),(VLOOKUP($X41,Übungsübersicht!$E$7:$M$83,3,FALSE)))),IF($Y41&gt;25,(MROUND(($Y41*1.7),(VLOOKUP($X41,Übungsübersicht!$E$7:$M$83,3,FALSE)))),IF($Y41&gt;15,(MROUND(($Y41*1.6),(VLOOKUP($X41,Übungsübersicht!$E$7:$M$83,3,FALSE)))),IF($Y41&gt;(VLOOKUP($X41,Übungsübersicht!$E$7:$M$83,3,FALSE)),40*(VLOOKUP($X41,Übungsübersicht!$E$7:$M$83,3,FALSE)),""))))))),50*(VLOOKUP($X41,Übungsübersicht!$E$7:$M$83,3,FALSE)))</f>
        <v>0</v>
      </c>
      <c r="AN41" s="652" t="e">
        <f ca="1">MROUND(INDEX(OFFSET(Zyklus!$M$13,38,0),1),(IF(VLOOKUP($X41,Übungsübersicht!$E$7:$K$80,3)=0,0.1,(VLOOKUP($X41,Übungsübersicht!$E$7:$K$80,3)))))</f>
        <v>#VALUE!</v>
      </c>
      <c r="AP41" s="655" t="str">
        <f ca="1">IFERROR(IF(IF(VLOOKUP($X41,Zyklus!$A$14:$U$68,9,FALSE)=0,"RPE 8",IF(VLOOKUP($X41,Übungsübersicht!$E$7:$M$83,3,FALSE)&lt;0.5,($AN41)-(3*0.5),(($AN41)-(3*(VLOOKUP($X41,Übungsübersicht!$E$7:$M$83,3,FALSE))))))&lt;1,0,(IF(VLOOKUP($X41,Zyklus!$A$14:$U$68,9,FALSE)=0,"RPE 8",IF(VLOOKUP($X41,Übungsübersicht!$E$7:$M$83,3,FALSE)&lt;0.5,($AN41)-(3*0.5),(($AN41)-(3*(VLOOKUP($X41,Übungsübersicht!$E$7:$M$83,3,FALSE)))))))),"RPE 8")</f>
        <v>RPE 8</v>
      </c>
      <c r="AQ41" s="655" t="str">
        <f ca="1">IFERROR(IF(IF(VLOOKUP($X41,Zyklus!$A$14:$U$68,9,FALSE)=0,"RPE 8",IF(VLOOKUP($X41,Übungsübersicht!$E$7:$M$83,3,FALSE)&lt;0.5,($AN41)-(2*0.5),(($AN41)-(2*(VLOOKUP($X41,Übungsübersicht!$E$7:$M$83,3,FALSE))))))&lt;1,0,(IF(VLOOKUP($X41,Zyklus!$A$14:$U$68,9,FALSE)=0,"RPE 8",IF(VLOOKUP($X41,Übungsübersicht!$E$7:$M$83,3,FALSE)&lt;0.5,($AN41)-(2*0.5),(($AN41)-(2*(VLOOKUP($X41,Übungsübersicht!$E$7:$M$83,3,FALSE)))))))),"RPE 8")</f>
        <v>RPE 8</v>
      </c>
      <c r="AR41" s="655" t="str">
        <f ca="1">IFERROR(IF(IF(VLOOKUP($X41,Zyklus!$A$14:$U$68,9,FALSE)=0,"RPE 8",IF(VLOOKUP($X41,Übungsübersicht!$E$7:$M$83,3,FALSE)&lt;0.5,($AN41)-(1*0.5),(($Y41)-(1*(VLOOKUP($X41,Übungsübersicht!$E$7:$M$83,3,FALSE))))))&lt;1,0,(IF(VLOOKUP($X41,Zyklus!$A$14:$U$68,9,FALSE)=0,"RPE 8",IF(VLOOKUP($X41,Übungsübersicht!$E$7:$M$83,3,FALSE)&lt;0.5,($AN41)-(1*0.5),(($Y41)-(1*(VLOOKUP($X41,Übungsübersicht!$E$7:$M$83,3,FALSE)))))))),"RPE 8")</f>
        <v>RPE 8</v>
      </c>
      <c r="AS41" s="655" t="str">
        <f t="shared" ca="1" si="0"/>
        <v>RPE 8</v>
      </c>
      <c r="AT41" s="655" t="str">
        <f ca="1">IFERROR(IF(VLOOKUP($X41,Zyklus!$A$14:$U$68,9,FALSE)=0,"RPE 8",IF(VLOOKUP($X41,Übungsübersicht!$E$7:$M$83,3,FALSE)&lt;0.5,($AN41)+(1*0.5),(($Y41)+(1*(VLOOKUP($X41,Übungsübersicht!$E$7:$M$83,3,FALSE)))))),"RPE 8")</f>
        <v>RPE 8</v>
      </c>
      <c r="AU41" s="655" t="str">
        <f ca="1">IFERROR(IF(VLOOKUP($X41,Zyklus!$A$14:$U$68,9,FALSE)=0,"RPE 8",IF(VLOOKUP($X41,Übungsübersicht!$E$7:$M$83,3,FALSE)&lt;0.5,($AN41)+(2*0.5),(($AN41)+(2*(VLOOKUP($X41,Übungsübersicht!$E$7:$M$83,3,FALSE)))))),"RPE 8")</f>
        <v>RPE 8</v>
      </c>
      <c r="AV41" s="655" t="str">
        <f ca="1">IFERROR(IF(VLOOKUP($X41,Zyklus!$A$14:$U$68,9,FALSE)=0,"RPE 8",IF(VLOOKUP($X41,Übungsübersicht!$E$7:$M$83,3,FALSE)&lt;0.5,($AN41)+(3*0.5),(($AN41)+(3*(VLOOKUP($X41,Übungsübersicht!$E$7:$M$83,3,FALSE)))))),"RPE 8")</f>
        <v>RPE 8</v>
      </c>
      <c r="AY41" s="652" t="e">
        <f ca="1">MROUND(INDEX(OFFSET(Zyklus!$M$13,38,0),1),(IF(VLOOKUP($X41,Übungsübersicht!$E$7:$K$80,3)=0,0.1,(VLOOKUP($X41,Übungsübersicht!$E$7:$K$80,3)))))</f>
        <v>#VALUE!</v>
      </c>
      <c r="BA41" s="655" t="e">
        <f ca="1">MROUND(INDEX(OFFSET(Zyklus!$Q$13,38,0),1),(IF(VLOOKUP($X41,Übungsübersicht!$E$7:$K$80,3)=0,0.1,(VLOOKUP($X41,Übungsübersicht!$E$7:$K$80,3)))))</f>
        <v>#VALUE!</v>
      </c>
      <c r="BC41" s="655" t="str">
        <f ca="1">IFERROR(IF(IF(VLOOKUP($X41,Zyklus!$A$14:$U$68,9,FALSE)=0,"RPE 9",IF(VLOOKUP($X41,Übungsübersicht!$E$7:$M$83,3,FALSE)&lt;0.5,($BA41)-(3*0.5),(($BA41)-(3*(VLOOKUP($X41,Übungsübersicht!$E$7:$M$83,3,FALSE))))))&lt;1,0,(IF(VLOOKUP($X41,Zyklus!$A$14:$U$68,9,FALSE)=0,"RPE 9",IF(VLOOKUP($X41,Übungsübersicht!$E$7:$M$83,3,FALSE)&lt;0.5,($BA41)-(3*0.5),(($BA41)-(3*(VLOOKUP($X41,Übungsübersicht!$E$7:$M$83,3,FALSE)))))))),"RPE 9")</f>
        <v>RPE 9</v>
      </c>
      <c r="BD41" s="655" t="str">
        <f ca="1">IFERROR(IF(IF(VLOOKUP($X41,Zyklus!$A$14:$U$68,9,FALSE)=0,"RPE 9",IF(VLOOKUP($X41,Übungsübersicht!$E$7:$M$83,3,FALSE)&lt;0.5,($BA41)-(2*0.5),(($BA41)-(2*(VLOOKUP($X41,Übungsübersicht!$E$7:$M$83,3,FALSE))))))&lt;1,0,(IF(VLOOKUP($X41,Zyklus!$A$14:$U$68,9,FALSE)=0,"RPE 9",IF(VLOOKUP($X41,Übungsübersicht!$E$7:$M$83,3,FALSE)&lt;0.5,($BA41)-(2*0.5),(($BA41)-(2*(VLOOKUP($X41,Übungsübersicht!$E$7:$M$83,3,FALSE)))))))),"RPE 9")</f>
        <v>RPE 9</v>
      </c>
      <c r="BE41" s="655" t="str">
        <f ca="1">IFERROR(IF(IF(VLOOKUP($X41,Zyklus!$A$14:$U$68,9,FALSE)=0,"RPE 9",IF(VLOOKUP($X41,Übungsübersicht!$E$7:$M$83,3,FALSE)&lt;0.5,($BA41)-(1*0.5),(($Y41)-(1*(VLOOKUP($X41,Übungsübersicht!$E$7:$M$83,3,FALSE))))))&lt;1,0,(IF(VLOOKUP($X41,Zyklus!$A$14:$U$68,9,FALSE)=0,"RPE 9",IF(VLOOKUP($X41,Übungsübersicht!$E$7:$M$83,3,FALSE)&lt;0.5,($BA41)-(1*0.5),(($Y41)-(1*(VLOOKUP($X41,Übungsübersicht!$E$7:$M$83,3,FALSE)))))))),"RPE 9")</f>
        <v>RPE 9</v>
      </c>
      <c r="BF41" s="655" t="str">
        <f t="shared" ca="1" si="1"/>
        <v>RPE 9</v>
      </c>
      <c r="BG41" s="655" t="str">
        <f ca="1">IFERROR(IF(VLOOKUP($X41,Zyklus!$A$14:$U$68,9,FALSE)=0,"RPE 9",IF(VLOOKUP($X41,Übungsübersicht!$E$7:$M$83,3,FALSE)&lt;0.5,($AY41)+(1*0.5),(($AY41)+(1*(VLOOKUP($X41,Übungsübersicht!$E$7:$M$83,3,FALSE)))))),"RPE 9")</f>
        <v>RPE 9</v>
      </c>
      <c r="BH41" s="655" t="str">
        <f ca="1">IFERROR(IF(VLOOKUP($X41,Zyklus!$A$14:$U$68,9,FALSE)=0,"RPE 9",IF(VLOOKUP($X41,Übungsübersicht!$E$7:$M$83,3,FALSE)&lt;0.5,($BA41)+(2*0.5),(($BA41)+(2*(VLOOKUP($X41,Übungsübersicht!$E$7:$M$83,3,FALSE)))))),"RPE 9")</f>
        <v>RPE 9</v>
      </c>
      <c r="BI41" s="655" t="str">
        <f ca="1">IFERROR(IF(VLOOKUP($X41,Zyklus!$A$14:$U$68,9,FALSE)=0,"RPE 9",IF(VLOOKUP($X41,Übungsübersicht!$E$7:$M$83,3,FALSE)&lt;0.5,($BA41)+(3*0.5),(($BA41)+(3*(VLOOKUP($X41,Übungsübersicht!$E$7:$M$83,3,FALSE)))))),"RPE 9")</f>
        <v>RPE 9</v>
      </c>
    </row>
    <row r="42" spans="2:61" ht="30" customHeight="1">
      <c r="D42" s="324">
        <v>21</v>
      </c>
      <c r="E42" s="325">
        <f t="shared" si="2"/>
        <v>51.612903225806456</v>
      </c>
      <c r="F42" s="343">
        <f t="shared" si="3"/>
        <v>0.44444444444444442</v>
      </c>
      <c r="H42" s="324">
        <v>21</v>
      </c>
      <c r="I42" s="325">
        <f t="shared" si="5"/>
        <v>70.588235294117652</v>
      </c>
      <c r="J42" s="343">
        <f t="shared" si="4"/>
        <v>0.58823529411764708</v>
      </c>
      <c r="O42" s="630">
        <f>IF('Strength Calculator'!$C$13="Epley",('Strength Calculator'!$D$28/(1+(5/30))),'Strength Calculator'!$D$28/(36/(37-(5))))</f>
        <v>120</v>
      </c>
      <c r="R42" s="822" t="str">
        <f>IF('Strength Calculator'!$C$10="Kniebeuge","beugst",IF('Strength Calculator'!$C$10="LH Bankdrücken","drückst",IF('Strength Calculator'!$C$10="Kreuzheben","hebst","")))</f>
        <v>drückst</v>
      </c>
      <c r="S42" s="823"/>
      <c r="U42" s="634" t="str">
        <f>IF('Strength Calculator'!$C$10="Kniebeuge","Beuge",IF('Strength Calculator'!$C$10="LH Bankdrücken","Drücke",IF('Strength Calculator'!$C$10="Kreuzheben","Hebe","")))</f>
        <v>Drücke</v>
      </c>
      <c r="X42" s="654">
        <f ca="1">INDEX(OFFSET(Zyklus!$A$13,39,0),1)</f>
        <v>0</v>
      </c>
      <c r="Y42" s="655" t="e">
        <f ca="1">MROUND(INDEX(OFFSET(Zyklus!$I$13,39,0),1),(IF(VLOOKUP($X42,Übungsübersicht!$E$7:$K$80,3)=0,0.1,(VLOOKUP($X42,Übungsübersicht!$E$7:$K$80,3)))))</f>
        <v>#N/A</v>
      </c>
      <c r="Z42" s="655"/>
      <c r="AA42" s="655" t="e">
        <f ca="1">IFERROR(IF($Y42=0,2*(VLOOKUP($X42,Übungsübersicht!$E$7:$M$83,3,FALSE)),IF($Y42&gt;100,(MROUND(($Y42*0.1),(VLOOKUP($X42,Übungsübersicht!$E$7:$M$83,3,FALSE)))),IF($Y42&gt;80,(MROUND(($Y42*0.1),(VLOOKUP($X42,Übungsübersicht!$E$7:$M$83,3,FALSE)))),IF($Y42&gt;50,(MROUND(($Y42*0.2),(VLOOKUP($X42,Übungsübersicht!$E$7:$M$83,3,FALSE)))),IF($Y42&gt;25,(MROUND(($Y42*0.3),(VLOOKUP($X42,Übungsübersicht!$E$7:$M$83,3,FALSE)))),IF($Y42&gt;15,(MROUND(($Y42*0.4),(VLOOKUP($X42,Übungsübersicht!$E$7:$M$83,3,FALSE)))),IF($Y42&gt;(VLOOKUP($X42,Übungsübersicht!$E$7:$M$83,3,FALSE)),(VLOOKUP($X42,Übungsübersicht!$E$7:$M$83,3,FALSE)),""))))))),2*(VLOOKUP($X42,Übungsübersicht!$E$7:$M$83,3,FALSE)))</f>
        <v>#N/A</v>
      </c>
      <c r="AB42" s="655" t="e">
        <f ca="1">IFERROR(IF($Y42=0,4*(VLOOKUP($X42,Übungsübersicht!$E$7:$M$83,3,FALSE)),IF($Y42&gt;100,(MROUND(($Y42*0.3),(VLOOKUP($X42,Übungsübersicht!$E$7:$M$83,3,FALSE)))),IF($Y42&gt;80,(MROUND(($Y42*0.3),(VLOOKUP($X42,Übungsübersicht!$E$7:$M$83,3,FALSE)))),IF($Y42&gt;50,(MROUND(($Y42*0.4),(VLOOKUP($X42,Übungsübersicht!$E$7:$M$83,3,FALSE)))),IF($Y42&gt;25,(MROUND(($Y42*0.5),(VLOOKUP($X42,Übungsübersicht!$E$7:$M$83,3,FALSE)))),IF($Y42&gt;15,(MROUND(($Y42*0.6),(VLOOKUP($X42,Übungsübersicht!$E$7:$M$83,3,FALSE)))),IF($Y42&gt;(VLOOKUP($X42,Übungsübersicht!$E$7:$M$83,3,FALSE)),(VLOOKUP($X42,Übungsübersicht!$E$7:$M$83,3,FALSE)),""))))))),4*(VLOOKUP($X42,Übungsübersicht!$E$7:$M$83,3,FALSE)))</f>
        <v>#N/A</v>
      </c>
      <c r="AC42" s="655" t="e">
        <f ca="1">IFERROR((IF($Y42=0,8*(VLOOKUP($X42,Übungsübersicht!$E$7:$M$83,3,FALSE)),(($Y42)-(3*(VLOOKUP($X42,Übungsübersicht!$E$7:$M$83,3,FALSE)))))),8*(VLOOKUP($X42,Übungsübersicht!$E$7:$M$83,3,FALSE)))</f>
        <v>#N/A</v>
      </c>
      <c r="AD42" s="655" t="e">
        <f ca="1">IFERROR(((IF($Y42=0,10*(VLOOKUP($X42,Übungsübersicht!$E$7:$M$83,3,FALSE)),($Y42)-(2*(VLOOKUP($X42,Übungsübersicht!$E$7:$M$83,3,FALSE)))))),10*(VLOOKUP($X42,Übungsübersicht!$E$7:$M$83,3,FALSE)))</f>
        <v>#N/A</v>
      </c>
      <c r="AE42" s="655" t="e">
        <f ca="1">IFERROR(((IF($Y42=0,10*(VLOOKUP($X42,Übungsübersicht!$E$7:$M$83,3,FALSE)),($Y42)-(1*(VLOOKUP($X42,Übungsübersicht!$E$7:$M$83,3,FALSE)))))),10*(VLOOKUP($X42,Übungsübersicht!$E$7:$M$83,3,FALSE)))</f>
        <v>#N/A</v>
      </c>
      <c r="AF42" s="655" t="e">
        <f ca="1">IFERROR(IF($Y42=0,20*(VLOOKUP($X42,Übungsübersicht!$E$7:$M$83,3,FALSE)),($Y42)),20*(VLOOKUP($X42,Übungsübersicht!$E$7:$M$83,3,FALSE)))</f>
        <v>#N/A</v>
      </c>
      <c r="AG42" s="655" t="e">
        <f ca="1">IFERROR(IF($Y42=0,30*(VLOOKUP($X42,Übungsübersicht!$E$7:$M$83,3,FALSE)),($Y42)+(1*(VLOOKUP($X42,Übungsübersicht!$E$7:$M$83,3,FALSE)))),30*(VLOOKUP($X42,Übungsübersicht!$E$7:$M$83,3,FALSE)))</f>
        <v>#N/A</v>
      </c>
      <c r="AH42" s="655" t="e">
        <f ca="1">IFERROR(IF($Y42=0,30*(VLOOKUP($X42,Übungsübersicht!$E$7:$M$83,3,FALSE)),($Y42)+(2*(VLOOKUP($X42,Übungsübersicht!$E$7:$M$83,3,FALSE)))),30*(VLOOKUP($X42,Übungsübersicht!$E$7:$M$83,3,FALSE)))</f>
        <v>#N/A</v>
      </c>
      <c r="AI42" s="655" t="e">
        <f ca="1">IFERROR(IF($Y42=0,30*(VLOOKUP($X42,Übungsübersicht!$E$7:$M$83,3,FALSE)),($Y42)+(3*(VLOOKUP($X42,Übungsübersicht!$E$7:$M$83,3,FALSE)))),30*(VLOOKUP($X42,Übungsübersicht!$E$7:$M$83,3,FALSE)))</f>
        <v>#N/A</v>
      </c>
      <c r="AJ42" s="655" t="e">
        <f ca="1">IFERROR(IF($Y42=0,40*(VLOOKUP($X42,Übungsübersicht!$E$7:$M$83,3,FALSE)),IF($Y42&gt;100,(MROUND(($Y42*1.7),(VLOOKUP($X42,Übungsübersicht!$E$7:$M$83,3,FALSE)))),IF($Y42&gt;80,(MROUND(($Y42*1.7),(VLOOKUP($X42,Übungsübersicht!$E$7:$M$83,3,FALSE)))),IF($Y42&gt;50,(MROUND(($Y42*1.6),(VLOOKUP($X42,Übungsübersicht!$E$7:$M$83,3,FALSE)))),IF($Y42&gt;25,(MROUND(($Y42*1.5),(VLOOKUP($X42,Übungsübersicht!$E$7:$M$83,3,FALSE)))),IF($Y42&gt;15,(MROUND(($Y42*1.4),(VLOOKUP($X42,Übungsübersicht!$E$7:$M$83,3,FALSE)))),IF($Y42&gt;(VLOOKUP($X42,Übungsübersicht!$E$7:$M$83,3,FALSE)),30*(VLOOKUP($X42,Übungsübersicht!$E$7:$M$83,3,FALSE)),""))))))),40*(VLOOKUP($X42,Übungsübersicht!$E$7:$M$83,3,FALSE)))</f>
        <v>#N/A</v>
      </c>
      <c r="AK42" s="656" t="e">
        <f ca="1">IFERROR(IF($Y42=0,50*(VLOOKUP($X42,Übungsübersicht!$E$7:$M$83,3,FALSE)),IF($Y42&gt;100,(MROUND(($Y42*1.9),(VLOOKUP($X42,Übungsübersicht!$E$7:$M$83,3,FALSE)))),IF($Y42&gt;80,(MROUND(($Y42*1.9),(VLOOKUP($X42,Übungsübersicht!$E$7:$M$83,3,FALSE)))),IF($Y42&gt;50,(MROUND(($Y42*1.8),(VLOOKUP($X42,Übungsübersicht!$E$7:$M$83,3,FALSE)))),IF($Y42&gt;25,(MROUND(($Y42*1.7),(VLOOKUP($X42,Übungsübersicht!$E$7:$M$83,3,FALSE)))),IF($Y42&gt;15,(MROUND(($Y42*1.6),(VLOOKUP($X42,Übungsübersicht!$E$7:$M$83,3,FALSE)))),IF($Y42&gt;(VLOOKUP($X42,Übungsübersicht!$E$7:$M$83,3,FALSE)),40*(VLOOKUP($X42,Übungsübersicht!$E$7:$M$83,3,FALSE)),""))))))),50*(VLOOKUP($X42,Übungsübersicht!$E$7:$M$83,3,FALSE)))</f>
        <v>#N/A</v>
      </c>
      <c r="AN42" s="655" t="e">
        <f ca="1">MROUND(INDEX(OFFSET(Zyklus!$M$13,39,0),1),(IF(VLOOKUP($X42,Übungsübersicht!$E$7:$K$80,3)=0,0.1,(VLOOKUP($X42,Übungsübersicht!$E$7:$K$80,3)))))</f>
        <v>#N/A</v>
      </c>
      <c r="AP42" s="652" t="str">
        <f ca="1">IFERROR(IF(IF(VLOOKUP($X42,Zyklus!$A$14:$U$68,9,FALSE)=0,"RPE 8",IF(VLOOKUP($X42,Übungsübersicht!$E$7:$M$83,3,FALSE)&lt;0.5,($AN42)-(3*0.5),(($AN42)-(3*(VLOOKUP($X42,Übungsübersicht!$E$7:$M$83,3,FALSE))))))&lt;1,0,(IF(VLOOKUP($X42,Zyklus!$A$14:$U$68,9,FALSE)=0,"RPE 8",IF(VLOOKUP($X42,Übungsübersicht!$E$7:$M$83,3,FALSE)&lt;0.5,($AN42)-(3*0.5),(($AN42)-(3*(VLOOKUP($X42,Übungsübersicht!$E$7:$M$83,3,FALSE)))))))),"RPE 8")</f>
        <v>RPE 8</v>
      </c>
      <c r="AQ42" s="652" t="str">
        <f ca="1">IFERROR(IF(IF(VLOOKUP($X42,Zyklus!$A$14:$U$68,9,FALSE)=0,"RPE 8",IF(VLOOKUP($X42,Übungsübersicht!$E$7:$M$83,3,FALSE)&lt;0.5,($AN42)-(2*0.5),(($AN42)-(2*(VLOOKUP($X42,Übungsübersicht!$E$7:$M$83,3,FALSE))))))&lt;1,0,(IF(VLOOKUP($X42,Zyklus!$A$14:$U$68,9,FALSE)=0,"RPE 8",IF(VLOOKUP($X42,Übungsübersicht!$E$7:$M$83,3,FALSE)&lt;0.5,($AN42)-(2*0.5),(($AN42)-(2*(VLOOKUP($X42,Übungsübersicht!$E$7:$M$83,3,FALSE)))))))),"RPE 8")</f>
        <v>RPE 8</v>
      </c>
      <c r="AR42" s="652" t="str">
        <f ca="1">IFERROR(IF(IF(VLOOKUP($X42,Zyklus!$A$14:$U$68,9,FALSE)=0,"RPE 8",IF(VLOOKUP($X42,Übungsübersicht!$E$7:$M$83,3,FALSE)&lt;0.5,($AN42)-(1*0.5),(($Y42)-(1*(VLOOKUP($X42,Übungsübersicht!$E$7:$M$83,3,FALSE))))))&lt;1,0,(IF(VLOOKUP($X42,Zyklus!$A$14:$U$68,9,FALSE)=0,"RPE 8",IF(VLOOKUP($X42,Übungsübersicht!$E$7:$M$83,3,FALSE)&lt;0.5,($AN42)-(1*0.5),(($Y42)-(1*(VLOOKUP($X42,Übungsübersicht!$E$7:$M$83,3,FALSE)))))))),"RPE 8")</f>
        <v>RPE 8</v>
      </c>
      <c r="AS42" s="652" t="str">
        <f t="shared" ca="1" si="0"/>
        <v>RPE 8</v>
      </c>
      <c r="AT42" s="652" t="str">
        <f ca="1">IFERROR(IF(VLOOKUP($X42,Zyklus!$A$14:$U$68,9,FALSE)=0,"RPE 8",IF(VLOOKUP($X42,Übungsübersicht!$E$7:$M$83,3,FALSE)&lt;0.5,($AN42)+(1*0.5),(($Y42)+(1*(VLOOKUP($X42,Übungsübersicht!$E$7:$M$83,3,FALSE)))))),"RPE 8")</f>
        <v>RPE 8</v>
      </c>
      <c r="AU42" s="652" t="str">
        <f ca="1">IFERROR(IF(VLOOKUP($X42,Zyklus!$A$14:$U$68,9,FALSE)=0,"RPE 8",IF(VLOOKUP($X42,Übungsübersicht!$E$7:$M$83,3,FALSE)&lt;0.5,($AN42)+(2*0.5),(($AN42)+(2*(VLOOKUP($X42,Übungsübersicht!$E$7:$M$83,3,FALSE)))))),"RPE 8")</f>
        <v>RPE 8</v>
      </c>
      <c r="AV42" s="652" t="str">
        <f ca="1">IFERROR(IF(VLOOKUP($X42,Zyklus!$A$14:$U$68,9,FALSE)=0,"RPE 8",IF(VLOOKUP($X42,Übungsübersicht!$E$7:$M$83,3,FALSE)&lt;0.5,($AN42)+(3*0.5),(($AN42)+(3*(VLOOKUP($X42,Übungsübersicht!$E$7:$M$83,3,FALSE)))))),"RPE 8")</f>
        <v>RPE 8</v>
      </c>
      <c r="AY42" s="655" t="e">
        <f ca="1">MROUND(INDEX(OFFSET(Zyklus!$M$13,39,0),1),(IF(VLOOKUP($X42,Übungsübersicht!$E$7:$K$80,3)=0,0.1,(VLOOKUP($X42,Übungsübersicht!$E$7:$K$80,3)))))</f>
        <v>#N/A</v>
      </c>
      <c r="BA42" s="652" t="e">
        <f ca="1">MROUND(INDEX(OFFSET(Zyklus!$Q$13,39,0),1),(IF(VLOOKUP($X42,Übungsübersicht!$E$7:$K$80,3)=0,0.1,(VLOOKUP($X42,Übungsübersicht!$E$7:$K$80,3)))))</f>
        <v>#N/A</v>
      </c>
      <c r="BC42" s="652" t="str">
        <f ca="1">IFERROR(IF(IF(VLOOKUP($X42,Zyklus!$A$14:$U$68,9,FALSE)=0,"RPE 9",IF(VLOOKUP($X42,Übungsübersicht!$E$7:$M$83,3,FALSE)&lt;0.5,($BA42)-(3*0.5),(($BA42)-(3*(VLOOKUP($X42,Übungsübersicht!$E$7:$M$83,3,FALSE))))))&lt;1,0,(IF(VLOOKUP($X42,Zyklus!$A$14:$U$68,9,FALSE)=0,"RPE 9",IF(VLOOKUP($X42,Übungsübersicht!$E$7:$M$83,3,FALSE)&lt;0.5,($BA42)-(3*0.5),(($BA42)-(3*(VLOOKUP($X42,Übungsübersicht!$E$7:$M$83,3,FALSE)))))))),"RPE 9")</f>
        <v>RPE 9</v>
      </c>
      <c r="BD42" s="652" t="str">
        <f ca="1">IFERROR(IF(IF(VLOOKUP($X42,Zyklus!$A$14:$U$68,9,FALSE)=0,"RPE 9",IF(VLOOKUP($X42,Übungsübersicht!$E$7:$M$83,3,FALSE)&lt;0.5,($BA42)-(2*0.5),(($BA42)-(2*(VLOOKUP($X42,Übungsübersicht!$E$7:$M$83,3,FALSE))))))&lt;1,0,(IF(VLOOKUP($X42,Zyklus!$A$14:$U$68,9,FALSE)=0,"RPE 9",IF(VLOOKUP($X42,Übungsübersicht!$E$7:$M$83,3,FALSE)&lt;0.5,($BA42)-(2*0.5),(($BA42)-(2*(VLOOKUP($X42,Übungsübersicht!$E$7:$M$83,3,FALSE)))))))),"RPE 9")</f>
        <v>RPE 9</v>
      </c>
      <c r="BE42" s="652" t="str">
        <f ca="1">IFERROR(IF(IF(VLOOKUP($X42,Zyklus!$A$14:$U$68,9,FALSE)=0,"RPE 9",IF(VLOOKUP($X42,Übungsübersicht!$E$7:$M$83,3,FALSE)&lt;0.5,($BA42)-(1*0.5),(($Y42)-(1*(VLOOKUP($X42,Übungsübersicht!$E$7:$M$83,3,FALSE))))))&lt;1,0,(IF(VLOOKUP($X42,Zyklus!$A$14:$U$68,9,FALSE)=0,"RPE 9",IF(VLOOKUP($X42,Übungsübersicht!$E$7:$M$83,3,FALSE)&lt;0.5,($BA42)-(1*0.5),(($Y42)-(1*(VLOOKUP($X42,Übungsübersicht!$E$7:$M$83,3,FALSE)))))))),"RPE 9")</f>
        <v>RPE 9</v>
      </c>
      <c r="BF42" s="652" t="str">
        <f t="shared" ca="1" si="1"/>
        <v>RPE 9</v>
      </c>
      <c r="BG42" s="652" t="str">
        <f ca="1">IFERROR(IF(VLOOKUP($X42,Zyklus!$A$14:$U$68,9,FALSE)=0,"RPE 9",IF(VLOOKUP($X42,Übungsübersicht!$E$7:$M$83,3,FALSE)&lt;0.5,($AY42)+(1*0.5),(($AY42)+(1*(VLOOKUP($X42,Übungsübersicht!$E$7:$M$83,3,FALSE)))))),"RPE 9")</f>
        <v>RPE 9</v>
      </c>
      <c r="BH42" s="652" t="str">
        <f ca="1">IFERROR(IF(VLOOKUP($X42,Zyklus!$A$14:$U$68,9,FALSE)=0,"RPE 9",IF(VLOOKUP($X42,Übungsübersicht!$E$7:$M$83,3,FALSE)&lt;0.5,($BA42)+(2*0.5),(($BA42)+(2*(VLOOKUP($X42,Übungsübersicht!$E$7:$M$83,3,FALSE)))))),"RPE 9")</f>
        <v>RPE 9</v>
      </c>
      <c r="BI42" s="652" t="str">
        <f ca="1">IFERROR(IF(VLOOKUP($X42,Zyklus!$A$14:$U$68,9,FALSE)=0,"RPE 9",IF(VLOOKUP($X42,Übungsübersicht!$E$7:$M$83,3,FALSE)&lt;0.5,($BA42)+(3*0.5),(($BA42)+(3*(VLOOKUP($X42,Übungsübersicht!$E$7:$M$83,3,FALSE)))))),"RPE 9")</f>
        <v>RPE 9</v>
      </c>
    </row>
    <row r="43" spans="2:61" ht="30" customHeight="1">
      <c r="D43" s="326">
        <v>22</v>
      </c>
      <c r="E43" s="323">
        <f t="shared" si="2"/>
        <v>48.387096774193552</v>
      </c>
      <c r="F43" s="344">
        <f t="shared" si="3"/>
        <v>0.41666666666666663</v>
      </c>
      <c r="H43" s="326">
        <v>22</v>
      </c>
      <c r="I43" s="323">
        <f t="shared" si="5"/>
        <v>69.230769230769226</v>
      </c>
      <c r="J43" s="344">
        <f t="shared" si="4"/>
        <v>0.57692307692307687</v>
      </c>
      <c r="X43" s="651">
        <f ca="1">INDEX(OFFSET(Zyklus!$A$13,40,0),1)</f>
        <v>0</v>
      </c>
      <c r="Y43" s="652" t="e">
        <f ca="1">MROUND(INDEX(OFFSET(Zyklus!$I$13,40,0),1),(IF(VLOOKUP($X43,Übungsübersicht!$E$7:$K$80,3)=0,0.1,(VLOOKUP($X43,Übungsübersicht!$E$7:$K$80,3)))))</f>
        <v>#N/A</v>
      </c>
      <c r="Z43" s="652"/>
      <c r="AA43" s="652" t="e">
        <f ca="1">IFERROR(IF($Y43=0,2*(VLOOKUP($X43,Übungsübersicht!$E$7:$M$83,3,FALSE)),IF($Y43&gt;100,(MROUND(($Y43*0.1),(VLOOKUP($X43,Übungsübersicht!$E$7:$M$83,3,FALSE)))),IF($Y43&gt;80,(MROUND(($Y43*0.1),(VLOOKUP($X43,Übungsübersicht!$E$7:$M$83,3,FALSE)))),IF($Y43&gt;50,(MROUND(($Y43*0.2),(VLOOKUP($X43,Übungsübersicht!$E$7:$M$83,3,FALSE)))),IF($Y43&gt;25,(MROUND(($Y43*0.3),(VLOOKUP($X43,Übungsübersicht!$E$7:$M$83,3,FALSE)))),IF($Y43&gt;15,(MROUND(($Y43*0.4),(VLOOKUP($X43,Übungsübersicht!$E$7:$M$83,3,FALSE)))),IF($Y43&gt;(VLOOKUP($X43,Übungsübersicht!$E$7:$M$83,3,FALSE)),(VLOOKUP($X43,Übungsübersicht!$E$7:$M$83,3,FALSE)),""))))))),2*(VLOOKUP($X43,Übungsübersicht!$E$7:$M$83,3,FALSE)))</f>
        <v>#N/A</v>
      </c>
      <c r="AB43" s="652" t="e">
        <f ca="1">IFERROR(IF($Y43=0,4*(VLOOKUP($X43,Übungsübersicht!$E$7:$M$83,3,FALSE)),IF($Y43&gt;100,(MROUND(($Y43*0.3),(VLOOKUP($X43,Übungsübersicht!$E$7:$M$83,3,FALSE)))),IF($Y43&gt;80,(MROUND(($Y43*0.3),(VLOOKUP($X43,Übungsübersicht!$E$7:$M$83,3,FALSE)))),IF($Y43&gt;50,(MROUND(($Y43*0.4),(VLOOKUP($X43,Übungsübersicht!$E$7:$M$83,3,FALSE)))),IF($Y43&gt;25,(MROUND(($Y43*0.5),(VLOOKUP($X43,Übungsübersicht!$E$7:$M$83,3,FALSE)))),IF($Y43&gt;15,(MROUND(($Y43*0.6),(VLOOKUP($X43,Übungsübersicht!$E$7:$M$83,3,FALSE)))),IF($Y43&gt;(VLOOKUP($X43,Übungsübersicht!$E$7:$M$83,3,FALSE)),(VLOOKUP($X43,Übungsübersicht!$E$7:$M$83,3,FALSE)),""))))))),4*(VLOOKUP($X43,Übungsübersicht!$E$7:$M$83,3,FALSE)))</f>
        <v>#N/A</v>
      </c>
      <c r="AC43" s="652" t="e">
        <f ca="1">IFERROR((IF($Y43=0,8*(VLOOKUP($X43,Übungsübersicht!$E$7:$M$83,3,FALSE)),(($Y43)-(3*(VLOOKUP($X43,Übungsübersicht!$E$7:$M$83,3,FALSE)))))),8*(VLOOKUP($X43,Übungsübersicht!$E$7:$M$83,3,FALSE)))</f>
        <v>#N/A</v>
      </c>
      <c r="AD43" s="652" t="e">
        <f ca="1">IFERROR(((IF($Y43=0,10*(VLOOKUP($X43,Übungsübersicht!$E$7:$M$83,3,FALSE)),($Y43)-(2*(VLOOKUP($X43,Übungsübersicht!$E$7:$M$83,3,FALSE)))))),10*(VLOOKUP($X43,Übungsübersicht!$E$7:$M$83,3,FALSE)))</f>
        <v>#N/A</v>
      </c>
      <c r="AE43" s="652" t="e">
        <f ca="1">IFERROR(((IF($Y43=0,10*(VLOOKUP($X43,Übungsübersicht!$E$7:$M$83,3,FALSE)),($Y43)-(1*(VLOOKUP($X43,Übungsübersicht!$E$7:$M$83,3,FALSE)))))),10*(VLOOKUP($X43,Übungsübersicht!$E$7:$M$83,3,FALSE)))</f>
        <v>#N/A</v>
      </c>
      <c r="AF43" s="652" t="e">
        <f ca="1">IFERROR(IF($Y43=0,20*(VLOOKUP($X43,Übungsübersicht!$E$7:$M$83,3,FALSE)),($Y43)),20*(VLOOKUP($X43,Übungsübersicht!$E$7:$M$83,3,FALSE)))</f>
        <v>#N/A</v>
      </c>
      <c r="AG43" s="652" t="e">
        <f ca="1">IFERROR(IF($Y43=0,30*(VLOOKUP($X43,Übungsübersicht!$E$7:$M$83,3,FALSE)),($Y43)+(1*(VLOOKUP($X43,Übungsübersicht!$E$7:$M$83,3,FALSE)))),30*(VLOOKUP($X43,Übungsübersicht!$E$7:$M$83,3,FALSE)))</f>
        <v>#N/A</v>
      </c>
      <c r="AH43" s="652" t="e">
        <f ca="1">IFERROR(IF($Y43=0,30*(VLOOKUP($X43,Übungsübersicht!$E$7:$M$83,3,FALSE)),($Y43)+(2*(VLOOKUP($X43,Übungsübersicht!$E$7:$M$83,3,FALSE)))),30*(VLOOKUP($X43,Übungsübersicht!$E$7:$M$83,3,FALSE)))</f>
        <v>#N/A</v>
      </c>
      <c r="AI43" s="652" t="e">
        <f ca="1">IFERROR(IF($Y43=0,30*(VLOOKUP($X43,Übungsübersicht!$E$7:$M$83,3,FALSE)),($Y43)+(3*(VLOOKUP($X43,Übungsübersicht!$E$7:$M$83,3,FALSE)))),30*(VLOOKUP($X43,Übungsübersicht!$E$7:$M$83,3,FALSE)))</f>
        <v>#N/A</v>
      </c>
      <c r="AJ43" s="652" t="e">
        <f ca="1">IFERROR(IF($Y43=0,40*(VLOOKUP($X43,Übungsübersicht!$E$7:$M$83,3,FALSE)),IF($Y43&gt;100,(MROUND(($Y43*1.7),(VLOOKUP($X43,Übungsübersicht!$E$7:$M$83,3,FALSE)))),IF($Y43&gt;80,(MROUND(($Y43*1.7),(VLOOKUP($X43,Übungsübersicht!$E$7:$M$83,3,FALSE)))),IF($Y43&gt;50,(MROUND(($Y43*1.6),(VLOOKUP($X43,Übungsübersicht!$E$7:$M$83,3,FALSE)))),IF($Y43&gt;25,(MROUND(($Y43*1.5),(VLOOKUP($X43,Übungsübersicht!$E$7:$M$83,3,FALSE)))),IF($Y43&gt;15,(MROUND(($Y43*1.4),(VLOOKUP($X43,Übungsübersicht!$E$7:$M$83,3,FALSE)))),IF($Y43&gt;(VLOOKUP($X43,Übungsübersicht!$E$7:$M$83,3,FALSE)),30*(VLOOKUP($X43,Übungsübersicht!$E$7:$M$83,3,FALSE)),""))))))),40*(VLOOKUP($X43,Übungsübersicht!$E$7:$M$83,3,FALSE)))</f>
        <v>#N/A</v>
      </c>
      <c r="AK43" s="653" t="e">
        <f ca="1">IFERROR(IF($Y43=0,50*(VLOOKUP($X43,Übungsübersicht!$E$7:$M$83,3,FALSE)),IF($Y43&gt;100,(MROUND(($Y43*1.9),(VLOOKUP($X43,Übungsübersicht!$E$7:$M$83,3,FALSE)))),IF($Y43&gt;80,(MROUND(($Y43*1.9),(VLOOKUP($X43,Übungsübersicht!$E$7:$M$83,3,FALSE)))),IF($Y43&gt;50,(MROUND(($Y43*1.8),(VLOOKUP($X43,Übungsübersicht!$E$7:$M$83,3,FALSE)))),IF($Y43&gt;25,(MROUND(($Y43*1.7),(VLOOKUP($X43,Übungsübersicht!$E$7:$M$83,3,FALSE)))),IF($Y43&gt;15,(MROUND(($Y43*1.6),(VLOOKUP($X43,Übungsübersicht!$E$7:$M$83,3,FALSE)))),IF($Y43&gt;(VLOOKUP($X43,Übungsübersicht!$E$7:$M$83,3,FALSE)),40*(VLOOKUP($X43,Übungsübersicht!$E$7:$M$83,3,FALSE)),""))))))),50*(VLOOKUP($X43,Übungsübersicht!$E$7:$M$83,3,FALSE)))</f>
        <v>#N/A</v>
      </c>
      <c r="AN43" s="652" t="e">
        <f ca="1">MROUND(INDEX(OFFSET(Zyklus!$M$13,40,0),1),(IF(VLOOKUP($X43,Übungsübersicht!$E$7:$K$80,3)=0,0.1,(VLOOKUP($X43,Übungsübersicht!$E$7:$K$80,3)))))</f>
        <v>#N/A</v>
      </c>
      <c r="AP43" s="655" t="str">
        <f ca="1">IFERROR(IF(IF(VLOOKUP($X43,Zyklus!$A$14:$U$68,9,FALSE)=0,"RPE 8",IF(VLOOKUP($X43,Übungsübersicht!$E$7:$M$83,3,FALSE)&lt;0.5,($AN43)-(3*0.5),(($AN43)-(3*(VLOOKUP($X43,Übungsübersicht!$E$7:$M$83,3,FALSE))))))&lt;1,0,(IF(VLOOKUP($X43,Zyklus!$A$14:$U$68,9,FALSE)=0,"RPE 8",IF(VLOOKUP($X43,Übungsübersicht!$E$7:$M$83,3,FALSE)&lt;0.5,($AN43)-(3*0.5),(($AN43)-(3*(VLOOKUP($X43,Übungsübersicht!$E$7:$M$83,3,FALSE)))))))),"RPE 8")</f>
        <v>RPE 8</v>
      </c>
      <c r="AQ43" s="655" t="str">
        <f ca="1">IFERROR(IF(IF(VLOOKUP($X43,Zyklus!$A$14:$U$68,9,FALSE)=0,"RPE 8",IF(VLOOKUP($X43,Übungsübersicht!$E$7:$M$83,3,FALSE)&lt;0.5,($AN43)-(2*0.5),(($AN43)-(2*(VLOOKUP($X43,Übungsübersicht!$E$7:$M$83,3,FALSE))))))&lt;1,0,(IF(VLOOKUP($X43,Zyklus!$A$14:$U$68,9,FALSE)=0,"RPE 8",IF(VLOOKUP($X43,Übungsübersicht!$E$7:$M$83,3,FALSE)&lt;0.5,($AN43)-(2*0.5),(($AN43)-(2*(VLOOKUP($X43,Übungsübersicht!$E$7:$M$83,3,FALSE)))))))),"RPE 8")</f>
        <v>RPE 8</v>
      </c>
      <c r="AR43" s="655" t="str">
        <f ca="1">IFERROR(IF(IF(VLOOKUP($X43,Zyklus!$A$14:$U$68,9,FALSE)=0,"RPE 8",IF(VLOOKUP($X43,Übungsübersicht!$E$7:$M$83,3,FALSE)&lt;0.5,($AN43)-(1*0.5),(($Y43)-(1*(VLOOKUP($X43,Übungsübersicht!$E$7:$M$83,3,FALSE))))))&lt;1,0,(IF(VLOOKUP($X43,Zyklus!$A$14:$U$68,9,FALSE)=0,"RPE 8",IF(VLOOKUP($X43,Übungsübersicht!$E$7:$M$83,3,FALSE)&lt;0.5,($AN43)-(1*0.5),(($Y43)-(1*(VLOOKUP($X43,Übungsübersicht!$E$7:$M$83,3,FALSE)))))))),"RPE 8")</f>
        <v>RPE 8</v>
      </c>
      <c r="AS43" s="655" t="str">
        <f t="shared" ca="1" si="0"/>
        <v>RPE 8</v>
      </c>
      <c r="AT43" s="655" t="str">
        <f ca="1">IFERROR(IF(VLOOKUP($X43,Zyklus!$A$14:$U$68,9,FALSE)=0,"RPE 8",IF(VLOOKUP($X43,Übungsübersicht!$E$7:$M$83,3,FALSE)&lt;0.5,($AN43)+(1*0.5),(($Y43)+(1*(VLOOKUP($X43,Übungsübersicht!$E$7:$M$83,3,FALSE)))))),"RPE 8")</f>
        <v>RPE 8</v>
      </c>
      <c r="AU43" s="655" t="str">
        <f ca="1">IFERROR(IF(VLOOKUP($X43,Zyklus!$A$14:$U$68,9,FALSE)=0,"RPE 8",IF(VLOOKUP($X43,Übungsübersicht!$E$7:$M$83,3,FALSE)&lt;0.5,($AN43)+(2*0.5),(($AN43)+(2*(VLOOKUP($X43,Übungsübersicht!$E$7:$M$83,3,FALSE)))))),"RPE 8")</f>
        <v>RPE 8</v>
      </c>
      <c r="AV43" s="655" t="str">
        <f ca="1">IFERROR(IF(VLOOKUP($X43,Zyklus!$A$14:$U$68,9,FALSE)=0,"RPE 8",IF(VLOOKUP($X43,Übungsübersicht!$E$7:$M$83,3,FALSE)&lt;0.5,($AN43)+(3*0.5),(($AN43)+(3*(VLOOKUP($X43,Übungsübersicht!$E$7:$M$83,3,FALSE)))))),"RPE 8")</f>
        <v>RPE 8</v>
      </c>
      <c r="AY43" s="652" t="e">
        <f ca="1">MROUND(INDEX(OFFSET(Zyklus!$M$13,40,0),1),(IF(VLOOKUP($X43,Übungsübersicht!$E$7:$K$80,3)=0,0.1,(VLOOKUP($X43,Übungsübersicht!$E$7:$K$80,3)))))</f>
        <v>#N/A</v>
      </c>
      <c r="BA43" s="655" t="e">
        <f ca="1">MROUND(INDEX(OFFSET(Zyklus!$Q$13,40,0),1),(IF(VLOOKUP($X43,Übungsübersicht!$E$7:$K$80,3)=0,0.1,(VLOOKUP($X43,Übungsübersicht!$E$7:$K$80,3)))))</f>
        <v>#N/A</v>
      </c>
      <c r="BC43" s="655" t="str">
        <f ca="1">IFERROR(IF(IF(VLOOKUP($X43,Zyklus!$A$14:$U$68,9,FALSE)=0,"RPE 9",IF(VLOOKUP($X43,Übungsübersicht!$E$7:$M$83,3,FALSE)&lt;0.5,($BA43)-(3*0.5),(($BA43)-(3*(VLOOKUP($X43,Übungsübersicht!$E$7:$M$83,3,FALSE))))))&lt;1,0,(IF(VLOOKUP($X43,Zyklus!$A$14:$U$68,9,FALSE)=0,"RPE 9",IF(VLOOKUP($X43,Übungsübersicht!$E$7:$M$83,3,FALSE)&lt;0.5,($BA43)-(3*0.5),(($BA43)-(3*(VLOOKUP($X43,Übungsübersicht!$E$7:$M$83,3,FALSE)))))))),"RPE 9")</f>
        <v>RPE 9</v>
      </c>
      <c r="BD43" s="655" t="str">
        <f ca="1">IFERROR(IF(IF(VLOOKUP($X43,Zyklus!$A$14:$U$68,9,FALSE)=0,"RPE 9",IF(VLOOKUP($X43,Übungsübersicht!$E$7:$M$83,3,FALSE)&lt;0.5,($BA43)-(2*0.5),(($BA43)-(2*(VLOOKUP($X43,Übungsübersicht!$E$7:$M$83,3,FALSE))))))&lt;1,0,(IF(VLOOKUP($X43,Zyklus!$A$14:$U$68,9,FALSE)=0,"RPE 9",IF(VLOOKUP($X43,Übungsübersicht!$E$7:$M$83,3,FALSE)&lt;0.5,($BA43)-(2*0.5),(($BA43)-(2*(VLOOKUP($X43,Übungsübersicht!$E$7:$M$83,3,FALSE)))))))),"RPE 9")</f>
        <v>RPE 9</v>
      </c>
      <c r="BE43" s="655" t="str">
        <f ca="1">IFERROR(IF(IF(VLOOKUP($X43,Zyklus!$A$14:$U$68,9,FALSE)=0,"RPE 9",IF(VLOOKUP($X43,Übungsübersicht!$E$7:$M$83,3,FALSE)&lt;0.5,($BA43)-(1*0.5),(($Y43)-(1*(VLOOKUP($X43,Übungsübersicht!$E$7:$M$83,3,FALSE))))))&lt;1,0,(IF(VLOOKUP($X43,Zyklus!$A$14:$U$68,9,FALSE)=0,"RPE 9",IF(VLOOKUP($X43,Übungsübersicht!$E$7:$M$83,3,FALSE)&lt;0.5,($BA43)-(1*0.5),(($Y43)-(1*(VLOOKUP($X43,Übungsübersicht!$E$7:$M$83,3,FALSE)))))))),"RPE 9")</f>
        <v>RPE 9</v>
      </c>
      <c r="BF43" s="655" t="str">
        <f t="shared" ca="1" si="1"/>
        <v>RPE 9</v>
      </c>
      <c r="BG43" s="655" t="str">
        <f ca="1">IFERROR(IF(VLOOKUP($X43,Zyklus!$A$14:$U$68,9,FALSE)=0,"RPE 9",IF(VLOOKUP($X43,Übungsübersicht!$E$7:$M$83,3,FALSE)&lt;0.5,($AY43)+(1*0.5),(($AY43)+(1*(VLOOKUP($X43,Übungsübersicht!$E$7:$M$83,3,FALSE)))))),"RPE 9")</f>
        <v>RPE 9</v>
      </c>
      <c r="BH43" s="655" t="str">
        <f ca="1">IFERROR(IF(VLOOKUP($X43,Zyklus!$A$14:$U$68,9,FALSE)=0,"RPE 9",IF(VLOOKUP($X43,Übungsübersicht!$E$7:$M$83,3,FALSE)&lt;0.5,($BA43)+(2*0.5),(($BA43)+(2*(VLOOKUP($X43,Übungsübersicht!$E$7:$M$83,3,FALSE)))))),"RPE 9")</f>
        <v>RPE 9</v>
      </c>
      <c r="BI43" s="655" t="str">
        <f ca="1">IFERROR(IF(VLOOKUP($X43,Zyklus!$A$14:$U$68,9,FALSE)=0,"RPE 9",IF(VLOOKUP($X43,Übungsübersicht!$E$7:$M$83,3,FALSE)&lt;0.5,($BA43)+(3*0.5),(($BA43)+(3*(VLOOKUP($X43,Übungsübersicht!$E$7:$M$83,3,FALSE)))))),"RPE 9")</f>
        <v>RPE 9</v>
      </c>
    </row>
    <row r="44" spans="2:61" ht="30" customHeight="1">
      <c r="D44" s="324">
        <v>23</v>
      </c>
      <c r="E44" s="325">
        <f t="shared" si="2"/>
        <v>45.161290322580648</v>
      </c>
      <c r="F44" s="343">
        <f t="shared" si="3"/>
        <v>0.3888888888888889</v>
      </c>
      <c r="H44" s="324">
        <v>23</v>
      </c>
      <c r="I44" s="325">
        <f t="shared" si="5"/>
        <v>67.924528301886795</v>
      </c>
      <c r="J44" s="343">
        <f t="shared" si="4"/>
        <v>0.56603773584905659</v>
      </c>
      <c r="O44" s="631" t="s">
        <v>352</v>
      </c>
      <c r="R44" s="817" t="s">
        <v>356</v>
      </c>
      <c r="S44" s="818"/>
      <c r="T44" s="818"/>
      <c r="U44" s="818"/>
      <c r="V44" s="819"/>
      <c r="X44" s="654" t="str">
        <f ca="1">INDEX(OFFSET(Zyklus!$A$13,41,0),1)</f>
        <v>OK 3+</v>
      </c>
      <c r="Y44" s="655">
        <f ca="1">MROUND(INDEX(OFFSET(Zyklus!$I$13,41,0),1),(IF(VLOOKUP($X44,Übungsübersicht!$E$7:$K$80,3)=0,0.1,(VLOOKUP($X44,Übungsübersicht!$E$7:$K$80,3)))))</f>
        <v>0</v>
      </c>
      <c r="Z44" s="655"/>
      <c r="AA44" s="655" t="e">
        <f ca="1">IFERROR(IF($Y44=0,2*(VLOOKUP($X44,Übungsübersicht!$E$7:$M$83,3,FALSE)),IF($Y44&gt;100,(MROUND(($Y44*0.1),(VLOOKUP($X44,Übungsübersicht!$E$7:$M$83,3,FALSE)))),IF($Y44&gt;80,(MROUND(($Y44*0.1),(VLOOKUP($X44,Übungsübersicht!$E$7:$M$83,3,FALSE)))),IF($Y44&gt;50,(MROUND(($Y44*0.2),(VLOOKUP($X44,Übungsübersicht!$E$7:$M$83,3,FALSE)))),IF($Y44&gt;25,(MROUND(($Y44*0.3),(VLOOKUP($X44,Übungsübersicht!$E$7:$M$83,3,FALSE)))),IF($Y44&gt;15,(MROUND(($Y44*0.4),(VLOOKUP($X44,Übungsübersicht!$E$7:$M$83,3,FALSE)))),IF($Y44&gt;(VLOOKUP($X44,Übungsübersicht!$E$7:$M$83,3,FALSE)),(VLOOKUP($X44,Übungsübersicht!$E$7:$M$83,3,FALSE)),""))))))),2*(VLOOKUP($X44,Übungsübersicht!$E$7:$M$83,3,FALSE)))</f>
        <v>#N/A</v>
      </c>
      <c r="AB44" s="655" t="e">
        <f ca="1">IFERROR(IF($Y44=0,4*(VLOOKUP($X44,Übungsübersicht!$E$7:$M$83,3,FALSE)),IF($Y44&gt;100,(MROUND(($Y44*0.3),(VLOOKUP($X44,Übungsübersicht!$E$7:$M$83,3,FALSE)))),IF($Y44&gt;80,(MROUND(($Y44*0.3),(VLOOKUP($X44,Übungsübersicht!$E$7:$M$83,3,FALSE)))),IF($Y44&gt;50,(MROUND(($Y44*0.4),(VLOOKUP($X44,Übungsübersicht!$E$7:$M$83,3,FALSE)))),IF($Y44&gt;25,(MROUND(($Y44*0.5),(VLOOKUP($X44,Übungsübersicht!$E$7:$M$83,3,FALSE)))),IF($Y44&gt;15,(MROUND(($Y44*0.6),(VLOOKUP($X44,Übungsübersicht!$E$7:$M$83,3,FALSE)))),IF($Y44&gt;(VLOOKUP($X44,Übungsübersicht!$E$7:$M$83,3,FALSE)),(VLOOKUP($X44,Übungsübersicht!$E$7:$M$83,3,FALSE)),""))))))),4*(VLOOKUP($X44,Übungsübersicht!$E$7:$M$83,3,FALSE)))</f>
        <v>#N/A</v>
      </c>
      <c r="AC44" s="655" t="e">
        <f ca="1">IFERROR((IF($Y44=0,8*(VLOOKUP($X44,Übungsübersicht!$E$7:$M$83,3,FALSE)),(($Y44)-(3*(VLOOKUP($X44,Übungsübersicht!$E$7:$M$83,3,FALSE)))))),8*(VLOOKUP($X44,Übungsübersicht!$E$7:$M$83,3,FALSE)))</f>
        <v>#N/A</v>
      </c>
      <c r="AD44" s="655" t="e">
        <f ca="1">IFERROR(((IF($Y44=0,10*(VLOOKUP($X44,Übungsübersicht!$E$7:$M$83,3,FALSE)),($Y44)-(2*(VLOOKUP($X44,Übungsübersicht!$E$7:$M$83,3,FALSE)))))),10*(VLOOKUP($X44,Übungsübersicht!$E$7:$M$83,3,FALSE)))</f>
        <v>#N/A</v>
      </c>
      <c r="AE44" s="655" t="e">
        <f ca="1">IFERROR(((IF($Y44=0,10*(VLOOKUP($X44,Übungsübersicht!$E$7:$M$83,3,FALSE)),($Y44)-(1*(VLOOKUP($X44,Übungsübersicht!$E$7:$M$83,3,FALSE)))))),10*(VLOOKUP($X44,Übungsübersicht!$E$7:$M$83,3,FALSE)))</f>
        <v>#N/A</v>
      </c>
      <c r="AF44" s="655" t="e">
        <f ca="1">IFERROR(IF($Y44=0,20*(VLOOKUP($X44,Übungsübersicht!$E$7:$M$83,3,FALSE)),($Y44)),20*(VLOOKUP($X44,Übungsübersicht!$E$7:$M$83,3,FALSE)))</f>
        <v>#N/A</v>
      </c>
      <c r="AG44" s="655" t="e">
        <f ca="1">IFERROR(IF($Y44=0,30*(VLOOKUP($X44,Übungsübersicht!$E$7:$M$83,3,FALSE)),($Y44)+(1*(VLOOKUP($X44,Übungsübersicht!$E$7:$M$83,3,FALSE)))),30*(VLOOKUP($X44,Übungsübersicht!$E$7:$M$83,3,FALSE)))</f>
        <v>#N/A</v>
      </c>
      <c r="AH44" s="655" t="e">
        <f ca="1">IFERROR(IF($Y44=0,30*(VLOOKUP($X44,Übungsübersicht!$E$7:$M$83,3,FALSE)),($Y44)+(2*(VLOOKUP($X44,Übungsübersicht!$E$7:$M$83,3,FALSE)))),30*(VLOOKUP($X44,Übungsübersicht!$E$7:$M$83,3,FALSE)))</f>
        <v>#N/A</v>
      </c>
      <c r="AI44" s="655" t="e">
        <f ca="1">IFERROR(IF($Y44=0,30*(VLOOKUP($X44,Übungsübersicht!$E$7:$M$83,3,FALSE)),($Y44)+(3*(VLOOKUP($X44,Übungsübersicht!$E$7:$M$83,3,FALSE)))),30*(VLOOKUP($X44,Übungsübersicht!$E$7:$M$83,3,FALSE)))</f>
        <v>#N/A</v>
      </c>
      <c r="AJ44" s="655" t="e">
        <f ca="1">IFERROR(IF($Y44=0,40*(VLOOKUP($X44,Übungsübersicht!$E$7:$M$83,3,FALSE)),IF($Y44&gt;100,(MROUND(($Y44*1.7),(VLOOKUP($X44,Übungsübersicht!$E$7:$M$83,3,FALSE)))),IF($Y44&gt;80,(MROUND(($Y44*1.7),(VLOOKUP($X44,Übungsübersicht!$E$7:$M$83,3,FALSE)))),IF($Y44&gt;50,(MROUND(($Y44*1.6),(VLOOKUP($X44,Übungsübersicht!$E$7:$M$83,3,FALSE)))),IF($Y44&gt;25,(MROUND(($Y44*1.5),(VLOOKUP($X44,Übungsübersicht!$E$7:$M$83,3,FALSE)))),IF($Y44&gt;15,(MROUND(($Y44*1.4),(VLOOKUP($X44,Übungsübersicht!$E$7:$M$83,3,FALSE)))),IF($Y44&gt;(VLOOKUP($X44,Übungsübersicht!$E$7:$M$83,3,FALSE)),30*(VLOOKUP($X44,Übungsübersicht!$E$7:$M$83,3,FALSE)),""))))))),40*(VLOOKUP($X44,Übungsübersicht!$E$7:$M$83,3,FALSE)))</f>
        <v>#N/A</v>
      </c>
      <c r="AK44" s="656" t="e">
        <f ca="1">IFERROR(IF($Y44=0,50*(VLOOKUP($X44,Übungsübersicht!$E$7:$M$83,3,FALSE)),IF($Y44&gt;100,(MROUND(($Y44*1.9),(VLOOKUP($X44,Übungsübersicht!$E$7:$M$83,3,FALSE)))),IF($Y44&gt;80,(MROUND(($Y44*1.9),(VLOOKUP($X44,Übungsübersicht!$E$7:$M$83,3,FALSE)))),IF($Y44&gt;50,(MROUND(($Y44*1.8),(VLOOKUP($X44,Übungsübersicht!$E$7:$M$83,3,FALSE)))),IF($Y44&gt;25,(MROUND(($Y44*1.7),(VLOOKUP($X44,Übungsübersicht!$E$7:$M$83,3,FALSE)))),IF($Y44&gt;15,(MROUND(($Y44*1.6),(VLOOKUP($X44,Übungsübersicht!$E$7:$M$83,3,FALSE)))),IF($Y44&gt;(VLOOKUP($X44,Übungsübersicht!$E$7:$M$83,3,FALSE)),40*(VLOOKUP($X44,Übungsübersicht!$E$7:$M$83,3,FALSE)),""))))))),50*(VLOOKUP($X44,Übungsübersicht!$E$7:$M$83,3,FALSE)))</f>
        <v>#N/A</v>
      </c>
      <c r="AN44" s="655">
        <f ca="1">MROUND(INDEX(OFFSET(Zyklus!$M$13,41,0),1),(IF(VLOOKUP($X44,Übungsübersicht!$E$7:$K$80,3)=0,0.1,(VLOOKUP($X44,Übungsübersicht!$E$7:$K$80,3)))))</f>
        <v>0</v>
      </c>
      <c r="AP44" s="652" t="str">
        <f ca="1">IFERROR(IF(IF(VLOOKUP($X44,Zyklus!$A$14:$U$68,9,FALSE)=0,"RPE 8",IF(VLOOKUP($X44,Übungsübersicht!$E$7:$M$83,3,FALSE)&lt;0.5,($AN44)-(3*0.5),(($AN44)-(3*(VLOOKUP($X44,Übungsübersicht!$E$7:$M$83,3,FALSE))))))&lt;1,0,(IF(VLOOKUP($X44,Zyklus!$A$14:$U$68,9,FALSE)=0,"RPE 8",IF(VLOOKUP($X44,Übungsübersicht!$E$7:$M$83,3,FALSE)&lt;0.5,($AN44)-(3*0.5),(($AN44)-(3*(VLOOKUP($X44,Übungsübersicht!$E$7:$M$83,3,FALSE)))))))),"RPE 8")</f>
        <v>RPE 8</v>
      </c>
      <c r="AQ44" s="652" t="str">
        <f ca="1">IFERROR(IF(IF(VLOOKUP($X44,Zyklus!$A$14:$U$68,9,FALSE)=0,"RPE 8",IF(VLOOKUP($X44,Übungsübersicht!$E$7:$M$83,3,FALSE)&lt;0.5,($AN44)-(2*0.5),(($AN44)-(2*(VLOOKUP($X44,Übungsübersicht!$E$7:$M$83,3,FALSE))))))&lt;1,0,(IF(VLOOKUP($X44,Zyklus!$A$14:$U$68,9,FALSE)=0,"RPE 8",IF(VLOOKUP($X44,Übungsübersicht!$E$7:$M$83,3,FALSE)&lt;0.5,($AN44)-(2*0.5),(($AN44)-(2*(VLOOKUP($X44,Übungsübersicht!$E$7:$M$83,3,FALSE)))))))),"RPE 8")</f>
        <v>RPE 8</v>
      </c>
      <c r="AR44" s="652" t="str">
        <f ca="1">IFERROR(IF(IF(VLOOKUP($X44,Zyklus!$A$14:$U$68,9,FALSE)=0,"RPE 8",IF(VLOOKUP($X44,Übungsübersicht!$E$7:$M$83,3,FALSE)&lt;0.5,($AN44)-(1*0.5),(($Y44)-(1*(VLOOKUP($X44,Übungsübersicht!$E$7:$M$83,3,FALSE))))))&lt;1,0,(IF(VLOOKUP($X44,Zyklus!$A$14:$U$68,9,FALSE)=0,"RPE 8",IF(VLOOKUP($X44,Übungsübersicht!$E$7:$M$83,3,FALSE)&lt;0.5,($AN44)-(1*0.5),(($Y44)-(1*(VLOOKUP($X44,Übungsübersicht!$E$7:$M$83,3,FALSE)))))))),"RPE 8")</f>
        <v>RPE 8</v>
      </c>
      <c r="AS44" s="652" t="str">
        <f t="shared" ca="1" si="0"/>
        <v>RPE 8</v>
      </c>
      <c r="AT44" s="652" t="str">
        <f ca="1">IFERROR(IF(VLOOKUP($X44,Zyklus!$A$14:$U$68,9,FALSE)=0,"RPE 8",IF(VLOOKUP($X44,Übungsübersicht!$E$7:$M$83,3,FALSE)&lt;0.5,($AN44)+(1*0.5),(($Y44)+(1*(VLOOKUP($X44,Übungsübersicht!$E$7:$M$83,3,FALSE)))))),"RPE 8")</f>
        <v>RPE 8</v>
      </c>
      <c r="AU44" s="652" t="str">
        <f ca="1">IFERROR(IF(VLOOKUP($X44,Zyklus!$A$14:$U$68,9,FALSE)=0,"RPE 8",IF(VLOOKUP($X44,Übungsübersicht!$E$7:$M$83,3,FALSE)&lt;0.5,($AN44)+(2*0.5),(($AN44)+(2*(VLOOKUP($X44,Übungsübersicht!$E$7:$M$83,3,FALSE)))))),"RPE 8")</f>
        <v>RPE 8</v>
      </c>
      <c r="AV44" s="652" t="str">
        <f ca="1">IFERROR(IF(VLOOKUP($X44,Zyklus!$A$14:$U$68,9,FALSE)=0,"RPE 8",IF(VLOOKUP($X44,Übungsübersicht!$E$7:$M$83,3,FALSE)&lt;0.5,($AN44)+(3*0.5),(($AN44)+(3*(VLOOKUP($X44,Übungsübersicht!$E$7:$M$83,3,FALSE)))))),"RPE 8")</f>
        <v>RPE 8</v>
      </c>
      <c r="AY44" s="655">
        <f ca="1">MROUND(INDEX(OFFSET(Zyklus!$M$13,41,0),1),(IF(VLOOKUP($X44,Übungsübersicht!$E$7:$K$80,3)=0,0.1,(VLOOKUP($X44,Übungsübersicht!$E$7:$K$80,3)))))</f>
        <v>0</v>
      </c>
      <c r="BA44" s="652">
        <f ca="1">MROUND(INDEX(OFFSET(Zyklus!$Q$13,41,0),1),(IF(VLOOKUP($X44,Übungsübersicht!$E$7:$K$80,3)=0,0.1,(VLOOKUP($X44,Übungsübersicht!$E$7:$K$80,3)))))</f>
        <v>0</v>
      </c>
      <c r="BC44" s="652" t="str">
        <f ca="1">IFERROR(IF(IF(VLOOKUP($X44,Zyklus!$A$14:$U$68,9,FALSE)=0,"RPE 9",IF(VLOOKUP($X44,Übungsübersicht!$E$7:$M$83,3,FALSE)&lt;0.5,($BA44)-(3*0.5),(($BA44)-(3*(VLOOKUP($X44,Übungsübersicht!$E$7:$M$83,3,FALSE))))))&lt;1,0,(IF(VLOOKUP($X44,Zyklus!$A$14:$U$68,9,FALSE)=0,"RPE 9",IF(VLOOKUP($X44,Übungsübersicht!$E$7:$M$83,3,FALSE)&lt;0.5,($BA44)-(3*0.5),(($BA44)-(3*(VLOOKUP($X44,Übungsübersicht!$E$7:$M$83,3,FALSE)))))))),"RPE 9")</f>
        <v>RPE 9</v>
      </c>
      <c r="BD44" s="652" t="str">
        <f ca="1">IFERROR(IF(IF(VLOOKUP($X44,Zyklus!$A$14:$U$68,9,FALSE)=0,"RPE 9",IF(VLOOKUP($X44,Übungsübersicht!$E$7:$M$83,3,FALSE)&lt;0.5,($BA44)-(2*0.5),(($BA44)-(2*(VLOOKUP($X44,Übungsübersicht!$E$7:$M$83,3,FALSE))))))&lt;1,0,(IF(VLOOKUP($X44,Zyklus!$A$14:$U$68,9,FALSE)=0,"RPE 9",IF(VLOOKUP($X44,Übungsübersicht!$E$7:$M$83,3,FALSE)&lt;0.5,($BA44)-(2*0.5),(($BA44)-(2*(VLOOKUP($X44,Übungsübersicht!$E$7:$M$83,3,FALSE)))))))),"RPE 9")</f>
        <v>RPE 9</v>
      </c>
      <c r="BE44" s="652" t="str">
        <f ca="1">IFERROR(IF(IF(VLOOKUP($X44,Zyklus!$A$14:$U$68,9,FALSE)=0,"RPE 9",IF(VLOOKUP($X44,Übungsübersicht!$E$7:$M$83,3,FALSE)&lt;0.5,($BA44)-(1*0.5),(($Y44)-(1*(VLOOKUP($X44,Übungsübersicht!$E$7:$M$83,3,FALSE))))))&lt;1,0,(IF(VLOOKUP($X44,Zyklus!$A$14:$U$68,9,FALSE)=0,"RPE 9",IF(VLOOKUP($X44,Übungsübersicht!$E$7:$M$83,3,FALSE)&lt;0.5,($BA44)-(1*0.5),(($Y44)-(1*(VLOOKUP($X44,Übungsübersicht!$E$7:$M$83,3,FALSE)))))))),"RPE 9")</f>
        <v>RPE 9</v>
      </c>
      <c r="BF44" s="652" t="str">
        <f t="shared" ca="1" si="1"/>
        <v>RPE 9</v>
      </c>
      <c r="BG44" s="652" t="str">
        <f ca="1">IFERROR(IF(VLOOKUP($X44,Zyklus!$A$14:$U$68,9,FALSE)=0,"RPE 9",IF(VLOOKUP($X44,Übungsübersicht!$E$7:$M$83,3,FALSE)&lt;0.5,($AY44)+(1*0.5),(($AY44)+(1*(VLOOKUP($X44,Übungsübersicht!$E$7:$M$83,3,FALSE)))))),"RPE 9")</f>
        <v>RPE 9</v>
      </c>
      <c r="BH44" s="652" t="str">
        <f ca="1">IFERROR(IF(VLOOKUP($X44,Zyklus!$A$14:$U$68,9,FALSE)=0,"RPE 9",IF(VLOOKUP($X44,Übungsübersicht!$E$7:$M$83,3,FALSE)&lt;0.5,($BA44)+(2*0.5),(($BA44)+(2*(VLOOKUP($X44,Übungsübersicht!$E$7:$M$83,3,FALSE)))))),"RPE 9")</f>
        <v>RPE 9</v>
      </c>
      <c r="BI44" s="652" t="str">
        <f ca="1">IFERROR(IF(VLOOKUP($X44,Zyklus!$A$14:$U$68,9,FALSE)=0,"RPE 9",IF(VLOOKUP($X44,Übungsübersicht!$E$7:$M$83,3,FALSE)&lt;0.5,($BA44)+(3*0.5),(($BA44)+(3*(VLOOKUP($X44,Übungsübersicht!$E$7:$M$83,3,FALSE)))))),"RPE 9")</f>
        <v>RPE 9</v>
      </c>
    </row>
    <row r="45" spans="2:61" ht="30" customHeight="1">
      <c r="D45" s="326">
        <v>24</v>
      </c>
      <c r="E45" s="323">
        <f t="shared" si="2"/>
        <v>41.935483870967744</v>
      </c>
      <c r="F45" s="344">
        <f t="shared" si="3"/>
        <v>0.3611111111111111</v>
      </c>
      <c r="H45" s="326">
        <v>24</v>
      </c>
      <c r="I45" s="323">
        <f t="shared" si="5"/>
        <v>66.666666666666671</v>
      </c>
      <c r="J45" s="344">
        <f t="shared" si="4"/>
        <v>0.55555555555555558</v>
      </c>
      <c r="O45" s="644">
        <f>$O$42/Dashboard!$C$20</f>
        <v>1.5384615384615385</v>
      </c>
      <c r="R45" s="1026" t="str">
        <f>IF(AND('Strength Calculator'!$C$10="Kniebeuge",$O$45&gt;0,$O$45&lt;1.3),$U$42&amp;" 5x "&amp;$Q$50&amp;" "&amp;Dashboard!$C$24&amp;" um das Fortgeschritten- Level zu erreichen.",IF(AND('Strength Calculator'!$C$10="Kniebeuge",$O$45&gt;1.3,$O$45&lt;2),$U$42&amp;" 5x "&amp;$S$50&amp;" "&amp;Dashboard!$C$24&amp;" um das Elite- Level zu erreichen.",IF(AND('Strength Calculator'!$C$10="Kniebeuge",$O$45&gt;2.5,$O$45&lt;5),"Du bist absolute Weltklasse",IF(AND('Strength Calculator'!$C$10="LH Bankdrücken",$O$45&gt;0,$O$45&lt;0.9),$U$42&amp;" 5x "&amp;$Q$51&amp;" "&amp;Dashboard!$C$24&amp;" um das Fortgeschritten- Level zu erreichen.",IF(AND('Strength Calculator'!$C$10="LH Bankdrücken",$O$45&gt;0.9,$O$45&lt;1.4),$U$42&amp;" 5x "&amp;$S$51&amp;" "&amp;Dashboard!$C$24&amp;" um das Elite- Level zu erreichen.",IF(AND('Strength Calculator'!$C$10="LH Bankdrücken",$O$45&gt;2,$O$45&lt;4),"Du bist absolute Weltklasse",IF(AND('Strength Calculator'!$C$10="Kreuzheben",$O$45&gt;0,$O$45&lt;1.5),$U$42&amp;" 5x "&amp;$Q$52&amp;" "&amp;Dashboard!$C$24&amp;" um das Fortgeschritten- Level zu erreichen.",IF(AND('Strength Calculator'!$C$10="Kreuzheben",$O$45&gt;1.5,$O$45&lt;2.2),$U$42&amp;" 5x "&amp;$S$52&amp;" "&amp;Dashboard!$C$24&amp;" um das Elite- Level zu erreichen.",IF(AND('Strength Calculator'!$C$10="Kreuzheben",$O$45&gt;3,$O$45&lt;6),"Du bist absolute Weltklasse",IF(AND('Strength Calculator'!$C$10="LH Rudern",$O$45&gt;0,$O$45&lt;0.8),$U$42&amp;" 5x "&amp;$Q$53&amp;" "&amp;Dashboard!$C$24&amp;" um das Fortgeschritten- Level zu erreichen.",IF(AND('Strength Calculator'!$C$10="LH Rudern",$O$45&gt;0.8,$O$45&lt;1.3),$U$42&amp;" 5x "&amp;$S$53&amp;" "&amp;Dashboard!$C$24&amp;" um das Elite- Level zu erreichen.",IF(AND('Strength Calculator'!$C$10="LH Rudern",$O$45&gt;2,$O$45&lt;5),"Du bist absolute Weltklasse",IF(AND('Strength Calculator'!$C$10="LH Schulterdrücken",$O$45&gt;0,$O$45&lt;0.6),$U$42&amp;" 5x "&amp;$Q$54&amp;" "&amp;Dashboard!$C$24&amp;" um das Fortgeschritten- Level zu erreichen.",IF(AND('Strength Calculator'!$C$10="LH Schulterdrücken",$O$45&gt;0.6,$O$45&lt;0.9),$U$42&amp;" 5x "&amp;$S$54&amp;" "&amp;Dashboard!$C$24&amp;" um das Elite- Level zu erreichen.",IF(AND('Strength Calculator'!$C$10="LH Schulterdrücken",$O$45&gt;1.4,$O$45&lt;3),"Du bist absolute Weltklasse","")))))))))))))))</f>
        <v/>
      </c>
      <c r="S45" s="1027"/>
      <c r="T45" s="1027"/>
      <c r="U45" s="1027"/>
      <c r="V45" s="1028"/>
      <c r="X45" s="651" t="str">
        <f ca="1">INDEX(OFFSET(Zyklus!$A$13,42,0),1)</f>
        <v>Übung</v>
      </c>
      <c r="Y45" s="652" t="e">
        <f ca="1">MROUND(INDEX(OFFSET(Zyklus!$I$13,42,0),1),(IF(VLOOKUP($X45,Übungsübersicht!$E$7:$K$80,3)=0,0.1,(VLOOKUP($X45,Übungsübersicht!$E$7:$K$80,3)))))</f>
        <v>#VALUE!</v>
      </c>
      <c r="Z45" s="652"/>
      <c r="AA45" s="652" t="e">
        <f ca="1">IFERROR(IF($Y45=0,2*(VLOOKUP($X45,Übungsübersicht!$E$7:$M$83,3,FALSE)),IF($Y45&gt;100,(MROUND(($Y45*0.1),(VLOOKUP($X45,Übungsübersicht!$E$7:$M$83,3,FALSE)))),IF($Y45&gt;80,(MROUND(($Y45*0.1),(VLOOKUP($X45,Übungsübersicht!$E$7:$M$83,3,FALSE)))),IF($Y45&gt;50,(MROUND(($Y45*0.2),(VLOOKUP($X45,Übungsübersicht!$E$7:$M$83,3,FALSE)))),IF($Y45&gt;25,(MROUND(($Y45*0.3),(VLOOKUP($X45,Übungsübersicht!$E$7:$M$83,3,FALSE)))),IF($Y45&gt;15,(MROUND(($Y45*0.4),(VLOOKUP($X45,Übungsübersicht!$E$7:$M$83,3,FALSE)))),IF($Y45&gt;(VLOOKUP($X45,Übungsübersicht!$E$7:$M$83,3,FALSE)),(VLOOKUP($X45,Übungsübersicht!$E$7:$M$83,3,FALSE)),""))))))),2*(VLOOKUP($X45,Übungsübersicht!$E$7:$M$83,3,FALSE)))</f>
        <v>#VALUE!</v>
      </c>
      <c r="AB45" s="652" t="e">
        <f ca="1">IFERROR(IF($Y45=0,4*(VLOOKUP($X45,Übungsübersicht!$E$7:$M$83,3,FALSE)),IF($Y45&gt;100,(MROUND(($Y45*0.3),(VLOOKUP($X45,Übungsübersicht!$E$7:$M$83,3,FALSE)))),IF($Y45&gt;80,(MROUND(($Y45*0.3),(VLOOKUP($X45,Übungsübersicht!$E$7:$M$83,3,FALSE)))),IF($Y45&gt;50,(MROUND(($Y45*0.4),(VLOOKUP($X45,Übungsübersicht!$E$7:$M$83,3,FALSE)))),IF($Y45&gt;25,(MROUND(($Y45*0.5),(VLOOKUP($X45,Übungsübersicht!$E$7:$M$83,3,FALSE)))),IF($Y45&gt;15,(MROUND(($Y45*0.6),(VLOOKUP($X45,Übungsübersicht!$E$7:$M$83,3,FALSE)))),IF($Y45&gt;(VLOOKUP($X45,Übungsübersicht!$E$7:$M$83,3,FALSE)),(VLOOKUP($X45,Übungsübersicht!$E$7:$M$83,3,FALSE)),""))))))),4*(VLOOKUP($X45,Übungsübersicht!$E$7:$M$83,3,FALSE)))</f>
        <v>#VALUE!</v>
      </c>
      <c r="AC45" s="652" t="e">
        <f ca="1">IFERROR((IF($Y45=0,8*(VLOOKUP($X45,Übungsübersicht!$E$7:$M$83,3,FALSE)),(($Y45)-(3*(VLOOKUP($X45,Übungsübersicht!$E$7:$M$83,3,FALSE)))))),8*(VLOOKUP($X45,Übungsübersicht!$E$7:$M$83,3,FALSE)))</f>
        <v>#VALUE!</v>
      </c>
      <c r="AD45" s="652" t="e">
        <f ca="1">IFERROR(((IF($Y45=0,10*(VLOOKUP($X45,Übungsübersicht!$E$7:$M$83,3,FALSE)),($Y45)-(2*(VLOOKUP($X45,Übungsübersicht!$E$7:$M$83,3,FALSE)))))),10*(VLOOKUP($X45,Übungsübersicht!$E$7:$M$83,3,FALSE)))</f>
        <v>#VALUE!</v>
      </c>
      <c r="AE45" s="652" t="e">
        <f ca="1">IFERROR(((IF($Y45=0,10*(VLOOKUP($X45,Übungsübersicht!$E$7:$M$83,3,FALSE)),($Y45)-(1*(VLOOKUP($X45,Übungsübersicht!$E$7:$M$83,3,FALSE)))))),10*(VLOOKUP($X45,Übungsübersicht!$E$7:$M$83,3,FALSE)))</f>
        <v>#VALUE!</v>
      </c>
      <c r="AF45" s="652" t="e">
        <f ca="1">IFERROR(IF($Y45=0,20*(VLOOKUP($X45,Übungsübersicht!$E$7:$M$83,3,FALSE)),($Y45)),20*(VLOOKUP($X45,Übungsübersicht!$E$7:$M$83,3,FALSE)))</f>
        <v>#VALUE!</v>
      </c>
      <c r="AG45" s="652" t="e">
        <f ca="1">IFERROR(IF($Y45=0,30*(VLOOKUP($X45,Übungsübersicht!$E$7:$M$83,3,FALSE)),($Y45)+(1*(VLOOKUP($X45,Übungsübersicht!$E$7:$M$83,3,FALSE)))),30*(VLOOKUP($X45,Übungsübersicht!$E$7:$M$83,3,FALSE)))</f>
        <v>#VALUE!</v>
      </c>
      <c r="AH45" s="652" t="e">
        <f ca="1">IFERROR(IF($Y45=0,30*(VLOOKUP($X45,Übungsübersicht!$E$7:$M$83,3,FALSE)),($Y45)+(2*(VLOOKUP($X45,Übungsübersicht!$E$7:$M$83,3,FALSE)))),30*(VLOOKUP($X45,Übungsübersicht!$E$7:$M$83,3,FALSE)))</f>
        <v>#VALUE!</v>
      </c>
      <c r="AI45" s="652" t="e">
        <f ca="1">IFERROR(IF($Y45=0,30*(VLOOKUP($X45,Übungsübersicht!$E$7:$M$83,3,FALSE)),($Y45)+(3*(VLOOKUP($X45,Übungsübersicht!$E$7:$M$83,3,FALSE)))),30*(VLOOKUP($X45,Übungsübersicht!$E$7:$M$83,3,FALSE)))</f>
        <v>#VALUE!</v>
      </c>
      <c r="AJ45" s="652" t="e">
        <f ca="1">IFERROR(IF($Y45=0,40*(VLOOKUP($X45,Übungsübersicht!$E$7:$M$83,3,FALSE)),IF($Y45&gt;100,(MROUND(($Y45*1.7),(VLOOKUP($X45,Übungsübersicht!$E$7:$M$83,3,FALSE)))),IF($Y45&gt;80,(MROUND(($Y45*1.7),(VLOOKUP($X45,Übungsübersicht!$E$7:$M$83,3,FALSE)))),IF($Y45&gt;50,(MROUND(($Y45*1.6),(VLOOKUP($X45,Übungsübersicht!$E$7:$M$83,3,FALSE)))),IF($Y45&gt;25,(MROUND(($Y45*1.5),(VLOOKUP($X45,Übungsübersicht!$E$7:$M$83,3,FALSE)))),IF($Y45&gt;15,(MROUND(($Y45*1.4),(VLOOKUP($X45,Übungsübersicht!$E$7:$M$83,3,FALSE)))),IF($Y45&gt;(VLOOKUP($X45,Übungsübersicht!$E$7:$M$83,3,FALSE)),30*(VLOOKUP($X45,Übungsübersicht!$E$7:$M$83,3,FALSE)),""))))))),40*(VLOOKUP($X45,Übungsübersicht!$E$7:$M$83,3,FALSE)))</f>
        <v>#VALUE!</v>
      </c>
      <c r="AK45" s="653" t="e">
        <f ca="1">IFERROR(IF($Y45=0,50*(VLOOKUP($X45,Übungsübersicht!$E$7:$M$83,3,FALSE)),IF($Y45&gt;100,(MROUND(($Y45*1.9),(VLOOKUP($X45,Übungsübersicht!$E$7:$M$83,3,FALSE)))),IF($Y45&gt;80,(MROUND(($Y45*1.9),(VLOOKUP($X45,Übungsübersicht!$E$7:$M$83,3,FALSE)))),IF($Y45&gt;50,(MROUND(($Y45*1.8),(VLOOKUP($X45,Übungsübersicht!$E$7:$M$83,3,FALSE)))),IF($Y45&gt;25,(MROUND(($Y45*1.7),(VLOOKUP($X45,Übungsübersicht!$E$7:$M$83,3,FALSE)))),IF($Y45&gt;15,(MROUND(($Y45*1.6),(VLOOKUP($X45,Übungsübersicht!$E$7:$M$83,3,FALSE)))),IF($Y45&gt;(VLOOKUP($X45,Übungsübersicht!$E$7:$M$83,3,FALSE)),40*(VLOOKUP($X45,Übungsübersicht!$E$7:$M$83,3,FALSE)),""))))))),50*(VLOOKUP($X45,Übungsübersicht!$E$7:$M$83,3,FALSE)))</f>
        <v>#VALUE!</v>
      </c>
      <c r="AN45" s="652" t="e">
        <f ca="1">MROUND(INDEX(OFFSET(Zyklus!$M$13,42,0),1),(IF(VLOOKUP($X45,Übungsübersicht!$E$7:$K$80,3)=0,0.1,(VLOOKUP($X45,Übungsübersicht!$E$7:$K$80,3)))))</f>
        <v>#VALUE!</v>
      </c>
      <c r="AP45" s="655" t="str">
        <f ca="1">IFERROR(IF(IF(VLOOKUP($X45,Zyklus!$A$14:$U$68,9,FALSE)=0,"RPE 8",IF(VLOOKUP($X45,Übungsübersicht!$E$7:$M$83,3,FALSE)&lt;0.5,($AN45)-(3*0.5),(($AN45)-(3*(VLOOKUP($X45,Übungsübersicht!$E$7:$M$83,3,FALSE))))))&lt;1,0,(IF(VLOOKUP($X45,Zyklus!$A$14:$U$68,9,FALSE)=0,"RPE 8",IF(VLOOKUP($X45,Übungsübersicht!$E$7:$M$83,3,FALSE)&lt;0.5,($AN45)-(3*0.5),(($AN45)-(3*(VLOOKUP($X45,Übungsübersicht!$E$7:$M$83,3,FALSE)))))))),"RPE 8")</f>
        <v>RPE 8</v>
      </c>
      <c r="AQ45" s="655" t="str">
        <f ca="1">IFERROR(IF(IF(VLOOKUP($X45,Zyklus!$A$14:$U$68,9,FALSE)=0,"RPE 8",IF(VLOOKUP($X45,Übungsübersicht!$E$7:$M$83,3,FALSE)&lt;0.5,($AN45)-(2*0.5),(($AN45)-(2*(VLOOKUP($X45,Übungsübersicht!$E$7:$M$83,3,FALSE))))))&lt;1,0,(IF(VLOOKUP($X45,Zyklus!$A$14:$U$68,9,FALSE)=0,"RPE 8",IF(VLOOKUP($X45,Übungsübersicht!$E$7:$M$83,3,FALSE)&lt;0.5,($AN45)-(2*0.5),(($AN45)-(2*(VLOOKUP($X45,Übungsübersicht!$E$7:$M$83,3,FALSE)))))))),"RPE 8")</f>
        <v>RPE 8</v>
      </c>
      <c r="AR45" s="655" t="str">
        <f ca="1">IFERROR(IF(IF(VLOOKUP($X45,Zyklus!$A$14:$U$68,9,FALSE)=0,"RPE 8",IF(VLOOKUP($X45,Übungsübersicht!$E$7:$M$83,3,FALSE)&lt;0.5,($AN45)-(1*0.5),(($Y45)-(1*(VLOOKUP($X45,Übungsübersicht!$E$7:$M$83,3,FALSE))))))&lt;1,0,(IF(VLOOKUP($X45,Zyklus!$A$14:$U$68,9,FALSE)=0,"RPE 8",IF(VLOOKUP($X45,Übungsübersicht!$E$7:$M$83,3,FALSE)&lt;0.5,($AN45)-(1*0.5),(($Y45)-(1*(VLOOKUP($X45,Übungsübersicht!$E$7:$M$83,3,FALSE)))))))),"RPE 8")</f>
        <v>RPE 8</v>
      </c>
      <c r="AS45" s="655" t="str">
        <f t="shared" ca="1" si="0"/>
        <v>RPE 8</v>
      </c>
      <c r="AT45" s="655" t="str">
        <f ca="1">IFERROR(IF(VLOOKUP($X45,Zyklus!$A$14:$U$68,9,FALSE)=0,"RPE 8",IF(VLOOKUP($X45,Übungsübersicht!$E$7:$M$83,3,FALSE)&lt;0.5,($AN45)+(1*0.5),(($Y45)+(1*(VLOOKUP($X45,Übungsübersicht!$E$7:$M$83,3,FALSE)))))),"RPE 8")</f>
        <v>RPE 8</v>
      </c>
      <c r="AU45" s="655" t="str">
        <f ca="1">IFERROR(IF(VLOOKUP($X45,Zyklus!$A$14:$U$68,9,FALSE)=0,"RPE 8",IF(VLOOKUP($X45,Übungsübersicht!$E$7:$M$83,3,FALSE)&lt;0.5,($AN45)+(2*0.5),(($AN45)+(2*(VLOOKUP($X45,Übungsübersicht!$E$7:$M$83,3,FALSE)))))),"RPE 8")</f>
        <v>RPE 8</v>
      </c>
      <c r="AV45" s="655" t="str">
        <f ca="1">IFERROR(IF(VLOOKUP($X45,Zyklus!$A$14:$U$68,9,FALSE)=0,"RPE 8",IF(VLOOKUP($X45,Übungsübersicht!$E$7:$M$83,3,FALSE)&lt;0.5,($AN45)+(3*0.5),(($AN45)+(3*(VLOOKUP($X45,Übungsübersicht!$E$7:$M$83,3,FALSE)))))),"RPE 8")</f>
        <v>RPE 8</v>
      </c>
      <c r="AY45" s="652" t="e">
        <f ca="1">MROUND(INDEX(OFFSET(Zyklus!$M$13,42,0),1),(IF(VLOOKUP($X45,Übungsübersicht!$E$7:$K$80,3)=0,0.1,(VLOOKUP($X45,Übungsübersicht!$E$7:$K$80,3)))))</f>
        <v>#VALUE!</v>
      </c>
      <c r="BA45" s="655" t="e">
        <f ca="1">MROUND(INDEX(OFFSET(Zyklus!$Q$13,42,0),1),(IF(VLOOKUP($X45,Übungsübersicht!$E$7:$K$80,3)=0,0.1,(VLOOKUP($X45,Übungsübersicht!$E$7:$K$80,3)))))</f>
        <v>#VALUE!</v>
      </c>
      <c r="BC45" s="655" t="str">
        <f ca="1">IFERROR(IF(IF(VLOOKUP($X45,Zyklus!$A$14:$U$68,9,FALSE)=0,"RPE 9",IF(VLOOKUP($X45,Übungsübersicht!$E$7:$M$83,3,FALSE)&lt;0.5,($BA45)-(3*0.5),(($BA45)-(3*(VLOOKUP($X45,Übungsübersicht!$E$7:$M$83,3,FALSE))))))&lt;1,0,(IF(VLOOKUP($X45,Zyklus!$A$14:$U$68,9,FALSE)=0,"RPE 9",IF(VLOOKUP($X45,Übungsübersicht!$E$7:$M$83,3,FALSE)&lt;0.5,($BA45)-(3*0.5),(($BA45)-(3*(VLOOKUP($X45,Übungsübersicht!$E$7:$M$83,3,FALSE)))))))),"RPE 9")</f>
        <v>RPE 9</v>
      </c>
      <c r="BD45" s="655" t="str">
        <f ca="1">IFERROR(IF(IF(VLOOKUP($X45,Zyklus!$A$14:$U$68,9,FALSE)=0,"RPE 9",IF(VLOOKUP($X45,Übungsübersicht!$E$7:$M$83,3,FALSE)&lt;0.5,($BA45)-(2*0.5),(($BA45)-(2*(VLOOKUP($X45,Übungsübersicht!$E$7:$M$83,3,FALSE))))))&lt;1,0,(IF(VLOOKUP($X45,Zyklus!$A$14:$U$68,9,FALSE)=0,"RPE 9",IF(VLOOKUP($X45,Übungsübersicht!$E$7:$M$83,3,FALSE)&lt;0.5,($BA45)-(2*0.5),(($BA45)-(2*(VLOOKUP($X45,Übungsübersicht!$E$7:$M$83,3,FALSE)))))))),"RPE 9")</f>
        <v>RPE 9</v>
      </c>
      <c r="BE45" s="655" t="str">
        <f ca="1">IFERROR(IF(IF(VLOOKUP($X45,Zyklus!$A$14:$U$68,9,FALSE)=0,"RPE 9",IF(VLOOKUP($X45,Übungsübersicht!$E$7:$M$83,3,FALSE)&lt;0.5,($BA45)-(1*0.5),(($Y45)-(1*(VLOOKUP($X45,Übungsübersicht!$E$7:$M$83,3,FALSE))))))&lt;1,0,(IF(VLOOKUP($X45,Zyklus!$A$14:$U$68,9,FALSE)=0,"RPE 9",IF(VLOOKUP($X45,Übungsübersicht!$E$7:$M$83,3,FALSE)&lt;0.5,($BA45)-(1*0.5),(($Y45)-(1*(VLOOKUP($X45,Übungsübersicht!$E$7:$M$83,3,FALSE)))))))),"RPE 9")</f>
        <v>RPE 9</v>
      </c>
      <c r="BF45" s="655" t="str">
        <f t="shared" ca="1" si="1"/>
        <v>RPE 9</v>
      </c>
      <c r="BG45" s="655" t="str">
        <f ca="1">IFERROR(IF(VLOOKUP($X45,Zyklus!$A$14:$U$68,9,FALSE)=0,"RPE 9",IF(VLOOKUP($X45,Übungsübersicht!$E$7:$M$83,3,FALSE)&lt;0.5,($AY45)+(1*0.5),(($AY45)+(1*(VLOOKUP($X45,Übungsübersicht!$E$7:$M$83,3,FALSE)))))),"RPE 9")</f>
        <v>RPE 9</v>
      </c>
      <c r="BH45" s="655" t="str">
        <f ca="1">IFERROR(IF(VLOOKUP($X45,Zyklus!$A$14:$U$68,9,FALSE)=0,"RPE 9",IF(VLOOKUP($X45,Übungsübersicht!$E$7:$M$83,3,FALSE)&lt;0.5,($BA45)+(2*0.5),(($BA45)+(2*(VLOOKUP($X45,Übungsübersicht!$E$7:$M$83,3,FALSE)))))),"RPE 9")</f>
        <v>RPE 9</v>
      </c>
      <c r="BI45" s="655" t="str">
        <f ca="1">IFERROR(IF(VLOOKUP($X45,Zyklus!$A$14:$U$68,9,FALSE)=0,"RPE 9",IF(VLOOKUP($X45,Übungsübersicht!$E$7:$M$83,3,FALSE)&lt;0.5,($BA45)+(3*0.5),(($BA45)+(3*(VLOOKUP($X45,Übungsübersicht!$E$7:$M$83,3,FALSE)))))),"RPE 9")</f>
        <v>RPE 9</v>
      </c>
    </row>
    <row r="46" spans="2:61" ht="30" customHeight="1">
      <c r="D46" s="324">
        <v>25</v>
      </c>
      <c r="E46" s="325">
        <f t="shared" si="2"/>
        <v>38.70967741935484</v>
      </c>
      <c r="F46" s="343">
        <f t="shared" si="3"/>
        <v>0.33333333333333331</v>
      </c>
      <c r="H46" s="324">
        <v>25</v>
      </c>
      <c r="I46" s="325">
        <f t="shared" si="5"/>
        <v>65.454545454545453</v>
      </c>
      <c r="J46" s="343">
        <f t="shared" si="4"/>
        <v>0.54545454545454541</v>
      </c>
      <c r="X46" s="654" t="str">
        <f ca="1">INDEX(OFFSET(Zyklus!$A$13,43,0),1)</f>
        <v>LH Schulterdrücken</v>
      </c>
      <c r="Y46" s="655">
        <f ca="1">MROUND(INDEX(OFFSET(Zyklus!$I$13,43,0),1),(IF(VLOOKUP($X46,Übungsübersicht!$E$7:$K$80,3)=0,0.1,(VLOOKUP($X46,Übungsübersicht!$E$7:$K$80,3)))))</f>
        <v>75</v>
      </c>
      <c r="Z46" s="655"/>
      <c r="AA46" s="655">
        <f ca="1">IFERROR(IF($Y46=0,2*(VLOOKUP($X46,Übungsübersicht!$E$7:$M$83,3,FALSE)),IF($Y46&gt;100,(MROUND(($Y46*0.1),(VLOOKUP($X46,Übungsübersicht!$E$7:$M$83,3,FALSE)))),IF($Y46&gt;80,(MROUND(($Y46*0.1),(VLOOKUP($X46,Übungsübersicht!$E$7:$M$83,3,FALSE)))),IF($Y46&gt;50,(MROUND(($Y46*0.2),(VLOOKUP($X46,Übungsübersicht!$E$7:$M$83,3,FALSE)))),IF($Y46&gt;25,(MROUND(($Y46*0.3),(VLOOKUP($X46,Übungsübersicht!$E$7:$M$83,3,FALSE)))),IF($Y46&gt;15,(MROUND(($Y46*0.4),(VLOOKUP($X46,Übungsübersicht!$E$7:$M$83,3,FALSE)))),IF($Y46&gt;(VLOOKUP($X46,Übungsübersicht!$E$7:$M$83,3,FALSE)),(VLOOKUP($X46,Übungsübersicht!$E$7:$M$83,3,FALSE)),""))))))),2*(VLOOKUP($X46,Übungsübersicht!$E$7:$M$83,3,FALSE)))</f>
        <v>15</v>
      </c>
      <c r="AB46" s="655">
        <f ca="1">IFERROR(IF($Y46=0,4*(VLOOKUP($X46,Übungsübersicht!$E$7:$M$83,3,FALSE)),IF($Y46&gt;100,(MROUND(($Y46*0.3),(VLOOKUP($X46,Übungsübersicht!$E$7:$M$83,3,FALSE)))),IF($Y46&gt;80,(MROUND(($Y46*0.3),(VLOOKUP($X46,Übungsübersicht!$E$7:$M$83,3,FALSE)))),IF($Y46&gt;50,(MROUND(($Y46*0.4),(VLOOKUP($X46,Übungsübersicht!$E$7:$M$83,3,FALSE)))),IF($Y46&gt;25,(MROUND(($Y46*0.5),(VLOOKUP($X46,Übungsübersicht!$E$7:$M$83,3,FALSE)))),IF($Y46&gt;15,(MROUND(($Y46*0.6),(VLOOKUP($X46,Übungsübersicht!$E$7:$M$83,3,FALSE)))),IF($Y46&gt;(VLOOKUP($X46,Übungsübersicht!$E$7:$M$83,3,FALSE)),(VLOOKUP($X46,Übungsübersicht!$E$7:$M$83,3,FALSE)),""))))))),4*(VLOOKUP($X46,Übungsübersicht!$E$7:$M$83,3,FALSE)))</f>
        <v>30</v>
      </c>
      <c r="AC46" s="655">
        <f ca="1">IFERROR((IF($Y46=0,8*(VLOOKUP($X46,Übungsübersicht!$E$7:$M$83,3,FALSE)),(($Y46)-(3*(VLOOKUP($X46,Übungsübersicht!$E$7:$M$83,3,FALSE)))))),8*(VLOOKUP($X46,Übungsübersicht!$E$7:$M$83,3,FALSE)))</f>
        <v>67.5</v>
      </c>
      <c r="AD46" s="655">
        <f ca="1">IFERROR(((IF($Y46=0,10*(VLOOKUP($X46,Übungsübersicht!$E$7:$M$83,3,FALSE)),($Y46)-(2*(VLOOKUP($X46,Übungsübersicht!$E$7:$M$83,3,FALSE)))))),10*(VLOOKUP($X46,Übungsübersicht!$E$7:$M$83,3,FALSE)))</f>
        <v>70</v>
      </c>
      <c r="AE46" s="655">
        <f ca="1">IFERROR(((IF($Y46=0,10*(VLOOKUP($X46,Übungsübersicht!$E$7:$M$83,3,FALSE)),($Y46)-(1*(VLOOKUP($X46,Übungsübersicht!$E$7:$M$83,3,FALSE)))))),10*(VLOOKUP($X46,Übungsübersicht!$E$7:$M$83,3,FALSE)))</f>
        <v>72.5</v>
      </c>
      <c r="AF46" s="655">
        <f ca="1">IFERROR(IF($Y46=0,20*(VLOOKUP($X46,Übungsübersicht!$E$7:$M$83,3,FALSE)),($Y46)),20*(VLOOKUP($X46,Übungsübersicht!$E$7:$M$83,3,FALSE)))</f>
        <v>75</v>
      </c>
      <c r="AG46" s="655">
        <f ca="1">IFERROR(IF($Y46=0,30*(VLOOKUP($X46,Übungsübersicht!$E$7:$M$83,3,FALSE)),($Y46)+(1*(VLOOKUP($X46,Übungsübersicht!$E$7:$M$83,3,FALSE)))),30*(VLOOKUP($X46,Übungsübersicht!$E$7:$M$83,3,FALSE)))</f>
        <v>77.5</v>
      </c>
      <c r="AH46" s="655">
        <f ca="1">IFERROR(IF($Y46=0,30*(VLOOKUP($X46,Übungsübersicht!$E$7:$M$83,3,FALSE)),($Y46)+(2*(VLOOKUP($X46,Übungsübersicht!$E$7:$M$83,3,FALSE)))),30*(VLOOKUP($X46,Übungsübersicht!$E$7:$M$83,3,FALSE)))</f>
        <v>80</v>
      </c>
      <c r="AI46" s="655">
        <f ca="1">IFERROR(IF($Y46=0,30*(VLOOKUP($X46,Übungsübersicht!$E$7:$M$83,3,FALSE)),($Y46)+(3*(VLOOKUP($X46,Übungsübersicht!$E$7:$M$83,3,FALSE)))),30*(VLOOKUP($X46,Übungsübersicht!$E$7:$M$83,3,FALSE)))</f>
        <v>82.5</v>
      </c>
      <c r="AJ46" s="655">
        <f ca="1">IFERROR(IF($Y46=0,40*(VLOOKUP($X46,Übungsübersicht!$E$7:$M$83,3,FALSE)),IF($Y46&gt;100,(MROUND(($Y46*1.7),(VLOOKUP($X46,Übungsübersicht!$E$7:$M$83,3,FALSE)))),IF($Y46&gt;80,(MROUND(($Y46*1.7),(VLOOKUP($X46,Übungsübersicht!$E$7:$M$83,3,FALSE)))),IF($Y46&gt;50,(MROUND(($Y46*1.6),(VLOOKUP($X46,Übungsübersicht!$E$7:$M$83,3,FALSE)))),IF($Y46&gt;25,(MROUND(($Y46*1.5),(VLOOKUP($X46,Übungsübersicht!$E$7:$M$83,3,FALSE)))),IF($Y46&gt;15,(MROUND(($Y46*1.4),(VLOOKUP($X46,Übungsübersicht!$E$7:$M$83,3,FALSE)))),IF($Y46&gt;(VLOOKUP($X46,Übungsübersicht!$E$7:$M$83,3,FALSE)),30*(VLOOKUP($X46,Übungsübersicht!$E$7:$M$83,3,FALSE)),""))))))),40*(VLOOKUP($X46,Übungsübersicht!$E$7:$M$83,3,FALSE)))</f>
        <v>120</v>
      </c>
      <c r="AK46" s="656">
        <f ca="1">IFERROR(IF($Y46=0,50*(VLOOKUP($X46,Übungsübersicht!$E$7:$M$83,3,FALSE)),IF($Y46&gt;100,(MROUND(($Y46*1.9),(VLOOKUP($X46,Übungsübersicht!$E$7:$M$83,3,FALSE)))),IF($Y46&gt;80,(MROUND(($Y46*1.9),(VLOOKUP($X46,Übungsübersicht!$E$7:$M$83,3,FALSE)))),IF($Y46&gt;50,(MROUND(($Y46*1.8),(VLOOKUP($X46,Übungsübersicht!$E$7:$M$83,3,FALSE)))),IF($Y46&gt;25,(MROUND(($Y46*1.7),(VLOOKUP($X46,Übungsübersicht!$E$7:$M$83,3,FALSE)))),IF($Y46&gt;15,(MROUND(($Y46*1.6),(VLOOKUP($X46,Übungsübersicht!$E$7:$M$83,3,FALSE)))),IF($Y46&gt;(VLOOKUP($X46,Übungsübersicht!$E$7:$M$83,3,FALSE)),40*(VLOOKUP($X46,Übungsübersicht!$E$7:$M$83,3,FALSE)),""))))))),50*(VLOOKUP($X46,Übungsübersicht!$E$7:$M$83,3,FALSE)))</f>
        <v>135</v>
      </c>
      <c r="AN46" s="655">
        <f ca="1">MROUND(INDEX(OFFSET(Zyklus!$M$13,43,0),1),(IF(VLOOKUP($X46,Übungsübersicht!$E$7:$K$80,3)=0,0.1,(VLOOKUP($X46,Übungsübersicht!$E$7:$K$80,3)))))</f>
        <v>75</v>
      </c>
      <c r="AP46" s="652">
        <f ca="1">IFERROR(IF(IF(VLOOKUP($X46,Zyklus!$A$14:$U$68,9,FALSE)=0,"RPE 8",IF(VLOOKUP($X46,Übungsübersicht!$E$7:$M$83,3,FALSE)&lt;0.5,($AN46)-(3*0.5),(($AN46)-(3*(VLOOKUP($X46,Übungsübersicht!$E$7:$M$83,3,FALSE))))))&lt;1,0,(IF(VLOOKUP($X46,Zyklus!$A$14:$U$68,9,FALSE)=0,"RPE 8",IF(VLOOKUP($X46,Übungsübersicht!$E$7:$M$83,3,FALSE)&lt;0.5,($AN46)-(3*0.5),(($AN46)-(3*(VLOOKUP($X46,Übungsübersicht!$E$7:$M$83,3,FALSE)))))))),"RPE 8")</f>
        <v>67.5</v>
      </c>
      <c r="AQ46" s="652">
        <f ca="1">IFERROR(IF(IF(VLOOKUP($X46,Zyklus!$A$14:$U$68,9,FALSE)=0,"RPE 8",IF(VLOOKUP($X46,Übungsübersicht!$E$7:$M$83,3,FALSE)&lt;0.5,($AN46)-(2*0.5),(($AN46)-(2*(VLOOKUP($X46,Übungsübersicht!$E$7:$M$83,3,FALSE))))))&lt;1,0,(IF(VLOOKUP($X46,Zyklus!$A$14:$U$68,9,FALSE)=0,"RPE 8",IF(VLOOKUP($X46,Übungsübersicht!$E$7:$M$83,3,FALSE)&lt;0.5,($AN46)-(2*0.5),(($AN46)-(2*(VLOOKUP($X46,Übungsübersicht!$E$7:$M$83,3,FALSE)))))))),"RPE 8")</f>
        <v>70</v>
      </c>
      <c r="AR46" s="652">
        <f ca="1">IFERROR(IF(IF(VLOOKUP($X46,Zyklus!$A$14:$U$68,9,FALSE)=0,"RPE 8",IF(VLOOKUP($X46,Übungsübersicht!$E$7:$M$83,3,FALSE)&lt;0.5,($AN46)-(1*0.5),(($Y46)-(1*(VLOOKUP($X46,Übungsübersicht!$E$7:$M$83,3,FALSE))))))&lt;1,0,(IF(VLOOKUP($X46,Zyklus!$A$14:$U$68,9,FALSE)=0,"RPE 8",IF(VLOOKUP($X46,Übungsübersicht!$E$7:$M$83,3,FALSE)&lt;0.5,($AN46)-(1*0.5),(($Y46)-(1*(VLOOKUP($X46,Übungsübersicht!$E$7:$M$83,3,FALSE)))))))),"RPE 8")</f>
        <v>72.5</v>
      </c>
      <c r="AS46" s="652">
        <f t="shared" ca="1" si="0"/>
        <v>75</v>
      </c>
      <c r="AT46" s="652">
        <f ca="1">IFERROR(IF(VLOOKUP($X46,Zyklus!$A$14:$U$68,9,FALSE)=0,"RPE 8",IF(VLOOKUP($X46,Übungsübersicht!$E$7:$M$83,3,FALSE)&lt;0.5,($AN46)+(1*0.5),(($Y46)+(1*(VLOOKUP($X46,Übungsübersicht!$E$7:$M$83,3,FALSE)))))),"RPE 8")</f>
        <v>77.5</v>
      </c>
      <c r="AU46" s="652">
        <f ca="1">IFERROR(IF(VLOOKUP($X46,Zyklus!$A$14:$U$68,9,FALSE)=0,"RPE 8",IF(VLOOKUP($X46,Übungsübersicht!$E$7:$M$83,3,FALSE)&lt;0.5,($AN46)+(2*0.5),(($AN46)+(2*(VLOOKUP($X46,Übungsübersicht!$E$7:$M$83,3,FALSE)))))),"RPE 8")</f>
        <v>80</v>
      </c>
      <c r="AV46" s="652">
        <f ca="1">IFERROR(IF(VLOOKUP($X46,Zyklus!$A$14:$U$68,9,FALSE)=0,"RPE 8",IF(VLOOKUP($X46,Übungsübersicht!$E$7:$M$83,3,FALSE)&lt;0.5,($AN46)+(3*0.5),(($AN46)+(3*(VLOOKUP($X46,Übungsübersicht!$E$7:$M$83,3,FALSE)))))),"RPE 8")</f>
        <v>82.5</v>
      </c>
      <c r="AY46" s="655">
        <f ca="1">MROUND(INDEX(OFFSET(Zyklus!$M$13,43,0),1),(IF(VLOOKUP($X46,Übungsübersicht!$E$7:$K$80,3)=0,0.1,(VLOOKUP($X46,Übungsübersicht!$E$7:$K$80,3)))))</f>
        <v>75</v>
      </c>
      <c r="BA46" s="652">
        <f ca="1">MROUND(INDEX(OFFSET(Zyklus!$Q$13,43,0),1),(IF(VLOOKUP($X46,Übungsübersicht!$E$7:$K$80,3)=0,0.1,(VLOOKUP($X46,Übungsübersicht!$E$7:$K$80,3)))))</f>
        <v>75</v>
      </c>
      <c r="BC46" s="652">
        <f ca="1">IFERROR(IF(IF(VLOOKUP($X46,Zyklus!$A$14:$U$68,9,FALSE)=0,"RPE 9",IF(VLOOKUP($X46,Übungsübersicht!$E$7:$M$83,3,FALSE)&lt;0.5,($BA46)-(3*0.5),(($BA46)-(3*(VLOOKUP($X46,Übungsübersicht!$E$7:$M$83,3,FALSE))))))&lt;1,0,(IF(VLOOKUP($X46,Zyklus!$A$14:$U$68,9,FALSE)=0,"RPE 9",IF(VLOOKUP($X46,Übungsübersicht!$E$7:$M$83,3,FALSE)&lt;0.5,($BA46)-(3*0.5),(($BA46)-(3*(VLOOKUP($X46,Übungsübersicht!$E$7:$M$83,3,FALSE)))))))),"RPE 9")</f>
        <v>67.5</v>
      </c>
      <c r="BD46" s="652">
        <f ca="1">IFERROR(IF(IF(VLOOKUP($X46,Zyklus!$A$14:$U$68,9,FALSE)=0,"RPE 9",IF(VLOOKUP($X46,Übungsübersicht!$E$7:$M$83,3,FALSE)&lt;0.5,($BA46)-(2*0.5),(($BA46)-(2*(VLOOKUP($X46,Übungsübersicht!$E$7:$M$83,3,FALSE))))))&lt;1,0,(IF(VLOOKUP($X46,Zyklus!$A$14:$U$68,9,FALSE)=0,"RPE 9",IF(VLOOKUP($X46,Übungsübersicht!$E$7:$M$83,3,FALSE)&lt;0.5,($BA46)-(2*0.5),(($BA46)-(2*(VLOOKUP($X46,Übungsübersicht!$E$7:$M$83,3,FALSE)))))))),"RPE 9")</f>
        <v>70</v>
      </c>
      <c r="BE46" s="652">
        <f ca="1">IFERROR(IF(IF(VLOOKUP($X46,Zyklus!$A$14:$U$68,9,FALSE)=0,"RPE 9",IF(VLOOKUP($X46,Übungsübersicht!$E$7:$M$83,3,FALSE)&lt;0.5,($BA46)-(1*0.5),(($Y46)-(1*(VLOOKUP($X46,Übungsübersicht!$E$7:$M$83,3,FALSE))))))&lt;1,0,(IF(VLOOKUP($X46,Zyklus!$A$14:$U$68,9,FALSE)=0,"RPE 9",IF(VLOOKUP($X46,Übungsübersicht!$E$7:$M$83,3,FALSE)&lt;0.5,($BA46)-(1*0.5),(($Y46)-(1*(VLOOKUP($X46,Übungsübersicht!$E$7:$M$83,3,FALSE)))))))),"RPE 9")</f>
        <v>72.5</v>
      </c>
      <c r="BF46" s="652">
        <f t="shared" ca="1" si="1"/>
        <v>75</v>
      </c>
      <c r="BG46" s="652">
        <f ca="1">IFERROR(IF(VLOOKUP($X46,Zyklus!$A$14:$U$68,9,FALSE)=0,"RPE 9",IF(VLOOKUP($X46,Übungsübersicht!$E$7:$M$83,3,FALSE)&lt;0.5,($AY46)+(1*0.5),(($AY46)+(1*(VLOOKUP($X46,Übungsübersicht!$E$7:$M$83,3,FALSE)))))),"RPE 9")</f>
        <v>77.5</v>
      </c>
      <c r="BH46" s="652">
        <f ca="1">IFERROR(IF(VLOOKUP($X46,Zyklus!$A$14:$U$68,9,FALSE)=0,"RPE 9",IF(VLOOKUP($X46,Übungsübersicht!$E$7:$M$83,3,FALSE)&lt;0.5,($BA46)+(2*0.5),(($BA46)+(2*(VLOOKUP($X46,Übungsübersicht!$E$7:$M$83,3,FALSE)))))),"RPE 9")</f>
        <v>80</v>
      </c>
      <c r="BI46" s="652">
        <f ca="1">IFERROR(IF(VLOOKUP($X46,Zyklus!$A$14:$U$68,9,FALSE)=0,"RPE 9",IF(VLOOKUP($X46,Übungsübersicht!$E$7:$M$83,3,FALSE)&lt;0.5,($BA46)+(3*0.5),(($BA46)+(3*(VLOOKUP($X46,Übungsübersicht!$E$7:$M$83,3,FALSE)))))),"RPE 9")</f>
        <v>82.5</v>
      </c>
    </row>
    <row r="47" spans="2:61" ht="30" customHeight="1">
      <c r="D47" s="326">
        <v>26</v>
      </c>
      <c r="E47" s="323">
        <f t="shared" si="2"/>
        <v>35.483870967741936</v>
      </c>
      <c r="F47" s="344">
        <f t="shared" si="3"/>
        <v>0.30555555555555552</v>
      </c>
      <c r="H47" s="326">
        <v>26</v>
      </c>
      <c r="I47" s="323">
        <f t="shared" si="5"/>
        <v>64.285714285714278</v>
      </c>
      <c r="J47" s="344">
        <f t="shared" si="4"/>
        <v>0.5357142857142857</v>
      </c>
      <c r="X47" s="651" t="str">
        <f ca="1">INDEX(OFFSET(Zyklus!$A$13,44,0),1)</f>
        <v>Seitheben OK3+</v>
      </c>
      <c r="Y47" s="652">
        <f ca="1">MROUND(INDEX(OFFSET(Zyklus!$I$13,44,0),1),(IF(VLOOKUP($X47,Übungsübersicht!$E$7:$K$80,3)=0,0.1,(VLOOKUP($X47,Übungsübersicht!$E$7:$K$80,3)))))</f>
        <v>18</v>
      </c>
      <c r="Z47" s="652"/>
      <c r="AA47" s="652">
        <f ca="1">IFERROR(IF($Y47=0,2*(VLOOKUP($X47,Übungsübersicht!$E$7:$M$83,3,FALSE)),IF($Y47&gt;100,(MROUND(($Y47*0.1),(VLOOKUP($X47,Übungsübersicht!$E$7:$M$83,3,FALSE)))),IF($Y47&gt;80,(MROUND(($Y47*0.1),(VLOOKUP($X47,Übungsübersicht!$E$7:$M$83,3,FALSE)))),IF($Y47&gt;50,(MROUND(($Y47*0.2),(VLOOKUP($X47,Übungsübersicht!$E$7:$M$83,3,FALSE)))),IF($Y47&gt;25,(MROUND(($Y47*0.3),(VLOOKUP($X47,Übungsübersicht!$E$7:$M$83,3,FALSE)))),IF($Y47&gt;15,(MROUND(($Y47*0.4),(VLOOKUP($X47,Übungsübersicht!$E$7:$M$83,3,FALSE)))),IF($Y47&gt;(VLOOKUP($X47,Übungsübersicht!$E$7:$M$83,3,FALSE)),(VLOOKUP($X47,Übungsübersicht!$E$7:$M$83,3,FALSE)),""))))))),2*(VLOOKUP($X47,Übungsübersicht!$E$7:$M$83,3,FALSE)))</f>
        <v>8</v>
      </c>
      <c r="AB47" s="652">
        <f ca="1">IFERROR(IF($Y47=0,4*(VLOOKUP($X47,Übungsübersicht!$E$7:$M$83,3,FALSE)),IF($Y47&gt;100,(MROUND(($Y47*0.3),(VLOOKUP($X47,Übungsübersicht!$E$7:$M$83,3,FALSE)))),IF($Y47&gt;80,(MROUND(($Y47*0.3),(VLOOKUP($X47,Übungsübersicht!$E$7:$M$83,3,FALSE)))),IF($Y47&gt;50,(MROUND(($Y47*0.4),(VLOOKUP($X47,Übungsübersicht!$E$7:$M$83,3,FALSE)))),IF($Y47&gt;25,(MROUND(($Y47*0.5),(VLOOKUP($X47,Übungsübersicht!$E$7:$M$83,3,FALSE)))),IF($Y47&gt;15,(MROUND(($Y47*0.6),(VLOOKUP($X47,Übungsübersicht!$E$7:$M$83,3,FALSE)))),IF($Y47&gt;(VLOOKUP($X47,Übungsübersicht!$E$7:$M$83,3,FALSE)),(VLOOKUP($X47,Übungsübersicht!$E$7:$M$83,3,FALSE)),""))))))),4*(VLOOKUP($X47,Übungsübersicht!$E$7:$M$83,3,FALSE)))</f>
        <v>10</v>
      </c>
      <c r="AC47" s="652">
        <f ca="1">IFERROR((IF($Y47=0,8*(VLOOKUP($X47,Übungsübersicht!$E$7:$M$83,3,FALSE)),(($Y47)-(3*(VLOOKUP($X47,Übungsübersicht!$E$7:$M$83,3,FALSE)))))),8*(VLOOKUP($X47,Übungsübersicht!$E$7:$M$83,3,FALSE)))</f>
        <v>12</v>
      </c>
      <c r="AD47" s="652">
        <f ca="1">IFERROR(((IF($Y47=0,10*(VLOOKUP($X47,Übungsübersicht!$E$7:$M$83,3,FALSE)),($Y47)-(2*(VLOOKUP($X47,Übungsübersicht!$E$7:$M$83,3,FALSE)))))),10*(VLOOKUP($X47,Übungsübersicht!$E$7:$M$83,3,FALSE)))</f>
        <v>14</v>
      </c>
      <c r="AE47" s="652">
        <f ca="1">IFERROR(((IF($Y47=0,10*(VLOOKUP($X47,Übungsübersicht!$E$7:$M$83,3,FALSE)),($Y47)-(1*(VLOOKUP($X47,Übungsübersicht!$E$7:$M$83,3,FALSE)))))),10*(VLOOKUP($X47,Übungsübersicht!$E$7:$M$83,3,FALSE)))</f>
        <v>16</v>
      </c>
      <c r="AF47" s="652">
        <f ca="1">IFERROR(IF($Y47=0,20*(VLOOKUP($X47,Übungsübersicht!$E$7:$M$83,3,FALSE)),($Y47)),20*(VLOOKUP($X47,Übungsübersicht!$E$7:$M$83,3,FALSE)))</f>
        <v>18</v>
      </c>
      <c r="AG47" s="652">
        <f ca="1">IFERROR(IF($Y47=0,30*(VLOOKUP($X47,Übungsübersicht!$E$7:$M$83,3,FALSE)),($Y47)+(1*(VLOOKUP($X47,Übungsübersicht!$E$7:$M$83,3,FALSE)))),30*(VLOOKUP($X47,Übungsübersicht!$E$7:$M$83,3,FALSE)))</f>
        <v>20</v>
      </c>
      <c r="AH47" s="652">
        <f ca="1">IFERROR(IF($Y47=0,30*(VLOOKUP($X47,Übungsübersicht!$E$7:$M$83,3,FALSE)),($Y47)+(2*(VLOOKUP($X47,Übungsübersicht!$E$7:$M$83,3,FALSE)))),30*(VLOOKUP($X47,Übungsübersicht!$E$7:$M$83,3,FALSE)))</f>
        <v>22</v>
      </c>
      <c r="AI47" s="652">
        <f ca="1">IFERROR(IF($Y47=0,30*(VLOOKUP($X47,Übungsübersicht!$E$7:$M$83,3,FALSE)),($Y47)+(3*(VLOOKUP($X47,Übungsübersicht!$E$7:$M$83,3,FALSE)))),30*(VLOOKUP($X47,Übungsübersicht!$E$7:$M$83,3,FALSE)))</f>
        <v>24</v>
      </c>
      <c r="AJ47" s="652">
        <f ca="1">IFERROR(IF($Y47=0,40*(VLOOKUP($X47,Übungsübersicht!$E$7:$M$83,3,FALSE)),IF($Y47&gt;100,(MROUND(($Y47*1.7),(VLOOKUP($X47,Übungsübersicht!$E$7:$M$83,3,FALSE)))),IF($Y47&gt;80,(MROUND(($Y47*1.7),(VLOOKUP($X47,Übungsübersicht!$E$7:$M$83,3,FALSE)))),IF($Y47&gt;50,(MROUND(($Y47*1.6),(VLOOKUP($X47,Übungsübersicht!$E$7:$M$83,3,FALSE)))),IF($Y47&gt;25,(MROUND(($Y47*1.5),(VLOOKUP($X47,Übungsübersicht!$E$7:$M$83,3,FALSE)))),IF($Y47&gt;15,(MROUND(($Y47*1.4),(VLOOKUP($X47,Übungsübersicht!$E$7:$M$83,3,FALSE)))),IF($Y47&gt;(VLOOKUP($X47,Übungsübersicht!$E$7:$M$83,3,FALSE)),30*(VLOOKUP($X47,Übungsübersicht!$E$7:$M$83,3,FALSE)),""))))))),40*(VLOOKUP($X47,Übungsübersicht!$E$7:$M$83,3,FALSE)))</f>
        <v>26</v>
      </c>
      <c r="AK47" s="653">
        <f ca="1">IFERROR(IF($Y47=0,50*(VLOOKUP($X47,Übungsübersicht!$E$7:$M$83,3,FALSE)),IF($Y47&gt;100,(MROUND(($Y47*1.9),(VLOOKUP($X47,Übungsübersicht!$E$7:$M$83,3,FALSE)))),IF($Y47&gt;80,(MROUND(($Y47*1.9),(VLOOKUP($X47,Übungsübersicht!$E$7:$M$83,3,FALSE)))),IF($Y47&gt;50,(MROUND(($Y47*1.8),(VLOOKUP($X47,Übungsübersicht!$E$7:$M$83,3,FALSE)))),IF($Y47&gt;25,(MROUND(($Y47*1.7),(VLOOKUP($X47,Übungsübersicht!$E$7:$M$83,3,FALSE)))),IF($Y47&gt;15,(MROUND(($Y47*1.6),(VLOOKUP($X47,Übungsübersicht!$E$7:$M$83,3,FALSE)))),IF($Y47&gt;(VLOOKUP($X47,Übungsübersicht!$E$7:$M$83,3,FALSE)),40*(VLOOKUP($X47,Übungsübersicht!$E$7:$M$83,3,FALSE)),""))))))),50*(VLOOKUP($X47,Übungsübersicht!$E$7:$M$83,3,FALSE)))</f>
        <v>28</v>
      </c>
      <c r="AN47" s="652">
        <f ca="1">MROUND(INDEX(OFFSET(Zyklus!$M$13,44,0),1),(IF(VLOOKUP($X47,Übungsübersicht!$E$7:$K$80,3)=0,0.1,(VLOOKUP($X47,Übungsübersicht!$E$7:$K$80,3)))))</f>
        <v>18</v>
      </c>
      <c r="AP47" s="655">
        <f ca="1">IFERROR(IF(IF(VLOOKUP($X47,Zyklus!$A$14:$U$68,9,FALSE)=0,"RPE 8",IF(VLOOKUP($X47,Übungsübersicht!$E$7:$M$83,3,FALSE)&lt;0.5,($AN47)-(3*0.5),(($AN47)-(3*(VLOOKUP($X47,Übungsübersicht!$E$7:$M$83,3,FALSE))))))&lt;1,0,(IF(VLOOKUP($X47,Zyklus!$A$14:$U$68,9,FALSE)=0,"RPE 8",IF(VLOOKUP($X47,Übungsübersicht!$E$7:$M$83,3,FALSE)&lt;0.5,($AN47)-(3*0.5),(($AN47)-(3*(VLOOKUP($X47,Übungsübersicht!$E$7:$M$83,3,FALSE)))))))),"RPE 8")</f>
        <v>12</v>
      </c>
      <c r="AQ47" s="655">
        <f ca="1">IFERROR(IF(IF(VLOOKUP($X47,Zyklus!$A$14:$U$68,9,FALSE)=0,"RPE 8",IF(VLOOKUP($X47,Übungsübersicht!$E$7:$M$83,3,FALSE)&lt;0.5,($AN47)-(2*0.5),(($AN47)-(2*(VLOOKUP($X47,Übungsübersicht!$E$7:$M$83,3,FALSE))))))&lt;1,0,(IF(VLOOKUP($X47,Zyklus!$A$14:$U$68,9,FALSE)=0,"RPE 8",IF(VLOOKUP($X47,Übungsübersicht!$E$7:$M$83,3,FALSE)&lt;0.5,($AN47)-(2*0.5),(($AN47)-(2*(VLOOKUP($X47,Übungsübersicht!$E$7:$M$83,3,FALSE)))))))),"RPE 8")</f>
        <v>14</v>
      </c>
      <c r="AR47" s="655">
        <f ca="1">IFERROR(IF(IF(VLOOKUP($X47,Zyklus!$A$14:$U$68,9,FALSE)=0,"RPE 8",IF(VLOOKUP($X47,Übungsübersicht!$E$7:$M$83,3,FALSE)&lt;0.5,($AN47)-(1*0.5),(($Y47)-(1*(VLOOKUP($X47,Übungsübersicht!$E$7:$M$83,3,FALSE))))))&lt;1,0,(IF(VLOOKUP($X47,Zyklus!$A$14:$U$68,9,FALSE)=0,"RPE 8",IF(VLOOKUP($X47,Übungsübersicht!$E$7:$M$83,3,FALSE)&lt;0.5,($AN47)-(1*0.5),(($Y47)-(1*(VLOOKUP($X47,Übungsübersicht!$E$7:$M$83,3,FALSE)))))))),"RPE 8")</f>
        <v>16</v>
      </c>
      <c r="AS47" s="655">
        <f t="shared" ca="1" si="0"/>
        <v>18</v>
      </c>
      <c r="AT47" s="655">
        <f ca="1">IFERROR(IF(VLOOKUP($X47,Zyklus!$A$14:$U$68,9,FALSE)=0,"RPE 8",IF(VLOOKUP($X47,Übungsübersicht!$E$7:$M$83,3,FALSE)&lt;0.5,($AN47)+(1*0.5),(($Y47)+(1*(VLOOKUP($X47,Übungsübersicht!$E$7:$M$83,3,FALSE)))))),"RPE 8")</f>
        <v>20</v>
      </c>
      <c r="AU47" s="655">
        <f ca="1">IFERROR(IF(VLOOKUP($X47,Zyklus!$A$14:$U$68,9,FALSE)=0,"RPE 8",IF(VLOOKUP($X47,Übungsübersicht!$E$7:$M$83,3,FALSE)&lt;0.5,($AN47)+(2*0.5),(($AN47)+(2*(VLOOKUP($X47,Übungsübersicht!$E$7:$M$83,3,FALSE)))))),"RPE 8")</f>
        <v>22</v>
      </c>
      <c r="AV47" s="655">
        <f ca="1">IFERROR(IF(VLOOKUP($X47,Zyklus!$A$14:$U$68,9,FALSE)=0,"RPE 8",IF(VLOOKUP($X47,Übungsübersicht!$E$7:$M$83,3,FALSE)&lt;0.5,($AN47)+(3*0.5),(($AN47)+(3*(VLOOKUP($X47,Übungsübersicht!$E$7:$M$83,3,FALSE)))))),"RPE 8")</f>
        <v>24</v>
      </c>
      <c r="AY47" s="652">
        <f ca="1">MROUND(INDEX(OFFSET(Zyklus!$M$13,44,0),1),(IF(VLOOKUP($X47,Übungsübersicht!$E$7:$K$80,3)=0,0.1,(VLOOKUP($X47,Übungsübersicht!$E$7:$K$80,3)))))</f>
        <v>18</v>
      </c>
      <c r="BA47" s="655">
        <f ca="1">MROUND(INDEX(OFFSET(Zyklus!$Q$13,44,0),1),(IF(VLOOKUP($X47,Übungsübersicht!$E$7:$K$80,3)=0,0.1,(VLOOKUP($X47,Übungsübersicht!$E$7:$K$80,3)))))</f>
        <v>18</v>
      </c>
      <c r="BC47" s="655">
        <f ca="1">IFERROR(IF(IF(VLOOKUP($X47,Zyklus!$A$14:$U$68,9,FALSE)=0,"RPE 9",IF(VLOOKUP($X47,Übungsübersicht!$E$7:$M$83,3,FALSE)&lt;0.5,($BA47)-(3*0.5),(($BA47)-(3*(VLOOKUP($X47,Übungsübersicht!$E$7:$M$83,3,FALSE))))))&lt;1,0,(IF(VLOOKUP($X47,Zyklus!$A$14:$U$68,9,FALSE)=0,"RPE 9",IF(VLOOKUP($X47,Übungsübersicht!$E$7:$M$83,3,FALSE)&lt;0.5,($BA47)-(3*0.5),(($BA47)-(3*(VLOOKUP($X47,Übungsübersicht!$E$7:$M$83,3,FALSE)))))))),"RPE 9")</f>
        <v>12</v>
      </c>
      <c r="BD47" s="655">
        <f ca="1">IFERROR(IF(IF(VLOOKUP($X47,Zyklus!$A$14:$U$68,9,FALSE)=0,"RPE 9",IF(VLOOKUP($X47,Übungsübersicht!$E$7:$M$83,3,FALSE)&lt;0.5,($BA47)-(2*0.5),(($BA47)-(2*(VLOOKUP($X47,Übungsübersicht!$E$7:$M$83,3,FALSE))))))&lt;1,0,(IF(VLOOKUP($X47,Zyklus!$A$14:$U$68,9,FALSE)=0,"RPE 9",IF(VLOOKUP($X47,Übungsübersicht!$E$7:$M$83,3,FALSE)&lt;0.5,($BA47)-(2*0.5),(($BA47)-(2*(VLOOKUP($X47,Übungsübersicht!$E$7:$M$83,3,FALSE)))))))),"RPE 9")</f>
        <v>14</v>
      </c>
      <c r="BE47" s="655">
        <f ca="1">IFERROR(IF(IF(VLOOKUP($X47,Zyklus!$A$14:$U$68,9,FALSE)=0,"RPE 9",IF(VLOOKUP($X47,Übungsübersicht!$E$7:$M$83,3,FALSE)&lt;0.5,($BA47)-(1*0.5),(($Y47)-(1*(VLOOKUP($X47,Übungsübersicht!$E$7:$M$83,3,FALSE))))))&lt;1,0,(IF(VLOOKUP($X47,Zyklus!$A$14:$U$68,9,FALSE)=0,"RPE 9",IF(VLOOKUP($X47,Übungsübersicht!$E$7:$M$83,3,FALSE)&lt;0.5,($BA47)-(1*0.5),(($Y47)-(1*(VLOOKUP($X47,Übungsübersicht!$E$7:$M$83,3,FALSE)))))))),"RPE 9")</f>
        <v>16</v>
      </c>
      <c r="BF47" s="655">
        <f t="shared" ca="1" si="1"/>
        <v>18</v>
      </c>
      <c r="BG47" s="655">
        <f ca="1">IFERROR(IF(VLOOKUP($X47,Zyklus!$A$14:$U$68,9,FALSE)=0,"RPE 9",IF(VLOOKUP($X47,Übungsübersicht!$E$7:$M$83,3,FALSE)&lt;0.5,($AY47)+(1*0.5),(($AY47)+(1*(VLOOKUP($X47,Übungsübersicht!$E$7:$M$83,3,FALSE)))))),"RPE 9")</f>
        <v>20</v>
      </c>
      <c r="BH47" s="655">
        <f ca="1">IFERROR(IF(VLOOKUP($X47,Zyklus!$A$14:$U$68,9,FALSE)=0,"RPE 9",IF(VLOOKUP($X47,Übungsübersicht!$E$7:$M$83,3,FALSE)&lt;0.5,($BA47)+(2*0.5),(($BA47)+(2*(VLOOKUP($X47,Übungsübersicht!$E$7:$M$83,3,FALSE)))))),"RPE 9")</f>
        <v>22</v>
      </c>
      <c r="BI47" s="655">
        <f ca="1">IFERROR(IF(VLOOKUP($X47,Zyklus!$A$14:$U$68,9,FALSE)=0,"RPE 9",IF(VLOOKUP($X47,Übungsübersicht!$E$7:$M$83,3,FALSE)&lt;0.5,($BA47)+(3*0.5),(($BA47)+(3*(VLOOKUP($X47,Übungsübersicht!$E$7:$M$83,3,FALSE)))))),"RPE 9")</f>
        <v>24</v>
      </c>
    </row>
    <row r="48" spans="2:61" ht="30" customHeight="1">
      <c r="D48" s="324">
        <v>27</v>
      </c>
      <c r="E48" s="325">
        <f t="shared" si="2"/>
        <v>32.258064516129032</v>
      </c>
      <c r="F48" s="343">
        <f t="shared" si="3"/>
        <v>0.27777777777777773</v>
      </c>
      <c r="H48" s="324">
        <v>27</v>
      </c>
      <c r="I48" s="325">
        <f t="shared" si="5"/>
        <v>63.15789473684211</v>
      </c>
      <c r="J48" s="343">
        <f t="shared" si="4"/>
        <v>0.52631578947368429</v>
      </c>
      <c r="O48" s="488" t="s">
        <v>0</v>
      </c>
      <c r="P48" s="824" t="s">
        <v>312</v>
      </c>
      <c r="Q48" s="824"/>
      <c r="R48" s="824" t="s">
        <v>313</v>
      </c>
      <c r="S48" s="824"/>
      <c r="T48" s="824" t="s">
        <v>314</v>
      </c>
      <c r="U48" s="821"/>
      <c r="X48" s="654" t="str">
        <f ca="1">INDEX(OFFSET(Zyklus!$A$13,45,0),1)</f>
        <v>Schulter Maschine</v>
      </c>
      <c r="Y48" s="655">
        <f ca="1">MROUND(INDEX(OFFSET(Zyklus!$I$13,45,0),1),(IF(VLOOKUP($X48,Übungsübersicht!$E$7:$K$80,3)=0,0.1,(VLOOKUP($X48,Übungsübersicht!$E$7:$K$80,3)))))</f>
        <v>55</v>
      </c>
      <c r="Z48" s="655"/>
      <c r="AA48" s="655">
        <f ca="1">IFERROR(IF($Y48=0,2*(VLOOKUP($X48,Übungsübersicht!$E$7:$M$83,3,FALSE)),IF($Y48&gt;100,(MROUND(($Y48*0.1),(VLOOKUP($X48,Übungsübersicht!$E$7:$M$83,3,FALSE)))),IF($Y48&gt;80,(MROUND(($Y48*0.1),(VLOOKUP($X48,Übungsübersicht!$E$7:$M$83,3,FALSE)))),IF($Y48&gt;50,(MROUND(($Y48*0.2),(VLOOKUP($X48,Übungsübersicht!$E$7:$M$83,3,FALSE)))),IF($Y48&gt;25,(MROUND(($Y48*0.3),(VLOOKUP($X48,Übungsübersicht!$E$7:$M$83,3,FALSE)))),IF($Y48&gt;15,(MROUND(($Y48*0.4),(VLOOKUP($X48,Übungsübersicht!$E$7:$M$83,3,FALSE)))),IF($Y48&gt;(VLOOKUP($X48,Übungsübersicht!$E$7:$M$83,3,FALSE)),(VLOOKUP($X48,Übungsübersicht!$E$7:$M$83,3,FALSE)),""))))))),2*(VLOOKUP($X48,Übungsübersicht!$E$7:$M$83,3,FALSE)))</f>
        <v>10</v>
      </c>
      <c r="AB48" s="655">
        <f ca="1">IFERROR(IF($Y48=0,4*(VLOOKUP($X48,Übungsübersicht!$E$7:$M$83,3,FALSE)),IF($Y48&gt;100,(MROUND(($Y48*0.3),(VLOOKUP($X48,Übungsübersicht!$E$7:$M$83,3,FALSE)))),IF($Y48&gt;80,(MROUND(($Y48*0.3),(VLOOKUP($X48,Übungsübersicht!$E$7:$M$83,3,FALSE)))),IF($Y48&gt;50,(MROUND(($Y48*0.4),(VLOOKUP($X48,Übungsübersicht!$E$7:$M$83,3,FALSE)))),IF($Y48&gt;25,(MROUND(($Y48*0.5),(VLOOKUP($X48,Übungsübersicht!$E$7:$M$83,3,FALSE)))),IF($Y48&gt;15,(MROUND(($Y48*0.6),(VLOOKUP($X48,Übungsübersicht!$E$7:$M$83,3,FALSE)))),IF($Y48&gt;(VLOOKUP($X48,Übungsübersicht!$E$7:$M$83,3,FALSE)),(VLOOKUP($X48,Übungsübersicht!$E$7:$M$83,3,FALSE)),""))))))),4*(VLOOKUP($X48,Übungsübersicht!$E$7:$M$83,3,FALSE)))</f>
        <v>22.5</v>
      </c>
      <c r="AC48" s="655">
        <f ca="1">IFERROR((IF($Y48=0,8*(VLOOKUP($X48,Übungsübersicht!$E$7:$M$83,3,FALSE)),(($Y48)-(3*(VLOOKUP($X48,Übungsübersicht!$E$7:$M$83,3,FALSE)))))),8*(VLOOKUP($X48,Übungsübersicht!$E$7:$M$83,3,FALSE)))</f>
        <v>47.5</v>
      </c>
      <c r="AD48" s="655">
        <f ca="1">IFERROR(((IF($Y48=0,10*(VLOOKUP($X48,Übungsübersicht!$E$7:$M$83,3,FALSE)),($Y48)-(2*(VLOOKUP($X48,Übungsübersicht!$E$7:$M$83,3,FALSE)))))),10*(VLOOKUP($X48,Übungsübersicht!$E$7:$M$83,3,FALSE)))</f>
        <v>50</v>
      </c>
      <c r="AE48" s="655">
        <f ca="1">IFERROR(((IF($Y48=0,10*(VLOOKUP($X48,Übungsübersicht!$E$7:$M$83,3,FALSE)),($Y48)-(1*(VLOOKUP($X48,Übungsübersicht!$E$7:$M$83,3,FALSE)))))),10*(VLOOKUP($X48,Übungsübersicht!$E$7:$M$83,3,FALSE)))</f>
        <v>52.5</v>
      </c>
      <c r="AF48" s="655">
        <f ca="1">IFERROR(IF($Y48=0,20*(VLOOKUP($X48,Übungsübersicht!$E$7:$M$83,3,FALSE)),($Y48)),20*(VLOOKUP($X48,Übungsübersicht!$E$7:$M$83,3,FALSE)))</f>
        <v>55</v>
      </c>
      <c r="AG48" s="655">
        <f ca="1">IFERROR(IF($Y48=0,30*(VLOOKUP($X48,Übungsübersicht!$E$7:$M$83,3,FALSE)),($Y48)+(1*(VLOOKUP($X48,Übungsübersicht!$E$7:$M$83,3,FALSE)))),30*(VLOOKUP($X48,Übungsübersicht!$E$7:$M$83,3,FALSE)))</f>
        <v>57.5</v>
      </c>
      <c r="AH48" s="655">
        <f ca="1">IFERROR(IF($Y48=0,30*(VLOOKUP($X48,Übungsübersicht!$E$7:$M$83,3,FALSE)),($Y48)+(2*(VLOOKUP($X48,Übungsübersicht!$E$7:$M$83,3,FALSE)))),30*(VLOOKUP($X48,Übungsübersicht!$E$7:$M$83,3,FALSE)))</f>
        <v>60</v>
      </c>
      <c r="AI48" s="655">
        <f ca="1">IFERROR(IF($Y48=0,30*(VLOOKUP($X48,Übungsübersicht!$E$7:$M$83,3,FALSE)),($Y48)+(3*(VLOOKUP($X48,Übungsübersicht!$E$7:$M$83,3,FALSE)))),30*(VLOOKUP($X48,Übungsübersicht!$E$7:$M$83,3,FALSE)))</f>
        <v>62.5</v>
      </c>
      <c r="AJ48" s="655">
        <f ca="1">IFERROR(IF($Y48=0,40*(VLOOKUP($X48,Übungsübersicht!$E$7:$M$83,3,FALSE)),IF($Y48&gt;100,(MROUND(($Y48*1.7),(VLOOKUP($X48,Übungsübersicht!$E$7:$M$83,3,FALSE)))),IF($Y48&gt;80,(MROUND(($Y48*1.7),(VLOOKUP($X48,Übungsübersicht!$E$7:$M$83,3,FALSE)))),IF($Y48&gt;50,(MROUND(($Y48*1.6),(VLOOKUP($X48,Übungsübersicht!$E$7:$M$83,3,FALSE)))),IF($Y48&gt;25,(MROUND(($Y48*1.5),(VLOOKUP($X48,Übungsübersicht!$E$7:$M$83,3,FALSE)))),IF($Y48&gt;15,(MROUND(($Y48*1.4),(VLOOKUP($X48,Übungsübersicht!$E$7:$M$83,3,FALSE)))),IF($Y48&gt;(VLOOKUP($X48,Übungsübersicht!$E$7:$M$83,3,FALSE)),30*(VLOOKUP($X48,Übungsübersicht!$E$7:$M$83,3,FALSE)),""))))))),40*(VLOOKUP($X48,Übungsübersicht!$E$7:$M$83,3,FALSE)))</f>
        <v>87.5</v>
      </c>
      <c r="AK48" s="656">
        <f ca="1">IFERROR(IF($Y48=0,50*(VLOOKUP($X48,Übungsübersicht!$E$7:$M$83,3,FALSE)),IF($Y48&gt;100,(MROUND(($Y48*1.9),(VLOOKUP($X48,Übungsübersicht!$E$7:$M$83,3,FALSE)))),IF($Y48&gt;80,(MROUND(($Y48*1.9),(VLOOKUP($X48,Übungsübersicht!$E$7:$M$83,3,FALSE)))),IF($Y48&gt;50,(MROUND(($Y48*1.8),(VLOOKUP($X48,Übungsübersicht!$E$7:$M$83,3,FALSE)))),IF($Y48&gt;25,(MROUND(($Y48*1.7),(VLOOKUP($X48,Übungsübersicht!$E$7:$M$83,3,FALSE)))),IF($Y48&gt;15,(MROUND(($Y48*1.6),(VLOOKUP($X48,Übungsübersicht!$E$7:$M$83,3,FALSE)))),IF($Y48&gt;(VLOOKUP($X48,Übungsübersicht!$E$7:$M$83,3,FALSE)),40*(VLOOKUP($X48,Übungsübersicht!$E$7:$M$83,3,FALSE)),""))))))),50*(VLOOKUP($X48,Übungsübersicht!$E$7:$M$83,3,FALSE)))</f>
        <v>100</v>
      </c>
      <c r="AN48" s="655">
        <f ca="1">MROUND(INDEX(OFFSET(Zyklus!$M$13,45,0),1),(IF(VLOOKUP($X48,Übungsübersicht!$E$7:$K$80,3)=0,0.1,(VLOOKUP($X48,Übungsübersicht!$E$7:$K$80,3)))))</f>
        <v>55</v>
      </c>
      <c r="AP48" s="652">
        <f ca="1">IFERROR(IF(IF(VLOOKUP($X48,Zyklus!$A$14:$U$68,9,FALSE)=0,"RPE 8",IF(VLOOKUP($X48,Übungsübersicht!$E$7:$M$83,3,FALSE)&lt;0.5,($AN48)-(3*0.5),(($AN48)-(3*(VLOOKUP($X48,Übungsübersicht!$E$7:$M$83,3,FALSE))))))&lt;1,0,(IF(VLOOKUP($X48,Zyklus!$A$14:$U$68,9,FALSE)=0,"RPE 8",IF(VLOOKUP($X48,Übungsübersicht!$E$7:$M$83,3,FALSE)&lt;0.5,($AN48)-(3*0.5),(($AN48)-(3*(VLOOKUP($X48,Übungsübersicht!$E$7:$M$83,3,FALSE)))))))),"RPE 8")</f>
        <v>47.5</v>
      </c>
      <c r="AQ48" s="652">
        <f ca="1">IFERROR(IF(IF(VLOOKUP($X48,Zyklus!$A$14:$U$68,9,FALSE)=0,"RPE 8",IF(VLOOKUP($X48,Übungsübersicht!$E$7:$M$83,3,FALSE)&lt;0.5,($AN48)-(2*0.5),(($AN48)-(2*(VLOOKUP($X48,Übungsübersicht!$E$7:$M$83,3,FALSE))))))&lt;1,0,(IF(VLOOKUP($X48,Zyklus!$A$14:$U$68,9,FALSE)=0,"RPE 8",IF(VLOOKUP($X48,Übungsübersicht!$E$7:$M$83,3,FALSE)&lt;0.5,($AN48)-(2*0.5),(($AN48)-(2*(VLOOKUP($X48,Übungsübersicht!$E$7:$M$83,3,FALSE)))))))),"RPE 8")</f>
        <v>50</v>
      </c>
      <c r="AR48" s="652">
        <f ca="1">IFERROR(IF(IF(VLOOKUP($X48,Zyklus!$A$14:$U$68,9,FALSE)=0,"RPE 8",IF(VLOOKUP($X48,Übungsübersicht!$E$7:$M$83,3,FALSE)&lt;0.5,($AN48)-(1*0.5),(($Y48)-(1*(VLOOKUP($X48,Übungsübersicht!$E$7:$M$83,3,FALSE))))))&lt;1,0,(IF(VLOOKUP($X48,Zyklus!$A$14:$U$68,9,FALSE)=0,"RPE 8",IF(VLOOKUP($X48,Übungsübersicht!$E$7:$M$83,3,FALSE)&lt;0.5,($AN48)-(1*0.5),(($Y48)-(1*(VLOOKUP($X48,Übungsübersicht!$E$7:$M$83,3,FALSE)))))))),"RPE 8")</f>
        <v>52.5</v>
      </c>
      <c r="AS48" s="652">
        <f t="shared" ca="1" si="0"/>
        <v>55</v>
      </c>
      <c r="AT48" s="652">
        <f ca="1">IFERROR(IF(VLOOKUP($X48,Zyklus!$A$14:$U$68,9,FALSE)=0,"RPE 8",IF(VLOOKUP($X48,Übungsübersicht!$E$7:$M$83,3,FALSE)&lt;0.5,($AN48)+(1*0.5),(($Y48)+(1*(VLOOKUP($X48,Übungsübersicht!$E$7:$M$83,3,FALSE)))))),"RPE 8")</f>
        <v>57.5</v>
      </c>
      <c r="AU48" s="652">
        <f ca="1">IFERROR(IF(VLOOKUP($X48,Zyklus!$A$14:$U$68,9,FALSE)=0,"RPE 8",IF(VLOOKUP($X48,Übungsübersicht!$E$7:$M$83,3,FALSE)&lt;0.5,($AN48)+(2*0.5),(($AN48)+(2*(VLOOKUP($X48,Übungsübersicht!$E$7:$M$83,3,FALSE)))))),"RPE 8")</f>
        <v>60</v>
      </c>
      <c r="AV48" s="652">
        <f ca="1">IFERROR(IF(VLOOKUP($X48,Zyklus!$A$14:$U$68,9,FALSE)=0,"RPE 8",IF(VLOOKUP($X48,Übungsübersicht!$E$7:$M$83,3,FALSE)&lt;0.5,($AN48)+(3*0.5),(($AN48)+(3*(VLOOKUP($X48,Übungsübersicht!$E$7:$M$83,3,FALSE)))))),"RPE 8")</f>
        <v>62.5</v>
      </c>
      <c r="AY48" s="655">
        <f ca="1">MROUND(INDEX(OFFSET(Zyklus!$M$13,45,0),1),(IF(VLOOKUP($X48,Übungsübersicht!$E$7:$K$80,3)=0,0.1,(VLOOKUP($X48,Übungsübersicht!$E$7:$K$80,3)))))</f>
        <v>55</v>
      </c>
      <c r="BA48" s="652">
        <f ca="1">MROUND(INDEX(OFFSET(Zyklus!$Q$13,45,0),1),(IF(VLOOKUP($X48,Übungsübersicht!$E$7:$K$80,3)=0,0.1,(VLOOKUP($X48,Übungsübersicht!$E$7:$K$80,3)))))</f>
        <v>55</v>
      </c>
      <c r="BC48" s="652">
        <f ca="1">IFERROR(IF(IF(VLOOKUP($X48,Zyklus!$A$14:$U$68,9,FALSE)=0,"RPE 9",IF(VLOOKUP($X48,Übungsübersicht!$E$7:$M$83,3,FALSE)&lt;0.5,($BA48)-(3*0.5),(($BA48)-(3*(VLOOKUP($X48,Übungsübersicht!$E$7:$M$83,3,FALSE))))))&lt;1,0,(IF(VLOOKUP($X48,Zyklus!$A$14:$U$68,9,FALSE)=0,"RPE 9",IF(VLOOKUP($X48,Übungsübersicht!$E$7:$M$83,3,FALSE)&lt;0.5,($BA48)-(3*0.5),(($BA48)-(3*(VLOOKUP($X48,Übungsübersicht!$E$7:$M$83,3,FALSE)))))))),"RPE 9")</f>
        <v>47.5</v>
      </c>
      <c r="BD48" s="652">
        <f ca="1">IFERROR(IF(IF(VLOOKUP($X48,Zyklus!$A$14:$U$68,9,FALSE)=0,"RPE 9",IF(VLOOKUP($X48,Übungsübersicht!$E$7:$M$83,3,FALSE)&lt;0.5,($BA48)-(2*0.5),(($BA48)-(2*(VLOOKUP($X48,Übungsübersicht!$E$7:$M$83,3,FALSE))))))&lt;1,0,(IF(VLOOKUP($X48,Zyklus!$A$14:$U$68,9,FALSE)=0,"RPE 9",IF(VLOOKUP($X48,Übungsübersicht!$E$7:$M$83,3,FALSE)&lt;0.5,($BA48)-(2*0.5),(($BA48)-(2*(VLOOKUP($X48,Übungsübersicht!$E$7:$M$83,3,FALSE)))))))),"RPE 9")</f>
        <v>50</v>
      </c>
      <c r="BE48" s="652">
        <f ca="1">IFERROR(IF(IF(VLOOKUP($X48,Zyklus!$A$14:$U$68,9,FALSE)=0,"RPE 9",IF(VLOOKUP($X48,Übungsübersicht!$E$7:$M$83,3,FALSE)&lt;0.5,($BA48)-(1*0.5),(($Y48)-(1*(VLOOKUP($X48,Übungsübersicht!$E$7:$M$83,3,FALSE))))))&lt;1,0,(IF(VLOOKUP($X48,Zyklus!$A$14:$U$68,9,FALSE)=0,"RPE 9",IF(VLOOKUP($X48,Übungsübersicht!$E$7:$M$83,3,FALSE)&lt;0.5,($BA48)-(1*0.5),(($Y48)-(1*(VLOOKUP($X48,Übungsübersicht!$E$7:$M$83,3,FALSE)))))))),"RPE 9")</f>
        <v>52.5</v>
      </c>
      <c r="BF48" s="652">
        <f t="shared" ca="1" si="1"/>
        <v>55</v>
      </c>
      <c r="BG48" s="652">
        <f ca="1">IFERROR(IF(VLOOKUP($X48,Zyklus!$A$14:$U$68,9,FALSE)=0,"RPE 9",IF(VLOOKUP($X48,Übungsübersicht!$E$7:$M$83,3,FALSE)&lt;0.5,($AY48)+(1*0.5),(($AY48)+(1*(VLOOKUP($X48,Übungsübersicht!$E$7:$M$83,3,FALSE)))))),"RPE 9")</f>
        <v>57.5</v>
      </c>
      <c r="BH48" s="652">
        <f ca="1">IFERROR(IF(VLOOKUP($X48,Zyklus!$A$14:$U$68,9,FALSE)=0,"RPE 9",IF(VLOOKUP($X48,Übungsübersicht!$E$7:$M$83,3,FALSE)&lt;0.5,($BA48)+(2*0.5),(($BA48)+(2*(VLOOKUP($X48,Übungsübersicht!$E$7:$M$83,3,FALSE)))))),"RPE 9")</f>
        <v>60</v>
      </c>
      <c r="BI48" s="652">
        <f ca="1">IFERROR(IF(VLOOKUP($X48,Zyklus!$A$14:$U$68,9,FALSE)=0,"RPE 9",IF(VLOOKUP($X48,Übungsübersicht!$E$7:$M$83,3,FALSE)&lt;0.5,($BA48)+(3*0.5),(($BA48)+(3*(VLOOKUP($X48,Übungsübersicht!$E$7:$M$83,3,FALSE)))))),"RPE 9")</f>
        <v>62.5</v>
      </c>
    </row>
    <row r="49" spans="4:61" ht="30" customHeight="1">
      <c r="D49" s="326">
        <v>28</v>
      </c>
      <c r="E49" s="323">
        <f t="shared" si="2"/>
        <v>29.032258064516132</v>
      </c>
      <c r="F49" s="344">
        <f t="shared" si="3"/>
        <v>0.25</v>
      </c>
      <c r="H49" s="326">
        <v>28</v>
      </c>
      <c r="I49" s="323">
        <f t="shared" si="5"/>
        <v>62.068965517241381</v>
      </c>
      <c r="J49" s="344">
        <f t="shared" si="4"/>
        <v>0.51724137931034486</v>
      </c>
      <c r="O49" s="489" t="s">
        <v>317</v>
      </c>
      <c r="P49" s="490"/>
      <c r="Q49" s="815" t="s">
        <v>313</v>
      </c>
      <c r="R49" s="815"/>
      <c r="S49" s="815" t="s">
        <v>350</v>
      </c>
      <c r="T49" s="815" t="s">
        <v>351</v>
      </c>
      <c r="U49" s="816"/>
      <c r="X49" s="651" t="str">
        <f ca="1">INDEX(OFFSET(Zyklus!$A$13,46,0),1)</f>
        <v>Reverse Cable Cross</v>
      </c>
      <c r="Y49" s="652">
        <f ca="1">MROUND(INDEX(OFFSET(Zyklus!$I$13,46,0),1),(IF(VLOOKUP($X49,Übungsübersicht!$E$7:$K$80,3)=0,0.1,(VLOOKUP($X49,Übungsübersicht!$E$7:$K$80,3)))))</f>
        <v>12.5</v>
      </c>
      <c r="Z49" s="652"/>
      <c r="AA49" s="652">
        <f ca="1">IFERROR(IF($Y49=0,2*(VLOOKUP($X49,Übungsübersicht!$E$7:$M$83,3,FALSE)),IF($Y49&gt;100,(MROUND(($Y49*0.1),(VLOOKUP($X49,Übungsübersicht!$E$7:$M$83,3,FALSE)))),IF($Y49&gt;80,(MROUND(($Y49*0.1),(VLOOKUP($X49,Übungsübersicht!$E$7:$M$83,3,FALSE)))),IF($Y49&gt;50,(MROUND(($Y49*0.2),(VLOOKUP($X49,Übungsübersicht!$E$7:$M$83,3,FALSE)))),IF($Y49&gt;25,(MROUND(($Y49*0.3),(VLOOKUP($X49,Übungsübersicht!$E$7:$M$83,3,FALSE)))),IF($Y49&gt;15,(MROUND(($Y49*0.4),(VLOOKUP($X49,Übungsübersicht!$E$7:$M$83,3,FALSE)))),IF($Y49&gt;(VLOOKUP($X49,Übungsübersicht!$E$7:$M$83,3,FALSE)),(VLOOKUP($X49,Übungsübersicht!$E$7:$M$83,3,FALSE)),""))))))),2*(VLOOKUP($X49,Übungsübersicht!$E$7:$M$83,3,FALSE)))</f>
        <v>2.5</v>
      </c>
      <c r="AB49" s="652">
        <f ca="1">IFERROR(IF($Y49=0,4*(VLOOKUP($X49,Übungsübersicht!$E$7:$M$83,3,FALSE)),IF($Y49&gt;100,(MROUND(($Y49*0.3),(VLOOKUP($X49,Übungsübersicht!$E$7:$M$83,3,FALSE)))),IF($Y49&gt;80,(MROUND(($Y49*0.3),(VLOOKUP($X49,Übungsübersicht!$E$7:$M$83,3,FALSE)))),IF($Y49&gt;50,(MROUND(($Y49*0.4),(VLOOKUP($X49,Übungsübersicht!$E$7:$M$83,3,FALSE)))),IF($Y49&gt;25,(MROUND(($Y49*0.5),(VLOOKUP($X49,Übungsübersicht!$E$7:$M$83,3,FALSE)))),IF($Y49&gt;15,(MROUND(($Y49*0.6),(VLOOKUP($X49,Übungsübersicht!$E$7:$M$83,3,FALSE)))),IF($Y49&gt;(VLOOKUP($X49,Übungsübersicht!$E$7:$M$83,3,FALSE)),(VLOOKUP($X49,Übungsübersicht!$E$7:$M$83,3,FALSE)),""))))))),4*(VLOOKUP($X49,Übungsübersicht!$E$7:$M$83,3,FALSE)))</f>
        <v>2.5</v>
      </c>
      <c r="AC49" s="652">
        <f ca="1">IFERROR((IF($Y49=0,8*(VLOOKUP($X49,Übungsübersicht!$E$7:$M$83,3,FALSE)),(($Y49)-(3*(VLOOKUP($X49,Übungsübersicht!$E$7:$M$83,3,FALSE)))))),8*(VLOOKUP($X49,Übungsübersicht!$E$7:$M$83,3,FALSE)))</f>
        <v>5</v>
      </c>
      <c r="AD49" s="652">
        <f ca="1">IFERROR(((IF($Y49=0,10*(VLOOKUP($X49,Übungsübersicht!$E$7:$M$83,3,FALSE)),($Y49)-(2*(VLOOKUP($X49,Übungsübersicht!$E$7:$M$83,3,FALSE)))))),10*(VLOOKUP($X49,Übungsübersicht!$E$7:$M$83,3,FALSE)))</f>
        <v>7.5</v>
      </c>
      <c r="AE49" s="652">
        <f ca="1">IFERROR(((IF($Y49=0,10*(VLOOKUP($X49,Übungsübersicht!$E$7:$M$83,3,FALSE)),($Y49)-(1*(VLOOKUP($X49,Übungsübersicht!$E$7:$M$83,3,FALSE)))))),10*(VLOOKUP($X49,Übungsübersicht!$E$7:$M$83,3,FALSE)))</f>
        <v>10</v>
      </c>
      <c r="AF49" s="652">
        <f ca="1">IFERROR(IF($Y49=0,20*(VLOOKUP($X49,Übungsübersicht!$E$7:$M$83,3,FALSE)),($Y49)),20*(VLOOKUP($X49,Übungsübersicht!$E$7:$M$83,3,FALSE)))</f>
        <v>12.5</v>
      </c>
      <c r="AG49" s="652">
        <f ca="1">IFERROR(IF($Y49=0,30*(VLOOKUP($X49,Übungsübersicht!$E$7:$M$83,3,FALSE)),($Y49)+(1*(VLOOKUP($X49,Übungsübersicht!$E$7:$M$83,3,FALSE)))),30*(VLOOKUP($X49,Übungsübersicht!$E$7:$M$83,3,FALSE)))</f>
        <v>15</v>
      </c>
      <c r="AH49" s="652">
        <f ca="1">IFERROR(IF($Y49=0,30*(VLOOKUP($X49,Übungsübersicht!$E$7:$M$83,3,FALSE)),($Y49)+(2*(VLOOKUP($X49,Übungsübersicht!$E$7:$M$83,3,FALSE)))),30*(VLOOKUP($X49,Übungsübersicht!$E$7:$M$83,3,FALSE)))</f>
        <v>17.5</v>
      </c>
      <c r="AI49" s="652">
        <f ca="1">IFERROR(IF($Y49=0,30*(VLOOKUP($X49,Übungsübersicht!$E$7:$M$83,3,FALSE)),($Y49)+(3*(VLOOKUP($X49,Übungsübersicht!$E$7:$M$83,3,FALSE)))),30*(VLOOKUP($X49,Übungsübersicht!$E$7:$M$83,3,FALSE)))</f>
        <v>20</v>
      </c>
      <c r="AJ49" s="652">
        <f ca="1">IFERROR(IF($Y49=0,40*(VLOOKUP($X49,Übungsübersicht!$E$7:$M$83,3,FALSE)),IF($Y49&gt;100,(MROUND(($Y49*1.7),(VLOOKUP($X49,Übungsübersicht!$E$7:$M$83,3,FALSE)))),IF($Y49&gt;80,(MROUND(($Y49*1.7),(VLOOKUP($X49,Übungsübersicht!$E$7:$M$83,3,FALSE)))),IF($Y49&gt;50,(MROUND(($Y49*1.6),(VLOOKUP($X49,Übungsübersicht!$E$7:$M$83,3,FALSE)))),IF($Y49&gt;25,(MROUND(($Y49*1.5),(VLOOKUP($X49,Übungsübersicht!$E$7:$M$83,3,FALSE)))),IF($Y49&gt;15,(MROUND(($Y49*1.4),(VLOOKUP($X49,Übungsübersicht!$E$7:$M$83,3,FALSE)))),IF($Y49&gt;(VLOOKUP($X49,Übungsübersicht!$E$7:$M$83,3,FALSE)),30*(VLOOKUP($X49,Übungsübersicht!$E$7:$M$83,3,FALSE)),""))))))),40*(VLOOKUP($X49,Übungsübersicht!$E$7:$M$83,3,FALSE)))</f>
        <v>75</v>
      </c>
      <c r="AK49" s="653">
        <f ca="1">IFERROR(IF($Y49=0,50*(VLOOKUP($X49,Übungsübersicht!$E$7:$M$83,3,FALSE)),IF($Y49&gt;100,(MROUND(($Y49*1.9),(VLOOKUP($X49,Übungsübersicht!$E$7:$M$83,3,FALSE)))),IF($Y49&gt;80,(MROUND(($Y49*1.9),(VLOOKUP($X49,Übungsübersicht!$E$7:$M$83,3,FALSE)))),IF($Y49&gt;50,(MROUND(($Y49*1.8),(VLOOKUP($X49,Übungsübersicht!$E$7:$M$83,3,FALSE)))),IF($Y49&gt;25,(MROUND(($Y49*1.7),(VLOOKUP($X49,Übungsübersicht!$E$7:$M$83,3,FALSE)))),IF($Y49&gt;15,(MROUND(($Y49*1.6),(VLOOKUP($X49,Übungsübersicht!$E$7:$M$83,3,FALSE)))),IF($Y49&gt;(VLOOKUP($X49,Übungsübersicht!$E$7:$M$83,3,FALSE)),40*(VLOOKUP($X49,Übungsübersicht!$E$7:$M$83,3,FALSE)),""))))))),50*(VLOOKUP($X49,Übungsübersicht!$E$7:$M$83,3,FALSE)))</f>
        <v>100</v>
      </c>
      <c r="AN49" s="652">
        <f ca="1">MROUND(INDEX(OFFSET(Zyklus!$M$13,46,0),1),(IF(VLOOKUP($X49,Übungsübersicht!$E$7:$K$80,3)=0,0.1,(VLOOKUP($X49,Übungsübersicht!$E$7:$K$80,3)))))</f>
        <v>12.5</v>
      </c>
      <c r="AP49" s="655">
        <f ca="1">IFERROR(IF(IF(VLOOKUP($X49,Zyklus!$A$14:$U$68,9,FALSE)=0,"RPE 8",IF(VLOOKUP($X49,Übungsübersicht!$E$7:$M$83,3,FALSE)&lt;0.5,($AN49)-(3*0.5),(($AN49)-(3*(VLOOKUP($X49,Übungsübersicht!$E$7:$M$83,3,FALSE))))))&lt;1,0,(IF(VLOOKUP($X49,Zyklus!$A$14:$U$68,9,FALSE)=0,"RPE 8",IF(VLOOKUP($X49,Übungsübersicht!$E$7:$M$83,3,FALSE)&lt;0.5,($AN49)-(3*0.5),(($AN49)-(3*(VLOOKUP($X49,Übungsübersicht!$E$7:$M$83,3,FALSE)))))))),"RPE 8")</f>
        <v>5</v>
      </c>
      <c r="AQ49" s="655">
        <f ca="1">IFERROR(IF(IF(VLOOKUP($X49,Zyklus!$A$14:$U$68,9,FALSE)=0,"RPE 8",IF(VLOOKUP($X49,Übungsübersicht!$E$7:$M$83,3,FALSE)&lt;0.5,($AN49)-(2*0.5),(($AN49)-(2*(VLOOKUP($X49,Übungsübersicht!$E$7:$M$83,3,FALSE))))))&lt;1,0,(IF(VLOOKUP($X49,Zyklus!$A$14:$U$68,9,FALSE)=0,"RPE 8",IF(VLOOKUP($X49,Übungsübersicht!$E$7:$M$83,3,FALSE)&lt;0.5,($AN49)-(2*0.5),(($AN49)-(2*(VLOOKUP($X49,Übungsübersicht!$E$7:$M$83,3,FALSE)))))))),"RPE 8")</f>
        <v>7.5</v>
      </c>
      <c r="AR49" s="655">
        <f ca="1">IFERROR(IF(IF(VLOOKUP($X49,Zyklus!$A$14:$U$68,9,FALSE)=0,"RPE 8",IF(VLOOKUP($X49,Übungsübersicht!$E$7:$M$83,3,FALSE)&lt;0.5,($AN49)-(1*0.5),(($Y49)-(1*(VLOOKUP($X49,Übungsübersicht!$E$7:$M$83,3,FALSE))))))&lt;1,0,(IF(VLOOKUP($X49,Zyklus!$A$14:$U$68,9,FALSE)=0,"RPE 8",IF(VLOOKUP($X49,Übungsübersicht!$E$7:$M$83,3,FALSE)&lt;0.5,($AN49)-(1*0.5),(($Y49)-(1*(VLOOKUP($X49,Übungsübersicht!$E$7:$M$83,3,FALSE)))))))),"RPE 8")</f>
        <v>10</v>
      </c>
      <c r="AS49" s="655">
        <f t="shared" ca="1" si="0"/>
        <v>12.5</v>
      </c>
      <c r="AT49" s="655">
        <f ca="1">IFERROR(IF(VLOOKUP($X49,Zyklus!$A$14:$U$68,9,FALSE)=0,"RPE 8",IF(VLOOKUP($X49,Übungsübersicht!$E$7:$M$83,3,FALSE)&lt;0.5,($AN49)+(1*0.5),(($Y49)+(1*(VLOOKUP($X49,Übungsübersicht!$E$7:$M$83,3,FALSE)))))),"RPE 8")</f>
        <v>15</v>
      </c>
      <c r="AU49" s="655">
        <f ca="1">IFERROR(IF(VLOOKUP($X49,Zyklus!$A$14:$U$68,9,FALSE)=0,"RPE 8",IF(VLOOKUP($X49,Übungsübersicht!$E$7:$M$83,3,FALSE)&lt;0.5,($AN49)+(2*0.5),(($AN49)+(2*(VLOOKUP($X49,Übungsübersicht!$E$7:$M$83,3,FALSE)))))),"RPE 8")</f>
        <v>17.5</v>
      </c>
      <c r="AV49" s="655">
        <f ca="1">IFERROR(IF(VLOOKUP($X49,Zyklus!$A$14:$U$68,9,FALSE)=0,"RPE 8",IF(VLOOKUP($X49,Übungsübersicht!$E$7:$M$83,3,FALSE)&lt;0.5,($AN49)+(3*0.5),(($AN49)+(3*(VLOOKUP($X49,Übungsübersicht!$E$7:$M$83,3,FALSE)))))),"RPE 8")</f>
        <v>20</v>
      </c>
      <c r="AY49" s="652">
        <f ca="1">MROUND(INDEX(OFFSET(Zyklus!$M$13,46,0),1),(IF(VLOOKUP($X49,Übungsübersicht!$E$7:$K$80,3)=0,0.1,(VLOOKUP($X49,Übungsübersicht!$E$7:$K$80,3)))))</f>
        <v>12.5</v>
      </c>
      <c r="BA49" s="655">
        <f ca="1">MROUND(INDEX(OFFSET(Zyklus!$Q$13,46,0),1),(IF(VLOOKUP($X49,Übungsübersicht!$E$7:$K$80,3)=0,0.1,(VLOOKUP($X49,Übungsübersicht!$E$7:$K$80,3)))))</f>
        <v>12.5</v>
      </c>
      <c r="BC49" s="655">
        <f ca="1">IFERROR(IF(IF(VLOOKUP($X49,Zyklus!$A$14:$U$68,9,FALSE)=0,"RPE 9",IF(VLOOKUP($X49,Übungsübersicht!$E$7:$M$83,3,FALSE)&lt;0.5,($BA49)-(3*0.5),(($BA49)-(3*(VLOOKUP($X49,Übungsübersicht!$E$7:$M$83,3,FALSE))))))&lt;1,0,(IF(VLOOKUP($X49,Zyklus!$A$14:$U$68,9,FALSE)=0,"RPE 9",IF(VLOOKUP($X49,Übungsübersicht!$E$7:$M$83,3,FALSE)&lt;0.5,($BA49)-(3*0.5),(($BA49)-(3*(VLOOKUP($X49,Übungsübersicht!$E$7:$M$83,3,FALSE)))))))),"RPE 9")</f>
        <v>5</v>
      </c>
      <c r="BD49" s="655">
        <f ca="1">IFERROR(IF(IF(VLOOKUP($X49,Zyklus!$A$14:$U$68,9,FALSE)=0,"RPE 9",IF(VLOOKUP($X49,Übungsübersicht!$E$7:$M$83,3,FALSE)&lt;0.5,($BA49)-(2*0.5),(($BA49)-(2*(VLOOKUP($X49,Übungsübersicht!$E$7:$M$83,3,FALSE))))))&lt;1,0,(IF(VLOOKUP($X49,Zyklus!$A$14:$U$68,9,FALSE)=0,"RPE 9",IF(VLOOKUP($X49,Übungsübersicht!$E$7:$M$83,3,FALSE)&lt;0.5,($BA49)-(2*0.5),(($BA49)-(2*(VLOOKUP($X49,Übungsübersicht!$E$7:$M$83,3,FALSE)))))))),"RPE 9")</f>
        <v>7.5</v>
      </c>
      <c r="BE49" s="655">
        <f ca="1">IFERROR(IF(IF(VLOOKUP($X49,Zyklus!$A$14:$U$68,9,FALSE)=0,"RPE 9",IF(VLOOKUP($X49,Übungsübersicht!$E$7:$M$83,3,FALSE)&lt;0.5,($BA49)-(1*0.5),(($Y49)-(1*(VLOOKUP($X49,Übungsübersicht!$E$7:$M$83,3,FALSE))))))&lt;1,0,(IF(VLOOKUP($X49,Zyklus!$A$14:$U$68,9,FALSE)=0,"RPE 9",IF(VLOOKUP($X49,Übungsübersicht!$E$7:$M$83,3,FALSE)&lt;0.5,($BA49)-(1*0.5),(($Y49)-(1*(VLOOKUP($X49,Übungsübersicht!$E$7:$M$83,3,FALSE)))))))),"RPE 9")</f>
        <v>10</v>
      </c>
      <c r="BF49" s="655">
        <f t="shared" ca="1" si="1"/>
        <v>12.5</v>
      </c>
      <c r="BG49" s="655">
        <f ca="1">IFERROR(IF(VLOOKUP($X49,Zyklus!$A$14:$U$68,9,FALSE)=0,"RPE 9",IF(VLOOKUP($X49,Übungsübersicht!$E$7:$M$83,3,FALSE)&lt;0.5,($AY49)+(1*0.5),(($AY49)+(1*(VLOOKUP($X49,Übungsübersicht!$E$7:$M$83,3,FALSE)))))),"RPE 9")</f>
        <v>15</v>
      </c>
      <c r="BH49" s="655">
        <f ca="1">IFERROR(IF(VLOOKUP($X49,Zyklus!$A$14:$U$68,9,FALSE)=0,"RPE 9",IF(VLOOKUP($X49,Übungsübersicht!$E$7:$M$83,3,FALSE)&lt;0.5,($BA49)+(2*0.5),(($BA49)+(2*(VLOOKUP($X49,Übungsübersicht!$E$7:$M$83,3,FALSE)))))),"RPE 9")</f>
        <v>17.5</v>
      </c>
      <c r="BI49" s="655">
        <f ca="1">IFERROR(IF(VLOOKUP($X49,Zyklus!$A$14:$U$68,9,FALSE)=0,"RPE 9",IF(VLOOKUP($X49,Übungsübersicht!$E$7:$M$83,3,FALSE)&lt;0.5,($BA49)+(3*0.5),(($BA49)+(3*(VLOOKUP($X49,Übungsübersicht!$E$7:$M$83,3,FALSE)))))),"RPE 9")</f>
        <v>20</v>
      </c>
    </row>
    <row r="50" spans="4:61" ht="30" customHeight="1">
      <c r="D50" s="324">
        <v>29</v>
      </c>
      <c r="E50" s="325">
        <f t="shared" si="2"/>
        <v>25.806451612903228</v>
      </c>
      <c r="F50" s="343">
        <f t="shared" si="3"/>
        <v>0.22222222222222221</v>
      </c>
      <c r="H50" s="324">
        <v>29</v>
      </c>
      <c r="I50" s="325">
        <f t="shared" si="5"/>
        <v>61.016949152542367</v>
      </c>
      <c r="J50" s="343">
        <f t="shared" si="4"/>
        <v>0.50847457627118642</v>
      </c>
      <c r="O50" s="492" t="s">
        <v>19</v>
      </c>
      <c r="P50" s="493"/>
      <c r="Q50" s="493">
        <f>Dashboard!$C$20*'Funktions-Tabelle'!Q34</f>
        <v>101.4</v>
      </c>
      <c r="R50" s="493"/>
      <c r="S50" s="493">
        <f>Dashboard!$C$20*'Funktions-Tabelle'!S34</f>
        <v>156</v>
      </c>
      <c r="T50" s="493"/>
      <c r="U50" s="635">
        <f>Dashboard!$C$20*'Funktions-Tabelle'!U34</f>
        <v>195</v>
      </c>
      <c r="X50" s="654" t="str">
        <f ca="1">INDEX(OFFSET(Zyklus!$A$13,47,0),1)</f>
        <v>Scullcrushers Trizeps</v>
      </c>
      <c r="Y50" s="655">
        <f ca="1">MROUND(INDEX(OFFSET(Zyklus!$I$13,47,0),1),(IF(VLOOKUP($X50,Übungsübersicht!$E$7:$K$80,3)=0,0.1,(VLOOKUP($X50,Übungsübersicht!$E$7:$K$80,3)))))</f>
        <v>45</v>
      </c>
      <c r="Z50" s="655"/>
      <c r="AA50" s="655">
        <f ca="1">IFERROR(IF($Y50=0,2*(VLOOKUP($X50,Übungsübersicht!$E$7:$M$83,3,FALSE)),IF($Y50&gt;100,(MROUND(($Y50*0.1),(VLOOKUP($X50,Übungsübersicht!$E$7:$M$83,3,FALSE)))),IF($Y50&gt;80,(MROUND(($Y50*0.1),(VLOOKUP($X50,Übungsübersicht!$E$7:$M$83,3,FALSE)))),IF($Y50&gt;50,(MROUND(($Y50*0.2),(VLOOKUP($X50,Übungsübersicht!$E$7:$M$83,3,FALSE)))),IF($Y50&gt;25,(MROUND(($Y50*0.3),(VLOOKUP($X50,Übungsübersicht!$E$7:$M$83,3,FALSE)))),IF($Y50&gt;15,(MROUND(($Y50*0.4),(VLOOKUP($X50,Übungsübersicht!$E$7:$M$83,3,FALSE)))),IF($Y50&gt;(VLOOKUP($X50,Übungsübersicht!$E$7:$M$83,3,FALSE)),(VLOOKUP($X50,Übungsübersicht!$E$7:$M$83,3,FALSE)),""))))))),2*(VLOOKUP($X50,Übungsübersicht!$E$7:$M$83,3,FALSE)))</f>
        <v>12.5</v>
      </c>
      <c r="AB50" s="655">
        <f ca="1">IFERROR(IF($Y50=0,4*(VLOOKUP($X50,Übungsübersicht!$E$7:$M$83,3,FALSE)),IF($Y50&gt;100,(MROUND(($Y50*0.3),(VLOOKUP($X50,Übungsübersicht!$E$7:$M$83,3,FALSE)))),IF($Y50&gt;80,(MROUND(($Y50*0.3),(VLOOKUP($X50,Übungsübersicht!$E$7:$M$83,3,FALSE)))),IF($Y50&gt;50,(MROUND(($Y50*0.4),(VLOOKUP($X50,Übungsübersicht!$E$7:$M$83,3,FALSE)))),IF($Y50&gt;25,(MROUND(($Y50*0.5),(VLOOKUP($X50,Übungsübersicht!$E$7:$M$83,3,FALSE)))),IF($Y50&gt;15,(MROUND(($Y50*0.6),(VLOOKUP($X50,Übungsübersicht!$E$7:$M$83,3,FALSE)))),IF($Y50&gt;(VLOOKUP($X50,Übungsübersicht!$E$7:$M$83,3,FALSE)),(VLOOKUP($X50,Übungsübersicht!$E$7:$M$83,3,FALSE)),""))))))),4*(VLOOKUP($X50,Übungsübersicht!$E$7:$M$83,3,FALSE)))</f>
        <v>22.5</v>
      </c>
      <c r="AC50" s="655">
        <f ca="1">IFERROR((IF($Y50=0,8*(VLOOKUP($X50,Übungsübersicht!$E$7:$M$83,3,FALSE)),(($Y50)-(3*(VLOOKUP($X50,Übungsübersicht!$E$7:$M$83,3,FALSE)))))),8*(VLOOKUP($X50,Übungsübersicht!$E$7:$M$83,3,FALSE)))</f>
        <v>37.5</v>
      </c>
      <c r="AD50" s="655">
        <f ca="1">IFERROR(((IF($Y50=0,10*(VLOOKUP($X50,Übungsübersicht!$E$7:$M$83,3,FALSE)),($Y50)-(2*(VLOOKUP($X50,Übungsübersicht!$E$7:$M$83,3,FALSE)))))),10*(VLOOKUP($X50,Übungsübersicht!$E$7:$M$83,3,FALSE)))</f>
        <v>40</v>
      </c>
      <c r="AE50" s="655">
        <f ca="1">IFERROR(((IF($Y50=0,10*(VLOOKUP($X50,Übungsübersicht!$E$7:$M$83,3,FALSE)),($Y50)-(1*(VLOOKUP($X50,Übungsübersicht!$E$7:$M$83,3,FALSE)))))),10*(VLOOKUP($X50,Übungsübersicht!$E$7:$M$83,3,FALSE)))</f>
        <v>42.5</v>
      </c>
      <c r="AF50" s="655">
        <f ca="1">IFERROR(IF($Y50=0,20*(VLOOKUP($X50,Übungsübersicht!$E$7:$M$83,3,FALSE)),($Y50)),20*(VLOOKUP($X50,Übungsübersicht!$E$7:$M$83,3,FALSE)))</f>
        <v>45</v>
      </c>
      <c r="AG50" s="655">
        <f ca="1">IFERROR(IF($Y50=0,30*(VLOOKUP($X50,Übungsübersicht!$E$7:$M$83,3,FALSE)),($Y50)+(1*(VLOOKUP($X50,Übungsübersicht!$E$7:$M$83,3,FALSE)))),30*(VLOOKUP($X50,Übungsübersicht!$E$7:$M$83,3,FALSE)))</f>
        <v>47.5</v>
      </c>
      <c r="AH50" s="655">
        <f ca="1">IFERROR(IF($Y50=0,30*(VLOOKUP($X50,Übungsübersicht!$E$7:$M$83,3,FALSE)),($Y50)+(2*(VLOOKUP($X50,Übungsübersicht!$E$7:$M$83,3,FALSE)))),30*(VLOOKUP($X50,Übungsübersicht!$E$7:$M$83,3,FALSE)))</f>
        <v>50</v>
      </c>
      <c r="AI50" s="655">
        <f ca="1">IFERROR(IF($Y50=0,30*(VLOOKUP($X50,Übungsübersicht!$E$7:$M$83,3,FALSE)),($Y50)+(3*(VLOOKUP($X50,Übungsübersicht!$E$7:$M$83,3,FALSE)))),30*(VLOOKUP($X50,Übungsübersicht!$E$7:$M$83,3,FALSE)))</f>
        <v>52.5</v>
      </c>
      <c r="AJ50" s="655">
        <f ca="1">IFERROR(IF($Y50=0,40*(VLOOKUP($X50,Übungsübersicht!$E$7:$M$83,3,FALSE)),IF($Y50&gt;100,(MROUND(($Y50*1.7),(VLOOKUP($X50,Übungsübersicht!$E$7:$M$83,3,FALSE)))),IF($Y50&gt;80,(MROUND(($Y50*1.7),(VLOOKUP($X50,Übungsübersicht!$E$7:$M$83,3,FALSE)))),IF($Y50&gt;50,(MROUND(($Y50*1.6),(VLOOKUP($X50,Übungsübersicht!$E$7:$M$83,3,FALSE)))),IF($Y50&gt;25,(MROUND(($Y50*1.5),(VLOOKUP($X50,Übungsübersicht!$E$7:$M$83,3,FALSE)))),IF($Y50&gt;15,(MROUND(($Y50*1.4),(VLOOKUP($X50,Übungsübersicht!$E$7:$M$83,3,FALSE)))),IF($Y50&gt;(VLOOKUP($X50,Übungsübersicht!$E$7:$M$83,3,FALSE)),30*(VLOOKUP($X50,Übungsübersicht!$E$7:$M$83,3,FALSE)),""))))))),40*(VLOOKUP($X50,Übungsübersicht!$E$7:$M$83,3,FALSE)))</f>
        <v>67.5</v>
      </c>
      <c r="AK50" s="656">
        <f ca="1">IFERROR(IF($Y50=0,50*(VLOOKUP($X50,Übungsübersicht!$E$7:$M$83,3,FALSE)),IF($Y50&gt;100,(MROUND(($Y50*1.9),(VLOOKUP($X50,Übungsübersicht!$E$7:$M$83,3,FALSE)))),IF($Y50&gt;80,(MROUND(($Y50*1.9),(VLOOKUP($X50,Übungsübersicht!$E$7:$M$83,3,FALSE)))),IF($Y50&gt;50,(MROUND(($Y50*1.8),(VLOOKUP($X50,Übungsübersicht!$E$7:$M$83,3,FALSE)))),IF($Y50&gt;25,(MROUND(($Y50*1.7),(VLOOKUP($X50,Übungsübersicht!$E$7:$M$83,3,FALSE)))),IF($Y50&gt;15,(MROUND(($Y50*1.6),(VLOOKUP($X50,Übungsübersicht!$E$7:$M$83,3,FALSE)))),IF($Y50&gt;(VLOOKUP($X50,Übungsübersicht!$E$7:$M$83,3,FALSE)),40*(VLOOKUP($X50,Übungsübersicht!$E$7:$M$83,3,FALSE)),""))))))),50*(VLOOKUP($X50,Übungsübersicht!$E$7:$M$83,3,FALSE)))</f>
        <v>77.5</v>
      </c>
      <c r="AN50" s="655">
        <f ca="1">MROUND(INDEX(OFFSET(Zyklus!$M$13,47,0),1),(IF(VLOOKUP($X50,Übungsübersicht!$E$7:$K$80,3)=0,0.1,(VLOOKUP($X50,Übungsübersicht!$E$7:$K$80,3)))))</f>
        <v>45</v>
      </c>
      <c r="AP50" s="652">
        <f ca="1">IFERROR(IF(IF(VLOOKUP($X50,Zyklus!$A$14:$U$68,9,FALSE)=0,"RPE 8",IF(VLOOKUP($X50,Übungsübersicht!$E$7:$M$83,3,FALSE)&lt;0.5,($AN50)-(3*0.5),(($AN50)-(3*(VLOOKUP($X50,Übungsübersicht!$E$7:$M$83,3,FALSE))))))&lt;1,0,(IF(VLOOKUP($X50,Zyklus!$A$14:$U$68,9,FALSE)=0,"RPE 8",IF(VLOOKUP($X50,Übungsübersicht!$E$7:$M$83,3,FALSE)&lt;0.5,($AN50)-(3*0.5),(($AN50)-(3*(VLOOKUP($X50,Übungsübersicht!$E$7:$M$83,3,FALSE)))))))),"RPE 8")</f>
        <v>37.5</v>
      </c>
      <c r="AQ50" s="652">
        <f ca="1">IFERROR(IF(IF(VLOOKUP($X50,Zyklus!$A$14:$U$68,9,FALSE)=0,"RPE 8",IF(VLOOKUP($X50,Übungsübersicht!$E$7:$M$83,3,FALSE)&lt;0.5,($AN50)-(2*0.5),(($AN50)-(2*(VLOOKUP($X50,Übungsübersicht!$E$7:$M$83,3,FALSE))))))&lt;1,0,(IF(VLOOKUP($X50,Zyklus!$A$14:$U$68,9,FALSE)=0,"RPE 8",IF(VLOOKUP($X50,Übungsübersicht!$E$7:$M$83,3,FALSE)&lt;0.5,($AN50)-(2*0.5),(($AN50)-(2*(VLOOKUP($X50,Übungsübersicht!$E$7:$M$83,3,FALSE)))))))),"RPE 8")</f>
        <v>40</v>
      </c>
      <c r="AR50" s="652">
        <f ca="1">IFERROR(IF(IF(VLOOKUP($X50,Zyklus!$A$14:$U$68,9,FALSE)=0,"RPE 8",IF(VLOOKUP($X50,Übungsübersicht!$E$7:$M$83,3,FALSE)&lt;0.5,($AN50)-(1*0.5),(($Y50)-(1*(VLOOKUP($X50,Übungsübersicht!$E$7:$M$83,3,FALSE))))))&lt;1,0,(IF(VLOOKUP($X50,Zyklus!$A$14:$U$68,9,FALSE)=0,"RPE 8",IF(VLOOKUP($X50,Übungsübersicht!$E$7:$M$83,3,FALSE)&lt;0.5,($AN50)-(1*0.5),(($Y50)-(1*(VLOOKUP($X50,Übungsübersicht!$E$7:$M$83,3,FALSE)))))))),"RPE 8")</f>
        <v>42.5</v>
      </c>
      <c r="AS50" s="652">
        <f t="shared" ca="1" si="0"/>
        <v>45</v>
      </c>
      <c r="AT50" s="652">
        <f ca="1">IFERROR(IF(VLOOKUP($X50,Zyklus!$A$14:$U$68,9,FALSE)=0,"RPE 8",IF(VLOOKUP($X50,Übungsübersicht!$E$7:$M$83,3,FALSE)&lt;0.5,($AN50)+(1*0.5),(($Y50)+(1*(VLOOKUP($X50,Übungsübersicht!$E$7:$M$83,3,FALSE)))))),"RPE 8")</f>
        <v>47.5</v>
      </c>
      <c r="AU50" s="652">
        <f ca="1">IFERROR(IF(VLOOKUP($X50,Zyklus!$A$14:$U$68,9,FALSE)=0,"RPE 8",IF(VLOOKUP($X50,Übungsübersicht!$E$7:$M$83,3,FALSE)&lt;0.5,($AN50)+(2*0.5),(($AN50)+(2*(VLOOKUP($X50,Übungsübersicht!$E$7:$M$83,3,FALSE)))))),"RPE 8")</f>
        <v>50</v>
      </c>
      <c r="AV50" s="652">
        <f ca="1">IFERROR(IF(VLOOKUP($X50,Zyklus!$A$14:$U$68,9,FALSE)=0,"RPE 8",IF(VLOOKUP($X50,Übungsübersicht!$E$7:$M$83,3,FALSE)&lt;0.5,($AN50)+(3*0.5),(($AN50)+(3*(VLOOKUP($X50,Übungsübersicht!$E$7:$M$83,3,FALSE)))))),"RPE 8")</f>
        <v>52.5</v>
      </c>
      <c r="AY50" s="655">
        <f ca="1">MROUND(INDEX(OFFSET(Zyklus!$M$13,47,0),1),(IF(VLOOKUP($X50,Übungsübersicht!$E$7:$K$80,3)=0,0.1,(VLOOKUP($X50,Übungsübersicht!$E$7:$K$80,3)))))</f>
        <v>45</v>
      </c>
      <c r="BA50" s="652">
        <f ca="1">MROUND(INDEX(OFFSET(Zyklus!$Q$13,47,0),1),(IF(VLOOKUP($X50,Übungsübersicht!$E$7:$K$80,3)=0,0.1,(VLOOKUP($X50,Übungsübersicht!$E$7:$K$80,3)))))</f>
        <v>45</v>
      </c>
      <c r="BC50" s="652">
        <f ca="1">IFERROR(IF(IF(VLOOKUP($X50,Zyklus!$A$14:$U$68,9,FALSE)=0,"RPE 9",IF(VLOOKUP($X50,Übungsübersicht!$E$7:$M$83,3,FALSE)&lt;0.5,($BA50)-(3*0.5),(($BA50)-(3*(VLOOKUP($X50,Übungsübersicht!$E$7:$M$83,3,FALSE))))))&lt;1,0,(IF(VLOOKUP($X50,Zyklus!$A$14:$U$68,9,FALSE)=0,"RPE 9",IF(VLOOKUP($X50,Übungsübersicht!$E$7:$M$83,3,FALSE)&lt;0.5,($BA50)-(3*0.5),(($BA50)-(3*(VLOOKUP($X50,Übungsübersicht!$E$7:$M$83,3,FALSE)))))))),"RPE 9")</f>
        <v>37.5</v>
      </c>
      <c r="BD50" s="652">
        <f ca="1">IFERROR(IF(IF(VLOOKUP($X50,Zyklus!$A$14:$U$68,9,FALSE)=0,"RPE 9",IF(VLOOKUP($X50,Übungsübersicht!$E$7:$M$83,3,FALSE)&lt;0.5,($BA50)-(2*0.5),(($BA50)-(2*(VLOOKUP($X50,Übungsübersicht!$E$7:$M$83,3,FALSE))))))&lt;1,0,(IF(VLOOKUP($X50,Zyklus!$A$14:$U$68,9,FALSE)=0,"RPE 9",IF(VLOOKUP($X50,Übungsübersicht!$E$7:$M$83,3,FALSE)&lt;0.5,($BA50)-(2*0.5),(($BA50)-(2*(VLOOKUP($X50,Übungsübersicht!$E$7:$M$83,3,FALSE)))))))),"RPE 9")</f>
        <v>40</v>
      </c>
      <c r="BE50" s="652">
        <f ca="1">IFERROR(IF(IF(VLOOKUP($X50,Zyklus!$A$14:$U$68,9,FALSE)=0,"RPE 9",IF(VLOOKUP($X50,Übungsübersicht!$E$7:$M$83,3,FALSE)&lt;0.5,($BA50)-(1*0.5),(($Y50)-(1*(VLOOKUP($X50,Übungsübersicht!$E$7:$M$83,3,FALSE))))))&lt;1,0,(IF(VLOOKUP($X50,Zyklus!$A$14:$U$68,9,FALSE)=0,"RPE 9",IF(VLOOKUP($X50,Übungsübersicht!$E$7:$M$83,3,FALSE)&lt;0.5,($BA50)-(1*0.5),(($Y50)-(1*(VLOOKUP($X50,Übungsübersicht!$E$7:$M$83,3,FALSE)))))))),"RPE 9")</f>
        <v>42.5</v>
      </c>
      <c r="BF50" s="652">
        <f t="shared" ca="1" si="1"/>
        <v>45</v>
      </c>
      <c r="BG50" s="652">
        <f ca="1">IFERROR(IF(VLOOKUP($X50,Zyklus!$A$14:$U$68,9,FALSE)=0,"RPE 9",IF(VLOOKUP($X50,Übungsübersicht!$E$7:$M$83,3,FALSE)&lt;0.5,($AY50)+(1*0.5),(($AY50)+(1*(VLOOKUP($X50,Übungsübersicht!$E$7:$M$83,3,FALSE)))))),"RPE 9")</f>
        <v>47.5</v>
      </c>
      <c r="BH50" s="652">
        <f ca="1">IFERROR(IF(VLOOKUP($X50,Zyklus!$A$14:$U$68,9,FALSE)=0,"RPE 9",IF(VLOOKUP($X50,Übungsübersicht!$E$7:$M$83,3,FALSE)&lt;0.5,($BA50)+(2*0.5),(($BA50)+(2*(VLOOKUP($X50,Übungsübersicht!$E$7:$M$83,3,FALSE)))))),"RPE 9")</f>
        <v>50</v>
      </c>
      <c r="BI50" s="652">
        <f ca="1">IFERROR(IF(VLOOKUP($X50,Zyklus!$A$14:$U$68,9,FALSE)=0,"RPE 9",IF(VLOOKUP($X50,Übungsübersicht!$E$7:$M$83,3,FALSE)&lt;0.5,($BA50)+(3*0.5),(($BA50)+(3*(VLOOKUP($X50,Übungsübersicht!$E$7:$M$83,3,FALSE)))))),"RPE 9")</f>
        <v>52.5</v>
      </c>
    </row>
    <row r="51" spans="4:61" ht="30" customHeight="1">
      <c r="D51" s="326">
        <v>30</v>
      </c>
      <c r="E51" s="323">
        <f t="shared" si="2"/>
        <v>22.580645161290324</v>
      </c>
      <c r="F51" s="344">
        <f t="shared" si="3"/>
        <v>0.19444444444444445</v>
      </c>
      <c r="H51" s="326">
        <v>30</v>
      </c>
      <c r="I51" s="323">
        <f t="shared" si="5"/>
        <v>60</v>
      </c>
      <c r="J51" s="344">
        <f t="shared" si="4"/>
        <v>0.5</v>
      </c>
      <c r="O51" s="489" t="s">
        <v>2</v>
      </c>
      <c r="P51" s="490"/>
      <c r="Q51" s="490">
        <f>Dashboard!$C$20*'Funktions-Tabelle'!Q35</f>
        <v>70.2</v>
      </c>
      <c r="R51" s="490"/>
      <c r="S51" s="490">
        <f>Dashboard!$C$20*'Funktions-Tabelle'!S35</f>
        <v>109.19999999999999</v>
      </c>
      <c r="T51" s="490"/>
      <c r="U51" s="638">
        <f>Dashboard!$C$20*'Funktions-Tabelle'!U35</f>
        <v>156</v>
      </c>
      <c r="X51" s="651" t="str">
        <f ca="1">INDEX(OFFSET(Zyklus!$A$13,48,0),1)</f>
        <v>Bizeps Maschine</v>
      </c>
      <c r="Y51" s="652">
        <f ca="1">MROUND(INDEX(OFFSET(Zyklus!$I$13,48,0),1),(IF(VLOOKUP($X51,Übungsübersicht!$E$7:$K$80,3)=0,0.1,(VLOOKUP($X51,Übungsübersicht!$E$7:$K$80,3)))))</f>
        <v>45</v>
      </c>
      <c r="Z51" s="652"/>
      <c r="AA51" s="652">
        <f ca="1">IFERROR(IF($Y51=0,2*(VLOOKUP($X51,Übungsübersicht!$E$7:$M$83,3,FALSE)),IF($Y51&gt;100,(MROUND(($Y51*0.1),(VLOOKUP($X51,Übungsübersicht!$E$7:$M$83,3,FALSE)))),IF($Y51&gt;80,(MROUND(($Y51*0.1),(VLOOKUP($X51,Übungsübersicht!$E$7:$M$83,3,FALSE)))),IF($Y51&gt;50,(MROUND(($Y51*0.2),(VLOOKUP($X51,Übungsübersicht!$E$7:$M$83,3,FALSE)))),IF($Y51&gt;25,(MROUND(($Y51*0.3),(VLOOKUP($X51,Übungsübersicht!$E$7:$M$83,3,FALSE)))),IF($Y51&gt;15,(MROUND(($Y51*0.4),(VLOOKUP($X51,Übungsübersicht!$E$7:$M$83,3,FALSE)))),IF($Y51&gt;(VLOOKUP($X51,Übungsübersicht!$E$7:$M$83,3,FALSE)),(VLOOKUP($X51,Übungsübersicht!$E$7:$M$83,3,FALSE)),""))))))),2*(VLOOKUP($X51,Übungsübersicht!$E$7:$M$83,3,FALSE)))</f>
        <v>12.5</v>
      </c>
      <c r="AB51" s="652">
        <f ca="1">IFERROR(IF($Y51=0,4*(VLOOKUP($X51,Übungsübersicht!$E$7:$M$83,3,FALSE)),IF($Y51&gt;100,(MROUND(($Y51*0.3),(VLOOKUP($X51,Übungsübersicht!$E$7:$M$83,3,FALSE)))),IF($Y51&gt;80,(MROUND(($Y51*0.3),(VLOOKUP($X51,Übungsübersicht!$E$7:$M$83,3,FALSE)))),IF($Y51&gt;50,(MROUND(($Y51*0.4),(VLOOKUP($X51,Übungsübersicht!$E$7:$M$83,3,FALSE)))),IF($Y51&gt;25,(MROUND(($Y51*0.5),(VLOOKUP($X51,Übungsübersicht!$E$7:$M$83,3,FALSE)))),IF($Y51&gt;15,(MROUND(($Y51*0.6),(VLOOKUP($X51,Übungsübersicht!$E$7:$M$83,3,FALSE)))),IF($Y51&gt;(VLOOKUP($X51,Übungsübersicht!$E$7:$M$83,3,FALSE)),(VLOOKUP($X51,Übungsübersicht!$E$7:$M$83,3,FALSE)),""))))))),4*(VLOOKUP($X51,Übungsübersicht!$E$7:$M$83,3,FALSE)))</f>
        <v>22.5</v>
      </c>
      <c r="AC51" s="652">
        <f ca="1">IFERROR((IF($Y51=0,8*(VLOOKUP($X51,Übungsübersicht!$E$7:$M$83,3,FALSE)),(($Y51)-(3*(VLOOKUP($X51,Übungsübersicht!$E$7:$M$83,3,FALSE)))))),8*(VLOOKUP($X51,Übungsübersicht!$E$7:$M$83,3,FALSE)))</f>
        <v>37.5</v>
      </c>
      <c r="AD51" s="652">
        <f ca="1">IFERROR(((IF($Y51=0,10*(VLOOKUP($X51,Übungsübersicht!$E$7:$M$83,3,FALSE)),($Y51)-(2*(VLOOKUP($X51,Übungsübersicht!$E$7:$M$83,3,FALSE)))))),10*(VLOOKUP($X51,Übungsübersicht!$E$7:$M$83,3,FALSE)))</f>
        <v>40</v>
      </c>
      <c r="AE51" s="652">
        <f ca="1">IFERROR(((IF($Y51=0,10*(VLOOKUP($X51,Übungsübersicht!$E$7:$M$83,3,FALSE)),($Y51)-(1*(VLOOKUP($X51,Übungsübersicht!$E$7:$M$83,3,FALSE)))))),10*(VLOOKUP($X51,Übungsübersicht!$E$7:$M$83,3,FALSE)))</f>
        <v>42.5</v>
      </c>
      <c r="AF51" s="652">
        <f ca="1">IFERROR(IF($Y51=0,20*(VLOOKUP($X51,Übungsübersicht!$E$7:$M$83,3,FALSE)),($Y51)),20*(VLOOKUP($X51,Übungsübersicht!$E$7:$M$83,3,FALSE)))</f>
        <v>45</v>
      </c>
      <c r="AG51" s="652">
        <f ca="1">IFERROR(IF($Y51=0,30*(VLOOKUP($X51,Übungsübersicht!$E$7:$M$83,3,FALSE)),($Y51)+(1*(VLOOKUP($X51,Übungsübersicht!$E$7:$M$83,3,FALSE)))),30*(VLOOKUP($X51,Übungsübersicht!$E$7:$M$83,3,FALSE)))</f>
        <v>47.5</v>
      </c>
      <c r="AH51" s="652">
        <f ca="1">IFERROR(IF($Y51=0,30*(VLOOKUP($X51,Übungsübersicht!$E$7:$M$83,3,FALSE)),($Y51)+(2*(VLOOKUP($X51,Übungsübersicht!$E$7:$M$83,3,FALSE)))),30*(VLOOKUP($X51,Übungsübersicht!$E$7:$M$83,3,FALSE)))</f>
        <v>50</v>
      </c>
      <c r="AI51" s="652">
        <f ca="1">IFERROR(IF($Y51=0,30*(VLOOKUP($X51,Übungsübersicht!$E$7:$M$83,3,FALSE)),($Y51)+(3*(VLOOKUP($X51,Übungsübersicht!$E$7:$M$83,3,FALSE)))),30*(VLOOKUP($X51,Übungsübersicht!$E$7:$M$83,3,FALSE)))</f>
        <v>52.5</v>
      </c>
      <c r="AJ51" s="652">
        <f ca="1">IFERROR(IF($Y51=0,40*(VLOOKUP($X51,Übungsübersicht!$E$7:$M$83,3,FALSE)),IF($Y51&gt;100,(MROUND(($Y51*1.7),(VLOOKUP($X51,Übungsübersicht!$E$7:$M$83,3,FALSE)))),IF($Y51&gt;80,(MROUND(($Y51*1.7),(VLOOKUP($X51,Übungsübersicht!$E$7:$M$83,3,FALSE)))),IF($Y51&gt;50,(MROUND(($Y51*1.6),(VLOOKUP($X51,Übungsübersicht!$E$7:$M$83,3,FALSE)))),IF($Y51&gt;25,(MROUND(($Y51*1.5),(VLOOKUP($X51,Übungsübersicht!$E$7:$M$83,3,FALSE)))),IF($Y51&gt;15,(MROUND(($Y51*1.4),(VLOOKUP($X51,Übungsübersicht!$E$7:$M$83,3,FALSE)))),IF($Y51&gt;(VLOOKUP($X51,Übungsübersicht!$E$7:$M$83,3,FALSE)),30*(VLOOKUP($X51,Übungsübersicht!$E$7:$M$83,3,FALSE)),""))))))),40*(VLOOKUP($X51,Übungsübersicht!$E$7:$M$83,3,FALSE)))</f>
        <v>67.5</v>
      </c>
      <c r="AK51" s="653">
        <f ca="1">IFERROR(IF($Y51=0,50*(VLOOKUP($X51,Übungsübersicht!$E$7:$M$83,3,FALSE)),IF($Y51&gt;100,(MROUND(($Y51*1.9),(VLOOKUP($X51,Übungsübersicht!$E$7:$M$83,3,FALSE)))),IF($Y51&gt;80,(MROUND(($Y51*1.9),(VLOOKUP($X51,Übungsübersicht!$E$7:$M$83,3,FALSE)))),IF($Y51&gt;50,(MROUND(($Y51*1.8),(VLOOKUP($X51,Übungsübersicht!$E$7:$M$83,3,FALSE)))),IF($Y51&gt;25,(MROUND(($Y51*1.7),(VLOOKUP($X51,Übungsübersicht!$E$7:$M$83,3,FALSE)))),IF($Y51&gt;15,(MROUND(($Y51*1.6),(VLOOKUP($X51,Übungsübersicht!$E$7:$M$83,3,FALSE)))),IF($Y51&gt;(VLOOKUP($X51,Übungsübersicht!$E$7:$M$83,3,FALSE)),40*(VLOOKUP($X51,Übungsübersicht!$E$7:$M$83,3,FALSE)),""))))))),50*(VLOOKUP($X51,Übungsübersicht!$E$7:$M$83,3,FALSE)))</f>
        <v>77.5</v>
      </c>
      <c r="AN51" s="652">
        <f ca="1">MROUND(INDEX(OFFSET(Zyklus!$M$13,48,0),1),(IF(VLOOKUP($X51,Übungsübersicht!$E$7:$K$80,3)=0,0.1,(VLOOKUP($X51,Übungsübersicht!$E$7:$K$80,3)))))</f>
        <v>45</v>
      </c>
      <c r="AP51" s="655">
        <f ca="1">IFERROR(IF(IF(VLOOKUP($X51,Zyklus!$A$14:$U$68,9,FALSE)=0,"RPE 8",IF(VLOOKUP($X51,Übungsübersicht!$E$7:$M$83,3,FALSE)&lt;0.5,($AN51)-(3*0.5),(($AN51)-(3*(VLOOKUP($X51,Übungsübersicht!$E$7:$M$83,3,FALSE))))))&lt;1,0,(IF(VLOOKUP($X51,Zyklus!$A$14:$U$68,9,FALSE)=0,"RPE 8",IF(VLOOKUP($X51,Übungsübersicht!$E$7:$M$83,3,FALSE)&lt;0.5,($AN51)-(3*0.5),(($AN51)-(3*(VLOOKUP($X51,Übungsübersicht!$E$7:$M$83,3,FALSE)))))))),"RPE 8")</f>
        <v>37.5</v>
      </c>
      <c r="AQ51" s="655">
        <f ca="1">IFERROR(IF(IF(VLOOKUP($X51,Zyklus!$A$14:$U$68,9,FALSE)=0,"RPE 8",IF(VLOOKUP($X51,Übungsübersicht!$E$7:$M$83,3,FALSE)&lt;0.5,($AN51)-(2*0.5),(($AN51)-(2*(VLOOKUP($X51,Übungsübersicht!$E$7:$M$83,3,FALSE))))))&lt;1,0,(IF(VLOOKUP($X51,Zyklus!$A$14:$U$68,9,FALSE)=0,"RPE 8",IF(VLOOKUP($X51,Übungsübersicht!$E$7:$M$83,3,FALSE)&lt;0.5,($AN51)-(2*0.5),(($AN51)-(2*(VLOOKUP($X51,Übungsübersicht!$E$7:$M$83,3,FALSE)))))))),"RPE 8")</f>
        <v>40</v>
      </c>
      <c r="AR51" s="655">
        <f ca="1">IFERROR(IF(IF(VLOOKUP($X51,Zyklus!$A$14:$U$68,9,FALSE)=0,"RPE 8",IF(VLOOKUP($X51,Übungsübersicht!$E$7:$M$83,3,FALSE)&lt;0.5,($AN51)-(1*0.5),(($Y51)-(1*(VLOOKUP($X51,Übungsübersicht!$E$7:$M$83,3,FALSE))))))&lt;1,0,(IF(VLOOKUP($X51,Zyklus!$A$14:$U$68,9,FALSE)=0,"RPE 8",IF(VLOOKUP($X51,Übungsübersicht!$E$7:$M$83,3,FALSE)&lt;0.5,($AN51)-(1*0.5),(($Y51)-(1*(VLOOKUP($X51,Übungsübersicht!$E$7:$M$83,3,FALSE)))))))),"RPE 8")</f>
        <v>42.5</v>
      </c>
      <c r="AS51" s="655">
        <f t="shared" ca="1" si="0"/>
        <v>45</v>
      </c>
      <c r="AT51" s="655">
        <f ca="1">IFERROR(IF(VLOOKUP($X51,Zyklus!$A$14:$U$68,9,FALSE)=0,"RPE 8",IF(VLOOKUP($X51,Übungsübersicht!$E$7:$M$83,3,FALSE)&lt;0.5,($AN51)+(1*0.5),(($Y51)+(1*(VLOOKUP($X51,Übungsübersicht!$E$7:$M$83,3,FALSE)))))),"RPE 8")</f>
        <v>47.5</v>
      </c>
      <c r="AU51" s="655">
        <f ca="1">IFERROR(IF(VLOOKUP($X51,Zyklus!$A$14:$U$68,9,FALSE)=0,"RPE 8",IF(VLOOKUP($X51,Übungsübersicht!$E$7:$M$83,3,FALSE)&lt;0.5,($AN51)+(2*0.5),(($AN51)+(2*(VLOOKUP($X51,Übungsübersicht!$E$7:$M$83,3,FALSE)))))),"RPE 8")</f>
        <v>50</v>
      </c>
      <c r="AV51" s="655">
        <f ca="1">IFERROR(IF(VLOOKUP($X51,Zyklus!$A$14:$U$68,9,FALSE)=0,"RPE 8",IF(VLOOKUP($X51,Übungsübersicht!$E$7:$M$83,3,FALSE)&lt;0.5,($AN51)+(3*0.5),(($AN51)+(3*(VLOOKUP($X51,Übungsübersicht!$E$7:$M$83,3,FALSE)))))),"RPE 8")</f>
        <v>52.5</v>
      </c>
      <c r="AY51" s="652">
        <f ca="1">MROUND(INDEX(OFFSET(Zyklus!$M$13,48,0),1),(IF(VLOOKUP($X51,Übungsübersicht!$E$7:$K$80,3)=0,0.1,(VLOOKUP($X51,Übungsübersicht!$E$7:$K$80,3)))))</f>
        <v>45</v>
      </c>
      <c r="BA51" s="655">
        <f ca="1">MROUND(INDEX(OFFSET(Zyklus!$Q$13,48,0),1),(IF(VLOOKUP($X51,Übungsübersicht!$E$7:$K$80,3)=0,0.1,(VLOOKUP($X51,Übungsübersicht!$E$7:$K$80,3)))))</f>
        <v>45</v>
      </c>
      <c r="BC51" s="655">
        <f ca="1">IFERROR(IF(IF(VLOOKUP($X51,Zyklus!$A$14:$U$68,9,FALSE)=0,"RPE 9",IF(VLOOKUP($X51,Übungsübersicht!$E$7:$M$83,3,FALSE)&lt;0.5,($BA51)-(3*0.5),(($BA51)-(3*(VLOOKUP($X51,Übungsübersicht!$E$7:$M$83,3,FALSE))))))&lt;1,0,(IF(VLOOKUP($X51,Zyklus!$A$14:$U$68,9,FALSE)=0,"RPE 9",IF(VLOOKUP($X51,Übungsübersicht!$E$7:$M$83,3,FALSE)&lt;0.5,($BA51)-(3*0.5),(($BA51)-(3*(VLOOKUP($X51,Übungsübersicht!$E$7:$M$83,3,FALSE)))))))),"RPE 9")</f>
        <v>37.5</v>
      </c>
      <c r="BD51" s="655">
        <f ca="1">IFERROR(IF(IF(VLOOKUP($X51,Zyklus!$A$14:$U$68,9,FALSE)=0,"RPE 9",IF(VLOOKUP($X51,Übungsübersicht!$E$7:$M$83,3,FALSE)&lt;0.5,($BA51)-(2*0.5),(($BA51)-(2*(VLOOKUP($X51,Übungsübersicht!$E$7:$M$83,3,FALSE))))))&lt;1,0,(IF(VLOOKUP($X51,Zyklus!$A$14:$U$68,9,FALSE)=0,"RPE 9",IF(VLOOKUP($X51,Übungsübersicht!$E$7:$M$83,3,FALSE)&lt;0.5,($BA51)-(2*0.5),(($BA51)-(2*(VLOOKUP($X51,Übungsübersicht!$E$7:$M$83,3,FALSE)))))))),"RPE 9")</f>
        <v>40</v>
      </c>
      <c r="BE51" s="655">
        <f ca="1">IFERROR(IF(IF(VLOOKUP($X51,Zyklus!$A$14:$U$68,9,FALSE)=0,"RPE 9",IF(VLOOKUP($X51,Übungsübersicht!$E$7:$M$83,3,FALSE)&lt;0.5,($BA51)-(1*0.5),(($Y51)-(1*(VLOOKUP($X51,Übungsübersicht!$E$7:$M$83,3,FALSE))))))&lt;1,0,(IF(VLOOKUP($X51,Zyklus!$A$14:$U$68,9,FALSE)=0,"RPE 9",IF(VLOOKUP($X51,Übungsübersicht!$E$7:$M$83,3,FALSE)&lt;0.5,($BA51)-(1*0.5),(($Y51)-(1*(VLOOKUP($X51,Übungsübersicht!$E$7:$M$83,3,FALSE)))))))),"RPE 9")</f>
        <v>42.5</v>
      </c>
      <c r="BF51" s="655">
        <f t="shared" ca="1" si="1"/>
        <v>45</v>
      </c>
      <c r="BG51" s="655">
        <f ca="1">IFERROR(IF(VLOOKUP($X51,Zyklus!$A$14:$U$68,9,FALSE)=0,"RPE 9",IF(VLOOKUP($X51,Übungsübersicht!$E$7:$M$83,3,FALSE)&lt;0.5,($AY51)+(1*0.5),(($AY51)+(1*(VLOOKUP($X51,Übungsübersicht!$E$7:$M$83,3,FALSE)))))),"RPE 9")</f>
        <v>47.5</v>
      </c>
      <c r="BH51" s="655">
        <f ca="1">IFERROR(IF(VLOOKUP($X51,Zyklus!$A$14:$U$68,9,FALSE)=0,"RPE 9",IF(VLOOKUP($X51,Übungsübersicht!$E$7:$M$83,3,FALSE)&lt;0.5,($BA51)+(2*0.5),(($BA51)+(2*(VLOOKUP($X51,Übungsübersicht!$E$7:$M$83,3,FALSE)))))),"RPE 9")</f>
        <v>50</v>
      </c>
      <c r="BI51" s="655">
        <f ca="1">IFERROR(IF(VLOOKUP($X51,Zyklus!$A$14:$U$68,9,FALSE)=0,"RPE 9",IF(VLOOKUP($X51,Übungsübersicht!$E$7:$M$83,3,FALSE)&lt;0.5,($BA51)+(3*0.5),(($BA51)+(3*(VLOOKUP($X51,Übungsübersicht!$E$7:$M$83,3,FALSE)))))),"RPE 9")</f>
        <v>52.5</v>
      </c>
    </row>
    <row r="52" spans="4:61" ht="30" customHeight="1">
      <c r="D52" s="324">
        <v>31</v>
      </c>
      <c r="E52" s="325">
        <f t="shared" si="2"/>
        <v>19.35483870967742</v>
      </c>
      <c r="F52" s="343">
        <f t="shared" si="3"/>
        <v>0.16666666666666666</v>
      </c>
      <c r="H52" s="324">
        <v>31</v>
      </c>
      <c r="I52" s="325">
        <f t="shared" si="5"/>
        <v>59.016393442622956</v>
      </c>
      <c r="J52" s="343">
        <f t="shared" si="4"/>
        <v>0.49180327868852464</v>
      </c>
      <c r="O52" s="492" t="s">
        <v>225</v>
      </c>
      <c r="P52" s="493"/>
      <c r="Q52" s="493">
        <f>Dashboard!$C$20*'Funktions-Tabelle'!Q36</f>
        <v>117</v>
      </c>
      <c r="R52" s="493"/>
      <c r="S52" s="493">
        <f>Dashboard!$C$20*'Funktions-Tabelle'!S36</f>
        <v>171.60000000000002</v>
      </c>
      <c r="T52" s="493"/>
      <c r="U52" s="635">
        <f>Dashboard!$C$20*'Funktions-Tabelle'!U36</f>
        <v>234</v>
      </c>
      <c r="X52" s="654" t="str">
        <f ca="1">INDEX(OFFSET(Zyklus!$A$13,49,0),1)</f>
        <v>Trizepsstrecken Überkopf</v>
      </c>
      <c r="Y52" s="655">
        <f ca="1">MROUND(INDEX(OFFSET(Zyklus!$I$13,49,0),1),(IF(VLOOKUP($X52,Übungsübersicht!$E$7:$K$80,3)=0,0.1,(VLOOKUP($X52,Übungsübersicht!$E$7:$K$80,3)))))</f>
        <v>20</v>
      </c>
      <c r="Z52" s="655"/>
      <c r="AA52" s="655">
        <f ca="1">IFERROR(IF($Y52=0,2*(VLOOKUP($X52,Übungsübersicht!$E$7:$M$83,3,FALSE)),IF($Y52&gt;100,(MROUND(($Y52*0.1),(VLOOKUP($X52,Übungsübersicht!$E$7:$M$83,3,FALSE)))),IF($Y52&gt;80,(MROUND(($Y52*0.1),(VLOOKUP($X52,Übungsübersicht!$E$7:$M$83,3,FALSE)))),IF($Y52&gt;50,(MROUND(($Y52*0.2),(VLOOKUP($X52,Übungsübersicht!$E$7:$M$83,3,FALSE)))),IF($Y52&gt;25,(MROUND(($Y52*0.3),(VLOOKUP($X52,Übungsübersicht!$E$7:$M$83,3,FALSE)))),IF($Y52&gt;15,(MROUND(($Y52*0.4),(VLOOKUP($X52,Übungsübersicht!$E$7:$M$83,3,FALSE)))),IF($Y52&gt;(VLOOKUP($X52,Übungsübersicht!$E$7:$M$83,3,FALSE)),(VLOOKUP($X52,Übungsübersicht!$E$7:$M$83,3,FALSE)),""))))))),2*(VLOOKUP($X52,Übungsübersicht!$E$7:$M$83,3,FALSE)))</f>
        <v>7.5</v>
      </c>
      <c r="AB52" s="655">
        <f ca="1">IFERROR(IF($Y52=0,4*(VLOOKUP($X52,Übungsübersicht!$E$7:$M$83,3,FALSE)),IF($Y52&gt;100,(MROUND(($Y52*0.3),(VLOOKUP($X52,Übungsübersicht!$E$7:$M$83,3,FALSE)))),IF($Y52&gt;80,(MROUND(($Y52*0.3),(VLOOKUP($X52,Übungsübersicht!$E$7:$M$83,3,FALSE)))),IF($Y52&gt;50,(MROUND(($Y52*0.4),(VLOOKUP($X52,Übungsübersicht!$E$7:$M$83,3,FALSE)))),IF($Y52&gt;25,(MROUND(($Y52*0.5),(VLOOKUP($X52,Übungsübersicht!$E$7:$M$83,3,FALSE)))),IF($Y52&gt;15,(MROUND(($Y52*0.6),(VLOOKUP($X52,Übungsübersicht!$E$7:$M$83,3,FALSE)))),IF($Y52&gt;(VLOOKUP($X52,Übungsübersicht!$E$7:$M$83,3,FALSE)),(VLOOKUP($X52,Übungsübersicht!$E$7:$M$83,3,FALSE)),""))))))),4*(VLOOKUP($X52,Übungsübersicht!$E$7:$M$83,3,FALSE)))</f>
        <v>12.5</v>
      </c>
      <c r="AC52" s="655">
        <f ca="1">IFERROR((IF($Y52=0,8*(VLOOKUP($X52,Übungsübersicht!$E$7:$M$83,3,FALSE)),(($Y52)-(3*(VLOOKUP($X52,Übungsübersicht!$E$7:$M$83,3,FALSE)))))),8*(VLOOKUP($X52,Übungsübersicht!$E$7:$M$83,3,FALSE)))</f>
        <v>12.5</v>
      </c>
      <c r="AD52" s="655">
        <f ca="1">IFERROR(((IF($Y52=0,10*(VLOOKUP($X52,Übungsübersicht!$E$7:$M$83,3,FALSE)),($Y52)-(2*(VLOOKUP($X52,Übungsübersicht!$E$7:$M$83,3,FALSE)))))),10*(VLOOKUP($X52,Übungsübersicht!$E$7:$M$83,3,FALSE)))</f>
        <v>15</v>
      </c>
      <c r="AE52" s="655">
        <f ca="1">IFERROR(((IF($Y52=0,10*(VLOOKUP($X52,Übungsübersicht!$E$7:$M$83,3,FALSE)),($Y52)-(1*(VLOOKUP($X52,Übungsübersicht!$E$7:$M$83,3,FALSE)))))),10*(VLOOKUP($X52,Übungsübersicht!$E$7:$M$83,3,FALSE)))</f>
        <v>17.5</v>
      </c>
      <c r="AF52" s="655">
        <f ca="1">IFERROR(IF($Y52=0,20*(VLOOKUP($X52,Übungsübersicht!$E$7:$M$83,3,FALSE)),($Y52)),20*(VLOOKUP($X52,Übungsübersicht!$E$7:$M$83,3,FALSE)))</f>
        <v>20</v>
      </c>
      <c r="AG52" s="655">
        <f ca="1">IFERROR(IF($Y52=0,30*(VLOOKUP($X52,Übungsübersicht!$E$7:$M$83,3,FALSE)),($Y52)+(1*(VLOOKUP($X52,Übungsübersicht!$E$7:$M$83,3,FALSE)))),30*(VLOOKUP($X52,Übungsübersicht!$E$7:$M$83,3,FALSE)))</f>
        <v>22.5</v>
      </c>
      <c r="AH52" s="655">
        <f ca="1">IFERROR(IF($Y52=0,30*(VLOOKUP($X52,Übungsübersicht!$E$7:$M$83,3,FALSE)),($Y52)+(2*(VLOOKUP($X52,Übungsübersicht!$E$7:$M$83,3,FALSE)))),30*(VLOOKUP($X52,Übungsübersicht!$E$7:$M$83,3,FALSE)))</f>
        <v>25</v>
      </c>
      <c r="AI52" s="655">
        <f ca="1">IFERROR(IF($Y52=0,30*(VLOOKUP($X52,Übungsübersicht!$E$7:$M$83,3,FALSE)),($Y52)+(3*(VLOOKUP($X52,Übungsübersicht!$E$7:$M$83,3,FALSE)))),30*(VLOOKUP($X52,Übungsübersicht!$E$7:$M$83,3,FALSE)))</f>
        <v>27.5</v>
      </c>
      <c r="AJ52" s="655">
        <f ca="1">IFERROR(IF($Y52=0,40*(VLOOKUP($X52,Übungsübersicht!$E$7:$M$83,3,FALSE)),IF($Y52&gt;100,(MROUND(($Y52*1.7),(VLOOKUP($X52,Übungsübersicht!$E$7:$M$83,3,FALSE)))),IF($Y52&gt;80,(MROUND(($Y52*1.7),(VLOOKUP($X52,Übungsübersicht!$E$7:$M$83,3,FALSE)))),IF($Y52&gt;50,(MROUND(($Y52*1.6),(VLOOKUP($X52,Übungsübersicht!$E$7:$M$83,3,FALSE)))),IF($Y52&gt;25,(MROUND(($Y52*1.5),(VLOOKUP($X52,Übungsübersicht!$E$7:$M$83,3,FALSE)))),IF($Y52&gt;15,(MROUND(($Y52*1.4),(VLOOKUP($X52,Übungsübersicht!$E$7:$M$83,3,FALSE)))),IF($Y52&gt;(VLOOKUP($X52,Übungsübersicht!$E$7:$M$83,3,FALSE)),30*(VLOOKUP($X52,Übungsübersicht!$E$7:$M$83,3,FALSE)),""))))))),40*(VLOOKUP($X52,Übungsübersicht!$E$7:$M$83,3,FALSE)))</f>
        <v>27.5</v>
      </c>
      <c r="AK52" s="656">
        <f ca="1">IFERROR(IF($Y52=0,50*(VLOOKUP($X52,Übungsübersicht!$E$7:$M$83,3,FALSE)),IF($Y52&gt;100,(MROUND(($Y52*1.9),(VLOOKUP($X52,Übungsübersicht!$E$7:$M$83,3,FALSE)))),IF($Y52&gt;80,(MROUND(($Y52*1.9),(VLOOKUP($X52,Übungsübersicht!$E$7:$M$83,3,FALSE)))),IF($Y52&gt;50,(MROUND(($Y52*1.8),(VLOOKUP($X52,Übungsübersicht!$E$7:$M$83,3,FALSE)))),IF($Y52&gt;25,(MROUND(($Y52*1.7),(VLOOKUP($X52,Übungsübersicht!$E$7:$M$83,3,FALSE)))),IF($Y52&gt;15,(MROUND(($Y52*1.6),(VLOOKUP($X52,Übungsübersicht!$E$7:$M$83,3,FALSE)))),IF($Y52&gt;(VLOOKUP($X52,Übungsübersicht!$E$7:$M$83,3,FALSE)),40*(VLOOKUP($X52,Übungsübersicht!$E$7:$M$83,3,FALSE)),""))))))),50*(VLOOKUP($X52,Übungsübersicht!$E$7:$M$83,3,FALSE)))</f>
        <v>32.5</v>
      </c>
      <c r="AN52" s="655">
        <f ca="1">MROUND(INDEX(OFFSET(Zyklus!$M$13,49,0),1),(IF(VLOOKUP($X52,Übungsübersicht!$E$7:$K$80,3)=0,0.1,(VLOOKUP($X52,Übungsübersicht!$E$7:$K$80,3)))))</f>
        <v>20</v>
      </c>
      <c r="AP52" s="652">
        <f ca="1">IFERROR(IF(IF(VLOOKUP($X52,Zyklus!$A$14:$U$68,9,FALSE)=0,"RPE 8",IF(VLOOKUP($X52,Übungsübersicht!$E$7:$M$83,3,FALSE)&lt;0.5,($AN52)-(3*0.5),(($AN52)-(3*(VLOOKUP($X52,Übungsübersicht!$E$7:$M$83,3,FALSE))))))&lt;1,0,(IF(VLOOKUP($X52,Zyklus!$A$14:$U$68,9,FALSE)=0,"RPE 8",IF(VLOOKUP($X52,Übungsübersicht!$E$7:$M$83,3,FALSE)&lt;0.5,($AN52)-(3*0.5),(($AN52)-(3*(VLOOKUP($X52,Übungsübersicht!$E$7:$M$83,3,FALSE)))))))),"RPE 8")</f>
        <v>12.5</v>
      </c>
      <c r="AQ52" s="652">
        <f ca="1">IFERROR(IF(IF(VLOOKUP($X52,Zyklus!$A$14:$U$68,9,FALSE)=0,"RPE 8",IF(VLOOKUP($X52,Übungsübersicht!$E$7:$M$83,3,FALSE)&lt;0.5,($AN52)-(2*0.5),(($AN52)-(2*(VLOOKUP($X52,Übungsübersicht!$E$7:$M$83,3,FALSE))))))&lt;1,0,(IF(VLOOKUP($X52,Zyklus!$A$14:$U$68,9,FALSE)=0,"RPE 8",IF(VLOOKUP($X52,Übungsübersicht!$E$7:$M$83,3,FALSE)&lt;0.5,($AN52)-(2*0.5),(($AN52)-(2*(VLOOKUP($X52,Übungsübersicht!$E$7:$M$83,3,FALSE)))))))),"RPE 8")</f>
        <v>15</v>
      </c>
      <c r="AR52" s="652">
        <f ca="1">IFERROR(IF(IF(VLOOKUP($X52,Zyklus!$A$14:$U$68,9,FALSE)=0,"RPE 8",IF(VLOOKUP($X52,Übungsübersicht!$E$7:$M$83,3,FALSE)&lt;0.5,($AN52)-(1*0.5),(($Y52)-(1*(VLOOKUP($X52,Übungsübersicht!$E$7:$M$83,3,FALSE))))))&lt;1,0,(IF(VLOOKUP($X52,Zyklus!$A$14:$U$68,9,FALSE)=0,"RPE 8",IF(VLOOKUP($X52,Übungsübersicht!$E$7:$M$83,3,FALSE)&lt;0.5,($AN52)-(1*0.5),(($Y52)-(1*(VLOOKUP($X52,Übungsübersicht!$E$7:$M$83,3,FALSE)))))))),"RPE 8")</f>
        <v>17.5</v>
      </c>
      <c r="AS52" s="652">
        <f t="shared" ca="1" si="0"/>
        <v>20</v>
      </c>
      <c r="AT52" s="652">
        <f ca="1">IFERROR(IF(VLOOKUP($X52,Zyklus!$A$14:$U$68,9,FALSE)=0,"RPE 8",IF(VLOOKUP($X52,Übungsübersicht!$E$7:$M$83,3,FALSE)&lt;0.5,($AN52)+(1*0.5),(($Y52)+(1*(VLOOKUP($X52,Übungsübersicht!$E$7:$M$83,3,FALSE)))))),"RPE 8")</f>
        <v>22.5</v>
      </c>
      <c r="AU52" s="652">
        <f ca="1">IFERROR(IF(VLOOKUP($X52,Zyklus!$A$14:$U$68,9,FALSE)=0,"RPE 8",IF(VLOOKUP($X52,Übungsübersicht!$E$7:$M$83,3,FALSE)&lt;0.5,($AN52)+(2*0.5),(($AN52)+(2*(VLOOKUP($X52,Übungsübersicht!$E$7:$M$83,3,FALSE)))))),"RPE 8")</f>
        <v>25</v>
      </c>
      <c r="AV52" s="652">
        <f ca="1">IFERROR(IF(VLOOKUP($X52,Zyklus!$A$14:$U$68,9,FALSE)=0,"RPE 8",IF(VLOOKUP($X52,Übungsübersicht!$E$7:$M$83,3,FALSE)&lt;0.5,($AN52)+(3*0.5),(($AN52)+(3*(VLOOKUP($X52,Übungsübersicht!$E$7:$M$83,3,FALSE)))))),"RPE 8")</f>
        <v>27.5</v>
      </c>
      <c r="AY52" s="655">
        <f ca="1">MROUND(INDEX(OFFSET(Zyklus!$M$13,49,0),1),(IF(VLOOKUP($X52,Übungsübersicht!$E$7:$K$80,3)=0,0.1,(VLOOKUP($X52,Übungsübersicht!$E$7:$K$80,3)))))</f>
        <v>20</v>
      </c>
      <c r="BA52" s="652">
        <f ca="1">MROUND(INDEX(OFFSET(Zyklus!$Q$13,49,0),1),(IF(VLOOKUP($X52,Übungsübersicht!$E$7:$K$80,3)=0,0.1,(VLOOKUP($X52,Übungsübersicht!$E$7:$K$80,3)))))</f>
        <v>20</v>
      </c>
      <c r="BC52" s="652">
        <f ca="1">IFERROR(IF(IF(VLOOKUP($X52,Zyklus!$A$14:$U$68,9,FALSE)=0,"RPE 9",IF(VLOOKUP($X52,Übungsübersicht!$E$7:$M$83,3,FALSE)&lt;0.5,($BA52)-(3*0.5),(($BA52)-(3*(VLOOKUP($X52,Übungsübersicht!$E$7:$M$83,3,FALSE))))))&lt;1,0,(IF(VLOOKUP($X52,Zyklus!$A$14:$U$68,9,FALSE)=0,"RPE 9",IF(VLOOKUP($X52,Übungsübersicht!$E$7:$M$83,3,FALSE)&lt;0.5,($BA52)-(3*0.5),(($BA52)-(3*(VLOOKUP($X52,Übungsübersicht!$E$7:$M$83,3,FALSE)))))))),"RPE 9")</f>
        <v>12.5</v>
      </c>
      <c r="BD52" s="652">
        <f ca="1">IFERROR(IF(IF(VLOOKUP($X52,Zyklus!$A$14:$U$68,9,FALSE)=0,"RPE 9",IF(VLOOKUP($X52,Übungsübersicht!$E$7:$M$83,3,FALSE)&lt;0.5,($BA52)-(2*0.5),(($BA52)-(2*(VLOOKUP($X52,Übungsübersicht!$E$7:$M$83,3,FALSE))))))&lt;1,0,(IF(VLOOKUP($X52,Zyklus!$A$14:$U$68,9,FALSE)=0,"RPE 9",IF(VLOOKUP($X52,Übungsübersicht!$E$7:$M$83,3,FALSE)&lt;0.5,($BA52)-(2*0.5),(($BA52)-(2*(VLOOKUP($X52,Übungsübersicht!$E$7:$M$83,3,FALSE)))))))),"RPE 9")</f>
        <v>15</v>
      </c>
      <c r="BE52" s="652">
        <f ca="1">IFERROR(IF(IF(VLOOKUP($X52,Zyklus!$A$14:$U$68,9,FALSE)=0,"RPE 9",IF(VLOOKUP($X52,Übungsübersicht!$E$7:$M$83,3,FALSE)&lt;0.5,($BA52)-(1*0.5),(($Y52)-(1*(VLOOKUP($X52,Übungsübersicht!$E$7:$M$83,3,FALSE))))))&lt;1,0,(IF(VLOOKUP($X52,Zyklus!$A$14:$U$68,9,FALSE)=0,"RPE 9",IF(VLOOKUP($X52,Übungsübersicht!$E$7:$M$83,3,FALSE)&lt;0.5,($BA52)-(1*0.5),(($Y52)-(1*(VLOOKUP($X52,Übungsübersicht!$E$7:$M$83,3,FALSE)))))))),"RPE 9")</f>
        <v>17.5</v>
      </c>
      <c r="BF52" s="652">
        <f t="shared" ca="1" si="1"/>
        <v>20</v>
      </c>
      <c r="BG52" s="652">
        <f ca="1">IFERROR(IF(VLOOKUP($X52,Zyklus!$A$14:$U$68,9,FALSE)=0,"RPE 9",IF(VLOOKUP($X52,Übungsübersicht!$E$7:$M$83,3,FALSE)&lt;0.5,($AY52)+(1*0.5),(($AY52)+(1*(VLOOKUP($X52,Übungsübersicht!$E$7:$M$83,3,FALSE)))))),"RPE 9")</f>
        <v>22.5</v>
      </c>
      <c r="BH52" s="652">
        <f ca="1">IFERROR(IF(VLOOKUP($X52,Zyklus!$A$14:$U$68,9,FALSE)=0,"RPE 9",IF(VLOOKUP($X52,Übungsübersicht!$E$7:$M$83,3,FALSE)&lt;0.5,($BA52)+(2*0.5),(($BA52)+(2*(VLOOKUP($X52,Übungsübersicht!$E$7:$M$83,3,FALSE)))))),"RPE 9")</f>
        <v>25</v>
      </c>
      <c r="BI52" s="652">
        <f ca="1">IFERROR(IF(VLOOKUP($X52,Zyklus!$A$14:$U$68,9,FALSE)=0,"RPE 9",IF(VLOOKUP($X52,Übungsübersicht!$E$7:$M$83,3,FALSE)&lt;0.5,($BA52)+(3*0.5),(($BA52)+(3*(VLOOKUP($X52,Übungsübersicht!$E$7:$M$83,3,FALSE)))))),"RPE 9")</f>
        <v>27.5</v>
      </c>
    </row>
    <row r="53" spans="4:61" ht="30" customHeight="1">
      <c r="D53" s="326">
        <v>32</v>
      </c>
      <c r="E53" s="323">
        <f t="shared" si="2"/>
        <v>16.129032258064516</v>
      </c>
      <c r="F53" s="344">
        <f t="shared" si="3"/>
        <v>0.13888888888888887</v>
      </c>
      <c r="H53" s="326">
        <v>32</v>
      </c>
      <c r="I53" s="323">
        <f t="shared" si="5"/>
        <v>58.064516129032263</v>
      </c>
      <c r="J53" s="344">
        <f t="shared" si="4"/>
        <v>0.48387096774193555</v>
      </c>
      <c r="O53" s="489" t="s">
        <v>135</v>
      </c>
      <c r="P53" s="490"/>
      <c r="Q53" s="490">
        <f>Dashboard!$C$20*'Funktions-Tabelle'!Q37</f>
        <v>62.400000000000006</v>
      </c>
      <c r="R53" s="490"/>
      <c r="S53" s="490">
        <f>Dashboard!$C$20*'Funktions-Tabelle'!S37</f>
        <v>101.4</v>
      </c>
      <c r="T53" s="490"/>
      <c r="U53" s="638">
        <f>Dashboard!$C$20*'Funktions-Tabelle'!U37</f>
        <v>156</v>
      </c>
      <c r="X53" s="651" t="str">
        <f ca="1">INDEX(OFFSET(Zyklus!$A$13,50,0),1)</f>
        <v>Bizeps Curls Seilzug</v>
      </c>
      <c r="Y53" s="652">
        <f ca="1">MROUND(INDEX(OFFSET(Zyklus!$I$13,50,0),1),(IF(VLOOKUP($X53,Übungsübersicht!$E$7:$K$80,3)=0,0.1,(VLOOKUP($X53,Übungsübersicht!$E$7:$K$80,3)))))</f>
        <v>0</v>
      </c>
      <c r="Z53" s="652"/>
      <c r="AA53" s="652">
        <f ca="1">IFERROR(IF($Y53=0,2*(VLOOKUP($X53,Übungsübersicht!$E$7:$M$83,3,FALSE)),IF($Y53&gt;100,(MROUND(($Y53*0.1),(VLOOKUP($X53,Übungsübersicht!$E$7:$M$83,3,FALSE)))),IF($Y53&gt;80,(MROUND(($Y53*0.1),(VLOOKUP($X53,Übungsübersicht!$E$7:$M$83,3,FALSE)))),IF($Y53&gt;50,(MROUND(($Y53*0.2),(VLOOKUP($X53,Übungsübersicht!$E$7:$M$83,3,FALSE)))),IF($Y53&gt;25,(MROUND(($Y53*0.3),(VLOOKUP($X53,Übungsübersicht!$E$7:$M$83,3,FALSE)))),IF($Y53&gt;15,(MROUND(($Y53*0.4),(VLOOKUP($X53,Übungsübersicht!$E$7:$M$83,3,FALSE)))),IF($Y53&gt;(VLOOKUP($X53,Übungsübersicht!$E$7:$M$83,3,FALSE)),(VLOOKUP($X53,Übungsübersicht!$E$7:$M$83,3,FALSE)),""))))))),2*(VLOOKUP($X53,Übungsübersicht!$E$7:$M$83,3,FALSE)))</f>
        <v>5</v>
      </c>
      <c r="AB53" s="652">
        <f ca="1">IFERROR(IF($Y53=0,4*(VLOOKUP($X53,Übungsübersicht!$E$7:$M$83,3,FALSE)),IF($Y53&gt;100,(MROUND(($Y53*0.3),(VLOOKUP($X53,Übungsübersicht!$E$7:$M$83,3,FALSE)))),IF($Y53&gt;80,(MROUND(($Y53*0.3),(VLOOKUP($X53,Übungsübersicht!$E$7:$M$83,3,FALSE)))),IF($Y53&gt;50,(MROUND(($Y53*0.4),(VLOOKUP($X53,Übungsübersicht!$E$7:$M$83,3,FALSE)))),IF($Y53&gt;25,(MROUND(($Y53*0.5),(VLOOKUP($X53,Übungsübersicht!$E$7:$M$83,3,FALSE)))),IF($Y53&gt;15,(MROUND(($Y53*0.6),(VLOOKUP($X53,Übungsübersicht!$E$7:$M$83,3,FALSE)))),IF($Y53&gt;(VLOOKUP($X53,Übungsübersicht!$E$7:$M$83,3,FALSE)),(VLOOKUP($X53,Übungsübersicht!$E$7:$M$83,3,FALSE)),""))))))),4*(VLOOKUP($X53,Übungsübersicht!$E$7:$M$83,3,FALSE)))</f>
        <v>10</v>
      </c>
      <c r="AC53" s="652">
        <f ca="1">IFERROR((IF($Y53=0,8*(VLOOKUP($X53,Übungsübersicht!$E$7:$M$83,3,FALSE)),(($Y53)-(3*(VLOOKUP($X53,Übungsübersicht!$E$7:$M$83,3,FALSE)))))),8*(VLOOKUP($X53,Übungsübersicht!$E$7:$M$83,3,FALSE)))</f>
        <v>20</v>
      </c>
      <c r="AD53" s="652">
        <f ca="1">IFERROR(((IF($Y53=0,10*(VLOOKUP($X53,Übungsübersicht!$E$7:$M$83,3,FALSE)),($Y53)-(2*(VLOOKUP($X53,Übungsübersicht!$E$7:$M$83,3,FALSE)))))),10*(VLOOKUP($X53,Übungsübersicht!$E$7:$M$83,3,FALSE)))</f>
        <v>25</v>
      </c>
      <c r="AE53" s="652">
        <f ca="1">IFERROR(((IF($Y53=0,10*(VLOOKUP($X53,Übungsübersicht!$E$7:$M$83,3,FALSE)),($Y53)-(1*(VLOOKUP($X53,Übungsübersicht!$E$7:$M$83,3,FALSE)))))),10*(VLOOKUP($X53,Übungsübersicht!$E$7:$M$83,3,FALSE)))</f>
        <v>25</v>
      </c>
      <c r="AF53" s="652">
        <f ca="1">IFERROR(IF($Y53=0,20*(VLOOKUP($X53,Übungsübersicht!$E$7:$M$83,3,FALSE)),($Y53)),20*(VLOOKUP($X53,Übungsübersicht!$E$7:$M$83,3,FALSE)))</f>
        <v>50</v>
      </c>
      <c r="AG53" s="652">
        <f ca="1">IFERROR(IF($Y53=0,30*(VLOOKUP($X53,Übungsübersicht!$E$7:$M$83,3,FALSE)),($Y53)+(1*(VLOOKUP($X53,Übungsübersicht!$E$7:$M$83,3,FALSE)))),30*(VLOOKUP($X53,Übungsübersicht!$E$7:$M$83,3,FALSE)))</f>
        <v>75</v>
      </c>
      <c r="AH53" s="652">
        <f ca="1">IFERROR(IF($Y53=0,30*(VLOOKUP($X53,Übungsübersicht!$E$7:$M$83,3,FALSE)),($Y53)+(2*(VLOOKUP($X53,Übungsübersicht!$E$7:$M$83,3,FALSE)))),30*(VLOOKUP($X53,Übungsübersicht!$E$7:$M$83,3,FALSE)))</f>
        <v>75</v>
      </c>
      <c r="AI53" s="652">
        <f ca="1">IFERROR(IF($Y53=0,30*(VLOOKUP($X53,Übungsübersicht!$E$7:$M$83,3,FALSE)),($Y53)+(3*(VLOOKUP($X53,Übungsübersicht!$E$7:$M$83,3,FALSE)))),30*(VLOOKUP($X53,Übungsübersicht!$E$7:$M$83,3,FALSE)))</f>
        <v>75</v>
      </c>
      <c r="AJ53" s="652">
        <f ca="1">IFERROR(IF($Y53=0,40*(VLOOKUP($X53,Übungsübersicht!$E$7:$M$83,3,FALSE)),IF($Y53&gt;100,(MROUND(($Y53*1.7),(VLOOKUP($X53,Übungsübersicht!$E$7:$M$83,3,FALSE)))),IF($Y53&gt;80,(MROUND(($Y53*1.7),(VLOOKUP($X53,Übungsübersicht!$E$7:$M$83,3,FALSE)))),IF($Y53&gt;50,(MROUND(($Y53*1.6),(VLOOKUP($X53,Übungsübersicht!$E$7:$M$83,3,FALSE)))),IF($Y53&gt;25,(MROUND(($Y53*1.5),(VLOOKUP($X53,Übungsübersicht!$E$7:$M$83,3,FALSE)))),IF($Y53&gt;15,(MROUND(($Y53*1.4),(VLOOKUP($X53,Übungsübersicht!$E$7:$M$83,3,FALSE)))),IF($Y53&gt;(VLOOKUP($X53,Übungsübersicht!$E$7:$M$83,3,FALSE)),30*(VLOOKUP($X53,Übungsübersicht!$E$7:$M$83,3,FALSE)),""))))))),40*(VLOOKUP($X53,Übungsübersicht!$E$7:$M$83,3,FALSE)))</f>
        <v>100</v>
      </c>
      <c r="AK53" s="653">
        <f ca="1">IFERROR(IF($Y53=0,50*(VLOOKUP($X53,Übungsübersicht!$E$7:$M$83,3,FALSE)),IF($Y53&gt;100,(MROUND(($Y53*1.9),(VLOOKUP($X53,Übungsübersicht!$E$7:$M$83,3,FALSE)))),IF($Y53&gt;80,(MROUND(($Y53*1.9),(VLOOKUP($X53,Übungsübersicht!$E$7:$M$83,3,FALSE)))),IF($Y53&gt;50,(MROUND(($Y53*1.8),(VLOOKUP($X53,Übungsübersicht!$E$7:$M$83,3,FALSE)))),IF($Y53&gt;25,(MROUND(($Y53*1.7),(VLOOKUP($X53,Übungsübersicht!$E$7:$M$83,3,FALSE)))),IF($Y53&gt;15,(MROUND(($Y53*1.6),(VLOOKUP($X53,Übungsübersicht!$E$7:$M$83,3,FALSE)))),IF($Y53&gt;(VLOOKUP($X53,Übungsübersicht!$E$7:$M$83,3,FALSE)),40*(VLOOKUP($X53,Übungsübersicht!$E$7:$M$83,3,FALSE)),""))))))),50*(VLOOKUP($X53,Übungsübersicht!$E$7:$M$83,3,FALSE)))</f>
        <v>125</v>
      </c>
      <c r="AN53" s="652" t="e">
        <f ca="1">MROUND(INDEX(OFFSET(Zyklus!$M$13,50,0),1),(IF(VLOOKUP($X53,Übungsübersicht!$E$7:$K$80,3)=0,0.1,(VLOOKUP($X53,Übungsübersicht!$E$7:$K$80,3)))))</f>
        <v>#VALUE!</v>
      </c>
      <c r="AP53" s="655" t="str">
        <f ca="1">IFERROR(IF(IF(VLOOKUP($X53,Zyklus!$A$14:$U$68,9,FALSE)=0,"RPE 8",IF(VLOOKUP($X53,Übungsübersicht!$E$7:$M$83,3,FALSE)&lt;0.5,($AN53)-(3*0.5),(($AN53)-(3*(VLOOKUP($X53,Übungsübersicht!$E$7:$M$83,3,FALSE))))))&lt;1,0,(IF(VLOOKUP($X53,Zyklus!$A$14:$U$68,9,FALSE)=0,"RPE 8",IF(VLOOKUP($X53,Übungsübersicht!$E$7:$M$83,3,FALSE)&lt;0.5,($AN53)-(3*0.5),(($AN53)-(3*(VLOOKUP($X53,Übungsübersicht!$E$7:$M$83,3,FALSE)))))))),"RPE 8")</f>
        <v>RPE 8</v>
      </c>
      <c r="AQ53" s="655" t="str">
        <f ca="1">IFERROR(IF(IF(VLOOKUP($X53,Zyklus!$A$14:$U$68,9,FALSE)=0,"RPE 8",IF(VLOOKUP($X53,Übungsübersicht!$E$7:$M$83,3,FALSE)&lt;0.5,($AN53)-(2*0.5),(($AN53)-(2*(VLOOKUP($X53,Übungsübersicht!$E$7:$M$83,3,FALSE))))))&lt;1,0,(IF(VLOOKUP($X53,Zyklus!$A$14:$U$68,9,FALSE)=0,"RPE 8",IF(VLOOKUP($X53,Übungsübersicht!$E$7:$M$83,3,FALSE)&lt;0.5,($AN53)-(2*0.5),(($AN53)-(2*(VLOOKUP($X53,Übungsübersicht!$E$7:$M$83,3,FALSE)))))))),"RPE 8")</f>
        <v>RPE 8</v>
      </c>
      <c r="AR53" s="655" t="str">
        <f ca="1">IFERROR(IF(IF(VLOOKUP($X53,Zyklus!$A$14:$U$68,9,FALSE)=0,"RPE 8",IF(VLOOKUP($X53,Übungsübersicht!$E$7:$M$83,3,FALSE)&lt;0.5,($AN53)-(1*0.5),(($Y53)-(1*(VLOOKUP($X53,Übungsübersicht!$E$7:$M$83,3,FALSE))))))&lt;1,0,(IF(VLOOKUP($X53,Zyklus!$A$14:$U$68,9,FALSE)=0,"RPE 8",IF(VLOOKUP($X53,Übungsübersicht!$E$7:$M$83,3,FALSE)&lt;0.5,($AN53)-(1*0.5),(($Y53)-(1*(VLOOKUP($X53,Übungsübersicht!$E$7:$M$83,3,FALSE)))))))),"RPE 8")</f>
        <v>RPE 8</v>
      </c>
      <c r="AS53" s="655" t="str">
        <f t="shared" ca="1" si="0"/>
        <v>RPE 8</v>
      </c>
      <c r="AT53" s="655" t="str">
        <f ca="1">IFERROR(IF(VLOOKUP($X53,Zyklus!$A$14:$U$68,9,FALSE)=0,"RPE 8",IF(VLOOKUP($X53,Übungsübersicht!$E$7:$M$83,3,FALSE)&lt;0.5,($AN53)+(1*0.5),(($Y53)+(1*(VLOOKUP($X53,Übungsübersicht!$E$7:$M$83,3,FALSE)))))),"RPE 8")</f>
        <v>RPE 8</v>
      </c>
      <c r="AU53" s="655" t="str">
        <f ca="1">IFERROR(IF(VLOOKUP($X53,Zyklus!$A$14:$U$68,9,FALSE)=0,"RPE 8",IF(VLOOKUP($X53,Übungsübersicht!$E$7:$M$83,3,FALSE)&lt;0.5,($AN53)+(2*0.5),(($AN53)+(2*(VLOOKUP($X53,Übungsübersicht!$E$7:$M$83,3,FALSE)))))),"RPE 8")</f>
        <v>RPE 8</v>
      </c>
      <c r="AV53" s="655" t="str">
        <f ca="1">IFERROR(IF(VLOOKUP($X53,Zyklus!$A$14:$U$68,9,FALSE)=0,"RPE 8",IF(VLOOKUP($X53,Übungsübersicht!$E$7:$M$83,3,FALSE)&lt;0.5,($AN53)+(3*0.5),(($AN53)+(3*(VLOOKUP($X53,Übungsübersicht!$E$7:$M$83,3,FALSE)))))),"RPE 8")</f>
        <v>RPE 8</v>
      </c>
      <c r="AY53" s="652" t="e">
        <f ca="1">MROUND(INDEX(OFFSET(Zyklus!$M$13,50,0),1),(IF(VLOOKUP($X53,Übungsübersicht!$E$7:$K$80,3)=0,0.1,(VLOOKUP($X53,Übungsübersicht!$E$7:$K$80,3)))))</f>
        <v>#VALUE!</v>
      </c>
      <c r="BA53" s="655" t="e">
        <f ca="1">MROUND(INDEX(OFFSET(Zyklus!$Q$13,50,0),1),(IF(VLOOKUP($X53,Übungsübersicht!$E$7:$K$80,3)=0,0.1,(VLOOKUP($X53,Übungsübersicht!$E$7:$K$80,3)))))</f>
        <v>#VALUE!</v>
      </c>
      <c r="BC53" s="655" t="str">
        <f ca="1">IFERROR(IF(IF(VLOOKUP($X53,Zyklus!$A$14:$U$68,9,FALSE)=0,"RPE 9",IF(VLOOKUP($X53,Übungsübersicht!$E$7:$M$83,3,FALSE)&lt;0.5,($BA53)-(3*0.5),(($BA53)-(3*(VLOOKUP($X53,Übungsübersicht!$E$7:$M$83,3,FALSE))))))&lt;1,0,(IF(VLOOKUP($X53,Zyklus!$A$14:$U$68,9,FALSE)=0,"RPE 9",IF(VLOOKUP($X53,Übungsübersicht!$E$7:$M$83,3,FALSE)&lt;0.5,($BA53)-(3*0.5),(($BA53)-(3*(VLOOKUP($X53,Übungsübersicht!$E$7:$M$83,3,FALSE)))))))),"RPE 9")</f>
        <v>RPE 9</v>
      </c>
      <c r="BD53" s="655" t="str">
        <f ca="1">IFERROR(IF(IF(VLOOKUP($X53,Zyklus!$A$14:$U$68,9,FALSE)=0,"RPE 9",IF(VLOOKUP($X53,Übungsübersicht!$E$7:$M$83,3,FALSE)&lt;0.5,($BA53)-(2*0.5),(($BA53)-(2*(VLOOKUP($X53,Übungsübersicht!$E$7:$M$83,3,FALSE))))))&lt;1,0,(IF(VLOOKUP($X53,Zyklus!$A$14:$U$68,9,FALSE)=0,"RPE 9",IF(VLOOKUP($X53,Übungsübersicht!$E$7:$M$83,3,FALSE)&lt;0.5,($BA53)-(2*0.5),(($BA53)-(2*(VLOOKUP($X53,Übungsübersicht!$E$7:$M$83,3,FALSE)))))))),"RPE 9")</f>
        <v>RPE 9</v>
      </c>
      <c r="BE53" s="655" t="str">
        <f ca="1">IFERROR(IF(IF(VLOOKUP($X53,Zyklus!$A$14:$U$68,9,FALSE)=0,"RPE 9",IF(VLOOKUP($X53,Übungsübersicht!$E$7:$M$83,3,FALSE)&lt;0.5,($BA53)-(1*0.5),(($Y53)-(1*(VLOOKUP($X53,Übungsübersicht!$E$7:$M$83,3,FALSE))))))&lt;1,0,(IF(VLOOKUP($X53,Zyklus!$A$14:$U$68,9,FALSE)=0,"RPE 9",IF(VLOOKUP($X53,Übungsübersicht!$E$7:$M$83,3,FALSE)&lt;0.5,($BA53)-(1*0.5),(($Y53)-(1*(VLOOKUP($X53,Übungsübersicht!$E$7:$M$83,3,FALSE)))))))),"RPE 9")</f>
        <v>RPE 9</v>
      </c>
      <c r="BF53" s="655" t="str">
        <f t="shared" ca="1" si="1"/>
        <v>RPE 9</v>
      </c>
      <c r="BG53" s="655" t="str">
        <f ca="1">IFERROR(IF(VLOOKUP($X53,Zyklus!$A$14:$U$68,9,FALSE)=0,"RPE 9",IF(VLOOKUP($X53,Übungsübersicht!$E$7:$M$83,3,FALSE)&lt;0.5,($AY53)+(1*0.5),(($AY53)+(1*(VLOOKUP($X53,Übungsübersicht!$E$7:$M$83,3,FALSE)))))),"RPE 9")</f>
        <v>RPE 9</v>
      </c>
      <c r="BH53" s="655" t="str">
        <f ca="1">IFERROR(IF(VLOOKUP($X53,Zyklus!$A$14:$U$68,9,FALSE)=0,"RPE 9",IF(VLOOKUP($X53,Übungsübersicht!$E$7:$M$83,3,FALSE)&lt;0.5,($BA53)+(2*0.5),(($BA53)+(2*(VLOOKUP($X53,Übungsübersicht!$E$7:$M$83,3,FALSE)))))),"RPE 9")</f>
        <v>RPE 9</v>
      </c>
      <c r="BI53" s="655" t="str">
        <f ca="1">IFERROR(IF(VLOOKUP($X53,Zyklus!$A$14:$U$68,9,FALSE)=0,"RPE 9",IF(VLOOKUP($X53,Übungsübersicht!$E$7:$M$83,3,FALSE)&lt;0.5,($BA53)+(3*0.5),(($BA53)+(3*(VLOOKUP($X53,Übungsübersicht!$E$7:$M$83,3,FALSE)))))),"RPE 9")</f>
        <v>RPE 9</v>
      </c>
    </row>
    <row r="54" spans="4:61" ht="30" customHeight="1">
      <c r="D54" s="324">
        <v>33</v>
      </c>
      <c r="E54" s="325">
        <f t="shared" si="2"/>
        <v>12.903225806451614</v>
      </c>
      <c r="F54" s="343">
        <f t="shared" si="3"/>
        <v>0.1111111111111111</v>
      </c>
      <c r="H54" s="324">
        <v>33</v>
      </c>
      <c r="I54" s="325">
        <f t="shared" si="5"/>
        <v>57.142857142857139</v>
      </c>
      <c r="J54" s="343">
        <f t="shared" si="4"/>
        <v>0.47619047619047616</v>
      </c>
      <c r="O54" s="495" t="s">
        <v>153</v>
      </c>
      <c r="P54" s="636"/>
      <c r="Q54" s="636">
        <f>Dashboard!$C$20*'Funktions-Tabelle'!Q38</f>
        <v>46.8</v>
      </c>
      <c r="R54" s="636"/>
      <c r="S54" s="636">
        <f>Dashboard!$C$20*'Funktions-Tabelle'!S38</f>
        <v>70.2</v>
      </c>
      <c r="T54" s="636"/>
      <c r="U54" s="637">
        <f>Dashboard!$C$20*'Funktions-Tabelle'!U38</f>
        <v>109.19999999999999</v>
      </c>
      <c r="X54" s="654">
        <f ca="1">INDEX(OFFSET(Zyklus!$A$13,51,0),1)</f>
        <v>0</v>
      </c>
      <c r="Y54" s="655" t="e">
        <f ca="1">MROUND(INDEX(OFFSET(Zyklus!$I$13,51,0),1),(IF(VLOOKUP($X54,Übungsübersicht!$E$7:$K$80,3)=0,0.1,(VLOOKUP($X54,Übungsübersicht!$E$7:$K$80,3)))))</f>
        <v>#N/A</v>
      </c>
      <c r="Z54" s="655"/>
      <c r="AA54" s="655" t="e">
        <f ca="1">IFERROR(IF($Y54=0,2*(VLOOKUP($X54,Übungsübersicht!$E$7:$M$83,3,FALSE)),IF($Y54&gt;100,(MROUND(($Y54*0.1),(VLOOKUP($X54,Übungsübersicht!$E$7:$M$83,3,FALSE)))),IF($Y54&gt;80,(MROUND(($Y54*0.1),(VLOOKUP($X54,Übungsübersicht!$E$7:$M$83,3,FALSE)))),IF($Y54&gt;50,(MROUND(($Y54*0.2),(VLOOKUP($X54,Übungsübersicht!$E$7:$M$83,3,FALSE)))),IF($Y54&gt;25,(MROUND(($Y54*0.3),(VLOOKUP($X54,Übungsübersicht!$E$7:$M$83,3,FALSE)))),IF($Y54&gt;15,(MROUND(($Y54*0.4),(VLOOKUP($X54,Übungsübersicht!$E$7:$M$83,3,FALSE)))),IF($Y54&gt;(VLOOKUP($X54,Übungsübersicht!$E$7:$M$83,3,FALSE)),(VLOOKUP($X54,Übungsübersicht!$E$7:$M$83,3,FALSE)),""))))))),2*(VLOOKUP($X54,Übungsübersicht!$E$7:$M$83,3,FALSE)))</f>
        <v>#N/A</v>
      </c>
      <c r="AB54" s="655" t="e">
        <f ca="1">IFERROR(IF($Y54=0,4*(VLOOKUP($X54,Übungsübersicht!$E$7:$M$83,3,FALSE)),IF($Y54&gt;100,(MROUND(($Y54*0.3),(VLOOKUP($X54,Übungsübersicht!$E$7:$M$83,3,FALSE)))),IF($Y54&gt;80,(MROUND(($Y54*0.3),(VLOOKUP($X54,Übungsübersicht!$E$7:$M$83,3,FALSE)))),IF($Y54&gt;50,(MROUND(($Y54*0.4),(VLOOKUP($X54,Übungsübersicht!$E$7:$M$83,3,FALSE)))),IF($Y54&gt;25,(MROUND(($Y54*0.5),(VLOOKUP($X54,Übungsübersicht!$E$7:$M$83,3,FALSE)))),IF($Y54&gt;15,(MROUND(($Y54*0.6),(VLOOKUP($X54,Übungsübersicht!$E$7:$M$83,3,FALSE)))),IF($Y54&gt;(VLOOKUP($X54,Übungsübersicht!$E$7:$M$83,3,FALSE)),(VLOOKUP($X54,Übungsübersicht!$E$7:$M$83,3,FALSE)),""))))))),4*(VLOOKUP($X54,Übungsübersicht!$E$7:$M$83,3,FALSE)))</f>
        <v>#N/A</v>
      </c>
      <c r="AC54" s="655" t="e">
        <f ca="1">IFERROR((IF($Y54=0,8*(VLOOKUP($X54,Übungsübersicht!$E$7:$M$83,3,FALSE)),(($Y54)-(3*(VLOOKUP($X54,Übungsübersicht!$E$7:$M$83,3,FALSE)))))),8*(VLOOKUP($X54,Übungsübersicht!$E$7:$M$83,3,FALSE)))</f>
        <v>#N/A</v>
      </c>
      <c r="AD54" s="655" t="e">
        <f ca="1">IFERROR(((IF($Y54=0,10*(VLOOKUP($X54,Übungsübersicht!$E$7:$M$83,3,FALSE)),($Y54)-(2*(VLOOKUP($X54,Übungsübersicht!$E$7:$M$83,3,FALSE)))))),10*(VLOOKUP($X54,Übungsübersicht!$E$7:$M$83,3,FALSE)))</f>
        <v>#N/A</v>
      </c>
      <c r="AE54" s="655" t="e">
        <f ca="1">IFERROR(((IF($Y54=0,10*(VLOOKUP($X54,Übungsübersicht!$E$7:$M$83,3,FALSE)),($Y54)-(1*(VLOOKUP($X54,Übungsübersicht!$E$7:$M$83,3,FALSE)))))),10*(VLOOKUP($X54,Übungsübersicht!$E$7:$M$83,3,FALSE)))</f>
        <v>#N/A</v>
      </c>
      <c r="AF54" s="655" t="e">
        <f ca="1">IFERROR(IF($Y54=0,20*(VLOOKUP($X54,Übungsübersicht!$E$7:$M$83,3,FALSE)),($Y54)),20*(VLOOKUP($X54,Übungsübersicht!$E$7:$M$83,3,FALSE)))</f>
        <v>#N/A</v>
      </c>
      <c r="AG54" s="655" t="e">
        <f ca="1">IFERROR(IF($Y54=0,30*(VLOOKUP($X54,Übungsübersicht!$E$7:$M$83,3,FALSE)),($Y54)+(1*(VLOOKUP($X54,Übungsübersicht!$E$7:$M$83,3,FALSE)))),30*(VLOOKUP($X54,Übungsübersicht!$E$7:$M$83,3,FALSE)))</f>
        <v>#N/A</v>
      </c>
      <c r="AH54" s="655" t="e">
        <f ca="1">IFERROR(IF($Y54=0,30*(VLOOKUP($X54,Übungsübersicht!$E$7:$M$83,3,FALSE)),($Y54)+(2*(VLOOKUP($X54,Übungsübersicht!$E$7:$M$83,3,FALSE)))),30*(VLOOKUP($X54,Übungsübersicht!$E$7:$M$83,3,FALSE)))</f>
        <v>#N/A</v>
      </c>
      <c r="AI54" s="655" t="e">
        <f ca="1">IFERROR(IF($Y54=0,30*(VLOOKUP($X54,Übungsübersicht!$E$7:$M$83,3,FALSE)),($Y54)+(3*(VLOOKUP($X54,Übungsübersicht!$E$7:$M$83,3,FALSE)))),30*(VLOOKUP($X54,Übungsübersicht!$E$7:$M$83,3,FALSE)))</f>
        <v>#N/A</v>
      </c>
      <c r="AJ54" s="655" t="e">
        <f ca="1">IFERROR(IF($Y54=0,40*(VLOOKUP($X54,Übungsübersicht!$E$7:$M$83,3,FALSE)),IF($Y54&gt;100,(MROUND(($Y54*1.7),(VLOOKUP($X54,Übungsübersicht!$E$7:$M$83,3,FALSE)))),IF($Y54&gt;80,(MROUND(($Y54*1.7),(VLOOKUP($X54,Übungsübersicht!$E$7:$M$83,3,FALSE)))),IF($Y54&gt;50,(MROUND(($Y54*1.6),(VLOOKUP($X54,Übungsübersicht!$E$7:$M$83,3,FALSE)))),IF($Y54&gt;25,(MROUND(($Y54*1.5),(VLOOKUP($X54,Übungsübersicht!$E$7:$M$83,3,FALSE)))),IF($Y54&gt;15,(MROUND(($Y54*1.4),(VLOOKUP($X54,Übungsübersicht!$E$7:$M$83,3,FALSE)))),IF($Y54&gt;(VLOOKUP($X54,Übungsübersicht!$E$7:$M$83,3,FALSE)),30*(VLOOKUP($X54,Übungsübersicht!$E$7:$M$83,3,FALSE)),""))))))),40*(VLOOKUP($X54,Übungsübersicht!$E$7:$M$83,3,FALSE)))</f>
        <v>#N/A</v>
      </c>
      <c r="AK54" s="656" t="e">
        <f ca="1">IFERROR(IF($Y54=0,50*(VLOOKUP($X54,Übungsübersicht!$E$7:$M$83,3,FALSE)),IF($Y54&gt;100,(MROUND(($Y54*1.9),(VLOOKUP($X54,Übungsübersicht!$E$7:$M$83,3,FALSE)))),IF($Y54&gt;80,(MROUND(($Y54*1.9),(VLOOKUP($X54,Übungsübersicht!$E$7:$M$83,3,FALSE)))),IF($Y54&gt;50,(MROUND(($Y54*1.8),(VLOOKUP($X54,Übungsübersicht!$E$7:$M$83,3,FALSE)))),IF($Y54&gt;25,(MROUND(($Y54*1.7),(VLOOKUP($X54,Übungsübersicht!$E$7:$M$83,3,FALSE)))),IF($Y54&gt;15,(MROUND(($Y54*1.6),(VLOOKUP($X54,Übungsübersicht!$E$7:$M$83,3,FALSE)))),IF($Y54&gt;(VLOOKUP($X54,Übungsübersicht!$E$7:$M$83,3,FALSE)),40*(VLOOKUP($X54,Übungsübersicht!$E$7:$M$83,3,FALSE)),""))))))),50*(VLOOKUP($X54,Übungsübersicht!$E$7:$M$83,3,FALSE)))</f>
        <v>#N/A</v>
      </c>
      <c r="AN54" s="655" t="e">
        <f ca="1">MROUND(INDEX(OFFSET(Zyklus!$M$13,51,0),1),(IF(VLOOKUP($X54,Übungsübersicht!$E$7:$K$80,3)=0,0.1,(VLOOKUP($X54,Übungsübersicht!$E$7:$K$80,3)))))</f>
        <v>#N/A</v>
      </c>
      <c r="AP54" s="652" t="str">
        <f ca="1">IFERROR(IF(IF(VLOOKUP($X54,Zyklus!$A$14:$U$68,9,FALSE)=0,"RPE 8",IF(VLOOKUP($X54,Übungsübersicht!$E$7:$M$83,3,FALSE)&lt;0.5,($AN54)-(3*0.5),(($AN54)-(3*(VLOOKUP($X54,Übungsübersicht!$E$7:$M$83,3,FALSE))))))&lt;1,0,(IF(VLOOKUP($X54,Zyklus!$A$14:$U$68,9,FALSE)=0,"RPE 8",IF(VLOOKUP($X54,Übungsübersicht!$E$7:$M$83,3,FALSE)&lt;0.5,($AN54)-(3*0.5),(($AN54)-(3*(VLOOKUP($X54,Übungsübersicht!$E$7:$M$83,3,FALSE)))))))),"RPE 8")</f>
        <v>RPE 8</v>
      </c>
      <c r="AQ54" s="652" t="str">
        <f ca="1">IFERROR(IF(IF(VLOOKUP($X54,Zyklus!$A$14:$U$68,9,FALSE)=0,"RPE 8",IF(VLOOKUP($X54,Übungsübersicht!$E$7:$M$83,3,FALSE)&lt;0.5,($AN54)-(2*0.5),(($AN54)-(2*(VLOOKUP($X54,Übungsübersicht!$E$7:$M$83,3,FALSE))))))&lt;1,0,(IF(VLOOKUP($X54,Zyklus!$A$14:$U$68,9,FALSE)=0,"RPE 8",IF(VLOOKUP($X54,Übungsübersicht!$E$7:$M$83,3,FALSE)&lt;0.5,($AN54)-(2*0.5),(($AN54)-(2*(VLOOKUP($X54,Übungsübersicht!$E$7:$M$83,3,FALSE)))))))),"RPE 8")</f>
        <v>RPE 8</v>
      </c>
      <c r="AR54" s="652" t="str">
        <f ca="1">IFERROR(IF(IF(VLOOKUP($X54,Zyklus!$A$14:$U$68,9,FALSE)=0,"RPE 8",IF(VLOOKUP($X54,Übungsübersicht!$E$7:$M$83,3,FALSE)&lt;0.5,($AN54)-(1*0.5),(($Y54)-(1*(VLOOKUP($X54,Übungsübersicht!$E$7:$M$83,3,FALSE))))))&lt;1,0,(IF(VLOOKUP($X54,Zyklus!$A$14:$U$68,9,FALSE)=0,"RPE 8",IF(VLOOKUP($X54,Übungsübersicht!$E$7:$M$83,3,FALSE)&lt;0.5,($AN54)-(1*0.5),(($Y54)-(1*(VLOOKUP($X54,Übungsübersicht!$E$7:$M$83,3,FALSE)))))))),"RPE 8")</f>
        <v>RPE 8</v>
      </c>
      <c r="AS54" s="652" t="str">
        <f t="shared" ca="1" si="0"/>
        <v>RPE 8</v>
      </c>
      <c r="AT54" s="652" t="str">
        <f ca="1">IFERROR(IF(VLOOKUP($X54,Zyklus!$A$14:$U$68,9,FALSE)=0,"RPE 8",IF(VLOOKUP($X54,Übungsübersicht!$E$7:$M$83,3,FALSE)&lt;0.5,($AN54)+(1*0.5),(($Y54)+(1*(VLOOKUP($X54,Übungsübersicht!$E$7:$M$83,3,FALSE)))))),"RPE 8")</f>
        <v>RPE 8</v>
      </c>
      <c r="AU54" s="652" t="str">
        <f ca="1">IFERROR(IF(VLOOKUP($X54,Zyklus!$A$14:$U$68,9,FALSE)=0,"RPE 8",IF(VLOOKUP($X54,Übungsübersicht!$E$7:$M$83,3,FALSE)&lt;0.5,($AN54)+(2*0.5),(($AN54)+(2*(VLOOKUP($X54,Übungsübersicht!$E$7:$M$83,3,FALSE)))))),"RPE 8")</f>
        <v>RPE 8</v>
      </c>
      <c r="AV54" s="652" t="str">
        <f ca="1">IFERROR(IF(VLOOKUP($X54,Zyklus!$A$14:$U$68,9,FALSE)=0,"RPE 8",IF(VLOOKUP($X54,Übungsübersicht!$E$7:$M$83,3,FALSE)&lt;0.5,($AN54)+(3*0.5),(($AN54)+(3*(VLOOKUP($X54,Übungsübersicht!$E$7:$M$83,3,FALSE)))))),"RPE 8")</f>
        <v>RPE 8</v>
      </c>
      <c r="AY54" s="655" t="e">
        <f ca="1">MROUND(INDEX(OFFSET(Zyklus!$M$13,51,0),1),(IF(VLOOKUP($X54,Übungsübersicht!$E$7:$K$80,3)=0,0.1,(VLOOKUP($X54,Übungsübersicht!$E$7:$K$80,3)))))</f>
        <v>#N/A</v>
      </c>
      <c r="BA54" s="652" t="e">
        <f ca="1">MROUND(INDEX(OFFSET(Zyklus!$Q$13,51,0),1),(IF(VLOOKUP($X54,Übungsübersicht!$E$7:$K$80,3)=0,0.1,(VLOOKUP($X54,Übungsübersicht!$E$7:$K$80,3)))))</f>
        <v>#N/A</v>
      </c>
      <c r="BC54" s="652" t="str">
        <f ca="1">IFERROR(IF(IF(VLOOKUP($X54,Zyklus!$A$14:$U$68,9,FALSE)=0,"RPE 9",IF(VLOOKUP($X54,Übungsübersicht!$E$7:$M$83,3,FALSE)&lt;0.5,($BA54)-(3*0.5),(($BA54)-(3*(VLOOKUP($X54,Übungsübersicht!$E$7:$M$83,3,FALSE))))))&lt;1,0,(IF(VLOOKUP($X54,Zyklus!$A$14:$U$68,9,FALSE)=0,"RPE 9",IF(VLOOKUP($X54,Übungsübersicht!$E$7:$M$83,3,FALSE)&lt;0.5,($BA54)-(3*0.5),(($BA54)-(3*(VLOOKUP($X54,Übungsübersicht!$E$7:$M$83,3,FALSE)))))))),"RPE 9")</f>
        <v>RPE 9</v>
      </c>
      <c r="BD54" s="652" t="str">
        <f ca="1">IFERROR(IF(IF(VLOOKUP($X54,Zyklus!$A$14:$U$68,9,FALSE)=0,"RPE 9",IF(VLOOKUP($X54,Übungsübersicht!$E$7:$M$83,3,FALSE)&lt;0.5,($BA54)-(2*0.5),(($BA54)-(2*(VLOOKUP($X54,Übungsübersicht!$E$7:$M$83,3,FALSE))))))&lt;1,0,(IF(VLOOKUP($X54,Zyklus!$A$14:$U$68,9,FALSE)=0,"RPE 9",IF(VLOOKUP($X54,Übungsübersicht!$E$7:$M$83,3,FALSE)&lt;0.5,($BA54)-(2*0.5),(($BA54)-(2*(VLOOKUP($X54,Übungsübersicht!$E$7:$M$83,3,FALSE)))))))),"RPE 9")</f>
        <v>RPE 9</v>
      </c>
      <c r="BE54" s="652" t="str">
        <f ca="1">IFERROR(IF(IF(VLOOKUP($X54,Zyklus!$A$14:$U$68,9,FALSE)=0,"RPE 9",IF(VLOOKUP($X54,Übungsübersicht!$E$7:$M$83,3,FALSE)&lt;0.5,($BA54)-(1*0.5),(($Y54)-(1*(VLOOKUP($X54,Übungsübersicht!$E$7:$M$83,3,FALSE))))))&lt;1,0,(IF(VLOOKUP($X54,Zyklus!$A$14:$U$68,9,FALSE)=0,"RPE 9",IF(VLOOKUP($X54,Übungsübersicht!$E$7:$M$83,3,FALSE)&lt;0.5,($BA54)-(1*0.5),(($Y54)-(1*(VLOOKUP($X54,Übungsübersicht!$E$7:$M$83,3,FALSE)))))))),"RPE 9")</f>
        <v>RPE 9</v>
      </c>
      <c r="BF54" s="652" t="str">
        <f t="shared" ca="1" si="1"/>
        <v>RPE 9</v>
      </c>
      <c r="BG54" s="652" t="str">
        <f ca="1">IFERROR(IF(VLOOKUP($X54,Zyklus!$A$14:$U$68,9,FALSE)=0,"RPE 9",IF(VLOOKUP($X54,Übungsübersicht!$E$7:$M$83,3,FALSE)&lt;0.5,($AY54)+(1*0.5),(($AY54)+(1*(VLOOKUP($X54,Übungsübersicht!$E$7:$M$83,3,FALSE)))))),"RPE 9")</f>
        <v>RPE 9</v>
      </c>
      <c r="BH54" s="652" t="str">
        <f ca="1">IFERROR(IF(VLOOKUP($X54,Zyklus!$A$14:$U$68,9,FALSE)=0,"RPE 9",IF(VLOOKUP($X54,Übungsübersicht!$E$7:$M$83,3,FALSE)&lt;0.5,($BA54)+(2*0.5),(($BA54)+(2*(VLOOKUP($X54,Übungsübersicht!$E$7:$M$83,3,FALSE)))))),"RPE 9")</f>
        <v>RPE 9</v>
      </c>
      <c r="BI54" s="652" t="str">
        <f ca="1">IFERROR(IF(VLOOKUP($X54,Zyklus!$A$14:$U$68,9,FALSE)=0,"RPE 9",IF(VLOOKUP($X54,Übungsübersicht!$E$7:$M$83,3,FALSE)&lt;0.5,($BA54)+(3*0.5),(($BA54)+(3*(VLOOKUP($X54,Übungsübersicht!$E$7:$M$83,3,FALSE)))))),"RPE 9")</f>
        <v>RPE 9</v>
      </c>
    </row>
    <row r="55" spans="4:61" ht="30" customHeight="1">
      <c r="D55" s="326">
        <v>34</v>
      </c>
      <c r="E55" s="323">
        <f t="shared" si="2"/>
        <v>9.67741935483871</v>
      </c>
      <c r="F55" s="344">
        <f t="shared" si="3"/>
        <v>8.3333333333333329E-2</v>
      </c>
      <c r="H55" s="326">
        <v>34</v>
      </c>
      <c r="I55" s="323">
        <f t="shared" si="5"/>
        <v>56.25</v>
      </c>
      <c r="J55" s="344">
        <f t="shared" si="4"/>
        <v>0.46875</v>
      </c>
      <c r="X55" s="651">
        <f ca="1">INDEX(OFFSET(Zyklus!$A$13,52,0),1)</f>
        <v>0</v>
      </c>
      <c r="Y55" s="652" t="e">
        <f ca="1">MROUND(INDEX(OFFSET(Zyklus!$I$13,52,0),1),(IF(VLOOKUP($X55,Übungsübersicht!$E$7:$K$80,3)=0,0.1,(VLOOKUP($X55,Übungsübersicht!$E$7:$K$80,3)))))</f>
        <v>#N/A</v>
      </c>
      <c r="Z55" s="652"/>
      <c r="AA55" s="652" t="e">
        <f ca="1">IFERROR(IF($Y55=0,2*(VLOOKUP($X55,Übungsübersicht!$E$7:$M$83,3,FALSE)),IF($Y55&gt;100,(MROUND(($Y55*0.1),(VLOOKUP($X55,Übungsübersicht!$E$7:$M$83,3,FALSE)))),IF($Y55&gt;80,(MROUND(($Y55*0.1),(VLOOKUP($X55,Übungsübersicht!$E$7:$M$83,3,FALSE)))),IF($Y55&gt;50,(MROUND(($Y55*0.2),(VLOOKUP($X55,Übungsübersicht!$E$7:$M$83,3,FALSE)))),IF($Y55&gt;25,(MROUND(($Y55*0.3),(VLOOKUP($X55,Übungsübersicht!$E$7:$M$83,3,FALSE)))),IF($Y55&gt;15,(MROUND(($Y55*0.4),(VLOOKUP($X55,Übungsübersicht!$E$7:$M$83,3,FALSE)))),IF($Y55&gt;(VLOOKUP($X55,Übungsübersicht!$E$7:$M$83,3,FALSE)),(VLOOKUP($X55,Übungsübersicht!$E$7:$M$83,3,FALSE)),""))))))),2*(VLOOKUP($X55,Übungsübersicht!$E$7:$M$83,3,FALSE)))</f>
        <v>#N/A</v>
      </c>
      <c r="AB55" s="652" t="e">
        <f ca="1">IFERROR(IF($Y55=0,4*(VLOOKUP($X55,Übungsübersicht!$E$7:$M$83,3,FALSE)),IF($Y55&gt;100,(MROUND(($Y55*0.3),(VLOOKUP($X55,Übungsübersicht!$E$7:$M$83,3,FALSE)))),IF($Y55&gt;80,(MROUND(($Y55*0.3),(VLOOKUP($X55,Übungsübersicht!$E$7:$M$83,3,FALSE)))),IF($Y55&gt;50,(MROUND(($Y55*0.4),(VLOOKUP($X55,Übungsübersicht!$E$7:$M$83,3,FALSE)))),IF($Y55&gt;25,(MROUND(($Y55*0.5),(VLOOKUP($X55,Übungsübersicht!$E$7:$M$83,3,FALSE)))),IF($Y55&gt;15,(MROUND(($Y55*0.6),(VLOOKUP($X55,Übungsübersicht!$E$7:$M$83,3,FALSE)))),IF($Y55&gt;(VLOOKUP($X55,Übungsübersicht!$E$7:$M$83,3,FALSE)),(VLOOKUP($X55,Übungsübersicht!$E$7:$M$83,3,FALSE)),""))))))),4*(VLOOKUP($X55,Übungsübersicht!$E$7:$M$83,3,FALSE)))</f>
        <v>#N/A</v>
      </c>
      <c r="AC55" s="652" t="e">
        <f ca="1">IFERROR((IF($Y55=0,8*(VLOOKUP($X55,Übungsübersicht!$E$7:$M$83,3,FALSE)),(($Y55)-(3*(VLOOKUP($X55,Übungsübersicht!$E$7:$M$83,3,FALSE)))))),8*(VLOOKUP($X55,Übungsübersicht!$E$7:$M$83,3,FALSE)))</f>
        <v>#N/A</v>
      </c>
      <c r="AD55" s="652" t="e">
        <f ca="1">IFERROR(((IF($Y55=0,10*(VLOOKUP($X55,Übungsübersicht!$E$7:$M$83,3,FALSE)),($Y55)-(2*(VLOOKUP($X55,Übungsübersicht!$E$7:$M$83,3,FALSE)))))),10*(VLOOKUP($X55,Übungsübersicht!$E$7:$M$83,3,FALSE)))</f>
        <v>#N/A</v>
      </c>
      <c r="AE55" s="652" t="e">
        <f ca="1">IFERROR(((IF($Y55=0,10*(VLOOKUP($X55,Übungsübersicht!$E$7:$M$83,3,FALSE)),($Y55)-(1*(VLOOKUP($X55,Übungsübersicht!$E$7:$M$83,3,FALSE)))))),10*(VLOOKUP($X55,Übungsübersicht!$E$7:$M$83,3,FALSE)))</f>
        <v>#N/A</v>
      </c>
      <c r="AF55" s="652" t="e">
        <f ca="1">IFERROR(IF($Y55=0,20*(VLOOKUP($X55,Übungsübersicht!$E$7:$M$83,3,FALSE)),($Y55)),20*(VLOOKUP($X55,Übungsübersicht!$E$7:$M$83,3,FALSE)))</f>
        <v>#N/A</v>
      </c>
      <c r="AG55" s="652" t="e">
        <f ca="1">IFERROR(IF($Y55=0,30*(VLOOKUP($X55,Übungsübersicht!$E$7:$M$83,3,FALSE)),($Y55)+(1*(VLOOKUP($X55,Übungsübersicht!$E$7:$M$83,3,FALSE)))),30*(VLOOKUP($X55,Übungsübersicht!$E$7:$M$83,3,FALSE)))</f>
        <v>#N/A</v>
      </c>
      <c r="AH55" s="652" t="e">
        <f ca="1">IFERROR(IF($Y55=0,30*(VLOOKUP($X55,Übungsübersicht!$E$7:$M$83,3,FALSE)),($Y55)+(2*(VLOOKUP($X55,Übungsübersicht!$E$7:$M$83,3,FALSE)))),30*(VLOOKUP($X55,Übungsübersicht!$E$7:$M$83,3,FALSE)))</f>
        <v>#N/A</v>
      </c>
      <c r="AI55" s="652" t="e">
        <f ca="1">IFERROR(IF($Y55=0,30*(VLOOKUP($X55,Übungsübersicht!$E$7:$M$83,3,FALSE)),($Y55)+(3*(VLOOKUP($X55,Übungsübersicht!$E$7:$M$83,3,FALSE)))),30*(VLOOKUP($X55,Übungsübersicht!$E$7:$M$83,3,FALSE)))</f>
        <v>#N/A</v>
      </c>
      <c r="AJ55" s="652" t="e">
        <f ca="1">IFERROR(IF($Y55=0,40*(VLOOKUP($X55,Übungsübersicht!$E$7:$M$83,3,FALSE)),IF($Y55&gt;100,(MROUND(($Y55*1.7),(VLOOKUP($X55,Übungsübersicht!$E$7:$M$83,3,FALSE)))),IF($Y55&gt;80,(MROUND(($Y55*1.7),(VLOOKUP($X55,Übungsübersicht!$E$7:$M$83,3,FALSE)))),IF($Y55&gt;50,(MROUND(($Y55*1.6),(VLOOKUP($X55,Übungsübersicht!$E$7:$M$83,3,FALSE)))),IF($Y55&gt;25,(MROUND(($Y55*1.5),(VLOOKUP($X55,Übungsübersicht!$E$7:$M$83,3,FALSE)))),IF($Y55&gt;15,(MROUND(($Y55*1.4),(VLOOKUP($X55,Übungsübersicht!$E$7:$M$83,3,FALSE)))),IF($Y55&gt;(VLOOKUP($X55,Übungsübersicht!$E$7:$M$83,3,FALSE)),30*(VLOOKUP($X55,Übungsübersicht!$E$7:$M$83,3,FALSE)),""))))))),40*(VLOOKUP($X55,Übungsübersicht!$E$7:$M$83,3,FALSE)))</f>
        <v>#N/A</v>
      </c>
      <c r="AK55" s="653" t="e">
        <f ca="1">IFERROR(IF($Y55=0,50*(VLOOKUP($X55,Übungsübersicht!$E$7:$M$83,3,FALSE)),IF($Y55&gt;100,(MROUND(($Y55*1.9),(VLOOKUP($X55,Übungsübersicht!$E$7:$M$83,3,FALSE)))),IF($Y55&gt;80,(MROUND(($Y55*1.9),(VLOOKUP($X55,Übungsübersicht!$E$7:$M$83,3,FALSE)))),IF($Y55&gt;50,(MROUND(($Y55*1.8),(VLOOKUP($X55,Übungsübersicht!$E$7:$M$83,3,FALSE)))),IF($Y55&gt;25,(MROUND(($Y55*1.7),(VLOOKUP($X55,Übungsübersicht!$E$7:$M$83,3,FALSE)))),IF($Y55&gt;15,(MROUND(($Y55*1.6),(VLOOKUP($X55,Übungsübersicht!$E$7:$M$83,3,FALSE)))),IF($Y55&gt;(VLOOKUP($X55,Übungsübersicht!$E$7:$M$83,3,FALSE)),40*(VLOOKUP($X55,Übungsübersicht!$E$7:$M$83,3,FALSE)),""))))))),50*(VLOOKUP($X55,Übungsübersicht!$E$7:$M$83,3,FALSE)))</f>
        <v>#N/A</v>
      </c>
      <c r="AN55" s="652" t="e">
        <f ca="1">MROUND(INDEX(OFFSET(Zyklus!$M$13,52,0),1),(IF(VLOOKUP($X55,Übungsübersicht!$E$7:$K$80,3)=0,0.1,(VLOOKUP($X55,Übungsübersicht!$E$7:$K$80,3)))))</f>
        <v>#N/A</v>
      </c>
      <c r="AP55" s="655" t="str">
        <f ca="1">IFERROR(IF(IF(VLOOKUP($X55,Zyklus!$A$14:$U$68,9,FALSE)=0,"RPE 8",IF(VLOOKUP($X55,Übungsübersicht!$E$7:$M$83,3,FALSE)&lt;0.5,($AN55)-(3*0.5),(($AN55)-(3*(VLOOKUP($X55,Übungsübersicht!$E$7:$M$83,3,FALSE))))))&lt;1,0,(IF(VLOOKUP($X55,Zyklus!$A$14:$U$68,9,FALSE)=0,"RPE 8",IF(VLOOKUP($X55,Übungsübersicht!$E$7:$M$83,3,FALSE)&lt;0.5,($AN55)-(3*0.5),(($AN55)-(3*(VLOOKUP($X55,Übungsübersicht!$E$7:$M$83,3,FALSE)))))))),"RPE 8")</f>
        <v>RPE 8</v>
      </c>
      <c r="AQ55" s="655" t="str">
        <f ca="1">IFERROR(IF(IF(VLOOKUP($X55,Zyklus!$A$14:$U$68,9,FALSE)=0,"RPE 8",IF(VLOOKUP($X55,Übungsübersicht!$E$7:$M$83,3,FALSE)&lt;0.5,($AN55)-(2*0.5),(($AN55)-(2*(VLOOKUP($X55,Übungsübersicht!$E$7:$M$83,3,FALSE))))))&lt;1,0,(IF(VLOOKUP($X55,Zyklus!$A$14:$U$68,9,FALSE)=0,"RPE 8",IF(VLOOKUP($X55,Übungsübersicht!$E$7:$M$83,3,FALSE)&lt;0.5,($AN55)-(2*0.5),(($AN55)-(2*(VLOOKUP($X55,Übungsübersicht!$E$7:$M$83,3,FALSE)))))))),"RPE 8")</f>
        <v>RPE 8</v>
      </c>
      <c r="AR55" s="655" t="str">
        <f ca="1">IFERROR(IF(IF(VLOOKUP($X55,Zyklus!$A$14:$U$68,9,FALSE)=0,"RPE 8",IF(VLOOKUP($X55,Übungsübersicht!$E$7:$M$83,3,FALSE)&lt;0.5,($AN55)-(1*0.5),(($Y55)-(1*(VLOOKUP($X55,Übungsübersicht!$E$7:$M$83,3,FALSE))))))&lt;1,0,(IF(VLOOKUP($X55,Zyklus!$A$14:$U$68,9,FALSE)=0,"RPE 8",IF(VLOOKUP($X55,Übungsübersicht!$E$7:$M$83,3,FALSE)&lt;0.5,($AN55)-(1*0.5),(($Y55)-(1*(VLOOKUP($X55,Übungsübersicht!$E$7:$M$83,3,FALSE)))))))),"RPE 8")</f>
        <v>RPE 8</v>
      </c>
      <c r="AS55" s="655" t="str">
        <f t="shared" ca="1" si="0"/>
        <v>RPE 8</v>
      </c>
      <c r="AT55" s="655" t="str">
        <f ca="1">IFERROR(IF(VLOOKUP($X55,Zyklus!$A$14:$U$68,9,FALSE)=0,"RPE 8",IF(VLOOKUP($X55,Übungsübersicht!$E$7:$M$83,3,FALSE)&lt;0.5,($AN55)+(1*0.5),(($Y55)+(1*(VLOOKUP($X55,Übungsübersicht!$E$7:$M$83,3,FALSE)))))),"RPE 8")</f>
        <v>RPE 8</v>
      </c>
      <c r="AU55" s="655" t="str">
        <f ca="1">IFERROR(IF(VLOOKUP($X55,Zyklus!$A$14:$U$68,9,FALSE)=0,"RPE 8",IF(VLOOKUP($X55,Übungsübersicht!$E$7:$M$83,3,FALSE)&lt;0.5,($AN55)+(2*0.5),(($AN55)+(2*(VLOOKUP($X55,Übungsübersicht!$E$7:$M$83,3,FALSE)))))),"RPE 8")</f>
        <v>RPE 8</v>
      </c>
      <c r="AV55" s="655" t="str">
        <f ca="1">IFERROR(IF(VLOOKUP($X55,Zyklus!$A$14:$U$68,9,FALSE)=0,"RPE 8",IF(VLOOKUP($X55,Übungsübersicht!$E$7:$M$83,3,FALSE)&lt;0.5,($AN55)+(3*0.5),(($AN55)+(3*(VLOOKUP($X55,Übungsübersicht!$E$7:$M$83,3,FALSE)))))),"RPE 8")</f>
        <v>RPE 8</v>
      </c>
      <c r="AY55" s="652" t="e">
        <f ca="1">MROUND(INDEX(OFFSET(Zyklus!$M$13,52,0),1),(IF(VLOOKUP($X55,Übungsübersicht!$E$7:$K$80,3)=0,0.1,(VLOOKUP($X55,Übungsübersicht!$E$7:$K$80,3)))))</f>
        <v>#N/A</v>
      </c>
      <c r="BA55" s="655" t="e">
        <f ca="1">MROUND(INDEX(OFFSET(Zyklus!$Q$13,52,0),1),(IF(VLOOKUP($X55,Übungsübersicht!$E$7:$K$80,3)=0,0.1,(VLOOKUP($X55,Übungsübersicht!$E$7:$K$80,3)))))</f>
        <v>#N/A</v>
      </c>
      <c r="BC55" s="655" t="str">
        <f ca="1">IFERROR(IF(IF(VLOOKUP($X55,Zyklus!$A$14:$U$68,9,FALSE)=0,"RPE 9",IF(VLOOKUP($X55,Übungsübersicht!$E$7:$M$83,3,FALSE)&lt;0.5,($BA55)-(3*0.5),(($BA55)-(3*(VLOOKUP($X55,Übungsübersicht!$E$7:$M$83,3,FALSE))))))&lt;1,0,(IF(VLOOKUP($X55,Zyklus!$A$14:$U$68,9,FALSE)=0,"RPE 9",IF(VLOOKUP($X55,Übungsübersicht!$E$7:$M$83,3,FALSE)&lt;0.5,($BA55)-(3*0.5),(($BA55)-(3*(VLOOKUP($X55,Übungsübersicht!$E$7:$M$83,3,FALSE)))))))),"RPE 9")</f>
        <v>RPE 9</v>
      </c>
      <c r="BD55" s="655" t="str">
        <f ca="1">IFERROR(IF(IF(VLOOKUP($X55,Zyklus!$A$14:$U$68,9,FALSE)=0,"RPE 9",IF(VLOOKUP($X55,Übungsübersicht!$E$7:$M$83,3,FALSE)&lt;0.5,($BA55)-(2*0.5),(($BA55)-(2*(VLOOKUP($X55,Übungsübersicht!$E$7:$M$83,3,FALSE))))))&lt;1,0,(IF(VLOOKUP($X55,Zyklus!$A$14:$U$68,9,FALSE)=0,"RPE 9",IF(VLOOKUP($X55,Übungsübersicht!$E$7:$M$83,3,FALSE)&lt;0.5,($BA55)-(2*0.5),(($BA55)-(2*(VLOOKUP($X55,Übungsübersicht!$E$7:$M$83,3,FALSE)))))))),"RPE 9")</f>
        <v>RPE 9</v>
      </c>
      <c r="BE55" s="655" t="str">
        <f ca="1">IFERROR(IF(IF(VLOOKUP($X55,Zyklus!$A$14:$U$68,9,FALSE)=0,"RPE 9",IF(VLOOKUP($X55,Übungsübersicht!$E$7:$M$83,3,FALSE)&lt;0.5,($BA55)-(1*0.5),(($Y55)-(1*(VLOOKUP($X55,Übungsübersicht!$E$7:$M$83,3,FALSE))))))&lt;1,0,(IF(VLOOKUP($X55,Zyklus!$A$14:$U$68,9,FALSE)=0,"RPE 9",IF(VLOOKUP($X55,Übungsübersicht!$E$7:$M$83,3,FALSE)&lt;0.5,($BA55)-(1*0.5),(($Y55)-(1*(VLOOKUP($X55,Übungsübersicht!$E$7:$M$83,3,FALSE)))))))),"RPE 9")</f>
        <v>RPE 9</v>
      </c>
      <c r="BF55" s="655" t="str">
        <f t="shared" ca="1" si="1"/>
        <v>RPE 9</v>
      </c>
      <c r="BG55" s="655" t="str">
        <f ca="1">IFERROR(IF(VLOOKUP($X55,Zyklus!$A$14:$U$68,9,FALSE)=0,"RPE 9",IF(VLOOKUP($X55,Übungsübersicht!$E$7:$M$83,3,FALSE)&lt;0.5,($AY55)+(1*0.5),(($AY55)+(1*(VLOOKUP($X55,Übungsübersicht!$E$7:$M$83,3,FALSE)))))),"RPE 9")</f>
        <v>RPE 9</v>
      </c>
      <c r="BH55" s="655" t="str">
        <f ca="1">IFERROR(IF(VLOOKUP($X55,Zyklus!$A$14:$U$68,9,FALSE)=0,"RPE 9",IF(VLOOKUP($X55,Übungsübersicht!$E$7:$M$83,3,FALSE)&lt;0.5,($BA55)+(2*0.5),(($BA55)+(2*(VLOOKUP($X55,Übungsübersicht!$E$7:$M$83,3,FALSE)))))),"RPE 9")</f>
        <v>RPE 9</v>
      </c>
      <c r="BI55" s="655" t="str">
        <f ca="1">IFERROR(IF(VLOOKUP($X55,Zyklus!$A$14:$U$68,9,FALSE)=0,"RPE 9",IF(VLOOKUP($X55,Übungsübersicht!$E$7:$M$83,3,FALSE)&lt;0.5,($BA55)+(3*0.5),(($BA55)+(3*(VLOOKUP($X55,Übungsübersicht!$E$7:$M$83,3,FALSE)))))),"RPE 9")</f>
        <v>RPE 9</v>
      </c>
    </row>
    <row r="56" spans="4:61" ht="30" customHeight="1">
      <c r="D56" s="324">
        <v>35</v>
      </c>
      <c r="E56" s="325">
        <f t="shared" si="2"/>
        <v>6.4516129032258069</v>
      </c>
      <c r="F56" s="343">
        <f t="shared" si="3"/>
        <v>5.5555555555555552E-2</v>
      </c>
      <c r="H56" s="324">
        <v>35</v>
      </c>
      <c r="I56" s="325">
        <f t="shared" si="5"/>
        <v>55.38461538461538</v>
      </c>
      <c r="J56" s="343">
        <f t="shared" si="4"/>
        <v>0.46153846153846151</v>
      </c>
      <c r="X56" s="654" t="str">
        <f ca="1">INDEX(OFFSET(Zyklus!$A$13,53,0),1)</f>
        <v/>
      </c>
      <c r="Y56" s="655" t="e">
        <f ca="1">MROUND(INDEX(OFFSET(Zyklus!$I$13,53,0),1),(IF(VLOOKUP($X56,Übungsübersicht!$E$7:$K$80,3)=0,0.1,(VLOOKUP($X56,Übungsübersicht!$E$7:$K$80,3)))))</f>
        <v>#N/A</v>
      </c>
      <c r="Z56" s="655"/>
      <c r="AA56" s="655" t="e">
        <f ca="1">IFERROR(IF($Y56=0,2*(VLOOKUP($X56,Übungsübersicht!$E$7:$M$83,3,FALSE)),IF($Y56&gt;100,(MROUND(($Y56*0.1),(VLOOKUP($X56,Übungsübersicht!$E$7:$M$83,3,FALSE)))),IF($Y56&gt;80,(MROUND(($Y56*0.1),(VLOOKUP($X56,Übungsübersicht!$E$7:$M$83,3,FALSE)))),IF($Y56&gt;50,(MROUND(($Y56*0.2),(VLOOKUP($X56,Übungsübersicht!$E$7:$M$83,3,FALSE)))),IF($Y56&gt;25,(MROUND(($Y56*0.3),(VLOOKUP($X56,Übungsübersicht!$E$7:$M$83,3,FALSE)))),IF($Y56&gt;15,(MROUND(($Y56*0.4),(VLOOKUP($X56,Übungsübersicht!$E$7:$M$83,3,FALSE)))),IF($Y56&gt;(VLOOKUP($X56,Übungsübersicht!$E$7:$M$83,3,FALSE)),(VLOOKUP($X56,Übungsübersicht!$E$7:$M$83,3,FALSE)),""))))))),2*(VLOOKUP($X56,Übungsübersicht!$E$7:$M$83,3,FALSE)))</f>
        <v>#N/A</v>
      </c>
      <c r="AB56" s="655" t="e">
        <f ca="1">IFERROR(IF($Y56=0,4*(VLOOKUP($X56,Übungsübersicht!$E$7:$M$83,3,FALSE)),IF($Y56&gt;100,(MROUND(($Y56*0.3),(VLOOKUP($X56,Übungsübersicht!$E$7:$M$83,3,FALSE)))),IF($Y56&gt;80,(MROUND(($Y56*0.3),(VLOOKUP($X56,Übungsübersicht!$E$7:$M$83,3,FALSE)))),IF($Y56&gt;50,(MROUND(($Y56*0.4),(VLOOKUP($X56,Übungsübersicht!$E$7:$M$83,3,FALSE)))),IF($Y56&gt;25,(MROUND(($Y56*0.5),(VLOOKUP($X56,Übungsübersicht!$E$7:$M$83,3,FALSE)))),IF($Y56&gt;15,(MROUND(($Y56*0.6),(VLOOKUP($X56,Übungsübersicht!$E$7:$M$83,3,FALSE)))),IF($Y56&gt;(VLOOKUP($X56,Übungsübersicht!$E$7:$M$83,3,FALSE)),(VLOOKUP($X56,Übungsübersicht!$E$7:$M$83,3,FALSE)),""))))))),4*(VLOOKUP($X56,Übungsübersicht!$E$7:$M$83,3,FALSE)))</f>
        <v>#N/A</v>
      </c>
      <c r="AC56" s="655" t="e">
        <f ca="1">IFERROR((IF($Y56=0,8*(VLOOKUP($X56,Übungsübersicht!$E$7:$M$83,3,FALSE)),(($Y56)-(3*(VLOOKUP($X56,Übungsübersicht!$E$7:$M$83,3,FALSE)))))),8*(VLOOKUP($X56,Übungsübersicht!$E$7:$M$83,3,FALSE)))</f>
        <v>#N/A</v>
      </c>
      <c r="AD56" s="655" t="e">
        <f ca="1">IFERROR(((IF($Y56=0,10*(VLOOKUP($X56,Übungsübersicht!$E$7:$M$83,3,FALSE)),($Y56)-(2*(VLOOKUP($X56,Übungsübersicht!$E$7:$M$83,3,FALSE)))))),10*(VLOOKUP($X56,Übungsübersicht!$E$7:$M$83,3,FALSE)))</f>
        <v>#N/A</v>
      </c>
      <c r="AE56" s="655" t="e">
        <f ca="1">IFERROR(((IF($Y56=0,10*(VLOOKUP($X56,Übungsübersicht!$E$7:$M$83,3,FALSE)),($Y56)-(1*(VLOOKUP($X56,Übungsübersicht!$E$7:$M$83,3,FALSE)))))),10*(VLOOKUP($X56,Übungsübersicht!$E$7:$M$83,3,FALSE)))</f>
        <v>#N/A</v>
      </c>
      <c r="AF56" s="655" t="e">
        <f ca="1">IFERROR(IF($Y56=0,20*(VLOOKUP($X56,Übungsübersicht!$E$7:$M$83,3,FALSE)),($Y56)),20*(VLOOKUP($X56,Übungsübersicht!$E$7:$M$83,3,FALSE)))</f>
        <v>#N/A</v>
      </c>
      <c r="AG56" s="655" t="e">
        <f ca="1">IFERROR(IF($Y56=0,30*(VLOOKUP($X56,Übungsübersicht!$E$7:$M$83,3,FALSE)),($Y56)+(1*(VLOOKUP($X56,Übungsübersicht!$E$7:$M$83,3,FALSE)))),30*(VLOOKUP($X56,Übungsübersicht!$E$7:$M$83,3,FALSE)))</f>
        <v>#N/A</v>
      </c>
      <c r="AH56" s="655" t="e">
        <f ca="1">IFERROR(IF($Y56=0,30*(VLOOKUP($X56,Übungsübersicht!$E$7:$M$83,3,FALSE)),($Y56)+(2*(VLOOKUP($X56,Übungsübersicht!$E$7:$M$83,3,FALSE)))),30*(VLOOKUP($X56,Übungsübersicht!$E$7:$M$83,3,FALSE)))</f>
        <v>#N/A</v>
      </c>
      <c r="AI56" s="655" t="e">
        <f ca="1">IFERROR(IF($Y56=0,30*(VLOOKUP($X56,Übungsübersicht!$E$7:$M$83,3,FALSE)),($Y56)+(3*(VLOOKUP($X56,Übungsübersicht!$E$7:$M$83,3,FALSE)))),30*(VLOOKUP($X56,Übungsübersicht!$E$7:$M$83,3,FALSE)))</f>
        <v>#N/A</v>
      </c>
      <c r="AJ56" s="655" t="e">
        <f ca="1">IFERROR(IF($Y56=0,40*(VLOOKUP($X56,Übungsübersicht!$E$7:$M$83,3,FALSE)),IF($Y56&gt;100,(MROUND(($Y56*1.7),(VLOOKUP($X56,Übungsübersicht!$E$7:$M$83,3,FALSE)))),IF($Y56&gt;80,(MROUND(($Y56*1.7),(VLOOKUP($X56,Übungsübersicht!$E$7:$M$83,3,FALSE)))),IF($Y56&gt;50,(MROUND(($Y56*1.6),(VLOOKUP($X56,Übungsübersicht!$E$7:$M$83,3,FALSE)))),IF($Y56&gt;25,(MROUND(($Y56*1.5),(VLOOKUP($X56,Übungsübersicht!$E$7:$M$83,3,FALSE)))),IF($Y56&gt;15,(MROUND(($Y56*1.4),(VLOOKUP($X56,Übungsübersicht!$E$7:$M$83,3,FALSE)))),IF($Y56&gt;(VLOOKUP($X56,Übungsübersicht!$E$7:$M$83,3,FALSE)),30*(VLOOKUP($X56,Übungsübersicht!$E$7:$M$83,3,FALSE)),""))))))),40*(VLOOKUP($X56,Übungsübersicht!$E$7:$M$83,3,FALSE)))</f>
        <v>#N/A</v>
      </c>
      <c r="AK56" s="656" t="e">
        <f ca="1">IFERROR(IF($Y56=0,50*(VLOOKUP($X56,Übungsübersicht!$E$7:$M$83,3,FALSE)),IF($Y56&gt;100,(MROUND(($Y56*1.9),(VLOOKUP($X56,Übungsübersicht!$E$7:$M$83,3,FALSE)))),IF($Y56&gt;80,(MROUND(($Y56*1.9),(VLOOKUP($X56,Übungsübersicht!$E$7:$M$83,3,FALSE)))),IF($Y56&gt;50,(MROUND(($Y56*1.8),(VLOOKUP($X56,Übungsübersicht!$E$7:$M$83,3,FALSE)))),IF($Y56&gt;25,(MROUND(($Y56*1.7),(VLOOKUP($X56,Übungsübersicht!$E$7:$M$83,3,FALSE)))),IF($Y56&gt;15,(MROUND(($Y56*1.6),(VLOOKUP($X56,Übungsübersicht!$E$7:$M$83,3,FALSE)))),IF($Y56&gt;(VLOOKUP($X56,Übungsübersicht!$E$7:$M$83,3,FALSE)),40*(VLOOKUP($X56,Übungsübersicht!$E$7:$M$83,3,FALSE)),""))))))),50*(VLOOKUP($X56,Übungsübersicht!$E$7:$M$83,3,FALSE)))</f>
        <v>#N/A</v>
      </c>
      <c r="AN56" s="655" t="e">
        <f ca="1">MROUND(INDEX(OFFSET(Zyklus!$M$13,53,0),1),(IF(VLOOKUP($X56,Übungsübersicht!$E$7:$K$80,3)=0,0.1,(VLOOKUP($X56,Übungsübersicht!$E$7:$K$80,3)))))</f>
        <v>#N/A</v>
      </c>
      <c r="AP56" s="652" t="str">
        <f ca="1">IFERROR(IF(IF(VLOOKUP($X56,Zyklus!$A$14:$U$68,9,FALSE)=0,"RPE 8",IF(VLOOKUP($X56,Übungsübersicht!$E$7:$M$83,3,FALSE)&lt;0.5,($AN56)-(3*0.5),(($AN56)-(3*(VLOOKUP($X56,Übungsübersicht!$E$7:$M$83,3,FALSE))))))&lt;1,0,(IF(VLOOKUP($X56,Zyklus!$A$14:$U$68,9,FALSE)=0,"RPE 8",IF(VLOOKUP($X56,Übungsübersicht!$E$7:$M$83,3,FALSE)&lt;0.5,($AN56)-(3*0.5),(($AN56)-(3*(VLOOKUP($X56,Übungsübersicht!$E$7:$M$83,3,FALSE)))))))),"RPE 8")</f>
        <v>RPE 8</v>
      </c>
      <c r="AQ56" s="652" t="str">
        <f ca="1">IFERROR(IF(IF(VLOOKUP($X56,Zyklus!$A$14:$U$68,9,FALSE)=0,"RPE 8",IF(VLOOKUP($X56,Übungsübersicht!$E$7:$M$83,3,FALSE)&lt;0.5,($AN56)-(2*0.5),(($AN56)-(2*(VLOOKUP($X56,Übungsübersicht!$E$7:$M$83,3,FALSE))))))&lt;1,0,(IF(VLOOKUP($X56,Zyklus!$A$14:$U$68,9,FALSE)=0,"RPE 8",IF(VLOOKUP($X56,Übungsübersicht!$E$7:$M$83,3,FALSE)&lt;0.5,($AN56)-(2*0.5),(($AN56)-(2*(VLOOKUP($X56,Übungsübersicht!$E$7:$M$83,3,FALSE)))))))),"RPE 8")</f>
        <v>RPE 8</v>
      </c>
      <c r="AR56" s="652" t="str">
        <f ca="1">IFERROR(IF(IF(VLOOKUP($X56,Zyklus!$A$14:$U$68,9,FALSE)=0,"RPE 8",IF(VLOOKUP($X56,Übungsübersicht!$E$7:$M$83,3,FALSE)&lt;0.5,($AN56)-(1*0.5),(($Y56)-(1*(VLOOKUP($X56,Übungsübersicht!$E$7:$M$83,3,FALSE))))))&lt;1,0,(IF(VLOOKUP($X56,Zyklus!$A$14:$U$68,9,FALSE)=0,"RPE 8",IF(VLOOKUP($X56,Übungsübersicht!$E$7:$M$83,3,FALSE)&lt;0.5,($AN56)-(1*0.5),(($Y56)-(1*(VLOOKUP($X56,Übungsübersicht!$E$7:$M$83,3,FALSE)))))))),"RPE 8")</f>
        <v>RPE 8</v>
      </c>
      <c r="AS56" s="652" t="str">
        <f t="shared" ca="1" si="0"/>
        <v>RPE 8</v>
      </c>
      <c r="AT56" s="652" t="str">
        <f ca="1">IFERROR(IF(VLOOKUP($X56,Zyklus!$A$14:$U$68,9,FALSE)=0,"RPE 8",IF(VLOOKUP($X56,Übungsübersicht!$E$7:$M$83,3,FALSE)&lt;0.5,($AN56)+(1*0.5),(($Y56)+(1*(VLOOKUP($X56,Übungsübersicht!$E$7:$M$83,3,FALSE)))))),"RPE 8")</f>
        <v>RPE 8</v>
      </c>
      <c r="AU56" s="652" t="str">
        <f ca="1">IFERROR(IF(VLOOKUP($X56,Zyklus!$A$14:$U$68,9,FALSE)=0,"RPE 8",IF(VLOOKUP($X56,Übungsübersicht!$E$7:$M$83,3,FALSE)&lt;0.5,($AN56)+(2*0.5),(($AN56)+(2*(VLOOKUP($X56,Übungsübersicht!$E$7:$M$83,3,FALSE)))))),"RPE 8")</f>
        <v>RPE 8</v>
      </c>
      <c r="AV56" s="652" t="str">
        <f ca="1">IFERROR(IF(VLOOKUP($X56,Zyklus!$A$14:$U$68,9,FALSE)=0,"RPE 8",IF(VLOOKUP($X56,Übungsübersicht!$E$7:$M$83,3,FALSE)&lt;0.5,($AN56)+(3*0.5),(($AN56)+(3*(VLOOKUP($X56,Übungsübersicht!$E$7:$M$83,3,FALSE)))))),"RPE 8")</f>
        <v>RPE 8</v>
      </c>
      <c r="AY56" s="655" t="e">
        <f ca="1">MROUND(INDEX(OFFSET(Zyklus!$M$13,53,0),1),(IF(VLOOKUP($X56,Übungsübersicht!$E$7:$K$80,3)=0,0.1,(VLOOKUP($X56,Übungsübersicht!$E$7:$K$80,3)))))</f>
        <v>#N/A</v>
      </c>
      <c r="BA56" s="652" t="e">
        <f ca="1">MROUND(INDEX(OFFSET(Zyklus!$Q$13,53,0),1),(IF(VLOOKUP($X56,Übungsübersicht!$E$7:$K$80,3)=0,0.1,(VLOOKUP($X56,Übungsübersicht!$E$7:$K$80,3)))))</f>
        <v>#N/A</v>
      </c>
      <c r="BC56" s="652" t="str">
        <f ca="1">IFERROR(IF(IF(VLOOKUP($X56,Zyklus!$A$14:$U$68,9,FALSE)=0,"RPE 9",IF(VLOOKUP($X56,Übungsübersicht!$E$7:$M$83,3,FALSE)&lt;0.5,($BA56)-(3*0.5),(($BA56)-(3*(VLOOKUP($X56,Übungsübersicht!$E$7:$M$83,3,FALSE))))))&lt;1,0,(IF(VLOOKUP($X56,Zyklus!$A$14:$U$68,9,FALSE)=0,"RPE 9",IF(VLOOKUP($X56,Übungsübersicht!$E$7:$M$83,3,FALSE)&lt;0.5,($BA56)-(3*0.5),(($BA56)-(3*(VLOOKUP($X56,Übungsübersicht!$E$7:$M$83,3,FALSE)))))))),"RPE 9")</f>
        <v>RPE 9</v>
      </c>
      <c r="BD56" s="652" t="str">
        <f ca="1">IFERROR(IF(IF(VLOOKUP($X56,Zyklus!$A$14:$U$68,9,FALSE)=0,"RPE 9",IF(VLOOKUP($X56,Übungsübersicht!$E$7:$M$83,3,FALSE)&lt;0.5,($BA56)-(2*0.5),(($BA56)-(2*(VLOOKUP($X56,Übungsübersicht!$E$7:$M$83,3,FALSE))))))&lt;1,0,(IF(VLOOKUP($X56,Zyklus!$A$14:$U$68,9,FALSE)=0,"RPE 9",IF(VLOOKUP($X56,Übungsübersicht!$E$7:$M$83,3,FALSE)&lt;0.5,($BA56)-(2*0.5),(($BA56)-(2*(VLOOKUP($X56,Übungsübersicht!$E$7:$M$83,3,FALSE)))))))),"RPE 9")</f>
        <v>RPE 9</v>
      </c>
      <c r="BE56" s="652" t="str">
        <f ca="1">IFERROR(IF(IF(VLOOKUP($X56,Zyklus!$A$14:$U$68,9,FALSE)=0,"RPE 9",IF(VLOOKUP($X56,Übungsübersicht!$E$7:$M$83,3,FALSE)&lt;0.5,($BA56)-(1*0.5),(($Y56)-(1*(VLOOKUP($X56,Übungsübersicht!$E$7:$M$83,3,FALSE))))))&lt;1,0,(IF(VLOOKUP($X56,Zyklus!$A$14:$U$68,9,FALSE)=0,"RPE 9",IF(VLOOKUP($X56,Übungsübersicht!$E$7:$M$83,3,FALSE)&lt;0.5,($BA56)-(1*0.5),(($Y56)-(1*(VLOOKUP($X56,Übungsübersicht!$E$7:$M$83,3,FALSE)))))))),"RPE 9")</f>
        <v>RPE 9</v>
      </c>
      <c r="BF56" s="652" t="str">
        <f t="shared" ca="1" si="1"/>
        <v>RPE 9</v>
      </c>
      <c r="BG56" s="652" t="str">
        <f ca="1">IFERROR(IF(VLOOKUP($X56,Zyklus!$A$14:$U$68,9,FALSE)=0,"RPE 9",IF(VLOOKUP($X56,Übungsübersicht!$E$7:$M$83,3,FALSE)&lt;0.5,($AY56)+(1*0.5),(($AY56)+(1*(VLOOKUP($X56,Übungsübersicht!$E$7:$M$83,3,FALSE)))))),"RPE 9")</f>
        <v>RPE 9</v>
      </c>
      <c r="BH56" s="652" t="str">
        <f ca="1">IFERROR(IF(VLOOKUP($X56,Zyklus!$A$14:$U$68,9,FALSE)=0,"RPE 9",IF(VLOOKUP($X56,Übungsübersicht!$E$7:$M$83,3,FALSE)&lt;0.5,($BA56)+(2*0.5),(($BA56)+(2*(VLOOKUP($X56,Übungsübersicht!$E$7:$M$83,3,FALSE)))))),"RPE 9")</f>
        <v>RPE 9</v>
      </c>
      <c r="BI56" s="652" t="str">
        <f ca="1">IFERROR(IF(VLOOKUP($X56,Zyklus!$A$14:$U$68,9,FALSE)=0,"RPE 9",IF(VLOOKUP($X56,Übungsübersicht!$E$7:$M$83,3,FALSE)&lt;0.5,($BA56)+(3*0.5),(($BA56)+(3*(VLOOKUP($X56,Übungsübersicht!$E$7:$M$83,3,FALSE)))))),"RPE 9")</f>
        <v>RPE 9</v>
      </c>
    </row>
    <row r="57" spans="4:61" ht="30" customHeight="1">
      <c r="D57" s="326">
        <v>36</v>
      </c>
      <c r="E57" s="323">
        <f t="shared" si="2"/>
        <v>3.2258064516129035</v>
      </c>
      <c r="F57" s="344">
        <f t="shared" si="3"/>
        <v>2.7777777777777776E-2</v>
      </c>
      <c r="H57" s="326">
        <v>36</v>
      </c>
      <c r="I57" s="323">
        <f t="shared" si="5"/>
        <v>54.54545454545454</v>
      </c>
      <c r="J57" s="344">
        <f t="shared" si="4"/>
        <v>0.45454545454545447</v>
      </c>
      <c r="Q57" s="1023" t="s">
        <v>431</v>
      </c>
      <c r="R57" s="1023"/>
      <c r="S57" s="1023"/>
      <c r="X57" s="651">
        <f ca="1">INDEX(OFFSET(Zyklus!$A$13,54,0),1)</f>
        <v>0</v>
      </c>
      <c r="Y57" s="652" t="e">
        <f ca="1">MROUND(INDEX(OFFSET(Zyklus!$I$13,54,0),1),(IF(VLOOKUP($X57,Übungsübersicht!$E$7:$K$80,3)=0,0.1,(VLOOKUP($X57,Übungsübersicht!$E$7:$K$80,3)))))</f>
        <v>#N/A</v>
      </c>
      <c r="Z57" s="652"/>
      <c r="AA57" s="652" t="e">
        <f ca="1">IFERROR(IF($Y57=0,2*(VLOOKUP($X57,Übungsübersicht!$E$7:$M$83,3,FALSE)),IF($Y57&gt;100,(MROUND(($Y57*0.1),(VLOOKUP($X57,Übungsübersicht!$E$7:$M$83,3,FALSE)))),IF($Y57&gt;80,(MROUND(($Y57*0.1),(VLOOKUP($X57,Übungsübersicht!$E$7:$M$83,3,FALSE)))),IF($Y57&gt;50,(MROUND(($Y57*0.2),(VLOOKUP($X57,Übungsübersicht!$E$7:$M$83,3,FALSE)))),IF($Y57&gt;25,(MROUND(($Y57*0.3),(VLOOKUP($X57,Übungsübersicht!$E$7:$M$83,3,FALSE)))),IF($Y57&gt;15,(MROUND(($Y57*0.4),(VLOOKUP($X57,Übungsübersicht!$E$7:$M$83,3,FALSE)))),IF($Y57&gt;(VLOOKUP($X57,Übungsübersicht!$E$7:$M$83,3,FALSE)),(VLOOKUP($X57,Übungsübersicht!$E$7:$M$83,3,FALSE)),""))))))),2*(VLOOKUP($X57,Übungsübersicht!$E$7:$M$83,3,FALSE)))</f>
        <v>#N/A</v>
      </c>
      <c r="AB57" s="652" t="e">
        <f ca="1">IFERROR(IF($Y57=0,4*(VLOOKUP($X57,Übungsübersicht!$E$7:$M$83,3,FALSE)),IF($Y57&gt;100,(MROUND(($Y57*0.3),(VLOOKUP($X57,Übungsübersicht!$E$7:$M$83,3,FALSE)))),IF($Y57&gt;80,(MROUND(($Y57*0.3),(VLOOKUP($X57,Übungsübersicht!$E$7:$M$83,3,FALSE)))),IF($Y57&gt;50,(MROUND(($Y57*0.4),(VLOOKUP($X57,Übungsübersicht!$E$7:$M$83,3,FALSE)))),IF($Y57&gt;25,(MROUND(($Y57*0.5),(VLOOKUP($X57,Übungsübersicht!$E$7:$M$83,3,FALSE)))),IF($Y57&gt;15,(MROUND(($Y57*0.6),(VLOOKUP($X57,Übungsübersicht!$E$7:$M$83,3,FALSE)))),IF($Y57&gt;(VLOOKUP($X57,Übungsübersicht!$E$7:$M$83,3,FALSE)),(VLOOKUP($X57,Übungsübersicht!$E$7:$M$83,3,FALSE)),""))))))),4*(VLOOKUP($X57,Übungsübersicht!$E$7:$M$83,3,FALSE)))</f>
        <v>#N/A</v>
      </c>
      <c r="AC57" s="652" t="e">
        <f ca="1">IFERROR((IF($Y57=0,8*(VLOOKUP($X57,Übungsübersicht!$E$7:$M$83,3,FALSE)),(($Y57)-(3*(VLOOKUP($X57,Übungsübersicht!$E$7:$M$83,3,FALSE)))))),8*(VLOOKUP($X57,Übungsübersicht!$E$7:$M$83,3,FALSE)))</f>
        <v>#N/A</v>
      </c>
      <c r="AD57" s="652" t="e">
        <f ca="1">IFERROR(((IF($Y57=0,10*(VLOOKUP($X57,Übungsübersicht!$E$7:$M$83,3,FALSE)),($Y57)-(2*(VLOOKUP($X57,Übungsübersicht!$E$7:$M$83,3,FALSE)))))),10*(VLOOKUP($X57,Übungsübersicht!$E$7:$M$83,3,FALSE)))</f>
        <v>#N/A</v>
      </c>
      <c r="AE57" s="652" t="e">
        <f ca="1">IFERROR(((IF($Y57=0,10*(VLOOKUP($X57,Übungsübersicht!$E$7:$M$83,3,FALSE)),($Y57)-(1*(VLOOKUP($X57,Übungsübersicht!$E$7:$M$83,3,FALSE)))))),10*(VLOOKUP($X57,Übungsübersicht!$E$7:$M$83,3,FALSE)))</f>
        <v>#N/A</v>
      </c>
      <c r="AF57" s="652" t="e">
        <f ca="1">IFERROR(IF($Y57=0,20*(VLOOKUP($X57,Übungsübersicht!$E$7:$M$83,3,FALSE)),($Y57)),20*(VLOOKUP($X57,Übungsübersicht!$E$7:$M$83,3,FALSE)))</f>
        <v>#N/A</v>
      </c>
      <c r="AG57" s="652" t="e">
        <f ca="1">IFERROR(IF($Y57=0,30*(VLOOKUP($X57,Übungsübersicht!$E$7:$M$83,3,FALSE)),($Y57)+(1*(VLOOKUP($X57,Übungsübersicht!$E$7:$M$83,3,FALSE)))),30*(VLOOKUP($X57,Übungsübersicht!$E$7:$M$83,3,FALSE)))</f>
        <v>#N/A</v>
      </c>
      <c r="AH57" s="652" t="e">
        <f ca="1">IFERROR(IF($Y57=0,30*(VLOOKUP($X57,Übungsübersicht!$E$7:$M$83,3,FALSE)),($Y57)+(2*(VLOOKUP($X57,Übungsübersicht!$E$7:$M$83,3,FALSE)))),30*(VLOOKUP($X57,Übungsübersicht!$E$7:$M$83,3,FALSE)))</f>
        <v>#N/A</v>
      </c>
      <c r="AI57" s="652" t="e">
        <f ca="1">IFERROR(IF($Y57=0,30*(VLOOKUP($X57,Übungsübersicht!$E$7:$M$83,3,FALSE)),($Y57)+(3*(VLOOKUP($X57,Übungsübersicht!$E$7:$M$83,3,FALSE)))),30*(VLOOKUP($X57,Übungsübersicht!$E$7:$M$83,3,FALSE)))</f>
        <v>#N/A</v>
      </c>
      <c r="AJ57" s="652" t="e">
        <f ca="1">IFERROR(IF($Y57=0,40*(VLOOKUP($X57,Übungsübersicht!$E$7:$M$83,3,FALSE)),IF($Y57&gt;100,(MROUND(($Y57*1.7),(VLOOKUP($X57,Übungsübersicht!$E$7:$M$83,3,FALSE)))),IF($Y57&gt;80,(MROUND(($Y57*1.7),(VLOOKUP($X57,Übungsübersicht!$E$7:$M$83,3,FALSE)))),IF($Y57&gt;50,(MROUND(($Y57*1.6),(VLOOKUP($X57,Übungsübersicht!$E$7:$M$83,3,FALSE)))),IF($Y57&gt;25,(MROUND(($Y57*1.5),(VLOOKUP($X57,Übungsübersicht!$E$7:$M$83,3,FALSE)))),IF($Y57&gt;15,(MROUND(($Y57*1.4),(VLOOKUP($X57,Übungsübersicht!$E$7:$M$83,3,FALSE)))),IF($Y57&gt;(VLOOKUP($X57,Übungsübersicht!$E$7:$M$83,3,FALSE)),30*(VLOOKUP($X57,Übungsübersicht!$E$7:$M$83,3,FALSE)),""))))))),40*(VLOOKUP($X57,Übungsübersicht!$E$7:$M$83,3,FALSE)))</f>
        <v>#N/A</v>
      </c>
      <c r="AK57" s="653" t="e">
        <f ca="1">IFERROR(IF($Y57=0,50*(VLOOKUP($X57,Übungsübersicht!$E$7:$M$83,3,FALSE)),IF($Y57&gt;100,(MROUND(($Y57*1.9),(VLOOKUP($X57,Übungsübersicht!$E$7:$M$83,3,FALSE)))),IF($Y57&gt;80,(MROUND(($Y57*1.9),(VLOOKUP($X57,Übungsübersicht!$E$7:$M$83,3,FALSE)))),IF($Y57&gt;50,(MROUND(($Y57*1.8),(VLOOKUP($X57,Übungsübersicht!$E$7:$M$83,3,FALSE)))),IF($Y57&gt;25,(MROUND(($Y57*1.7),(VLOOKUP($X57,Übungsübersicht!$E$7:$M$83,3,FALSE)))),IF($Y57&gt;15,(MROUND(($Y57*1.6),(VLOOKUP($X57,Übungsübersicht!$E$7:$M$83,3,FALSE)))),IF($Y57&gt;(VLOOKUP($X57,Übungsübersicht!$E$7:$M$83,3,FALSE)),40*(VLOOKUP($X57,Übungsübersicht!$E$7:$M$83,3,FALSE)),""))))))),50*(VLOOKUP($X57,Übungsübersicht!$E$7:$M$83,3,FALSE)))</f>
        <v>#N/A</v>
      </c>
      <c r="AN57" s="652" t="e">
        <f ca="1">MROUND(INDEX(OFFSET(Zyklus!$M$13,54,0),1),(IF(VLOOKUP($X57,Übungsübersicht!$E$7:$K$80,3)=0,0.1,(VLOOKUP($X57,Übungsübersicht!$E$7:$K$80,3)))))</f>
        <v>#N/A</v>
      </c>
      <c r="AP57" s="655" t="str">
        <f ca="1">IFERROR(IF(IF(VLOOKUP($X57,Zyklus!$A$14:$U$68,9,FALSE)=0,"RPE 8",IF(VLOOKUP($X57,Übungsübersicht!$E$7:$M$83,3,FALSE)&lt;0.5,($AN57)-(3*0.5),(($AN57)-(3*(VLOOKUP($X57,Übungsübersicht!$E$7:$M$83,3,FALSE))))))&lt;1,0,(IF(VLOOKUP($X57,Zyklus!$A$14:$U$68,9,FALSE)=0,"RPE 8",IF(VLOOKUP($X57,Übungsübersicht!$E$7:$M$83,3,FALSE)&lt;0.5,($AN57)-(3*0.5),(($AN57)-(3*(VLOOKUP($X57,Übungsübersicht!$E$7:$M$83,3,FALSE)))))))),"RPE 8")</f>
        <v>RPE 8</v>
      </c>
      <c r="AQ57" s="655" t="str">
        <f ca="1">IFERROR(IF(IF(VLOOKUP($X57,Zyklus!$A$14:$U$68,9,FALSE)=0,"RPE 8",IF(VLOOKUP($X57,Übungsübersicht!$E$7:$M$83,3,FALSE)&lt;0.5,($AN57)-(2*0.5),(($AN57)-(2*(VLOOKUP($X57,Übungsübersicht!$E$7:$M$83,3,FALSE))))))&lt;1,0,(IF(VLOOKUP($X57,Zyklus!$A$14:$U$68,9,FALSE)=0,"RPE 8",IF(VLOOKUP($X57,Übungsübersicht!$E$7:$M$83,3,FALSE)&lt;0.5,($AN57)-(2*0.5),(($AN57)-(2*(VLOOKUP($X57,Übungsübersicht!$E$7:$M$83,3,FALSE)))))))),"RPE 8")</f>
        <v>RPE 8</v>
      </c>
      <c r="AR57" s="655" t="str">
        <f ca="1">IFERROR(IF(IF(VLOOKUP($X57,Zyklus!$A$14:$U$68,9,FALSE)=0,"RPE 8",IF(VLOOKUP($X57,Übungsübersicht!$E$7:$M$83,3,FALSE)&lt;0.5,($AN57)-(1*0.5),(($Y57)-(1*(VLOOKUP($X57,Übungsübersicht!$E$7:$M$83,3,FALSE))))))&lt;1,0,(IF(VLOOKUP($X57,Zyklus!$A$14:$U$68,9,FALSE)=0,"RPE 8",IF(VLOOKUP($X57,Übungsübersicht!$E$7:$M$83,3,FALSE)&lt;0.5,($AN57)-(1*0.5),(($Y57)-(1*(VLOOKUP($X57,Übungsübersicht!$E$7:$M$83,3,FALSE)))))))),"RPE 8")</f>
        <v>RPE 8</v>
      </c>
      <c r="AS57" s="655" t="str">
        <f t="shared" ca="1" si="0"/>
        <v>RPE 8</v>
      </c>
      <c r="AT57" s="655" t="str">
        <f ca="1">IFERROR(IF(VLOOKUP($X57,Zyklus!$A$14:$U$68,9,FALSE)=0,"RPE 8",IF(VLOOKUP($X57,Übungsübersicht!$E$7:$M$83,3,FALSE)&lt;0.5,($AN57)+(1*0.5),(($Y57)+(1*(VLOOKUP($X57,Übungsübersicht!$E$7:$M$83,3,FALSE)))))),"RPE 8")</f>
        <v>RPE 8</v>
      </c>
      <c r="AU57" s="655" t="str">
        <f ca="1">IFERROR(IF(VLOOKUP($X57,Zyklus!$A$14:$U$68,9,FALSE)=0,"RPE 8",IF(VLOOKUP($X57,Übungsübersicht!$E$7:$M$83,3,FALSE)&lt;0.5,($AN57)+(2*0.5),(($AN57)+(2*(VLOOKUP($X57,Übungsübersicht!$E$7:$M$83,3,FALSE)))))),"RPE 8")</f>
        <v>RPE 8</v>
      </c>
      <c r="AV57" s="655" t="str">
        <f ca="1">IFERROR(IF(VLOOKUP($X57,Zyklus!$A$14:$U$68,9,FALSE)=0,"RPE 8",IF(VLOOKUP($X57,Übungsübersicht!$E$7:$M$83,3,FALSE)&lt;0.5,($AN57)+(3*0.5),(($AN57)+(3*(VLOOKUP($X57,Übungsübersicht!$E$7:$M$83,3,FALSE)))))),"RPE 8")</f>
        <v>RPE 8</v>
      </c>
      <c r="AY57" s="652" t="e">
        <f ca="1">MROUND(INDEX(OFFSET(Zyklus!$M$13,54,0),1),(IF(VLOOKUP($X57,Übungsübersicht!$E$7:$K$80,3)=0,0.1,(VLOOKUP($X57,Übungsübersicht!$E$7:$K$80,3)))))</f>
        <v>#N/A</v>
      </c>
      <c r="BA57" s="655" t="e">
        <f ca="1">MROUND(INDEX(OFFSET(Zyklus!$Q$13,54,0),1),(IF(VLOOKUP($X57,Übungsübersicht!$E$7:$K$80,3)=0,0.1,(VLOOKUP($X57,Übungsübersicht!$E$7:$K$80,3)))))</f>
        <v>#N/A</v>
      </c>
      <c r="BC57" s="655" t="str">
        <f ca="1">IFERROR(IF(IF(VLOOKUP($X57,Zyklus!$A$14:$U$68,9,FALSE)=0,"RPE 9",IF(VLOOKUP($X57,Übungsübersicht!$E$7:$M$83,3,FALSE)&lt;0.5,($BA57)-(3*0.5),(($BA57)-(3*(VLOOKUP($X57,Übungsübersicht!$E$7:$M$83,3,FALSE))))))&lt;1,0,(IF(VLOOKUP($X57,Zyklus!$A$14:$U$68,9,FALSE)=0,"RPE 9",IF(VLOOKUP($X57,Übungsübersicht!$E$7:$M$83,3,FALSE)&lt;0.5,($BA57)-(3*0.5),(($BA57)-(3*(VLOOKUP($X57,Übungsübersicht!$E$7:$M$83,3,FALSE)))))))),"RPE 9")</f>
        <v>RPE 9</v>
      </c>
      <c r="BD57" s="655" t="str">
        <f ca="1">IFERROR(IF(IF(VLOOKUP($X57,Zyklus!$A$14:$U$68,9,FALSE)=0,"RPE 9",IF(VLOOKUP($X57,Übungsübersicht!$E$7:$M$83,3,FALSE)&lt;0.5,($BA57)-(2*0.5),(($BA57)-(2*(VLOOKUP($X57,Übungsübersicht!$E$7:$M$83,3,FALSE))))))&lt;1,0,(IF(VLOOKUP($X57,Zyklus!$A$14:$U$68,9,FALSE)=0,"RPE 9",IF(VLOOKUP($X57,Übungsübersicht!$E$7:$M$83,3,FALSE)&lt;0.5,($BA57)-(2*0.5),(($BA57)-(2*(VLOOKUP($X57,Übungsübersicht!$E$7:$M$83,3,FALSE)))))))),"RPE 9")</f>
        <v>RPE 9</v>
      </c>
      <c r="BE57" s="655" t="str">
        <f ca="1">IFERROR(IF(IF(VLOOKUP($X57,Zyklus!$A$14:$U$68,9,FALSE)=0,"RPE 9",IF(VLOOKUP($X57,Übungsübersicht!$E$7:$M$83,3,FALSE)&lt;0.5,($BA57)-(1*0.5),(($Y57)-(1*(VLOOKUP($X57,Übungsübersicht!$E$7:$M$83,3,FALSE))))))&lt;1,0,(IF(VLOOKUP($X57,Zyklus!$A$14:$U$68,9,FALSE)=0,"RPE 9",IF(VLOOKUP($X57,Übungsübersicht!$E$7:$M$83,3,FALSE)&lt;0.5,($BA57)-(1*0.5),(($Y57)-(1*(VLOOKUP($X57,Übungsübersicht!$E$7:$M$83,3,FALSE)))))))),"RPE 9")</f>
        <v>RPE 9</v>
      </c>
      <c r="BF57" s="655" t="str">
        <f t="shared" ca="1" si="1"/>
        <v>RPE 9</v>
      </c>
      <c r="BG57" s="655" t="str">
        <f ca="1">IFERROR(IF(VLOOKUP($X57,Zyklus!$A$14:$U$68,9,FALSE)=0,"RPE 9",IF(VLOOKUP($X57,Übungsübersicht!$E$7:$M$83,3,FALSE)&lt;0.5,($AY57)+(1*0.5),(($AY57)+(1*(VLOOKUP($X57,Übungsübersicht!$E$7:$M$83,3,FALSE)))))),"RPE 9")</f>
        <v>RPE 9</v>
      </c>
      <c r="BH57" s="655" t="str">
        <f ca="1">IFERROR(IF(VLOOKUP($X57,Zyklus!$A$14:$U$68,9,FALSE)=0,"RPE 9",IF(VLOOKUP($X57,Übungsübersicht!$E$7:$M$83,3,FALSE)&lt;0.5,($BA57)+(2*0.5),(($BA57)+(2*(VLOOKUP($X57,Übungsübersicht!$E$7:$M$83,3,FALSE)))))),"RPE 9")</f>
        <v>RPE 9</v>
      </c>
      <c r="BI57" s="655" t="str">
        <f ca="1">IFERROR(IF(VLOOKUP($X57,Zyklus!$A$14:$U$68,9,FALSE)=0,"RPE 9",IF(VLOOKUP($X57,Übungsübersicht!$E$7:$M$83,3,FALSE)&lt;0.5,($BA57)+(3*0.5),(($BA57)+(3*(VLOOKUP($X57,Übungsübersicht!$E$7:$M$83,3,FALSE)))))),"RPE 9")</f>
        <v>RPE 9</v>
      </c>
    </row>
    <row r="58" spans="4:61" ht="30" customHeight="1">
      <c r="H58" s="326">
        <v>37</v>
      </c>
      <c r="I58" s="323">
        <f t="shared" si="5"/>
        <v>53.731343283582085</v>
      </c>
      <c r="J58" s="344">
        <f t="shared" si="4"/>
        <v>0.44776119402985071</v>
      </c>
      <c r="Q58" s="1023" t="s">
        <v>430</v>
      </c>
      <c r="R58" s="1023"/>
      <c r="S58" s="1023"/>
      <c r="X58" s="654" t="str">
        <f ca="1">INDEX(OFFSET(Zyklus!$A$13,55,0),1)</f>
        <v xml:space="preserve">Testübung </v>
      </c>
      <c r="Y58" s="655" t="e">
        <f ca="1">MROUND(INDEX(OFFSET(Zyklus!$I$13,55,0),1),(IF(VLOOKUP($X58,Übungsübersicht!$E$7:$K$80,3)=0,0.1,(VLOOKUP($X58,Übungsübersicht!$E$7:$K$80,3)))))</f>
        <v>#VALUE!</v>
      </c>
      <c r="Z58" s="655"/>
      <c r="AA58" s="655">
        <f ca="1">IFERROR(IF($Y58=0,2*(VLOOKUP($X58,Übungsübersicht!$E$7:$M$83,3,FALSE)),IF($Y58&gt;100,(MROUND(($Y58*0.1),(VLOOKUP($X58,Übungsübersicht!$E$7:$M$83,3,FALSE)))),IF($Y58&gt;80,(MROUND(($Y58*0.1),(VLOOKUP($X58,Übungsübersicht!$E$7:$M$83,3,FALSE)))),IF($Y58&gt;50,(MROUND(($Y58*0.2),(VLOOKUP($X58,Übungsübersicht!$E$7:$M$83,3,FALSE)))),IF($Y58&gt;25,(MROUND(($Y58*0.3),(VLOOKUP($X58,Übungsübersicht!$E$7:$M$83,3,FALSE)))),IF($Y58&gt;15,(MROUND(($Y58*0.4),(VLOOKUP($X58,Übungsübersicht!$E$7:$M$83,3,FALSE)))),IF($Y58&gt;(VLOOKUP($X58,Übungsübersicht!$E$7:$M$83,3,FALSE)),(VLOOKUP($X58,Übungsübersicht!$E$7:$M$83,3,FALSE)),""))))))),2*(VLOOKUP($X58,Übungsübersicht!$E$7:$M$83,3,FALSE)))</f>
        <v>20</v>
      </c>
      <c r="AB58" s="655">
        <f ca="1">IFERROR(IF($Y58=0,4*(VLOOKUP($X58,Übungsübersicht!$E$7:$M$83,3,FALSE)),IF($Y58&gt;100,(MROUND(($Y58*0.3),(VLOOKUP($X58,Übungsübersicht!$E$7:$M$83,3,FALSE)))),IF($Y58&gt;80,(MROUND(($Y58*0.3),(VLOOKUP($X58,Übungsübersicht!$E$7:$M$83,3,FALSE)))),IF($Y58&gt;50,(MROUND(($Y58*0.4),(VLOOKUP($X58,Übungsübersicht!$E$7:$M$83,3,FALSE)))),IF($Y58&gt;25,(MROUND(($Y58*0.5),(VLOOKUP($X58,Übungsübersicht!$E$7:$M$83,3,FALSE)))),IF($Y58&gt;15,(MROUND(($Y58*0.6),(VLOOKUP($X58,Übungsübersicht!$E$7:$M$83,3,FALSE)))),IF($Y58&gt;(VLOOKUP($X58,Übungsübersicht!$E$7:$M$83,3,FALSE)),(VLOOKUP($X58,Übungsübersicht!$E$7:$M$83,3,FALSE)),""))))))),4*(VLOOKUP($X58,Übungsübersicht!$E$7:$M$83,3,FALSE)))</f>
        <v>40</v>
      </c>
      <c r="AC58" s="655">
        <f ca="1">IFERROR((IF($Y58=0,8*(VLOOKUP($X58,Übungsübersicht!$E$7:$M$83,3,FALSE)),(($Y58)-(3*(VLOOKUP($X58,Übungsübersicht!$E$7:$M$83,3,FALSE)))))),8*(VLOOKUP($X58,Übungsübersicht!$E$7:$M$83,3,FALSE)))</f>
        <v>80</v>
      </c>
      <c r="AD58" s="655">
        <f ca="1">IFERROR(((IF($Y58=0,10*(VLOOKUP($X58,Übungsübersicht!$E$7:$M$83,3,FALSE)),($Y58)-(2*(VLOOKUP($X58,Übungsübersicht!$E$7:$M$83,3,FALSE)))))),10*(VLOOKUP($X58,Übungsübersicht!$E$7:$M$83,3,FALSE)))</f>
        <v>100</v>
      </c>
      <c r="AE58" s="655">
        <f ca="1">IFERROR(((IF($Y58=0,10*(VLOOKUP($X58,Übungsübersicht!$E$7:$M$83,3,FALSE)),($Y58)-(1*(VLOOKUP($X58,Übungsübersicht!$E$7:$M$83,3,FALSE)))))),10*(VLOOKUP($X58,Übungsübersicht!$E$7:$M$83,3,FALSE)))</f>
        <v>100</v>
      </c>
      <c r="AF58" s="655">
        <f ca="1">IFERROR(IF($Y58=0,20*(VLOOKUP($X58,Übungsübersicht!$E$7:$M$83,3,FALSE)),($Y58)),20*(VLOOKUP($X58,Übungsübersicht!$E$7:$M$83,3,FALSE)))</f>
        <v>200</v>
      </c>
      <c r="AG58" s="655">
        <f ca="1">IFERROR(IF($Y58=0,30*(VLOOKUP($X58,Übungsübersicht!$E$7:$M$83,3,FALSE)),($Y58)+(1*(VLOOKUP($X58,Übungsübersicht!$E$7:$M$83,3,FALSE)))),30*(VLOOKUP($X58,Übungsübersicht!$E$7:$M$83,3,FALSE)))</f>
        <v>300</v>
      </c>
      <c r="AH58" s="655">
        <f ca="1">IFERROR(IF($Y58=0,30*(VLOOKUP($X58,Übungsübersicht!$E$7:$M$83,3,FALSE)),($Y58)+(2*(VLOOKUP($X58,Übungsübersicht!$E$7:$M$83,3,FALSE)))),30*(VLOOKUP($X58,Übungsübersicht!$E$7:$M$83,3,FALSE)))</f>
        <v>300</v>
      </c>
      <c r="AI58" s="655">
        <f ca="1">IFERROR(IF($Y58=0,30*(VLOOKUP($X58,Übungsübersicht!$E$7:$M$83,3,FALSE)),($Y58)+(3*(VLOOKUP($X58,Übungsübersicht!$E$7:$M$83,3,FALSE)))),30*(VLOOKUP($X58,Übungsübersicht!$E$7:$M$83,3,FALSE)))</f>
        <v>300</v>
      </c>
      <c r="AJ58" s="655">
        <f ca="1">IFERROR(IF($Y58=0,40*(VLOOKUP($X58,Übungsübersicht!$E$7:$M$83,3,FALSE)),IF($Y58&gt;100,(MROUND(($Y58*1.7),(VLOOKUP($X58,Übungsübersicht!$E$7:$M$83,3,FALSE)))),IF($Y58&gt;80,(MROUND(($Y58*1.7),(VLOOKUP($X58,Übungsübersicht!$E$7:$M$83,3,FALSE)))),IF($Y58&gt;50,(MROUND(($Y58*1.6),(VLOOKUP($X58,Übungsübersicht!$E$7:$M$83,3,FALSE)))),IF($Y58&gt;25,(MROUND(($Y58*1.5),(VLOOKUP($X58,Übungsübersicht!$E$7:$M$83,3,FALSE)))),IF($Y58&gt;15,(MROUND(($Y58*1.4),(VLOOKUP($X58,Übungsübersicht!$E$7:$M$83,3,FALSE)))),IF($Y58&gt;(VLOOKUP($X58,Übungsübersicht!$E$7:$M$83,3,FALSE)),30*(VLOOKUP($X58,Übungsübersicht!$E$7:$M$83,3,FALSE)),""))))))),40*(VLOOKUP($X58,Übungsübersicht!$E$7:$M$83,3,FALSE)))</f>
        <v>400</v>
      </c>
      <c r="AK58" s="656">
        <f ca="1">IFERROR(IF($Y58=0,50*(VLOOKUP($X58,Übungsübersicht!$E$7:$M$83,3,FALSE)),IF($Y58&gt;100,(MROUND(($Y58*1.9),(VLOOKUP($X58,Übungsübersicht!$E$7:$M$83,3,FALSE)))),IF($Y58&gt;80,(MROUND(($Y58*1.9),(VLOOKUP($X58,Übungsübersicht!$E$7:$M$83,3,FALSE)))),IF($Y58&gt;50,(MROUND(($Y58*1.8),(VLOOKUP($X58,Übungsübersicht!$E$7:$M$83,3,FALSE)))),IF($Y58&gt;25,(MROUND(($Y58*1.7),(VLOOKUP($X58,Übungsübersicht!$E$7:$M$83,3,FALSE)))),IF($Y58&gt;15,(MROUND(($Y58*1.6),(VLOOKUP($X58,Übungsübersicht!$E$7:$M$83,3,FALSE)))),IF($Y58&gt;(VLOOKUP($X58,Übungsübersicht!$E$7:$M$83,3,FALSE)),40*(VLOOKUP($X58,Übungsübersicht!$E$7:$M$83,3,FALSE)),""))))))),50*(VLOOKUP($X58,Übungsübersicht!$E$7:$M$83,3,FALSE)))</f>
        <v>500</v>
      </c>
      <c r="AN58" s="655">
        <f ca="1">MROUND(INDEX(OFFSET(Zyklus!$M$13,55,0),1),(IF(VLOOKUP($X58,Übungsübersicht!$E$7:$K$80,3)=0,0.1,(VLOOKUP($X58,Übungsübersicht!$E$7:$K$80,3)))))</f>
        <v>200</v>
      </c>
      <c r="AP58" s="652">
        <f ca="1">IFERROR(IF(IF(VLOOKUP($X58,Zyklus!$A$14:$U$68,9,FALSE)=0,"RPE 8",IF(VLOOKUP($X58,Übungsübersicht!$E$7:$M$83,3,FALSE)&lt;0.5,($AN58)-(3*0.5),(($AN58)-(3*(VLOOKUP($X58,Übungsübersicht!$E$7:$M$83,3,FALSE))))))&lt;1,0,(IF(VLOOKUP($X58,Zyklus!$A$14:$U$68,9,FALSE)=0,"RPE 8",IF(VLOOKUP($X58,Übungsübersicht!$E$7:$M$83,3,FALSE)&lt;0.5,($AN58)-(3*0.5),(($AN58)-(3*(VLOOKUP($X58,Übungsübersicht!$E$7:$M$83,3,FALSE)))))))),"RPE 8")</f>
        <v>170</v>
      </c>
      <c r="AQ58" s="652">
        <f ca="1">IFERROR(IF(IF(VLOOKUP($X58,Zyklus!$A$14:$U$68,9,FALSE)=0,"RPE 8",IF(VLOOKUP($X58,Übungsübersicht!$E$7:$M$83,3,FALSE)&lt;0.5,($AN58)-(2*0.5),(($AN58)-(2*(VLOOKUP($X58,Übungsübersicht!$E$7:$M$83,3,FALSE))))))&lt;1,0,(IF(VLOOKUP($X58,Zyklus!$A$14:$U$68,9,FALSE)=0,"RPE 8",IF(VLOOKUP($X58,Übungsübersicht!$E$7:$M$83,3,FALSE)&lt;0.5,($AN58)-(2*0.5),(($AN58)-(2*(VLOOKUP($X58,Übungsübersicht!$E$7:$M$83,3,FALSE)))))))),"RPE 8")</f>
        <v>180</v>
      </c>
      <c r="AR58" s="652" t="str">
        <f ca="1">IFERROR(IF(IF(VLOOKUP($X58,Zyklus!$A$14:$U$68,9,FALSE)=0,"RPE 8",IF(VLOOKUP($X58,Übungsübersicht!$E$7:$M$83,3,FALSE)&lt;0.5,($AN58)-(1*0.5),(($Y58)-(1*(VLOOKUP($X58,Übungsübersicht!$E$7:$M$83,3,FALSE))))))&lt;1,0,(IF(VLOOKUP($X58,Zyklus!$A$14:$U$68,9,FALSE)=0,"RPE 8",IF(VLOOKUP($X58,Übungsübersicht!$E$7:$M$83,3,FALSE)&lt;0.5,($AN58)-(1*0.5),(($Y58)-(1*(VLOOKUP($X58,Übungsübersicht!$E$7:$M$83,3,FALSE)))))))),"RPE 8")</f>
        <v>RPE 8</v>
      </c>
      <c r="AS58" s="652" t="str">
        <f t="shared" ca="1" si="0"/>
        <v>RPE 8</v>
      </c>
      <c r="AT58" s="652" t="str">
        <f ca="1">IFERROR(IF(VLOOKUP($X58,Zyklus!$A$14:$U$68,9,FALSE)=0,"RPE 8",IF(VLOOKUP($X58,Übungsübersicht!$E$7:$M$83,3,FALSE)&lt;0.5,($AN58)+(1*0.5),(($Y58)+(1*(VLOOKUP($X58,Übungsübersicht!$E$7:$M$83,3,FALSE)))))),"RPE 8")</f>
        <v>RPE 8</v>
      </c>
      <c r="AU58" s="652">
        <f ca="1">IFERROR(IF(VLOOKUP($X58,Zyklus!$A$14:$U$68,9,FALSE)=0,"RPE 8",IF(VLOOKUP($X58,Übungsübersicht!$E$7:$M$83,3,FALSE)&lt;0.5,($AN58)+(2*0.5),(($AN58)+(2*(VLOOKUP($X58,Übungsübersicht!$E$7:$M$83,3,FALSE)))))),"RPE 8")</f>
        <v>220</v>
      </c>
      <c r="AV58" s="652">
        <f ca="1">IFERROR(IF(VLOOKUP($X58,Zyklus!$A$14:$U$68,9,FALSE)=0,"RPE 8",IF(VLOOKUP($X58,Übungsübersicht!$E$7:$M$83,3,FALSE)&lt;0.5,($AN58)+(3*0.5),(($AN58)+(3*(VLOOKUP($X58,Übungsübersicht!$E$7:$M$83,3,FALSE)))))),"RPE 8")</f>
        <v>230</v>
      </c>
      <c r="AY58" s="655">
        <f ca="1">MROUND(INDEX(OFFSET(Zyklus!$M$13,55,0),1),(IF(VLOOKUP($X58,Übungsübersicht!$E$7:$K$80,3)=0,0.1,(VLOOKUP($X58,Übungsübersicht!$E$7:$K$80,3)))))</f>
        <v>200</v>
      </c>
      <c r="BA58" s="652">
        <f ca="1">MROUND(INDEX(OFFSET(Zyklus!$Q$13,55,0),1),(IF(VLOOKUP($X58,Übungsübersicht!$E$7:$K$80,3)=0,0.1,(VLOOKUP($X58,Übungsübersicht!$E$7:$K$80,3)))))</f>
        <v>210</v>
      </c>
      <c r="BC58" s="652">
        <f ca="1">IFERROR(IF(IF(VLOOKUP($X58,Zyklus!$A$14:$U$68,9,FALSE)=0,"RPE 9",IF(VLOOKUP($X58,Übungsübersicht!$E$7:$M$83,3,FALSE)&lt;0.5,($BA58)-(3*0.5),(($BA58)-(3*(VLOOKUP($X58,Übungsübersicht!$E$7:$M$83,3,FALSE))))))&lt;1,0,(IF(VLOOKUP($X58,Zyklus!$A$14:$U$68,9,FALSE)=0,"RPE 9",IF(VLOOKUP($X58,Übungsübersicht!$E$7:$M$83,3,FALSE)&lt;0.5,($BA58)-(3*0.5),(($BA58)-(3*(VLOOKUP($X58,Übungsübersicht!$E$7:$M$83,3,FALSE)))))))),"RPE 9")</f>
        <v>180</v>
      </c>
      <c r="BD58" s="652">
        <f ca="1">IFERROR(IF(IF(VLOOKUP($X58,Zyklus!$A$14:$U$68,9,FALSE)=0,"RPE 9",IF(VLOOKUP($X58,Übungsübersicht!$E$7:$M$83,3,FALSE)&lt;0.5,($BA58)-(2*0.5),(($BA58)-(2*(VLOOKUP($X58,Übungsübersicht!$E$7:$M$83,3,FALSE))))))&lt;1,0,(IF(VLOOKUP($X58,Zyklus!$A$14:$U$68,9,FALSE)=0,"RPE 9",IF(VLOOKUP($X58,Übungsübersicht!$E$7:$M$83,3,FALSE)&lt;0.5,($BA58)-(2*0.5),(($BA58)-(2*(VLOOKUP($X58,Übungsübersicht!$E$7:$M$83,3,FALSE)))))))),"RPE 9")</f>
        <v>190</v>
      </c>
      <c r="BE58" s="652" t="str">
        <f ca="1">IFERROR(IF(IF(VLOOKUP($X58,Zyklus!$A$14:$U$68,9,FALSE)=0,"RPE 9",IF(VLOOKUP($X58,Übungsübersicht!$E$7:$M$83,3,FALSE)&lt;0.5,($BA58)-(1*0.5),(($Y58)-(1*(VLOOKUP($X58,Übungsübersicht!$E$7:$M$83,3,FALSE))))))&lt;1,0,(IF(VLOOKUP($X58,Zyklus!$A$14:$U$68,9,FALSE)=0,"RPE 9",IF(VLOOKUP($X58,Übungsübersicht!$E$7:$M$83,3,FALSE)&lt;0.5,($BA58)-(1*0.5),(($Y58)-(1*(VLOOKUP($X58,Übungsübersicht!$E$7:$M$83,3,FALSE)))))))),"RPE 9")</f>
        <v>RPE 9</v>
      </c>
      <c r="BF58" s="652" t="str">
        <f t="shared" ca="1" si="1"/>
        <v>RPE 9</v>
      </c>
      <c r="BG58" s="652">
        <f ca="1">IFERROR(IF(VLOOKUP($X58,Zyklus!$A$14:$U$68,9,FALSE)=0,"RPE 9",IF(VLOOKUP($X58,Übungsübersicht!$E$7:$M$83,3,FALSE)&lt;0.5,($AY58)+(1*0.5),(($AY58)+(1*(VLOOKUP($X58,Übungsübersicht!$E$7:$M$83,3,FALSE)))))),"RPE 9")</f>
        <v>210</v>
      </c>
      <c r="BH58" s="652">
        <f ca="1">IFERROR(IF(VLOOKUP($X58,Zyklus!$A$14:$U$68,9,FALSE)=0,"RPE 9",IF(VLOOKUP($X58,Übungsübersicht!$E$7:$M$83,3,FALSE)&lt;0.5,($BA58)+(2*0.5),(($BA58)+(2*(VLOOKUP($X58,Übungsübersicht!$E$7:$M$83,3,FALSE)))))),"RPE 9")</f>
        <v>230</v>
      </c>
      <c r="BI58" s="652">
        <f ca="1">IFERROR(IF(VLOOKUP($X58,Zyklus!$A$14:$U$68,9,FALSE)=0,"RPE 9",IF(VLOOKUP($X58,Übungsübersicht!$E$7:$M$83,3,FALSE)&lt;0.5,($BA58)+(3*0.5),(($BA58)+(3*(VLOOKUP($X58,Übungsübersicht!$E$7:$M$83,3,FALSE)))))),"RPE 9")</f>
        <v>240</v>
      </c>
    </row>
    <row r="59" spans="4:61" ht="30" customHeight="1">
      <c r="H59" s="326">
        <v>38</v>
      </c>
      <c r="I59" s="323">
        <f t="shared" si="5"/>
        <v>52.941176470588239</v>
      </c>
      <c r="J59" s="344">
        <f t="shared" si="4"/>
        <v>0.44117647058823534</v>
      </c>
      <c r="X59" s="651">
        <f ca="1">INDEX(OFFSET(Zyklus!$A$13,56,0),1)</f>
        <v>0</v>
      </c>
      <c r="Y59" s="652" t="e">
        <f ca="1">MROUND(INDEX(OFFSET(Zyklus!$I$13,56,0),1),(IF(VLOOKUP($X59,Übungsübersicht!$E$7:$K$80,3)=0,0.1,(VLOOKUP($X59,Übungsübersicht!$E$7:$K$80,3)))))</f>
        <v>#N/A</v>
      </c>
      <c r="Z59" s="652"/>
      <c r="AA59" s="652" t="e">
        <f ca="1">IFERROR(IF($Y59=0,2*(VLOOKUP($X59,Übungsübersicht!$E$7:$M$83,3,FALSE)),IF($Y59&gt;100,(MROUND(($Y59*0.1),(VLOOKUP($X59,Übungsübersicht!$E$7:$M$83,3,FALSE)))),IF($Y59&gt;80,(MROUND(($Y59*0.1),(VLOOKUP($X59,Übungsübersicht!$E$7:$M$83,3,FALSE)))),IF($Y59&gt;50,(MROUND(($Y59*0.2),(VLOOKUP($X59,Übungsübersicht!$E$7:$M$83,3,FALSE)))),IF($Y59&gt;25,(MROUND(($Y59*0.3),(VLOOKUP($X59,Übungsübersicht!$E$7:$M$83,3,FALSE)))),IF($Y59&gt;15,(MROUND(($Y59*0.4),(VLOOKUP($X59,Übungsübersicht!$E$7:$M$83,3,FALSE)))),IF($Y59&gt;(VLOOKUP($X59,Übungsübersicht!$E$7:$M$83,3,FALSE)),(VLOOKUP($X59,Übungsübersicht!$E$7:$M$83,3,FALSE)),""))))))),2*(VLOOKUP($X59,Übungsübersicht!$E$7:$M$83,3,FALSE)))</f>
        <v>#N/A</v>
      </c>
      <c r="AB59" s="652" t="e">
        <f ca="1">IFERROR(IF($Y59=0,4*(VLOOKUP($X59,Übungsübersicht!$E$7:$M$83,3,FALSE)),IF($Y59&gt;100,(MROUND(($Y59*0.3),(VLOOKUP($X59,Übungsübersicht!$E$7:$M$83,3,FALSE)))),IF($Y59&gt;80,(MROUND(($Y59*0.3),(VLOOKUP($X59,Übungsübersicht!$E$7:$M$83,3,FALSE)))),IF($Y59&gt;50,(MROUND(($Y59*0.4),(VLOOKUP($X59,Übungsübersicht!$E$7:$M$83,3,FALSE)))),IF($Y59&gt;25,(MROUND(($Y59*0.5),(VLOOKUP($X59,Übungsübersicht!$E$7:$M$83,3,FALSE)))),IF($Y59&gt;15,(MROUND(($Y59*0.6),(VLOOKUP($X59,Übungsübersicht!$E$7:$M$83,3,FALSE)))),IF($Y59&gt;(VLOOKUP($X59,Übungsübersicht!$E$7:$M$83,3,FALSE)),(VLOOKUP($X59,Übungsübersicht!$E$7:$M$83,3,FALSE)),""))))))),4*(VLOOKUP($X59,Übungsübersicht!$E$7:$M$83,3,FALSE)))</f>
        <v>#N/A</v>
      </c>
      <c r="AC59" s="652" t="e">
        <f ca="1">IFERROR((IF($Y59=0,8*(VLOOKUP($X59,Übungsübersicht!$E$7:$M$83,3,FALSE)),(($Y59)-(3*(VLOOKUP($X59,Übungsübersicht!$E$7:$M$83,3,FALSE)))))),8*(VLOOKUP($X59,Übungsübersicht!$E$7:$M$83,3,FALSE)))</f>
        <v>#N/A</v>
      </c>
      <c r="AD59" s="652" t="e">
        <f ca="1">IFERROR(((IF($Y59=0,10*(VLOOKUP($X59,Übungsübersicht!$E$7:$M$83,3,FALSE)),($Y59)-(2*(VLOOKUP($X59,Übungsübersicht!$E$7:$M$83,3,FALSE)))))),10*(VLOOKUP($X59,Übungsübersicht!$E$7:$M$83,3,FALSE)))</f>
        <v>#N/A</v>
      </c>
      <c r="AE59" s="652" t="e">
        <f ca="1">IFERROR(((IF($Y59=0,10*(VLOOKUP($X59,Übungsübersicht!$E$7:$M$83,3,FALSE)),($Y59)-(1*(VLOOKUP($X59,Übungsübersicht!$E$7:$M$83,3,FALSE)))))),10*(VLOOKUP($X59,Übungsübersicht!$E$7:$M$83,3,FALSE)))</f>
        <v>#N/A</v>
      </c>
      <c r="AF59" s="652" t="e">
        <f ca="1">IFERROR(IF($Y59=0,20*(VLOOKUP($X59,Übungsübersicht!$E$7:$M$83,3,FALSE)),($Y59)),20*(VLOOKUP($X59,Übungsübersicht!$E$7:$M$83,3,FALSE)))</f>
        <v>#N/A</v>
      </c>
      <c r="AG59" s="652" t="e">
        <f ca="1">IFERROR(IF($Y59=0,30*(VLOOKUP($X59,Übungsübersicht!$E$7:$M$83,3,FALSE)),($Y59)+(1*(VLOOKUP($X59,Übungsübersicht!$E$7:$M$83,3,FALSE)))),30*(VLOOKUP($X59,Übungsübersicht!$E$7:$M$83,3,FALSE)))</f>
        <v>#N/A</v>
      </c>
      <c r="AH59" s="652" t="e">
        <f ca="1">IFERROR(IF($Y59=0,30*(VLOOKUP($X59,Übungsübersicht!$E$7:$M$83,3,FALSE)),($Y59)+(2*(VLOOKUP($X59,Übungsübersicht!$E$7:$M$83,3,FALSE)))),30*(VLOOKUP($X59,Übungsübersicht!$E$7:$M$83,3,FALSE)))</f>
        <v>#N/A</v>
      </c>
      <c r="AI59" s="652" t="e">
        <f ca="1">IFERROR(IF($Y59=0,30*(VLOOKUP($X59,Übungsübersicht!$E$7:$M$83,3,FALSE)),($Y59)+(3*(VLOOKUP($X59,Übungsübersicht!$E$7:$M$83,3,FALSE)))),30*(VLOOKUP($X59,Übungsübersicht!$E$7:$M$83,3,FALSE)))</f>
        <v>#N/A</v>
      </c>
      <c r="AJ59" s="652" t="e">
        <f ca="1">IFERROR(IF($Y59=0,40*(VLOOKUP($X59,Übungsübersicht!$E$7:$M$83,3,FALSE)),IF($Y59&gt;100,(MROUND(($Y59*1.7),(VLOOKUP($X59,Übungsübersicht!$E$7:$M$83,3,FALSE)))),IF($Y59&gt;80,(MROUND(($Y59*1.7),(VLOOKUP($X59,Übungsübersicht!$E$7:$M$83,3,FALSE)))),IF($Y59&gt;50,(MROUND(($Y59*1.6),(VLOOKUP($X59,Übungsübersicht!$E$7:$M$83,3,FALSE)))),IF($Y59&gt;25,(MROUND(($Y59*1.5),(VLOOKUP($X59,Übungsübersicht!$E$7:$M$83,3,FALSE)))),IF($Y59&gt;15,(MROUND(($Y59*1.4),(VLOOKUP($X59,Übungsübersicht!$E$7:$M$83,3,FALSE)))),IF($Y59&gt;(VLOOKUP($X59,Übungsübersicht!$E$7:$M$83,3,FALSE)),30*(VLOOKUP($X59,Übungsübersicht!$E$7:$M$83,3,FALSE)),""))))))),40*(VLOOKUP($X59,Übungsübersicht!$E$7:$M$83,3,FALSE)))</f>
        <v>#N/A</v>
      </c>
      <c r="AK59" s="653" t="e">
        <f ca="1">IFERROR(IF($Y59=0,50*(VLOOKUP($X59,Übungsübersicht!$E$7:$M$83,3,FALSE)),IF($Y59&gt;100,(MROUND(($Y59*1.9),(VLOOKUP($X59,Übungsübersicht!$E$7:$M$83,3,FALSE)))),IF($Y59&gt;80,(MROUND(($Y59*1.9),(VLOOKUP($X59,Übungsübersicht!$E$7:$M$83,3,FALSE)))),IF($Y59&gt;50,(MROUND(($Y59*1.8),(VLOOKUP($X59,Übungsübersicht!$E$7:$M$83,3,FALSE)))),IF($Y59&gt;25,(MROUND(($Y59*1.7),(VLOOKUP($X59,Übungsübersicht!$E$7:$M$83,3,FALSE)))),IF($Y59&gt;15,(MROUND(($Y59*1.6),(VLOOKUP($X59,Übungsübersicht!$E$7:$M$83,3,FALSE)))),IF($Y59&gt;(VLOOKUP($X59,Übungsübersicht!$E$7:$M$83,3,FALSE)),40*(VLOOKUP($X59,Übungsübersicht!$E$7:$M$83,3,FALSE)),""))))))),50*(VLOOKUP($X59,Übungsübersicht!$E$7:$M$83,3,FALSE)))</f>
        <v>#N/A</v>
      </c>
      <c r="AN59" s="652" t="e">
        <f ca="1">MROUND(INDEX(OFFSET(Zyklus!$M$13,56,0),1),(IF(VLOOKUP($X59,Übungsübersicht!$E$7:$K$80,3)=0,0.1,(VLOOKUP($X59,Übungsübersicht!$E$7:$K$80,3)))))</f>
        <v>#N/A</v>
      </c>
      <c r="AP59" s="655" t="str">
        <f ca="1">IFERROR(IF(IF(VLOOKUP($X59,Zyklus!$A$14:$U$68,9,FALSE)=0,"RPE 8",IF(VLOOKUP($X59,Übungsübersicht!$E$7:$M$83,3,FALSE)&lt;0.5,($AN59)-(3*0.5),(($AN59)-(3*(VLOOKUP($X59,Übungsübersicht!$E$7:$M$83,3,FALSE))))))&lt;1,0,(IF(VLOOKUP($X59,Zyklus!$A$14:$U$68,9,FALSE)=0,"RPE 8",IF(VLOOKUP($X59,Übungsübersicht!$E$7:$M$83,3,FALSE)&lt;0.5,($AN59)-(3*0.5),(($AN59)-(3*(VLOOKUP($X59,Übungsübersicht!$E$7:$M$83,3,FALSE)))))))),"RPE 8")</f>
        <v>RPE 8</v>
      </c>
      <c r="AQ59" s="655" t="str">
        <f ca="1">IFERROR(IF(IF(VLOOKUP($X59,Zyklus!$A$14:$U$68,9,FALSE)=0,"RPE 8",IF(VLOOKUP($X59,Übungsübersicht!$E$7:$M$83,3,FALSE)&lt;0.5,($AN59)-(2*0.5),(($AN59)-(2*(VLOOKUP($X59,Übungsübersicht!$E$7:$M$83,3,FALSE))))))&lt;1,0,(IF(VLOOKUP($X59,Zyklus!$A$14:$U$68,9,FALSE)=0,"RPE 8",IF(VLOOKUP($X59,Übungsübersicht!$E$7:$M$83,3,FALSE)&lt;0.5,($AN59)-(2*0.5),(($AN59)-(2*(VLOOKUP($X59,Übungsübersicht!$E$7:$M$83,3,FALSE)))))))),"RPE 8")</f>
        <v>RPE 8</v>
      </c>
      <c r="AR59" s="655" t="str">
        <f ca="1">IFERROR(IF(IF(VLOOKUP($X59,Zyklus!$A$14:$U$68,9,FALSE)=0,"RPE 8",IF(VLOOKUP($X59,Übungsübersicht!$E$7:$M$83,3,FALSE)&lt;0.5,($AN59)-(1*0.5),(($Y59)-(1*(VLOOKUP($X59,Übungsübersicht!$E$7:$M$83,3,FALSE))))))&lt;1,0,(IF(VLOOKUP($X59,Zyklus!$A$14:$U$68,9,FALSE)=0,"RPE 8",IF(VLOOKUP($X59,Übungsübersicht!$E$7:$M$83,3,FALSE)&lt;0.5,($AN59)-(1*0.5),(($Y59)-(1*(VLOOKUP($X59,Übungsübersicht!$E$7:$M$83,3,FALSE)))))))),"RPE 8")</f>
        <v>RPE 8</v>
      </c>
      <c r="AS59" s="655" t="str">
        <f t="shared" ca="1" si="0"/>
        <v>RPE 8</v>
      </c>
      <c r="AT59" s="655" t="str">
        <f ca="1">IFERROR(IF(VLOOKUP($X59,Zyklus!$A$14:$U$68,9,FALSE)=0,"RPE 8",IF(VLOOKUP($X59,Übungsübersicht!$E$7:$M$83,3,FALSE)&lt;0.5,($AN59)+(1*0.5),(($Y59)+(1*(VLOOKUP($X59,Übungsübersicht!$E$7:$M$83,3,FALSE)))))),"RPE 8")</f>
        <v>RPE 8</v>
      </c>
      <c r="AU59" s="655" t="str">
        <f ca="1">IFERROR(IF(VLOOKUP($X59,Zyklus!$A$14:$U$68,9,FALSE)=0,"RPE 8",IF(VLOOKUP($X59,Übungsübersicht!$E$7:$M$83,3,FALSE)&lt;0.5,($AN59)+(2*0.5),(($AN59)+(2*(VLOOKUP($X59,Übungsübersicht!$E$7:$M$83,3,FALSE)))))),"RPE 8")</f>
        <v>RPE 8</v>
      </c>
      <c r="AV59" s="655" t="str">
        <f ca="1">IFERROR(IF(VLOOKUP($X59,Zyklus!$A$14:$U$68,9,FALSE)=0,"RPE 8",IF(VLOOKUP($X59,Übungsübersicht!$E$7:$M$83,3,FALSE)&lt;0.5,($AN59)+(3*0.5),(($AN59)+(3*(VLOOKUP($X59,Übungsübersicht!$E$7:$M$83,3,FALSE)))))),"RPE 8")</f>
        <v>RPE 8</v>
      </c>
      <c r="AY59" s="652" t="e">
        <f ca="1">MROUND(INDEX(OFFSET(Zyklus!$M$13,56,0),1),(IF(VLOOKUP($X59,Übungsübersicht!$E$7:$K$80,3)=0,0.1,(VLOOKUP($X59,Übungsübersicht!$E$7:$K$80,3)))))</f>
        <v>#N/A</v>
      </c>
      <c r="BA59" s="655" t="e">
        <f ca="1">MROUND(INDEX(OFFSET(Zyklus!$Q$13,56,0),1),(IF(VLOOKUP($X59,Übungsübersicht!$E$7:$K$80,3)=0,0.1,(VLOOKUP($X59,Übungsübersicht!$E$7:$K$80,3)))))</f>
        <v>#N/A</v>
      </c>
      <c r="BC59" s="655" t="str">
        <f ca="1">IFERROR(IF(IF(VLOOKUP($X59,Zyklus!$A$14:$U$68,9,FALSE)=0,"RPE 9",IF(VLOOKUP($X59,Übungsübersicht!$E$7:$M$83,3,FALSE)&lt;0.5,($BA59)-(3*0.5),(($BA59)-(3*(VLOOKUP($X59,Übungsübersicht!$E$7:$M$83,3,FALSE))))))&lt;1,0,(IF(VLOOKUP($X59,Zyklus!$A$14:$U$68,9,FALSE)=0,"RPE 9",IF(VLOOKUP($X59,Übungsübersicht!$E$7:$M$83,3,FALSE)&lt;0.5,($BA59)-(3*0.5),(($BA59)-(3*(VLOOKUP($X59,Übungsübersicht!$E$7:$M$83,3,FALSE)))))))),"RPE 9")</f>
        <v>RPE 9</v>
      </c>
      <c r="BD59" s="655" t="str">
        <f ca="1">IFERROR(IF(IF(VLOOKUP($X59,Zyklus!$A$14:$U$68,9,FALSE)=0,"RPE 9",IF(VLOOKUP($X59,Übungsübersicht!$E$7:$M$83,3,FALSE)&lt;0.5,($BA59)-(2*0.5),(($BA59)-(2*(VLOOKUP($X59,Übungsübersicht!$E$7:$M$83,3,FALSE))))))&lt;1,0,(IF(VLOOKUP($X59,Zyklus!$A$14:$U$68,9,FALSE)=0,"RPE 9",IF(VLOOKUP($X59,Übungsübersicht!$E$7:$M$83,3,FALSE)&lt;0.5,($BA59)-(2*0.5),(($BA59)-(2*(VLOOKUP($X59,Übungsübersicht!$E$7:$M$83,3,FALSE)))))))),"RPE 9")</f>
        <v>RPE 9</v>
      </c>
      <c r="BE59" s="655" t="str">
        <f ca="1">IFERROR(IF(IF(VLOOKUP($X59,Zyklus!$A$14:$U$68,9,FALSE)=0,"RPE 9",IF(VLOOKUP($X59,Übungsübersicht!$E$7:$M$83,3,FALSE)&lt;0.5,($BA59)-(1*0.5),(($Y59)-(1*(VLOOKUP($X59,Übungsübersicht!$E$7:$M$83,3,FALSE))))))&lt;1,0,(IF(VLOOKUP($X59,Zyklus!$A$14:$U$68,9,FALSE)=0,"RPE 9",IF(VLOOKUP($X59,Übungsübersicht!$E$7:$M$83,3,FALSE)&lt;0.5,($BA59)-(1*0.5),(($Y59)-(1*(VLOOKUP($X59,Übungsübersicht!$E$7:$M$83,3,FALSE)))))))),"RPE 9")</f>
        <v>RPE 9</v>
      </c>
      <c r="BF59" s="655" t="str">
        <f t="shared" ca="1" si="1"/>
        <v>RPE 9</v>
      </c>
      <c r="BG59" s="655" t="str">
        <f ca="1">IFERROR(IF(VLOOKUP($X59,Zyklus!$A$14:$U$68,9,FALSE)=0,"RPE 9",IF(VLOOKUP($X59,Übungsübersicht!$E$7:$M$83,3,FALSE)&lt;0.5,($AY59)+(1*0.5),(($AY59)+(1*(VLOOKUP($X59,Übungsübersicht!$E$7:$M$83,3,FALSE)))))),"RPE 9")</f>
        <v>RPE 9</v>
      </c>
      <c r="BH59" s="655" t="str">
        <f ca="1">IFERROR(IF(VLOOKUP($X59,Zyklus!$A$14:$U$68,9,FALSE)=0,"RPE 9",IF(VLOOKUP($X59,Übungsübersicht!$E$7:$M$83,3,FALSE)&lt;0.5,($BA59)+(2*0.5),(($BA59)+(2*(VLOOKUP($X59,Übungsübersicht!$E$7:$M$83,3,FALSE)))))),"RPE 9")</f>
        <v>RPE 9</v>
      </c>
      <c r="BI59" s="655" t="str">
        <f ca="1">IFERROR(IF(VLOOKUP($X59,Zyklus!$A$14:$U$68,9,FALSE)=0,"RPE 9",IF(VLOOKUP($X59,Übungsübersicht!$E$7:$M$83,3,FALSE)&lt;0.5,($BA59)+(3*0.5),(($BA59)+(3*(VLOOKUP($X59,Übungsübersicht!$E$7:$M$83,3,FALSE)))))),"RPE 9")</f>
        <v>RPE 9</v>
      </c>
    </row>
    <row r="60" spans="4:61" ht="30" customHeight="1">
      <c r="H60" s="326">
        <v>39</v>
      </c>
      <c r="I60" s="323">
        <f t="shared" si="5"/>
        <v>52.173913043478265</v>
      </c>
      <c r="J60" s="344">
        <f t="shared" si="4"/>
        <v>0.43478260869565222</v>
      </c>
      <c r="Q60" s="871" t="str">
        <f>IF(Dashboard!$C$46="OK/UK","1x",IF(Dashboard!$C$46="OK/UK/OK+","1x",IF(Dashboard!$C$46="PUSH/PULL/BEINE","1x",IF(Dashboard!$C$46="PUSH/PULL","1x",IF(Dashboard!$C$46="GK","1x","")))))</f>
        <v>1x</v>
      </c>
      <c r="R60" s="871"/>
      <c r="S60" s="871" t="str">
        <f>IF(AND(Dashboard!$C$46="OK/UK",VALUE(LEFT(Dashboard!$C$48,1))&lt;=1),"OK",IF(AND(Dashboard!$C$46="OK/UK",VALUE(LEFT(Dashboard!$C$48,1))&lt;=2),"OK 1",IF(AND(Dashboard!$C$46="OK/UK",VALUE(LEFT(Dashboard!$C$48,1))&lt;=3),"OK 1",IF(AND(Dashboard!$C$46="OK/UK/OK+",VALUE(LEFT(Dashboard!$C$48,1))&lt;=1),"OK",IF(AND(Dashboard!$C$46="OK/UK/OK+",VALUE(LEFT(Dashboard!$C$48,1))&lt;=2),"OK 1",IF(AND(Dashboard!$C$46="OK/UK/OK+",VALUE(LEFT(Dashboard!$C$48,1))&lt;=3),"OK 1",IF(AND(Dashboard!$C$46="PUSH/PULL/BEINE",VALUE(LEFT(Dashboard!$C$48,1))&lt;=1),"PUSH",IF(AND(Dashboard!$C$46="PUSH/PULL/BEINE",VALUE(LEFT(Dashboard!$C$48,1))&lt;=2),"PUSH 1",IF(AND(Dashboard!$C$46="PUSH/PULL/BEINE",VALUE(LEFT(Dashboard!$C$48,1))&lt;=3),"PUSH 1",IF(AND(Dashboard!$C$46="PUSH/PULL",VALUE(LEFT(Dashboard!$C$48,1))&lt;=1),"PUSH",IF(AND(Dashboard!$C$46="PUSH/PULL",VALUE(LEFT(Dashboard!$C$48,1))&lt;=2),"PUSH 1",IF(AND(Dashboard!$C$46="PUSH/PULL",VALUE(LEFT(Dashboard!$C$48,1))&lt;=3),"PUSH 1",IF(AND(Dashboard!$C$46="GK",VALUE(LEFT(Dashboard!$C$48,1))&lt;=1),"GK",IF(AND(Dashboard!$C$46="GK",VALUE(LEFT(Dashboard!$C$48,1))&lt;=2),"GK 1",IF(AND(Dashboard!$C$46="GK",VALUE(LEFT(Dashboard!$C$48,1))&lt;=3),"GK 1",IF(AND(Dashboard!$C$46="GK",VALUE(LEFT(Dashboard!$C$48,1))&lt;=4),"GK 1",""))))))))))))))))</f>
        <v>OK 1</v>
      </c>
      <c r="X60" s="654" t="str">
        <f ca="1">INDEX(OFFSET(Zyklus!$A$13,57,0),1)</f>
        <v>Neue Übung Eintragen !!</v>
      </c>
      <c r="Y60" s="655">
        <f ca="1">MROUND(INDEX(OFFSET(Zyklus!$I$13,57,0),1),(IF(VLOOKUP($X60,Übungsübersicht!$E$7:$K$80,3)=0,0.1,(VLOOKUP($X60,Übungsübersicht!$E$7:$K$80,3)))))</f>
        <v>0</v>
      </c>
      <c r="Z60" s="655"/>
      <c r="AA60" s="655" t="e">
        <f ca="1">IFERROR(IF($Y60=0,2*(VLOOKUP($X60,Übungsübersicht!$E$7:$M$83,3,FALSE)),IF($Y60&gt;100,(MROUND(($Y60*0.1),(VLOOKUP($X60,Übungsübersicht!$E$7:$M$83,3,FALSE)))),IF($Y60&gt;80,(MROUND(($Y60*0.1),(VLOOKUP($X60,Übungsübersicht!$E$7:$M$83,3,FALSE)))),IF($Y60&gt;50,(MROUND(($Y60*0.2),(VLOOKUP($X60,Übungsübersicht!$E$7:$M$83,3,FALSE)))),IF($Y60&gt;25,(MROUND(($Y60*0.3),(VLOOKUP($X60,Übungsübersicht!$E$7:$M$83,3,FALSE)))),IF($Y60&gt;15,(MROUND(($Y60*0.4),(VLOOKUP($X60,Übungsübersicht!$E$7:$M$83,3,FALSE)))),IF($Y60&gt;(VLOOKUP($X60,Übungsübersicht!$E$7:$M$83,3,FALSE)),(VLOOKUP($X60,Übungsübersicht!$E$7:$M$83,3,FALSE)),""))))))),2*(VLOOKUP($X60,Übungsübersicht!$E$7:$M$83,3,FALSE)))</f>
        <v>#N/A</v>
      </c>
      <c r="AB60" s="655" t="e">
        <f ca="1">IFERROR(IF($Y60=0,4*(VLOOKUP($X60,Übungsübersicht!$E$7:$M$83,3,FALSE)),IF($Y60&gt;100,(MROUND(($Y60*0.3),(VLOOKUP($X60,Übungsübersicht!$E$7:$M$83,3,FALSE)))),IF($Y60&gt;80,(MROUND(($Y60*0.3),(VLOOKUP($X60,Übungsübersicht!$E$7:$M$83,3,FALSE)))),IF($Y60&gt;50,(MROUND(($Y60*0.4),(VLOOKUP($X60,Übungsübersicht!$E$7:$M$83,3,FALSE)))),IF($Y60&gt;25,(MROUND(($Y60*0.5),(VLOOKUP($X60,Übungsübersicht!$E$7:$M$83,3,FALSE)))),IF($Y60&gt;15,(MROUND(($Y60*0.6),(VLOOKUP($X60,Übungsübersicht!$E$7:$M$83,3,FALSE)))),IF($Y60&gt;(VLOOKUP($X60,Übungsübersicht!$E$7:$M$83,3,FALSE)),(VLOOKUP($X60,Übungsübersicht!$E$7:$M$83,3,FALSE)),""))))))),4*(VLOOKUP($X60,Übungsübersicht!$E$7:$M$83,3,FALSE)))</f>
        <v>#N/A</v>
      </c>
      <c r="AC60" s="655" t="e">
        <f ca="1">IFERROR((IF($Y60=0,8*(VLOOKUP($X60,Übungsübersicht!$E$7:$M$83,3,FALSE)),(($Y60)-(3*(VLOOKUP($X60,Übungsübersicht!$E$7:$M$83,3,FALSE)))))),8*(VLOOKUP($X60,Übungsübersicht!$E$7:$M$83,3,FALSE)))</f>
        <v>#N/A</v>
      </c>
      <c r="AD60" s="655" t="e">
        <f ca="1">IFERROR(((IF($Y60=0,10*(VLOOKUP($X60,Übungsübersicht!$E$7:$M$83,3,FALSE)),($Y60)-(2*(VLOOKUP($X60,Übungsübersicht!$E$7:$M$83,3,FALSE)))))),10*(VLOOKUP($X60,Übungsübersicht!$E$7:$M$83,3,FALSE)))</f>
        <v>#N/A</v>
      </c>
      <c r="AE60" s="655" t="e">
        <f ca="1">IFERROR(((IF($Y60=0,10*(VLOOKUP($X60,Übungsübersicht!$E$7:$M$83,3,FALSE)),($Y60)-(1*(VLOOKUP($X60,Übungsübersicht!$E$7:$M$83,3,FALSE)))))),10*(VLOOKUP($X60,Übungsübersicht!$E$7:$M$83,3,FALSE)))</f>
        <v>#N/A</v>
      </c>
      <c r="AF60" s="655" t="e">
        <f ca="1">IFERROR(IF($Y60=0,20*(VLOOKUP($X60,Übungsübersicht!$E$7:$M$83,3,FALSE)),($Y60)),20*(VLOOKUP($X60,Übungsübersicht!$E$7:$M$83,3,FALSE)))</f>
        <v>#N/A</v>
      </c>
      <c r="AG60" s="655" t="e">
        <f ca="1">IFERROR(IF($Y60=0,30*(VLOOKUP($X60,Übungsübersicht!$E$7:$M$83,3,FALSE)),($Y60)+(1*(VLOOKUP($X60,Übungsübersicht!$E$7:$M$83,3,FALSE)))),30*(VLOOKUP($X60,Übungsübersicht!$E$7:$M$83,3,FALSE)))</f>
        <v>#N/A</v>
      </c>
      <c r="AH60" s="655" t="e">
        <f ca="1">IFERROR(IF($Y60=0,30*(VLOOKUP($X60,Übungsübersicht!$E$7:$M$83,3,FALSE)),($Y60)+(2*(VLOOKUP($X60,Übungsübersicht!$E$7:$M$83,3,FALSE)))),30*(VLOOKUP($X60,Übungsübersicht!$E$7:$M$83,3,FALSE)))</f>
        <v>#N/A</v>
      </c>
      <c r="AI60" s="655" t="e">
        <f ca="1">IFERROR(IF($Y60=0,30*(VLOOKUP($X60,Übungsübersicht!$E$7:$M$83,3,FALSE)),($Y60)+(3*(VLOOKUP($X60,Übungsübersicht!$E$7:$M$83,3,FALSE)))),30*(VLOOKUP($X60,Übungsübersicht!$E$7:$M$83,3,FALSE)))</f>
        <v>#N/A</v>
      </c>
      <c r="AJ60" s="655" t="e">
        <f ca="1">IFERROR(IF($Y60=0,40*(VLOOKUP($X60,Übungsübersicht!$E$7:$M$83,3,FALSE)),IF($Y60&gt;100,(MROUND(($Y60*1.7),(VLOOKUP($X60,Übungsübersicht!$E$7:$M$83,3,FALSE)))),IF($Y60&gt;80,(MROUND(($Y60*1.7),(VLOOKUP($X60,Übungsübersicht!$E$7:$M$83,3,FALSE)))),IF($Y60&gt;50,(MROUND(($Y60*1.6),(VLOOKUP($X60,Übungsübersicht!$E$7:$M$83,3,FALSE)))),IF($Y60&gt;25,(MROUND(($Y60*1.5),(VLOOKUP($X60,Übungsübersicht!$E$7:$M$83,3,FALSE)))),IF($Y60&gt;15,(MROUND(($Y60*1.4),(VLOOKUP($X60,Übungsübersicht!$E$7:$M$83,3,FALSE)))),IF($Y60&gt;(VLOOKUP($X60,Übungsübersicht!$E$7:$M$83,3,FALSE)),30*(VLOOKUP($X60,Übungsübersicht!$E$7:$M$83,3,FALSE)),""))))))),40*(VLOOKUP($X60,Übungsübersicht!$E$7:$M$83,3,FALSE)))</f>
        <v>#N/A</v>
      </c>
      <c r="AK60" s="656" t="e">
        <f ca="1">IFERROR(IF($Y60=0,50*(VLOOKUP($X60,Übungsübersicht!$E$7:$M$83,3,FALSE)),IF($Y60&gt;100,(MROUND(($Y60*1.9),(VLOOKUP($X60,Übungsübersicht!$E$7:$M$83,3,FALSE)))),IF($Y60&gt;80,(MROUND(($Y60*1.9),(VLOOKUP($X60,Übungsübersicht!$E$7:$M$83,3,FALSE)))),IF($Y60&gt;50,(MROUND(($Y60*1.8),(VLOOKUP($X60,Übungsübersicht!$E$7:$M$83,3,FALSE)))),IF($Y60&gt;25,(MROUND(($Y60*1.7),(VLOOKUP($X60,Übungsübersicht!$E$7:$M$83,3,FALSE)))),IF($Y60&gt;15,(MROUND(($Y60*1.6),(VLOOKUP($X60,Übungsübersicht!$E$7:$M$83,3,FALSE)))),IF($Y60&gt;(VLOOKUP($X60,Übungsübersicht!$E$7:$M$83,3,FALSE)),40*(VLOOKUP($X60,Übungsübersicht!$E$7:$M$83,3,FALSE)),""))))))),50*(VLOOKUP($X60,Übungsübersicht!$E$7:$M$83,3,FALSE)))</f>
        <v>#N/A</v>
      </c>
      <c r="AN60" s="655">
        <f ca="1">MROUND(INDEX(OFFSET(Zyklus!$M$13,57,0),1),(IF(VLOOKUP($X60,Übungsübersicht!$E$7:$K$80,3)=0,0.1,(VLOOKUP($X60,Übungsübersicht!$E$7:$K$80,3)))))</f>
        <v>0</v>
      </c>
      <c r="AP60" s="652" t="str">
        <f ca="1">IFERROR(IF(IF(VLOOKUP($X60,Zyklus!$A$14:$U$68,9,FALSE)=0,"RPE 8",IF(VLOOKUP($X60,Übungsübersicht!$E$7:$M$83,3,FALSE)&lt;0.5,($AN60)-(3*0.5),(($AN60)-(3*(VLOOKUP($X60,Übungsübersicht!$E$7:$M$83,3,FALSE))))))&lt;1,0,(IF(VLOOKUP($X60,Zyklus!$A$14:$U$68,9,FALSE)=0,"RPE 8",IF(VLOOKUP($X60,Übungsübersicht!$E$7:$M$83,3,FALSE)&lt;0.5,($AN60)-(3*0.5),(($AN60)-(3*(VLOOKUP($X60,Übungsübersicht!$E$7:$M$83,3,FALSE)))))))),"RPE 8")</f>
        <v>RPE 8</v>
      </c>
      <c r="AQ60" s="652" t="str">
        <f ca="1">IFERROR(IF(IF(VLOOKUP($X60,Zyklus!$A$14:$U$68,9,FALSE)=0,"RPE 8",IF(VLOOKUP($X60,Übungsübersicht!$E$7:$M$83,3,FALSE)&lt;0.5,($AN60)-(2*0.5),(($AN60)-(2*(VLOOKUP($X60,Übungsübersicht!$E$7:$M$83,3,FALSE))))))&lt;1,0,(IF(VLOOKUP($X60,Zyklus!$A$14:$U$68,9,FALSE)=0,"RPE 8",IF(VLOOKUP($X60,Übungsübersicht!$E$7:$M$83,3,FALSE)&lt;0.5,($AN60)-(2*0.5),(($AN60)-(2*(VLOOKUP($X60,Übungsübersicht!$E$7:$M$83,3,FALSE)))))))),"RPE 8")</f>
        <v>RPE 8</v>
      </c>
      <c r="AR60" s="652" t="str">
        <f ca="1">IFERROR(IF(IF(VLOOKUP($X60,Zyklus!$A$14:$U$68,9,FALSE)=0,"RPE 8",IF(VLOOKUP($X60,Übungsübersicht!$E$7:$M$83,3,FALSE)&lt;0.5,($AN60)-(1*0.5),(($Y60)-(1*(VLOOKUP($X60,Übungsübersicht!$E$7:$M$83,3,FALSE))))))&lt;1,0,(IF(VLOOKUP($X60,Zyklus!$A$14:$U$68,9,FALSE)=0,"RPE 8",IF(VLOOKUP($X60,Übungsübersicht!$E$7:$M$83,3,FALSE)&lt;0.5,($AN60)-(1*0.5),(($Y60)-(1*(VLOOKUP($X60,Übungsübersicht!$E$7:$M$83,3,FALSE)))))))),"RPE 8")</f>
        <v>RPE 8</v>
      </c>
      <c r="AS60" s="652" t="str">
        <f t="shared" ca="1" si="0"/>
        <v>RPE 8</v>
      </c>
      <c r="AT60" s="652" t="str">
        <f ca="1">IFERROR(IF(VLOOKUP($X60,Zyklus!$A$14:$U$68,9,FALSE)=0,"RPE 8",IF(VLOOKUP($X60,Übungsübersicht!$E$7:$M$83,3,FALSE)&lt;0.5,($AN60)+(1*0.5),(($Y60)+(1*(VLOOKUP($X60,Übungsübersicht!$E$7:$M$83,3,FALSE)))))),"RPE 8")</f>
        <v>RPE 8</v>
      </c>
      <c r="AU60" s="652" t="str">
        <f ca="1">IFERROR(IF(VLOOKUP($X60,Zyklus!$A$14:$U$68,9,FALSE)=0,"RPE 8",IF(VLOOKUP($X60,Übungsübersicht!$E$7:$M$83,3,FALSE)&lt;0.5,($AN60)+(2*0.5),(($AN60)+(2*(VLOOKUP($X60,Übungsübersicht!$E$7:$M$83,3,FALSE)))))),"RPE 8")</f>
        <v>RPE 8</v>
      </c>
      <c r="AV60" s="652" t="str">
        <f ca="1">IFERROR(IF(VLOOKUP($X60,Zyklus!$A$14:$U$68,9,FALSE)=0,"RPE 8",IF(VLOOKUP($X60,Übungsübersicht!$E$7:$M$83,3,FALSE)&lt;0.5,($AN60)+(3*0.5),(($AN60)+(3*(VLOOKUP($X60,Übungsübersicht!$E$7:$M$83,3,FALSE)))))),"RPE 8")</f>
        <v>RPE 8</v>
      </c>
      <c r="AY60" s="655">
        <f ca="1">MROUND(INDEX(OFFSET(Zyklus!$M$13,57,0),1),(IF(VLOOKUP($X60,Übungsübersicht!$E$7:$K$80,3)=0,0.1,(VLOOKUP($X60,Übungsübersicht!$E$7:$K$80,3)))))</f>
        <v>0</v>
      </c>
      <c r="BA60" s="652">
        <f ca="1">MROUND(INDEX(OFFSET(Zyklus!$Q$13,57,0),1),(IF(VLOOKUP($X60,Übungsübersicht!$E$7:$K$80,3)=0,0.1,(VLOOKUP($X60,Übungsübersicht!$E$7:$K$80,3)))))</f>
        <v>0</v>
      </c>
      <c r="BC60" s="652" t="str">
        <f ca="1">IFERROR(IF(IF(VLOOKUP($X60,Zyklus!$A$14:$U$68,9,FALSE)=0,"RPE 9",IF(VLOOKUP($X60,Übungsübersicht!$E$7:$M$83,3,FALSE)&lt;0.5,($BA60)-(3*0.5),(($BA60)-(3*(VLOOKUP($X60,Übungsübersicht!$E$7:$M$83,3,FALSE))))))&lt;1,0,(IF(VLOOKUP($X60,Zyklus!$A$14:$U$68,9,FALSE)=0,"RPE 9",IF(VLOOKUP($X60,Übungsübersicht!$E$7:$M$83,3,FALSE)&lt;0.5,($BA60)-(3*0.5),(($BA60)-(3*(VLOOKUP($X60,Übungsübersicht!$E$7:$M$83,3,FALSE)))))))),"RPE 9")</f>
        <v>RPE 9</v>
      </c>
      <c r="BD60" s="652" t="str">
        <f ca="1">IFERROR(IF(IF(VLOOKUP($X60,Zyklus!$A$14:$U$68,9,FALSE)=0,"RPE 9",IF(VLOOKUP($X60,Übungsübersicht!$E$7:$M$83,3,FALSE)&lt;0.5,($BA60)-(2*0.5),(($BA60)-(2*(VLOOKUP($X60,Übungsübersicht!$E$7:$M$83,3,FALSE))))))&lt;1,0,(IF(VLOOKUP($X60,Zyklus!$A$14:$U$68,9,FALSE)=0,"RPE 9",IF(VLOOKUP($X60,Übungsübersicht!$E$7:$M$83,3,FALSE)&lt;0.5,($BA60)-(2*0.5),(($BA60)-(2*(VLOOKUP($X60,Übungsübersicht!$E$7:$M$83,3,FALSE)))))))),"RPE 9")</f>
        <v>RPE 9</v>
      </c>
      <c r="BE60" s="652" t="str">
        <f ca="1">IFERROR(IF(IF(VLOOKUP($X60,Zyklus!$A$14:$U$68,9,FALSE)=0,"RPE 9",IF(VLOOKUP($X60,Übungsübersicht!$E$7:$M$83,3,FALSE)&lt;0.5,($BA60)-(1*0.5),(($Y60)-(1*(VLOOKUP($X60,Übungsübersicht!$E$7:$M$83,3,FALSE))))))&lt;1,0,(IF(VLOOKUP($X60,Zyklus!$A$14:$U$68,9,FALSE)=0,"RPE 9",IF(VLOOKUP($X60,Übungsübersicht!$E$7:$M$83,3,FALSE)&lt;0.5,($BA60)-(1*0.5),(($Y60)-(1*(VLOOKUP($X60,Übungsübersicht!$E$7:$M$83,3,FALSE)))))))),"RPE 9")</f>
        <v>RPE 9</v>
      </c>
      <c r="BF60" s="652" t="str">
        <f t="shared" ca="1" si="1"/>
        <v>RPE 9</v>
      </c>
      <c r="BG60" s="652" t="str">
        <f ca="1">IFERROR(IF(VLOOKUP($X60,Zyklus!$A$14:$U$68,9,FALSE)=0,"RPE 9",IF(VLOOKUP($X60,Übungsübersicht!$E$7:$M$83,3,FALSE)&lt;0.5,($AY60)+(1*0.5),(($AY60)+(1*(VLOOKUP($X60,Übungsübersicht!$E$7:$M$83,3,FALSE)))))),"RPE 9")</f>
        <v>RPE 9</v>
      </c>
      <c r="BH60" s="652" t="str">
        <f ca="1">IFERROR(IF(VLOOKUP($X60,Zyklus!$A$14:$U$68,9,FALSE)=0,"RPE 9",IF(VLOOKUP($X60,Übungsübersicht!$E$7:$M$83,3,FALSE)&lt;0.5,($BA60)+(2*0.5),(($BA60)+(2*(VLOOKUP($X60,Übungsübersicht!$E$7:$M$83,3,FALSE)))))),"RPE 9")</f>
        <v>RPE 9</v>
      </c>
      <c r="BI60" s="652" t="str">
        <f ca="1">IFERROR(IF(VLOOKUP($X60,Zyklus!$A$14:$U$68,9,FALSE)=0,"RPE 9",IF(VLOOKUP($X60,Übungsübersicht!$E$7:$M$83,3,FALSE)&lt;0.5,($BA60)+(3*0.5),(($BA60)+(3*(VLOOKUP($X60,Übungsübersicht!$E$7:$M$83,3,FALSE)))))),"RPE 9")</f>
        <v>RPE 9</v>
      </c>
    </row>
    <row r="61" spans="4:61" ht="30" customHeight="1">
      <c r="H61" s="326">
        <v>40</v>
      </c>
      <c r="I61" s="323">
        <f t="shared" si="5"/>
        <v>51.428571428571438</v>
      </c>
      <c r="J61" s="344">
        <f t="shared" si="4"/>
        <v>0.42857142857142866</v>
      </c>
      <c r="Q61" s="872" t="str">
        <f>IF(Dashboard!$C$46="OK/UK","2x",IF(Dashboard!$C$46="OK/UK/OK+","2x",IF(Dashboard!$C$46="PUSH/PULL/BEINE","2x",IF(Dashboard!$C$46="PUSH/PULL","2x",IF(Dashboard!$C$46="GK","2x","")))))</f>
        <v>2x</v>
      </c>
      <c r="R61" s="872"/>
      <c r="S61" s="872" t="str">
        <f>IF(AND(Dashboard!$C$46="OK/UK",VALUE(LEFT(Dashboard!$C$48,1))&lt;=1),"UK",IF(AND(Dashboard!$C$46="OK/UK",VALUE(LEFT(Dashboard!$C$48,1))&lt;=2),"UK 1",IF(AND(Dashboard!$C$46="OK/UK",VALUE(LEFT(Dashboard!$C$48,1))&lt;=3),"UK 1",IF(AND(Dashboard!$C$46="OK/UK/OK+",VALUE(LEFT(Dashboard!$C$48,1))&lt;=1),"UK",IF(AND(Dashboard!$C$46="OK/UK/OK+",VALUE(LEFT(Dashboard!$C$48,1))&lt;=2),"UK 1",IF(AND(Dashboard!$C$46="OK/UK/OK+",VALUE(LEFT(Dashboard!$C$48,1))&lt;=3),"UK 1",IF(AND(Dashboard!$C$46="PUSH/PULL/BEINE",VALUE(LEFT(Dashboard!$C$48,1))&lt;=1),"PULL",IF(AND(Dashboard!$C$46="PUSH/PULL/BEINE",VALUE(LEFT(Dashboard!$C$48,1))&lt;=2),"PULL 1",IF(AND(Dashboard!$C$46="PUSH/PULL/BEINE",VALUE(LEFT(Dashboard!$C$48,1))&lt;=3),"PULL 1",IF(AND(Dashboard!$C$46="PUSH/PULL",VALUE(LEFT(Dashboard!$C$48,1))&lt;=1),"PULL",IF(AND(Dashboard!$C$46="PUSH/PULL",VALUE(LEFT(Dashboard!$C$48,1))&lt;=2),"PULL 1",IF(AND(Dashboard!$C$46="PUSH/PULL",VALUE(LEFT(Dashboard!$C$48,1))&lt;=3),"PULL 1",IF(AND(Dashboard!$C$46="GK",VALUE(LEFT(Dashboard!$C$48,1))&lt;=1),"",IF(AND(Dashboard!$C$46="GK",VALUE(LEFT(Dashboard!$C$48,1))&lt;=2),"GK 2",IF(AND(Dashboard!$C$46="GK",VALUE(LEFT(Dashboard!$C$48,1))&lt;=3),"GK 2",IF(AND(Dashboard!$C$46="GK",VALUE(LEFT(Dashboard!$C$48,1))&lt;=4),"GK 2",""))))))))))))))))</f>
        <v>UK 1</v>
      </c>
      <c r="X61" s="651" t="str">
        <f ca="1">INDEX(OFFSET(Zyklus!$A$13,58,0),1)</f>
        <v>Zeile 65-66 Einblenden!</v>
      </c>
      <c r="Y61" s="652">
        <f ca="1">MROUND(INDEX(OFFSET(Zyklus!$I$13,58,0),1),(IF(VLOOKUP($X61,Übungsübersicht!$E$7:$K$80,3)=0,0.1,(VLOOKUP($X61,Übungsübersicht!$E$7:$K$80,3)))))</f>
        <v>0</v>
      </c>
      <c r="Z61" s="652"/>
      <c r="AA61" s="652" t="e">
        <f ca="1">IFERROR(IF($Y61=0,2*(VLOOKUP($X61,Übungsübersicht!$E$7:$M$83,3,FALSE)),IF($Y61&gt;100,(MROUND(($Y61*0.1),(VLOOKUP($X61,Übungsübersicht!$E$7:$M$83,3,FALSE)))),IF($Y61&gt;80,(MROUND(($Y61*0.1),(VLOOKUP($X61,Übungsübersicht!$E$7:$M$83,3,FALSE)))),IF($Y61&gt;50,(MROUND(($Y61*0.2),(VLOOKUP($X61,Übungsübersicht!$E$7:$M$83,3,FALSE)))),IF($Y61&gt;25,(MROUND(($Y61*0.3),(VLOOKUP($X61,Übungsübersicht!$E$7:$M$83,3,FALSE)))),IF($Y61&gt;15,(MROUND(($Y61*0.4),(VLOOKUP($X61,Übungsübersicht!$E$7:$M$83,3,FALSE)))),IF($Y61&gt;(VLOOKUP($X61,Übungsübersicht!$E$7:$M$83,3,FALSE)),(VLOOKUP($X61,Übungsübersicht!$E$7:$M$83,3,FALSE)),""))))))),2*(VLOOKUP($X61,Übungsübersicht!$E$7:$M$83,3,FALSE)))</f>
        <v>#N/A</v>
      </c>
      <c r="AB61" s="652" t="e">
        <f ca="1">IFERROR(IF($Y61=0,4*(VLOOKUP($X61,Übungsübersicht!$E$7:$M$83,3,FALSE)),IF($Y61&gt;100,(MROUND(($Y61*0.3),(VLOOKUP($X61,Übungsübersicht!$E$7:$M$83,3,FALSE)))),IF($Y61&gt;80,(MROUND(($Y61*0.3),(VLOOKUP($X61,Übungsübersicht!$E$7:$M$83,3,FALSE)))),IF($Y61&gt;50,(MROUND(($Y61*0.4),(VLOOKUP($X61,Übungsübersicht!$E$7:$M$83,3,FALSE)))),IF($Y61&gt;25,(MROUND(($Y61*0.5),(VLOOKUP($X61,Übungsübersicht!$E$7:$M$83,3,FALSE)))),IF($Y61&gt;15,(MROUND(($Y61*0.6),(VLOOKUP($X61,Übungsübersicht!$E$7:$M$83,3,FALSE)))),IF($Y61&gt;(VLOOKUP($X61,Übungsübersicht!$E$7:$M$83,3,FALSE)),(VLOOKUP($X61,Übungsübersicht!$E$7:$M$83,3,FALSE)),""))))))),4*(VLOOKUP($X61,Übungsübersicht!$E$7:$M$83,3,FALSE)))</f>
        <v>#N/A</v>
      </c>
      <c r="AC61" s="652" t="e">
        <f ca="1">IFERROR((IF($Y61=0,8*(VLOOKUP($X61,Übungsübersicht!$E$7:$M$83,3,FALSE)),(($Y61)-(3*(VLOOKUP($X61,Übungsübersicht!$E$7:$M$83,3,FALSE)))))),8*(VLOOKUP($X61,Übungsübersicht!$E$7:$M$83,3,FALSE)))</f>
        <v>#N/A</v>
      </c>
      <c r="AD61" s="652" t="e">
        <f ca="1">IFERROR(((IF($Y61=0,10*(VLOOKUP($X61,Übungsübersicht!$E$7:$M$83,3,FALSE)),($Y61)-(2*(VLOOKUP($X61,Übungsübersicht!$E$7:$M$83,3,FALSE)))))),10*(VLOOKUP($X61,Übungsübersicht!$E$7:$M$83,3,FALSE)))</f>
        <v>#N/A</v>
      </c>
      <c r="AE61" s="652" t="e">
        <f ca="1">IFERROR(((IF($Y61=0,10*(VLOOKUP($X61,Übungsübersicht!$E$7:$M$83,3,FALSE)),($Y61)-(1*(VLOOKUP($X61,Übungsübersicht!$E$7:$M$83,3,FALSE)))))),10*(VLOOKUP($X61,Übungsübersicht!$E$7:$M$83,3,FALSE)))</f>
        <v>#N/A</v>
      </c>
      <c r="AF61" s="652" t="e">
        <f ca="1">IFERROR(IF($Y61=0,20*(VLOOKUP($X61,Übungsübersicht!$E$7:$M$83,3,FALSE)),($Y61)),20*(VLOOKUP($X61,Übungsübersicht!$E$7:$M$83,3,FALSE)))</f>
        <v>#N/A</v>
      </c>
      <c r="AG61" s="652" t="e">
        <f ca="1">IFERROR(IF($Y61=0,30*(VLOOKUP($X61,Übungsübersicht!$E$7:$M$83,3,FALSE)),($Y61)+(1*(VLOOKUP($X61,Übungsübersicht!$E$7:$M$83,3,FALSE)))),30*(VLOOKUP($X61,Übungsübersicht!$E$7:$M$83,3,FALSE)))</f>
        <v>#N/A</v>
      </c>
      <c r="AH61" s="652" t="e">
        <f ca="1">IFERROR(IF($Y61=0,30*(VLOOKUP($X61,Übungsübersicht!$E$7:$M$83,3,FALSE)),($Y61)+(2*(VLOOKUP($X61,Übungsübersicht!$E$7:$M$83,3,FALSE)))),30*(VLOOKUP($X61,Übungsübersicht!$E$7:$M$83,3,FALSE)))</f>
        <v>#N/A</v>
      </c>
      <c r="AI61" s="652" t="e">
        <f ca="1">IFERROR(IF($Y61=0,30*(VLOOKUP($X61,Übungsübersicht!$E$7:$M$83,3,FALSE)),($Y61)+(3*(VLOOKUP($X61,Übungsübersicht!$E$7:$M$83,3,FALSE)))),30*(VLOOKUP($X61,Übungsübersicht!$E$7:$M$83,3,FALSE)))</f>
        <v>#N/A</v>
      </c>
      <c r="AJ61" s="652" t="e">
        <f ca="1">IFERROR(IF($Y61=0,40*(VLOOKUP($X61,Übungsübersicht!$E$7:$M$83,3,FALSE)),IF($Y61&gt;100,(MROUND(($Y61*1.7),(VLOOKUP($X61,Übungsübersicht!$E$7:$M$83,3,FALSE)))),IF($Y61&gt;80,(MROUND(($Y61*1.7),(VLOOKUP($X61,Übungsübersicht!$E$7:$M$83,3,FALSE)))),IF($Y61&gt;50,(MROUND(($Y61*1.6),(VLOOKUP($X61,Übungsübersicht!$E$7:$M$83,3,FALSE)))),IF($Y61&gt;25,(MROUND(($Y61*1.5),(VLOOKUP($X61,Übungsübersicht!$E$7:$M$83,3,FALSE)))),IF($Y61&gt;15,(MROUND(($Y61*1.4),(VLOOKUP($X61,Übungsübersicht!$E$7:$M$83,3,FALSE)))),IF($Y61&gt;(VLOOKUP($X61,Übungsübersicht!$E$7:$M$83,3,FALSE)),30*(VLOOKUP($X61,Übungsübersicht!$E$7:$M$83,3,FALSE)),""))))))),40*(VLOOKUP($X61,Übungsübersicht!$E$7:$M$83,3,FALSE)))</f>
        <v>#N/A</v>
      </c>
      <c r="AK61" s="653" t="e">
        <f ca="1">IFERROR(IF($Y61=0,50*(VLOOKUP($X61,Übungsübersicht!$E$7:$M$83,3,FALSE)),IF($Y61&gt;100,(MROUND(($Y61*1.9),(VLOOKUP($X61,Übungsübersicht!$E$7:$M$83,3,FALSE)))),IF($Y61&gt;80,(MROUND(($Y61*1.9),(VLOOKUP($X61,Übungsübersicht!$E$7:$M$83,3,FALSE)))),IF($Y61&gt;50,(MROUND(($Y61*1.8),(VLOOKUP($X61,Übungsübersicht!$E$7:$M$83,3,FALSE)))),IF($Y61&gt;25,(MROUND(($Y61*1.7),(VLOOKUP($X61,Übungsübersicht!$E$7:$M$83,3,FALSE)))),IF($Y61&gt;15,(MROUND(($Y61*1.6),(VLOOKUP($X61,Übungsübersicht!$E$7:$M$83,3,FALSE)))),IF($Y61&gt;(VLOOKUP($X61,Übungsübersicht!$E$7:$M$83,3,FALSE)),40*(VLOOKUP($X61,Übungsübersicht!$E$7:$M$83,3,FALSE)),""))))))),50*(VLOOKUP($X61,Übungsübersicht!$E$7:$M$83,3,FALSE)))</f>
        <v>#N/A</v>
      </c>
      <c r="AN61" s="652">
        <f ca="1">MROUND(INDEX(OFFSET(Zyklus!$M$13,58,0),1),(IF(VLOOKUP($X61,Übungsübersicht!$E$7:$K$80,3)=0,0.1,(VLOOKUP($X61,Übungsübersicht!$E$7:$K$80,3)))))</f>
        <v>0</v>
      </c>
      <c r="AP61" s="655" t="str">
        <f ca="1">IFERROR(IF(IF(VLOOKUP($X61,Zyklus!$A$14:$U$68,9,FALSE)=0,"RPE 8",IF(VLOOKUP($X61,Übungsübersicht!$E$7:$M$83,3,FALSE)&lt;0.5,($AN61)-(3*0.5),(($AN61)-(3*(VLOOKUP($X61,Übungsübersicht!$E$7:$M$83,3,FALSE))))))&lt;1,0,(IF(VLOOKUP($X61,Zyklus!$A$14:$U$68,9,FALSE)=0,"RPE 8",IF(VLOOKUP($X61,Übungsübersicht!$E$7:$M$83,3,FALSE)&lt;0.5,($AN61)-(3*0.5),(($AN61)-(3*(VLOOKUP($X61,Übungsübersicht!$E$7:$M$83,3,FALSE)))))))),"RPE 8")</f>
        <v>RPE 8</v>
      </c>
      <c r="AQ61" s="655" t="str">
        <f ca="1">IFERROR(IF(IF(VLOOKUP($X61,Zyklus!$A$14:$U$68,9,FALSE)=0,"RPE 8",IF(VLOOKUP($X61,Übungsübersicht!$E$7:$M$83,3,FALSE)&lt;0.5,($AN61)-(2*0.5),(($AN61)-(2*(VLOOKUP($X61,Übungsübersicht!$E$7:$M$83,3,FALSE))))))&lt;1,0,(IF(VLOOKUP($X61,Zyklus!$A$14:$U$68,9,FALSE)=0,"RPE 8",IF(VLOOKUP($X61,Übungsübersicht!$E$7:$M$83,3,FALSE)&lt;0.5,($AN61)-(2*0.5),(($AN61)-(2*(VLOOKUP($X61,Übungsübersicht!$E$7:$M$83,3,FALSE)))))))),"RPE 8")</f>
        <v>RPE 8</v>
      </c>
      <c r="AR61" s="655" t="str">
        <f ca="1">IFERROR(IF(IF(VLOOKUP($X61,Zyklus!$A$14:$U$68,9,FALSE)=0,"RPE 8",IF(VLOOKUP($X61,Übungsübersicht!$E$7:$M$83,3,FALSE)&lt;0.5,($AN61)-(1*0.5),(($Y61)-(1*(VLOOKUP($X61,Übungsübersicht!$E$7:$M$83,3,FALSE))))))&lt;1,0,(IF(VLOOKUP($X61,Zyklus!$A$14:$U$68,9,FALSE)=0,"RPE 8",IF(VLOOKUP($X61,Übungsübersicht!$E$7:$M$83,3,FALSE)&lt;0.5,($AN61)-(1*0.5),(($Y61)-(1*(VLOOKUP($X61,Übungsübersicht!$E$7:$M$83,3,FALSE)))))))),"RPE 8")</f>
        <v>RPE 8</v>
      </c>
      <c r="AS61" s="655" t="str">
        <f t="shared" ca="1" si="0"/>
        <v>RPE 8</v>
      </c>
      <c r="AT61" s="655" t="str">
        <f ca="1">IFERROR(IF(VLOOKUP($X61,Zyklus!$A$14:$U$68,9,FALSE)=0,"RPE 8",IF(VLOOKUP($X61,Übungsübersicht!$E$7:$M$83,3,FALSE)&lt;0.5,($AN61)+(1*0.5),(($Y61)+(1*(VLOOKUP($X61,Übungsübersicht!$E$7:$M$83,3,FALSE)))))),"RPE 8")</f>
        <v>RPE 8</v>
      </c>
      <c r="AU61" s="655" t="str">
        <f ca="1">IFERROR(IF(VLOOKUP($X61,Zyklus!$A$14:$U$68,9,FALSE)=0,"RPE 8",IF(VLOOKUP($X61,Übungsübersicht!$E$7:$M$83,3,FALSE)&lt;0.5,($AN61)+(2*0.5),(($AN61)+(2*(VLOOKUP($X61,Übungsübersicht!$E$7:$M$83,3,FALSE)))))),"RPE 8")</f>
        <v>RPE 8</v>
      </c>
      <c r="AV61" s="655" t="str">
        <f ca="1">IFERROR(IF(VLOOKUP($X61,Zyklus!$A$14:$U$68,9,FALSE)=0,"RPE 8",IF(VLOOKUP($X61,Übungsübersicht!$E$7:$M$83,3,FALSE)&lt;0.5,($AN61)+(3*0.5),(($AN61)+(3*(VLOOKUP($X61,Übungsübersicht!$E$7:$M$83,3,FALSE)))))),"RPE 8")</f>
        <v>RPE 8</v>
      </c>
      <c r="AY61" s="652">
        <f ca="1">MROUND(INDEX(OFFSET(Zyklus!$M$13,58,0),1),(IF(VLOOKUP($X61,Übungsübersicht!$E$7:$K$80,3)=0,0.1,(VLOOKUP($X61,Übungsübersicht!$E$7:$K$80,3)))))</f>
        <v>0</v>
      </c>
      <c r="BA61" s="655">
        <f ca="1">MROUND(INDEX(OFFSET(Zyklus!$Q$13,58,0),1),(IF(VLOOKUP($X61,Übungsübersicht!$E$7:$K$80,3)=0,0.1,(VLOOKUP($X61,Übungsübersicht!$E$7:$K$80,3)))))</f>
        <v>0</v>
      </c>
      <c r="BC61" s="655" t="str">
        <f ca="1">IFERROR(IF(IF(VLOOKUP($X61,Zyklus!$A$14:$U$68,9,FALSE)=0,"RPE 9",IF(VLOOKUP($X61,Übungsübersicht!$E$7:$M$83,3,FALSE)&lt;0.5,($BA61)-(3*0.5),(($BA61)-(3*(VLOOKUP($X61,Übungsübersicht!$E$7:$M$83,3,FALSE))))))&lt;1,0,(IF(VLOOKUP($X61,Zyklus!$A$14:$U$68,9,FALSE)=0,"RPE 9",IF(VLOOKUP($X61,Übungsübersicht!$E$7:$M$83,3,FALSE)&lt;0.5,($BA61)-(3*0.5),(($BA61)-(3*(VLOOKUP($X61,Übungsübersicht!$E$7:$M$83,3,FALSE)))))))),"RPE 9")</f>
        <v>RPE 9</v>
      </c>
      <c r="BD61" s="655" t="str">
        <f ca="1">IFERROR(IF(IF(VLOOKUP($X61,Zyklus!$A$14:$U$68,9,FALSE)=0,"RPE 9",IF(VLOOKUP($X61,Übungsübersicht!$E$7:$M$83,3,FALSE)&lt;0.5,($BA61)-(2*0.5),(($BA61)-(2*(VLOOKUP($X61,Übungsübersicht!$E$7:$M$83,3,FALSE))))))&lt;1,0,(IF(VLOOKUP($X61,Zyklus!$A$14:$U$68,9,FALSE)=0,"RPE 9",IF(VLOOKUP($X61,Übungsübersicht!$E$7:$M$83,3,FALSE)&lt;0.5,($BA61)-(2*0.5),(($BA61)-(2*(VLOOKUP($X61,Übungsübersicht!$E$7:$M$83,3,FALSE)))))))),"RPE 9")</f>
        <v>RPE 9</v>
      </c>
      <c r="BE61" s="655" t="str">
        <f ca="1">IFERROR(IF(IF(VLOOKUP($X61,Zyklus!$A$14:$U$68,9,FALSE)=0,"RPE 9",IF(VLOOKUP($X61,Übungsübersicht!$E$7:$M$83,3,FALSE)&lt;0.5,($BA61)-(1*0.5),(($Y61)-(1*(VLOOKUP($X61,Übungsübersicht!$E$7:$M$83,3,FALSE))))))&lt;1,0,(IF(VLOOKUP($X61,Zyklus!$A$14:$U$68,9,FALSE)=0,"RPE 9",IF(VLOOKUP($X61,Übungsübersicht!$E$7:$M$83,3,FALSE)&lt;0.5,($BA61)-(1*0.5),(($Y61)-(1*(VLOOKUP($X61,Übungsübersicht!$E$7:$M$83,3,FALSE)))))))),"RPE 9")</f>
        <v>RPE 9</v>
      </c>
      <c r="BF61" s="655" t="str">
        <f t="shared" ca="1" si="1"/>
        <v>RPE 9</v>
      </c>
      <c r="BG61" s="655" t="str">
        <f ca="1">IFERROR(IF(VLOOKUP($X61,Zyklus!$A$14:$U$68,9,FALSE)=0,"RPE 9",IF(VLOOKUP($X61,Übungsübersicht!$E$7:$M$83,3,FALSE)&lt;0.5,($AY61)+(1*0.5),(($AY61)+(1*(VLOOKUP($X61,Übungsübersicht!$E$7:$M$83,3,FALSE)))))),"RPE 9")</f>
        <v>RPE 9</v>
      </c>
      <c r="BH61" s="655" t="str">
        <f ca="1">IFERROR(IF(VLOOKUP($X61,Zyklus!$A$14:$U$68,9,FALSE)=0,"RPE 9",IF(VLOOKUP($X61,Übungsübersicht!$E$7:$M$83,3,FALSE)&lt;0.5,($BA61)+(2*0.5),(($BA61)+(2*(VLOOKUP($X61,Übungsübersicht!$E$7:$M$83,3,FALSE)))))),"RPE 9")</f>
        <v>RPE 9</v>
      </c>
      <c r="BI61" s="655" t="str">
        <f ca="1">IFERROR(IF(VLOOKUP($X61,Zyklus!$A$14:$U$68,9,FALSE)=0,"RPE 9",IF(VLOOKUP($X61,Übungsübersicht!$E$7:$M$83,3,FALSE)&lt;0.5,($BA61)+(3*0.5),(($BA61)+(3*(VLOOKUP($X61,Übungsübersicht!$E$7:$M$83,3,FALSE)))))),"RPE 9")</f>
        <v>RPE 9</v>
      </c>
    </row>
    <row r="62" spans="4:61" ht="30" customHeight="1">
      <c r="H62" s="326">
        <v>41</v>
      </c>
      <c r="I62" s="323">
        <f t="shared" si="5"/>
        <v>50.704225352112672</v>
      </c>
      <c r="J62" s="344">
        <f t="shared" si="4"/>
        <v>0.42253521126760563</v>
      </c>
      <c r="Q62" s="871" t="str">
        <f>IF(Dashboard!$C$46="OK/UK","3x",IF(Dashboard!$C$46="OK/UK/OK+","",IF(Dashboard!$C$46="PUSH/PULL/BEINE","",IF(Dashboard!$C$46="PUSH/PULL","3x",IF(Dashboard!$C$46="GK","3x","")))))</f>
        <v/>
      </c>
      <c r="R62" s="871"/>
      <c r="S62" s="871" t="str">
        <f>IF(AND(Dashboard!$C$46="OK/UK",VALUE(LEFT(Dashboard!$C$48,1))&lt;=1),"",IF(AND(Dashboard!$C$46="OK/UK",VALUE(LEFT(Dashboard!$C$48,1))&lt;=2),"OK 2",IF(AND(Dashboard!$C$46="OK/UK",VALUE(LEFT(Dashboard!$C$48,1))&lt;=3),"OK 2",IF(AND(Dashboard!$C$46="OK/UK/OK+",VALUE(LEFT(Dashboard!$C$48,1))&lt;=1),"OK 2+",IF(AND(Dashboard!$C$46="OK/UK/OK+",VALUE(LEFT(Dashboard!$C$48,1))&lt;=2),"OK 2",IF(AND(Dashboard!$C$46="OK/UK/OK+",VALUE(LEFT(Dashboard!$C$48,1))&lt;=3),"OK 2",IF(AND(Dashboard!$C$46="PUSH/PULL/BEINE",VALUE(LEFT(Dashboard!$C$48,1))&lt;=1),"BEINE",IF(AND(Dashboard!$C$46="PUSH/PULL/BEINE",VALUE(LEFT(Dashboard!$C$48,1))&lt;=2),"BEINE 1",IF(AND(Dashboard!$C$46="PUSH/PULL/BEINE",VALUE(LEFT(Dashboard!$C$48,1))&lt;=3),"BEINE 1",IF(AND(Dashboard!$C$46="PUSH/PULL",VALUE(LEFT(Dashboard!$C$48,1))&lt;=1),"",IF(AND(Dashboard!$C$46="PUSH/PULL",VALUE(LEFT(Dashboard!$C$48,1))&lt;=2),"PUSH 2",IF(AND(Dashboard!$C$46="PUSH/PULL",VALUE(LEFT(Dashboard!$C$48,1))&lt;=3),"PUSH 2",IF(AND(Dashboard!$C$46="GK",VALUE(LEFT(Dashboard!$C$48,1))&lt;=1),"",IF(AND(Dashboard!$C$46="GK",VALUE(LEFT(Dashboard!$C$48,1))&lt;=2),"",IF(AND(Dashboard!$C$46="GK",VALUE(LEFT(Dashboard!$C$48,1))&lt;=3),"GK 3",IF(AND(Dashboard!$C$46="GK",VALUE(LEFT(Dashboard!$C$48,1))&lt;=4),"GK 3",""))))))))))))))))</f>
        <v>OK 2</v>
      </c>
      <c r="X62" s="654">
        <f ca="1">INDEX(OFFSET(Zyklus!$A$13,59,0),1)</f>
        <v>0</v>
      </c>
      <c r="Y62" s="655" t="e">
        <f ca="1">MROUND(INDEX(OFFSET(Zyklus!$I$13,59,0),1),(IF(VLOOKUP($X62,Übungsübersicht!$E$7:$K$80,3)=0,0.1,(VLOOKUP($X62,Übungsübersicht!$E$7:$K$80,3)))))</f>
        <v>#VALUE!</v>
      </c>
      <c r="Z62" s="655"/>
      <c r="AA62" s="655" t="e">
        <f ca="1">IFERROR(IF($Y62=0,2*(VLOOKUP($X62,Übungsübersicht!$E$7:$M$83,3,FALSE)),IF($Y62&gt;100,(MROUND(($Y62*0.1),(VLOOKUP($X62,Übungsübersicht!$E$7:$M$83,3,FALSE)))),IF($Y62&gt;80,(MROUND(($Y62*0.1),(VLOOKUP($X62,Übungsübersicht!$E$7:$M$83,3,FALSE)))),IF($Y62&gt;50,(MROUND(($Y62*0.2),(VLOOKUP($X62,Übungsübersicht!$E$7:$M$83,3,FALSE)))),IF($Y62&gt;25,(MROUND(($Y62*0.3),(VLOOKUP($X62,Übungsübersicht!$E$7:$M$83,3,FALSE)))),IF($Y62&gt;15,(MROUND(($Y62*0.4),(VLOOKUP($X62,Übungsübersicht!$E$7:$M$83,3,FALSE)))),IF($Y62&gt;(VLOOKUP($X62,Übungsübersicht!$E$7:$M$83,3,FALSE)),(VLOOKUP($X62,Übungsübersicht!$E$7:$M$83,3,FALSE)),""))))))),2*(VLOOKUP($X62,Übungsübersicht!$E$7:$M$83,3,FALSE)))</f>
        <v>#N/A</v>
      </c>
      <c r="AB62" s="655" t="e">
        <f ca="1">IFERROR(IF($Y62=0,4*(VLOOKUP($X62,Übungsübersicht!$E$7:$M$83,3,FALSE)),IF($Y62&gt;100,(MROUND(($Y62*0.3),(VLOOKUP($X62,Übungsübersicht!$E$7:$M$83,3,FALSE)))),IF($Y62&gt;80,(MROUND(($Y62*0.3),(VLOOKUP($X62,Übungsübersicht!$E$7:$M$83,3,FALSE)))),IF($Y62&gt;50,(MROUND(($Y62*0.4),(VLOOKUP($X62,Übungsübersicht!$E$7:$M$83,3,FALSE)))),IF($Y62&gt;25,(MROUND(($Y62*0.5),(VLOOKUP($X62,Übungsübersicht!$E$7:$M$83,3,FALSE)))),IF($Y62&gt;15,(MROUND(($Y62*0.6),(VLOOKUP($X62,Übungsübersicht!$E$7:$M$83,3,FALSE)))),IF($Y62&gt;(VLOOKUP($X62,Übungsübersicht!$E$7:$M$83,3,FALSE)),(VLOOKUP($X62,Übungsübersicht!$E$7:$M$83,3,FALSE)),""))))))),4*(VLOOKUP($X62,Übungsübersicht!$E$7:$M$83,3,FALSE)))</f>
        <v>#N/A</v>
      </c>
      <c r="AC62" s="655" t="e">
        <f ca="1">IFERROR((IF($Y62=0,8*(VLOOKUP($X62,Übungsübersicht!$E$7:$M$83,3,FALSE)),(($Y62)-(3*(VLOOKUP($X62,Übungsübersicht!$E$7:$M$83,3,FALSE)))))),8*(VLOOKUP($X62,Übungsübersicht!$E$7:$M$83,3,FALSE)))</f>
        <v>#N/A</v>
      </c>
      <c r="AD62" s="655" t="e">
        <f ca="1">IFERROR(((IF($Y62=0,10*(VLOOKUP($X62,Übungsübersicht!$E$7:$M$83,3,FALSE)),($Y62)-(2*(VLOOKUP($X62,Übungsübersicht!$E$7:$M$83,3,FALSE)))))),10*(VLOOKUP($X62,Übungsübersicht!$E$7:$M$83,3,FALSE)))</f>
        <v>#N/A</v>
      </c>
      <c r="AE62" s="655" t="e">
        <f ca="1">IFERROR(((IF($Y62=0,10*(VLOOKUP($X62,Übungsübersicht!$E$7:$M$83,3,FALSE)),($Y62)-(1*(VLOOKUP($X62,Übungsübersicht!$E$7:$M$83,3,FALSE)))))),10*(VLOOKUP($X62,Übungsübersicht!$E$7:$M$83,3,FALSE)))</f>
        <v>#N/A</v>
      </c>
      <c r="AF62" s="655" t="e">
        <f ca="1">IFERROR(IF($Y62=0,20*(VLOOKUP($X62,Übungsübersicht!$E$7:$M$83,3,FALSE)),($Y62)),20*(VLOOKUP($X62,Übungsübersicht!$E$7:$M$83,3,FALSE)))</f>
        <v>#N/A</v>
      </c>
      <c r="AG62" s="655" t="e">
        <f ca="1">IFERROR(IF($Y62=0,30*(VLOOKUP($X62,Übungsübersicht!$E$7:$M$83,3,FALSE)),($Y62)+(1*(VLOOKUP($X62,Übungsübersicht!$E$7:$M$83,3,FALSE)))),30*(VLOOKUP($X62,Übungsübersicht!$E$7:$M$83,3,FALSE)))</f>
        <v>#N/A</v>
      </c>
      <c r="AH62" s="655" t="e">
        <f ca="1">IFERROR(IF($Y62=0,30*(VLOOKUP($X62,Übungsübersicht!$E$7:$M$83,3,FALSE)),($Y62)+(2*(VLOOKUP($X62,Übungsübersicht!$E$7:$M$83,3,FALSE)))),30*(VLOOKUP($X62,Übungsübersicht!$E$7:$M$83,3,FALSE)))</f>
        <v>#N/A</v>
      </c>
      <c r="AI62" s="655" t="e">
        <f ca="1">IFERROR(IF($Y62=0,30*(VLOOKUP($X62,Übungsübersicht!$E$7:$M$83,3,FALSE)),($Y62)+(3*(VLOOKUP($X62,Übungsübersicht!$E$7:$M$83,3,FALSE)))),30*(VLOOKUP($X62,Übungsübersicht!$E$7:$M$83,3,FALSE)))</f>
        <v>#N/A</v>
      </c>
      <c r="AJ62" s="655" t="e">
        <f ca="1">IFERROR(IF($Y62=0,40*(VLOOKUP($X62,Übungsübersicht!$E$7:$M$83,3,FALSE)),IF($Y62&gt;100,(MROUND(($Y62*1.7),(VLOOKUP($X62,Übungsübersicht!$E$7:$M$83,3,FALSE)))),IF($Y62&gt;80,(MROUND(($Y62*1.7),(VLOOKUP($X62,Übungsübersicht!$E$7:$M$83,3,FALSE)))),IF($Y62&gt;50,(MROUND(($Y62*1.6),(VLOOKUP($X62,Übungsübersicht!$E$7:$M$83,3,FALSE)))),IF($Y62&gt;25,(MROUND(($Y62*1.5),(VLOOKUP($X62,Übungsübersicht!$E$7:$M$83,3,FALSE)))),IF($Y62&gt;15,(MROUND(($Y62*1.4),(VLOOKUP($X62,Übungsübersicht!$E$7:$M$83,3,FALSE)))),IF($Y62&gt;(VLOOKUP($X62,Übungsübersicht!$E$7:$M$83,3,FALSE)),30*(VLOOKUP($X62,Übungsübersicht!$E$7:$M$83,3,FALSE)),""))))))),40*(VLOOKUP($X62,Übungsübersicht!$E$7:$M$83,3,FALSE)))</f>
        <v>#N/A</v>
      </c>
      <c r="AK62" s="656" t="e">
        <f ca="1">IFERROR(IF($Y62=0,50*(VLOOKUP($X62,Übungsübersicht!$E$7:$M$83,3,FALSE)),IF($Y62&gt;100,(MROUND(($Y62*1.9),(VLOOKUP($X62,Übungsübersicht!$E$7:$M$83,3,FALSE)))),IF($Y62&gt;80,(MROUND(($Y62*1.9),(VLOOKUP($X62,Übungsübersicht!$E$7:$M$83,3,FALSE)))),IF($Y62&gt;50,(MROUND(($Y62*1.8),(VLOOKUP($X62,Übungsübersicht!$E$7:$M$83,3,FALSE)))),IF($Y62&gt;25,(MROUND(($Y62*1.7),(VLOOKUP($X62,Übungsübersicht!$E$7:$M$83,3,FALSE)))),IF($Y62&gt;15,(MROUND(($Y62*1.6),(VLOOKUP($X62,Übungsübersicht!$E$7:$M$83,3,FALSE)))),IF($Y62&gt;(VLOOKUP($X62,Übungsübersicht!$E$7:$M$83,3,FALSE)),40*(VLOOKUP($X62,Übungsübersicht!$E$7:$M$83,3,FALSE)),""))))))),50*(VLOOKUP($X62,Übungsübersicht!$E$7:$M$83,3,FALSE)))</f>
        <v>#N/A</v>
      </c>
      <c r="AN62" s="655" t="e">
        <f ca="1">MROUND(INDEX(OFFSET(Zyklus!$M$13,59,0),1),(IF(VLOOKUP($X62,Übungsübersicht!$E$7:$K$80,3)=0,0.1,(VLOOKUP($X62,Übungsübersicht!$E$7:$K$80,3)))))</f>
        <v>#VALUE!</v>
      </c>
      <c r="AP62" s="652" t="str">
        <f ca="1">IFERROR(IF(IF(VLOOKUP($X62,Zyklus!$A$14:$U$68,9,FALSE)=0,"RPE 8",IF(VLOOKUP($X62,Übungsübersicht!$E$7:$M$83,3,FALSE)&lt;0.5,($AN62)-(3*0.5),(($AN62)-(3*(VLOOKUP($X62,Übungsübersicht!$E$7:$M$83,3,FALSE))))))&lt;1,0,(IF(VLOOKUP($X62,Zyklus!$A$14:$U$68,9,FALSE)=0,"RPE 8",IF(VLOOKUP($X62,Übungsübersicht!$E$7:$M$83,3,FALSE)&lt;0.5,($AN62)-(3*0.5),(($AN62)-(3*(VLOOKUP($X62,Übungsübersicht!$E$7:$M$83,3,FALSE)))))))),"RPE 8")</f>
        <v>RPE 8</v>
      </c>
      <c r="AQ62" s="652" t="str">
        <f ca="1">IFERROR(IF(IF(VLOOKUP($X62,Zyklus!$A$14:$U$68,9,FALSE)=0,"RPE 8",IF(VLOOKUP($X62,Übungsübersicht!$E$7:$M$83,3,FALSE)&lt;0.5,($AN62)-(2*0.5),(($AN62)-(2*(VLOOKUP($X62,Übungsübersicht!$E$7:$M$83,3,FALSE))))))&lt;1,0,(IF(VLOOKUP($X62,Zyklus!$A$14:$U$68,9,FALSE)=0,"RPE 8",IF(VLOOKUP($X62,Übungsübersicht!$E$7:$M$83,3,FALSE)&lt;0.5,($AN62)-(2*0.5),(($AN62)-(2*(VLOOKUP($X62,Übungsübersicht!$E$7:$M$83,3,FALSE)))))))),"RPE 8")</f>
        <v>RPE 8</v>
      </c>
      <c r="AR62" s="652" t="str">
        <f ca="1">IFERROR(IF(IF(VLOOKUP($X62,Zyklus!$A$14:$U$68,9,FALSE)=0,"RPE 8",IF(VLOOKUP($X62,Übungsübersicht!$E$7:$M$83,3,FALSE)&lt;0.5,($AN62)-(1*0.5),(($Y62)-(1*(VLOOKUP($X62,Übungsübersicht!$E$7:$M$83,3,FALSE))))))&lt;1,0,(IF(VLOOKUP($X62,Zyklus!$A$14:$U$68,9,FALSE)=0,"RPE 8",IF(VLOOKUP($X62,Übungsübersicht!$E$7:$M$83,3,FALSE)&lt;0.5,($AN62)-(1*0.5),(($Y62)-(1*(VLOOKUP($X62,Übungsübersicht!$E$7:$M$83,3,FALSE)))))))),"RPE 8")</f>
        <v>RPE 8</v>
      </c>
      <c r="AS62" s="652" t="str">
        <f t="shared" ca="1" si="0"/>
        <v>RPE 8</v>
      </c>
      <c r="AT62" s="652" t="str">
        <f ca="1">IFERROR(IF(VLOOKUP($X62,Zyklus!$A$14:$U$68,9,FALSE)=0,"RPE 8",IF(VLOOKUP($X62,Übungsübersicht!$E$7:$M$83,3,FALSE)&lt;0.5,($AN62)+(1*0.5),(($Y62)+(1*(VLOOKUP($X62,Übungsübersicht!$E$7:$M$83,3,FALSE)))))),"RPE 8")</f>
        <v>RPE 8</v>
      </c>
      <c r="AU62" s="652" t="str">
        <f ca="1">IFERROR(IF(VLOOKUP($X62,Zyklus!$A$14:$U$68,9,FALSE)=0,"RPE 8",IF(VLOOKUP($X62,Übungsübersicht!$E$7:$M$83,3,FALSE)&lt;0.5,($AN62)+(2*0.5),(($AN62)+(2*(VLOOKUP($X62,Übungsübersicht!$E$7:$M$83,3,FALSE)))))),"RPE 8")</f>
        <v>RPE 8</v>
      </c>
      <c r="AV62" s="652" t="str">
        <f ca="1">IFERROR(IF(VLOOKUP($X62,Zyklus!$A$14:$U$68,9,FALSE)=0,"RPE 8",IF(VLOOKUP($X62,Übungsübersicht!$E$7:$M$83,3,FALSE)&lt;0.5,($AN62)+(3*0.5),(($AN62)+(3*(VLOOKUP($X62,Übungsübersicht!$E$7:$M$83,3,FALSE)))))),"RPE 8")</f>
        <v>RPE 8</v>
      </c>
      <c r="AY62" s="655" t="e">
        <f ca="1">MROUND(INDEX(OFFSET(Zyklus!$M$13,59,0),1),(IF(VLOOKUP($X62,Übungsübersicht!$E$7:$K$80,3)=0,0.1,(VLOOKUP($X62,Übungsübersicht!$E$7:$K$80,3)))))</f>
        <v>#VALUE!</v>
      </c>
      <c r="BA62" s="652" t="e">
        <f ca="1">MROUND(INDEX(OFFSET(Zyklus!$Q$13,59,0),1),(IF(VLOOKUP($X62,Übungsübersicht!$E$7:$K$80,3)=0,0.1,(VLOOKUP($X62,Übungsübersicht!$E$7:$K$80,3)))))</f>
        <v>#VALUE!</v>
      </c>
      <c r="BC62" s="652" t="str">
        <f ca="1">IFERROR(IF(IF(VLOOKUP($X62,Zyklus!$A$14:$U$68,9,FALSE)=0,"RPE 9",IF(VLOOKUP($X62,Übungsübersicht!$E$7:$M$83,3,FALSE)&lt;0.5,($BA62)-(3*0.5),(($BA62)-(3*(VLOOKUP($X62,Übungsübersicht!$E$7:$M$83,3,FALSE))))))&lt;1,0,(IF(VLOOKUP($X62,Zyklus!$A$14:$U$68,9,FALSE)=0,"RPE 9",IF(VLOOKUP($X62,Übungsübersicht!$E$7:$M$83,3,FALSE)&lt;0.5,($BA62)-(3*0.5),(($BA62)-(3*(VLOOKUP($X62,Übungsübersicht!$E$7:$M$83,3,FALSE)))))))),"RPE 9")</f>
        <v>RPE 9</v>
      </c>
      <c r="BD62" s="652" t="str">
        <f ca="1">IFERROR(IF(IF(VLOOKUP($X62,Zyklus!$A$14:$U$68,9,FALSE)=0,"RPE 9",IF(VLOOKUP($X62,Übungsübersicht!$E$7:$M$83,3,FALSE)&lt;0.5,($BA62)-(2*0.5),(($BA62)-(2*(VLOOKUP($X62,Übungsübersicht!$E$7:$M$83,3,FALSE))))))&lt;1,0,(IF(VLOOKUP($X62,Zyklus!$A$14:$U$68,9,FALSE)=0,"RPE 9",IF(VLOOKUP($X62,Übungsübersicht!$E$7:$M$83,3,FALSE)&lt;0.5,($BA62)-(2*0.5),(($BA62)-(2*(VLOOKUP($X62,Übungsübersicht!$E$7:$M$83,3,FALSE)))))))),"RPE 9")</f>
        <v>RPE 9</v>
      </c>
      <c r="BE62" s="652" t="str">
        <f ca="1">IFERROR(IF(IF(VLOOKUP($X62,Zyklus!$A$14:$U$68,9,FALSE)=0,"RPE 9",IF(VLOOKUP($X62,Übungsübersicht!$E$7:$M$83,3,FALSE)&lt;0.5,($BA62)-(1*0.5),(($Y62)-(1*(VLOOKUP($X62,Übungsübersicht!$E$7:$M$83,3,FALSE))))))&lt;1,0,(IF(VLOOKUP($X62,Zyklus!$A$14:$U$68,9,FALSE)=0,"RPE 9",IF(VLOOKUP($X62,Übungsübersicht!$E$7:$M$83,3,FALSE)&lt;0.5,($BA62)-(1*0.5),(($Y62)-(1*(VLOOKUP($X62,Übungsübersicht!$E$7:$M$83,3,FALSE)))))))),"RPE 9")</f>
        <v>RPE 9</v>
      </c>
      <c r="BF62" s="652" t="str">
        <f t="shared" ca="1" si="1"/>
        <v>RPE 9</v>
      </c>
      <c r="BG62" s="652" t="str">
        <f ca="1">IFERROR(IF(VLOOKUP($X62,Zyklus!$A$14:$U$68,9,FALSE)=0,"RPE 9",IF(VLOOKUP($X62,Übungsübersicht!$E$7:$M$83,3,FALSE)&lt;0.5,($AY62)+(1*0.5),(($AY62)+(1*(VLOOKUP($X62,Übungsübersicht!$E$7:$M$83,3,FALSE)))))),"RPE 9")</f>
        <v>RPE 9</v>
      </c>
      <c r="BH62" s="652" t="str">
        <f ca="1">IFERROR(IF(VLOOKUP($X62,Zyklus!$A$14:$U$68,9,FALSE)=0,"RPE 9",IF(VLOOKUP($X62,Übungsübersicht!$E$7:$M$83,3,FALSE)&lt;0.5,($BA62)+(2*0.5),(($BA62)+(2*(VLOOKUP($X62,Übungsübersicht!$E$7:$M$83,3,FALSE)))))),"RPE 9")</f>
        <v>RPE 9</v>
      </c>
      <c r="BI62" s="652" t="str">
        <f ca="1">IFERROR(IF(VLOOKUP($X62,Zyklus!$A$14:$U$68,9,FALSE)=0,"RPE 9",IF(VLOOKUP($X62,Übungsübersicht!$E$7:$M$83,3,FALSE)&lt;0.5,($BA62)+(3*0.5),(($BA62)+(3*(VLOOKUP($X62,Übungsübersicht!$E$7:$M$83,3,FALSE)))))),"RPE 9")</f>
        <v>RPE 9</v>
      </c>
    </row>
    <row r="63" spans="4:61" ht="30" customHeight="1">
      <c r="H63" s="326">
        <v>42</v>
      </c>
      <c r="I63" s="323">
        <f t="shared" si="5"/>
        <v>50</v>
      </c>
      <c r="J63" s="344">
        <f t="shared" si="4"/>
        <v>0.41666666666666669</v>
      </c>
      <c r="Q63" s="872" t="str">
        <f>IF(Dashboard!$C$46="OK/UK","",IF(Dashboard!$C$46="OK/UK/OK+","",IF(Dashboard!$C$46="PUSH/PULL/BEINE","",IF(Dashboard!$C$46="PUSH/PULL","",IF(Dashboard!$C$46="GK","4x","")))))</f>
        <v/>
      </c>
      <c r="R63" s="872"/>
      <c r="S63" s="872" t="str">
        <f>IF(AND(Dashboard!$C$46="OK/UK",VALUE(LEFT(Dashboard!$C$48,1))&lt;=1),"",IF(AND(Dashboard!$C$46="OK/UK",VALUE(LEFT(Dashboard!$C$48,1))&lt;=2),"UK 2",IF(AND(Dashboard!$C$46="OK/UK",VALUE(LEFT(Dashboard!$C$48,1))&lt;=3),"UK 2",IF(AND(Dashboard!$C$46="OK/UK/OK+",VALUE(LEFT(Dashboard!$C$48,1))&lt;=1),"",IF(AND(Dashboard!$C$46="OK/UK/OK+",VALUE(LEFT(Dashboard!$C$48,1))&lt;=2),"UK 2",IF(AND(Dashboard!$C$46="OK/UK/OK+",VALUE(LEFT(Dashboard!$C$48,1))&lt;=3),"UK 2",IF(AND(Dashboard!$C$46="PUSH/PULL/BEINE",VALUE(LEFT(Dashboard!$C$48,1))&lt;=1),"",IF(AND(Dashboard!$C$46="PUSH/PULL/BEINE",VALUE(LEFT(Dashboard!$C$48,1))&lt;=2),"PUSH 2",IF(AND(Dashboard!$C$46="PUSH/PULL/BEINE",VALUE(LEFT(Dashboard!$C$48,1))&lt;=3),"PUSH 2",IF(AND(Dashboard!$C$46="PUSH/PULL",VALUE(LEFT(Dashboard!$C$48,1))&lt;=1),"",IF(AND(Dashboard!$C$46="PUSH/PULL",VALUE(LEFT(Dashboard!$C$48,1))&lt;=2),"PULL 2",IF(AND(Dashboard!$C$46="PUSH/PULL",VALUE(LEFT(Dashboard!$C$48,1))&lt;=3),"PULL 2",IF(AND(Dashboard!$C$46="GK",VALUE(LEFT(Dashboard!$C$48,1))&lt;=1),"",IF(AND(Dashboard!$C$46="GK",VALUE(LEFT(Dashboard!$C$48,1))&lt;=2),"",IF(AND(Dashboard!$C$46="GK",VALUE(LEFT(Dashboard!$C$48,1))&lt;=3),"",IF(AND(Dashboard!$C$46="GK",VALUE(LEFT(Dashboard!$C$48,1))&lt;=4),"GK 4",""))))))))))))))))</f>
        <v>UK 2</v>
      </c>
      <c r="X63" s="651">
        <f ca="1">INDEX(OFFSET(Zyklus!$A$13,60,0),1)</f>
        <v>0</v>
      </c>
      <c r="Y63" s="652" t="e">
        <f ca="1">MROUND(INDEX(OFFSET(Zyklus!$I$13,60,0),1),(IF(VLOOKUP($X63,Übungsübersicht!$E$7:$K$80,3)=0,0.1,(VLOOKUP($X63,Übungsübersicht!$E$7:$K$80,3)))))</f>
        <v>#N/A</v>
      </c>
      <c r="Z63" s="652"/>
      <c r="AA63" s="652" t="e">
        <f ca="1">IFERROR(IF($Y63=0,2*(VLOOKUP($X63,Übungsübersicht!$E$7:$M$83,3,FALSE)),IF($Y63&gt;100,(MROUND(($Y63*0.1),(VLOOKUP($X63,Übungsübersicht!$E$7:$M$83,3,FALSE)))),IF($Y63&gt;80,(MROUND(($Y63*0.1),(VLOOKUP($X63,Übungsübersicht!$E$7:$M$83,3,FALSE)))),IF($Y63&gt;50,(MROUND(($Y63*0.2),(VLOOKUP($X63,Übungsübersicht!$E$7:$M$83,3,FALSE)))),IF($Y63&gt;25,(MROUND(($Y63*0.3),(VLOOKUP($X63,Übungsübersicht!$E$7:$M$83,3,FALSE)))),IF($Y63&gt;15,(MROUND(($Y63*0.4),(VLOOKUP($X63,Übungsübersicht!$E$7:$M$83,3,FALSE)))),IF($Y63&gt;(VLOOKUP($X63,Übungsübersicht!$E$7:$M$83,3,FALSE)),(VLOOKUP($X63,Übungsübersicht!$E$7:$M$83,3,FALSE)),""))))))),2*(VLOOKUP($X63,Übungsübersicht!$E$7:$M$83,3,FALSE)))</f>
        <v>#N/A</v>
      </c>
      <c r="AB63" s="652" t="e">
        <f ca="1">IFERROR(IF($Y63=0,4*(VLOOKUP($X63,Übungsübersicht!$E$7:$M$83,3,FALSE)),IF($Y63&gt;100,(MROUND(($Y63*0.3),(VLOOKUP($X63,Übungsübersicht!$E$7:$M$83,3,FALSE)))),IF($Y63&gt;80,(MROUND(($Y63*0.3),(VLOOKUP($X63,Übungsübersicht!$E$7:$M$83,3,FALSE)))),IF($Y63&gt;50,(MROUND(($Y63*0.4),(VLOOKUP($X63,Übungsübersicht!$E$7:$M$83,3,FALSE)))),IF($Y63&gt;25,(MROUND(($Y63*0.5),(VLOOKUP($X63,Übungsübersicht!$E$7:$M$83,3,FALSE)))),IF($Y63&gt;15,(MROUND(($Y63*0.6),(VLOOKUP($X63,Übungsübersicht!$E$7:$M$83,3,FALSE)))),IF($Y63&gt;(VLOOKUP($X63,Übungsübersicht!$E$7:$M$83,3,FALSE)),(VLOOKUP($X63,Übungsübersicht!$E$7:$M$83,3,FALSE)),""))))))),4*(VLOOKUP($X63,Übungsübersicht!$E$7:$M$83,3,FALSE)))</f>
        <v>#N/A</v>
      </c>
      <c r="AC63" s="652" t="e">
        <f ca="1">IFERROR((IF($Y63=0,8*(VLOOKUP($X63,Übungsübersicht!$E$7:$M$83,3,FALSE)),(($Y63)-(3*(VLOOKUP($X63,Übungsübersicht!$E$7:$M$83,3,FALSE)))))),8*(VLOOKUP($X63,Übungsübersicht!$E$7:$M$83,3,FALSE)))</f>
        <v>#N/A</v>
      </c>
      <c r="AD63" s="652" t="e">
        <f ca="1">IFERROR(((IF($Y63=0,10*(VLOOKUP($X63,Übungsübersicht!$E$7:$M$83,3,FALSE)),($Y63)-(2*(VLOOKUP($X63,Übungsübersicht!$E$7:$M$83,3,FALSE)))))),10*(VLOOKUP($X63,Übungsübersicht!$E$7:$M$83,3,FALSE)))</f>
        <v>#N/A</v>
      </c>
      <c r="AE63" s="652" t="e">
        <f ca="1">IFERROR(((IF($Y63=0,10*(VLOOKUP($X63,Übungsübersicht!$E$7:$M$83,3,FALSE)),($Y63)-(1*(VLOOKUP($X63,Übungsübersicht!$E$7:$M$83,3,FALSE)))))),10*(VLOOKUP($X63,Übungsübersicht!$E$7:$M$83,3,FALSE)))</f>
        <v>#N/A</v>
      </c>
      <c r="AF63" s="652" t="e">
        <f ca="1">IFERROR(IF($Y63=0,20*(VLOOKUP($X63,Übungsübersicht!$E$7:$M$83,3,FALSE)),($Y63)),20*(VLOOKUP($X63,Übungsübersicht!$E$7:$M$83,3,FALSE)))</f>
        <v>#N/A</v>
      </c>
      <c r="AG63" s="652" t="e">
        <f ca="1">IFERROR(IF($Y63=0,30*(VLOOKUP($X63,Übungsübersicht!$E$7:$M$83,3,FALSE)),($Y63)+(1*(VLOOKUP($X63,Übungsübersicht!$E$7:$M$83,3,FALSE)))),30*(VLOOKUP($X63,Übungsübersicht!$E$7:$M$83,3,FALSE)))</f>
        <v>#N/A</v>
      </c>
      <c r="AH63" s="652" t="e">
        <f ca="1">IFERROR(IF($Y63=0,30*(VLOOKUP($X63,Übungsübersicht!$E$7:$M$83,3,FALSE)),($Y63)+(2*(VLOOKUP($X63,Übungsübersicht!$E$7:$M$83,3,FALSE)))),30*(VLOOKUP($X63,Übungsübersicht!$E$7:$M$83,3,FALSE)))</f>
        <v>#N/A</v>
      </c>
      <c r="AI63" s="652" t="e">
        <f ca="1">IFERROR(IF($Y63=0,30*(VLOOKUP($X63,Übungsübersicht!$E$7:$M$83,3,FALSE)),($Y63)+(3*(VLOOKUP($X63,Übungsübersicht!$E$7:$M$83,3,FALSE)))),30*(VLOOKUP($X63,Übungsübersicht!$E$7:$M$83,3,FALSE)))</f>
        <v>#N/A</v>
      </c>
      <c r="AJ63" s="652" t="e">
        <f ca="1">IFERROR(IF($Y63=0,40*(VLOOKUP($X63,Übungsübersicht!$E$7:$M$83,3,FALSE)),IF($Y63&gt;100,(MROUND(($Y63*1.7),(VLOOKUP($X63,Übungsübersicht!$E$7:$M$83,3,FALSE)))),IF($Y63&gt;80,(MROUND(($Y63*1.7),(VLOOKUP($X63,Übungsübersicht!$E$7:$M$83,3,FALSE)))),IF($Y63&gt;50,(MROUND(($Y63*1.6),(VLOOKUP($X63,Übungsübersicht!$E$7:$M$83,3,FALSE)))),IF($Y63&gt;25,(MROUND(($Y63*1.5),(VLOOKUP($X63,Übungsübersicht!$E$7:$M$83,3,FALSE)))),IF($Y63&gt;15,(MROUND(($Y63*1.4),(VLOOKUP($X63,Übungsübersicht!$E$7:$M$83,3,FALSE)))),IF($Y63&gt;(VLOOKUP($X63,Übungsübersicht!$E$7:$M$83,3,FALSE)),30*(VLOOKUP($X63,Übungsübersicht!$E$7:$M$83,3,FALSE)),""))))))),40*(VLOOKUP($X63,Übungsübersicht!$E$7:$M$83,3,FALSE)))</f>
        <v>#N/A</v>
      </c>
      <c r="AK63" s="653" t="e">
        <f ca="1">IFERROR(IF($Y63=0,50*(VLOOKUP($X63,Übungsübersicht!$E$7:$M$83,3,FALSE)),IF($Y63&gt;100,(MROUND(($Y63*1.9),(VLOOKUP($X63,Übungsübersicht!$E$7:$M$83,3,FALSE)))),IF($Y63&gt;80,(MROUND(($Y63*1.9),(VLOOKUP($X63,Übungsübersicht!$E$7:$M$83,3,FALSE)))),IF($Y63&gt;50,(MROUND(($Y63*1.8),(VLOOKUP($X63,Übungsübersicht!$E$7:$M$83,3,FALSE)))),IF($Y63&gt;25,(MROUND(($Y63*1.7),(VLOOKUP($X63,Übungsübersicht!$E$7:$M$83,3,FALSE)))),IF($Y63&gt;15,(MROUND(($Y63*1.6),(VLOOKUP($X63,Übungsübersicht!$E$7:$M$83,3,FALSE)))),IF($Y63&gt;(VLOOKUP($X63,Übungsübersicht!$E$7:$M$83,3,FALSE)),40*(VLOOKUP($X63,Übungsübersicht!$E$7:$M$83,3,FALSE)),""))))))),50*(VLOOKUP($X63,Übungsübersicht!$E$7:$M$83,3,FALSE)))</f>
        <v>#N/A</v>
      </c>
      <c r="AN63" s="652" t="e">
        <f ca="1">MROUND(INDEX(OFFSET(Zyklus!$M$13,60,0),1),(IF(VLOOKUP($X63,Übungsübersicht!$E$7:$K$80,3)=0,0.1,(VLOOKUP($X63,Übungsübersicht!$E$7:$K$80,3)))))</f>
        <v>#N/A</v>
      </c>
      <c r="AP63" s="655" t="str">
        <f ca="1">IFERROR(IF(IF(VLOOKUP($X63,Zyklus!$A$14:$U$68,9,FALSE)=0,"RPE 8",IF(VLOOKUP($X63,Übungsübersicht!$E$7:$M$83,3,FALSE)&lt;0.5,($AN63)-(3*0.5),(($AN63)-(3*(VLOOKUP($X63,Übungsübersicht!$E$7:$M$83,3,FALSE))))))&lt;1,0,(IF(VLOOKUP($X63,Zyklus!$A$14:$U$68,9,FALSE)=0,"RPE 8",IF(VLOOKUP($X63,Übungsübersicht!$E$7:$M$83,3,FALSE)&lt;0.5,($AN63)-(3*0.5),(($AN63)-(3*(VLOOKUP($X63,Übungsübersicht!$E$7:$M$83,3,FALSE)))))))),"RPE 8")</f>
        <v>RPE 8</v>
      </c>
      <c r="AQ63" s="655" t="str">
        <f ca="1">IFERROR(IF(IF(VLOOKUP($X63,Zyklus!$A$14:$U$68,9,FALSE)=0,"RPE 8",IF(VLOOKUP($X63,Übungsübersicht!$E$7:$M$83,3,FALSE)&lt;0.5,($AN63)-(2*0.5),(($AN63)-(2*(VLOOKUP($X63,Übungsübersicht!$E$7:$M$83,3,FALSE))))))&lt;1,0,(IF(VLOOKUP($X63,Zyklus!$A$14:$U$68,9,FALSE)=0,"RPE 8",IF(VLOOKUP($X63,Übungsübersicht!$E$7:$M$83,3,FALSE)&lt;0.5,($AN63)-(2*0.5),(($AN63)-(2*(VLOOKUP($X63,Übungsübersicht!$E$7:$M$83,3,FALSE)))))))),"RPE 8")</f>
        <v>RPE 8</v>
      </c>
      <c r="AR63" s="655" t="str">
        <f ca="1">IFERROR(IF(IF(VLOOKUP($X63,Zyklus!$A$14:$U$68,9,FALSE)=0,"RPE 8",IF(VLOOKUP($X63,Übungsübersicht!$E$7:$M$83,3,FALSE)&lt;0.5,($AN63)-(1*0.5),(($Y63)-(1*(VLOOKUP($X63,Übungsübersicht!$E$7:$M$83,3,FALSE))))))&lt;1,0,(IF(VLOOKUP($X63,Zyklus!$A$14:$U$68,9,FALSE)=0,"RPE 8",IF(VLOOKUP($X63,Übungsübersicht!$E$7:$M$83,3,FALSE)&lt;0.5,($AN63)-(1*0.5),(($Y63)-(1*(VLOOKUP($X63,Übungsübersicht!$E$7:$M$83,3,FALSE)))))))),"RPE 8")</f>
        <v>RPE 8</v>
      </c>
      <c r="AS63" s="655" t="str">
        <f t="shared" ca="1" si="0"/>
        <v>RPE 8</v>
      </c>
      <c r="AT63" s="655" t="str">
        <f ca="1">IFERROR(IF(VLOOKUP($X63,Zyklus!$A$14:$U$68,9,FALSE)=0,"RPE 8",IF(VLOOKUP($X63,Übungsübersicht!$E$7:$M$83,3,FALSE)&lt;0.5,($AN63)+(1*0.5),(($Y63)+(1*(VLOOKUP($X63,Übungsübersicht!$E$7:$M$83,3,FALSE)))))),"RPE 8")</f>
        <v>RPE 8</v>
      </c>
      <c r="AU63" s="655" t="str">
        <f ca="1">IFERROR(IF(VLOOKUP($X63,Zyklus!$A$14:$U$68,9,FALSE)=0,"RPE 8",IF(VLOOKUP($X63,Übungsübersicht!$E$7:$M$83,3,FALSE)&lt;0.5,($AN63)+(2*0.5),(($AN63)+(2*(VLOOKUP($X63,Übungsübersicht!$E$7:$M$83,3,FALSE)))))),"RPE 8")</f>
        <v>RPE 8</v>
      </c>
      <c r="AV63" s="655" t="str">
        <f ca="1">IFERROR(IF(VLOOKUP($X63,Zyklus!$A$14:$U$68,9,FALSE)=0,"RPE 8",IF(VLOOKUP($X63,Übungsübersicht!$E$7:$M$83,3,FALSE)&lt;0.5,($AN63)+(3*0.5),(($AN63)+(3*(VLOOKUP($X63,Übungsübersicht!$E$7:$M$83,3,FALSE)))))),"RPE 8")</f>
        <v>RPE 8</v>
      </c>
      <c r="AY63" s="652" t="e">
        <f ca="1">MROUND(INDEX(OFFSET(Zyklus!$M$13,60,0),1),(IF(VLOOKUP($X63,Übungsübersicht!$E$7:$K$80,3)=0,0.1,(VLOOKUP($X63,Übungsübersicht!$E$7:$K$80,3)))))</f>
        <v>#N/A</v>
      </c>
      <c r="BA63" s="655" t="e">
        <f ca="1">MROUND(INDEX(OFFSET(Zyklus!$Q$13,60,0),1),(IF(VLOOKUP($X63,Übungsübersicht!$E$7:$K$80,3)=0,0.1,(VLOOKUP($X63,Übungsübersicht!$E$7:$K$80,3)))))</f>
        <v>#N/A</v>
      </c>
      <c r="BC63" s="655" t="str">
        <f ca="1">IFERROR(IF(IF(VLOOKUP($X63,Zyklus!$A$14:$U$68,9,FALSE)=0,"RPE 9",IF(VLOOKUP($X63,Übungsübersicht!$E$7:$M$83,3,FALSE)&lt;0.5,($BA63)-(3*0.5),(($BA63)-(3*(VLOOKUP($X63,Übungsübersicht!$E$7:$M$83,3,FALSE))))))&lt;1,0,(IF(VLOOKUP($X63,Zyklus!$A$14:$U$68,9,FALSE)=0,"RPE 9",IF(VLOOKUP($X63,Übungsübersicht!$E$7:$M$83,3,FALSE)&lt;0.5,($BA63)-(3*0.5),(($BA63)-(3*(VLOOKUP($X63,Übungsübersicht!$E$7:$M$83,3,FALSE)))))))),"RPE 9")</f>
        <v>RPE 9</v>
      </c>
      <c r="BD63" s="655" t="str">
        <f ca="1">IFERROR(IF(IF(VLOOKUP($X63,Zyklus!$A$14:$U$68,9,FALSE)=0,"RPE 9",IF(VLOOKUP($X63,Übungsübersicht!$E$7:$M$83,3,FALSE)&lt;0.5,($BA63)-(2*0.5),(($BA63)-(2*(VLOOKUP($X63,Übungsübersicht!$E$7:$M$83,3,FALSE))))))&lt;1,0,(IF(VLOOKUP($X63,Zyklus!$A$14:$U$68,9,FALSE)=0,"RPE 9",IF(VLOOKUP($X63,Übungsübersicht!$E$7:$M$83,3,FALSE)&lt;0.5,($BA63)-(2*0.5),(($BA63)-(2*(VLOOKUP($X63,Übungsübersicht!$E$7:$M$83,3,FALSE)))))))),"RPE 9")</f>
        <v>RPE 9</v>
      </c>
      <c r="BE63" s="655" t="str">
        <f ca="1">IFERROR(IF(IF(VLOOKUP($X63,Zyklus!$A$14:$U$68,9,FALSE)=0,"RPE 9",IF(VLOOKUP($X63,Übungsübersicht!$E$7:$M$83,3,FALSE)&lt;0.5,($BA63)-(1*0.5),(($Y63)-(1*(VLOOKUP($X63,Übungsübersicht!$E$7:$M$83,3,FALSE))))))&lt;1,0,(IF(VLOOKUP($X63,Zyklus!$A$14:$U$68,9,FALSE)=0,"RPE 9",IF(VLOOKUP($X63,Übungsübersicht!$E$7:$M$83,3,FALSE)&lt;0.5,($BA63)-(1*0.5),(($Y63)-(1*(VLOOKUP($X63,Übungsübersicht!$E$7:$M$83,3,FALSE)))))))),"RPE 9")</f>
        <v>RPE 9</v>
      </c>
      <c r="BF63" s="655" t="str">
        <f t="shared" ca="1" si="1"/>
        <v>RPE 9</v>
      </c>
      <c r="BG63" s="655" t="str">
        <f ca="1">IFERROR(IF(VLOOKUP($X63,Zyklus!$A$14:$U$68,9,FALSE)=0,"RPE 9",IF(VLOOKUP($X63,Übungsübersicht!$E$7:$M$83,3,FALSE)&lt;0.5,($AY63)+(1*0.5),(($AY63)+(1*(VLOOKUP($X63,Übungsübersicht!$E$7:$M$83,3,FALSE)))))),"RPE 9")</f>
        <v>RPE 9</v>
      </c>
      <c r="BH63" s="655" t="str">
        <f ca="1">IFERROR(IF(VLOOKUP($X63,Zyklus!$A$14:$U$68,9,FALSE)=0,"RPE 9",IF(VLOOKUP($X63,Übungsübersicht!$E$7:$M$83,3,FALSE)&lt;0.5,($BA63)+(2*0.5),(($BA63)+(2*(VLOOKUP($X63,Übungsübersicht!$E$7:$M$83,3,FALSE)))))),"RPE 9")</f>
        <v>RPE 9</v>
      </c>
      <c r="BI63" s="655" t="str">
        <f ca="1">IFERROR(IF(VLOOKUP($X63,Zyklus!$A$14:$U$68,9,FALSE)=0,"RPE 9",IF(VLOOKUP($X63,Übungsübersicht!$E$7:$M$83,3,FALSE)&lt;0.5,($BA63)+(3*0.5),(($BA63)+(3*(VLOOKUP($X63,Übungsübersicht!$E$7:$M$83,3,FALSE)))))),"RPE 9")</f>
        <v>RPE 9</v>
      </c>
    </row>
    <row r="64" spans="4:61" ht="30" customHeight="1">
      <c r="H64" s="326">
        <v>43</v>
      </c>
      <c r="I64" s="323">
        <f t="shared" si="5"/>
        <v>49.315068493150683</v>
      </c>
      <c r="J64" s="344">
        <f t="shared" si="4"/>
        <v>0.41095890410958902</v>
      </c>
      <c r="Q64" s="871"/>
      <c r="R64" s="871"/>
      <c r="S64" s="871" t="str">
        <f>IF(AND(Dashboard!$C$46="OK/UK",VALUE(LEFT(Dashboard!$C$48,1))&lt;=1),"",IF(AND(Dashboard!$C$46="OK/UK",VALUE(LEFT(Dashboard!$C$48,1))&lt;=2),"",IF(AND(Dashboard!$C$46="OK/UK",VALUE(LEFT(Dashboard!$C$48,1))&lt;=3),"OK 3",IF(AND(Dashboard!$C$46="OK/UK/OK+",VALUE(LEFT(Dashboard!$C$48,1))&lt;=1),"",IF(AND(Dashboard!$C$46="OK/UK/OK+",VALUE(LEFT(Dashboard!$C$48,1))&lt;=2),"OK 3+",IF(AND(Dashboard!$C$46="OK/UK/OK+",VALUE(LEFT(Dashboard!$C$48,1))&lt;=3),"OK 3+",IF(AND(Dashboard!$C$46="PUSH/PULL/BEINE",VALUE(LEFT(Dashboard!$C$48,1))&lt;=1),"",IF(AND(Dashboard!$C$46="PUSH/PULL/BEINE",VALUE(LEFT(Dashboard!$C$48,1))&lt;=2),"PULL 2",IF(AND(Dashboard!$C$46="PUSH/PULL/BEINE",VALUE(LEFT(Dashboard!$C$48,1))&lt;=3),"PULL 2",IF(AND(Dashboard!$C$46="PUSH/PULL",VALUE(LEFT(Dashboard!$C$48,1))&lt;=1),"",IF(AND(Dashboard!$C$46="PUSH/PULL",VALUE(LEFT(Dashboard!$C$48,1))&lt;=2),"",IF(AND(Dashboard!$C$46="PUSH/PULL",VALUE(LEFT(Dashboard!$C$48,1))&lt;=3),"PUSH 3",IF(AND(Dashboard!$C$46="GK",VALUE(LEFT(Dashboard!$C$48,1))&lt;=1),"",IF(AND(Dashboard!$C$46="GK",VALUE(LEFT(Dashboard!$C$48,1))&lt;=2),"",IF(AND(Dashboard!$C$46="GK",VALUE(LEFT(Dashboard!$C$48,1))&lt;=3),"",IF(AND(Dashboard!$C$46="GK",VALUE(LEFT(Dashboard!$C$48,1))&lt;=4),"",""))))))))))))))))</f>
        <v>OK 3+</v>
      </c>
      <c r="X64" s="654">
        <f ca="1">INDEX(OFFSET(Zyklus!$A$13,61,0),1)</f>
        <v>0</v>
      </c>
      <c r="Y64" s="655" t="e">
        <f ca="1">MROUND(INDEX(OFFSET(Zyklus!$I$13,61,0),1),(IF(VLOOKUP($X64,Übungsübersicht!$E$7:$K$80,3)=0,0.1,(VLOOKUP($X64,Übungsübersicht!$E$7:$K$80,3)))))</f>
        <v>#N/A</v>
      </c>
      <c r="Z64" s="655"/>
      <c r="AA64" s="655" t="e">
        <f ca="1">IFERROR(IF($Y64=0,2*(VLOOKUP($X64,Übungsübersicht!$E$7:$M$83,3,FALSE)),IF($Y64&gt;100,(MROUND(($Y64*0.1),(VLOOKUP($X64,Übungsübersicht!$E$7:$M$83,3,FALSE)))),IF($Y64&gt;80,(MROUND(($Y64*0.1),(VLOOKUP($X64,Übungsübersicht!$E$7:$M$83,3,FALSE)))),IF($Y64&gt;50,(MROUND(($Y64*0.2),(VLOOKUP($X64,Übungsübersicht!$E$7:$M$83,3,FALSE)))),IF($Y64&gt;25,(MROUND(($Y64*0.3),(VLOOKUP($X64,Übungsübersicht!$E$7:$M$83,3,FALSE)))),IF($Y64&gt;15,(MROUND(($Y64*0.4),(VLOOKUP($X64,Übungsübersicht!$E$7:$M$83,3,FALSE)))),IF($Y64&gt;(VLOOKUP($X64,Übungsübersicht!$E$7:$M$83,3,FALSE)),(VLOOKUP($X64,Übungsübersicht!$E$7:$M$83,3,FALSE)),""))))))),2*(VLOOKUP($X64,Übungsübersicht!$E$7:$M$83,3,FALSE)))</f>
        <v>#N/A</v>
      </c>
      <c r="AB64" s="655" t="e">
        <f ca="1">IFERROR(IF($Y64=0,4*(VLOOKUP($X64,Übungsübersicht!$E$7:$M$83,3,FALSE)),IF($Y64&gt;100,(MROUND(($Y64*0.3),(VLOOKUP($X64,Übungsübersicht!$E$7:$M$83,3,FALSE)))),IF($Y64&gt;80,(MROUND(($Y64*0.3),(VLOOKUP($X64,Übungsübersicht!$E$7:$M$83,3,FALSE)))),IF($Y64&gt;50,(MROUND(($Y64*0.4),(VLOOKUP($X64,Übungsübersicht!$E$7:$M$83,3,FALSE)))),IF($Y64&gt;25,(MROUND(($Y64*0.5),(VLOOKUP($X64,Übungsübersicht!$E$7:$M$83,3,FALSE)))),IF($Y64&gt;15,(MROUND(($Y64*0.6),(VLOOKUP($X64,Übungsübersicht!$E$7:$M$83,3,FALSE)))),IF($Y64&gt;(VLOOKUP($X64,Übungsübersicht!$E$7:$M$83,3,FALSE)),(VLOOKUP($X64,Übungsübersicht!$E$7:$M$83,3,FALSE)),""))))))),4*(VLOOKUP($X64,Übungsübersicht!$E$7:$M$83,3,FALSE)))</f>
        <v>#N/A</v>
      </c>
      <c r="AC64" s="655" t="e">
        <f ca="1">IFERROR((IF($Y64=0,8*(VLOOKUP($X64,Übungsübersicht!$E$7:$M$83,3,FALSE)),(($Y64)-(3*(VLOOKUP($X64,Übungsübersicht!$E$7:$M$83,3,FALSE)))))),8*(VLOOKUP($X64,Übungsübersicht!$E$7:$M$83,3,FALSE)))</f>
        <v>#N/A</v>
      </c>
      <c r="AD64" s="655" t="e">
        <f ca="1">IFERROR(((IF($Y64=0,10*(VLOOKUP($X64,Übungsübersicht!$E$7:$M$83,3,FALSE)),($Y64)-(2*(VLOOKUP($X64,Übungsübersicht!$E$7:$M$83,3,FALSE)))))),10*(VLOOKUP($X64,Übungsübersicht!$E$7:$M$83,3,FALSE)))</f>
        <v>#N/A</v>
      </c>
      <c r="AE64" s="655" t="e">
        <f ca="1">IFERROR(((IF($Y64=0,10*(VLOOKUP($X64,Übungsübersicht!$E$7:$M$83,3,FALSE)),($Y64)-(1*(VLOOKUP($X64,Übungsübersicht!$E$7:$M$83,3,FALSE)))))),10*(VLOOKUP($X64,Übungsübersicht!$E$7:$M$83,3,FALSE)))</f>
        <v>#N/A</v>
      </c>
      <c r="AF64" s="655" t="e">
        <f ca="1">IFERROR(IF($Y64=0,20*(VLOOKUP($X64,Übungsübersicht!$E$7:$M$83,3,FALSE)),($Y64)),20*(VLOOKUP($X64,Übungsübersicht!$E$7:$M$83,3,FALSE)))</f>
        <v>#N/A</v>
      </c>
      <c r="AG64" s="655" t="e">
        <f ca="1">IFERROR(IF($Y64=0,30*(VLOOKUP($X64,Übungsübersicht!$E$7:$M$83,3,FALSE)),($Y64)+(1*(VLOOKUP($X64,Übungsübersicht!$E$7:$M$83,3,FALSE)))),30*(VLOOKUP($X64,Übungsübersicht!$E$7:$M$83,3,FALSE)))</f>
        <v>#N/A</v>
      </c>
      <c r="AH64" s="655" t="e">
        <f ca="1">IFERROR(IF($Y64=0,30*(VLOOKUP($X64,Übungsübersicht!$E$7:$M$83,3,FALSE)),($Y64)+(2*(VLOOKUP($X64,Übungsübersicht!$E$7:$M$83,3,FALSE)))),30*(VLOOKUP($X64,Übungsübersicht!$E$7:$M$83,3,FALSE)))</f>
        <v>#N/A</v>
      </c>
      <c r="AI64" s="655" t="e">
        <f ca="1">IFERROR(IF($Y64=0,30*(VLOOKUP($X64,Übungsübersicht!$E$7:$M$83,3,FALSE)),($Y64)+(3*(VLOOKUP($X64,Übungsübersicht!$E$7:$M$83,3,FALSE)))),30*(VLOOKUP($X64,Übungsübersicht!$E$7:$M$83,3,FALSE)))</f>
        <v>#N/A</v>
      </c>
      <c r="AJ64" s="655" t="e">
        <f ca="1">IFERROR(IF($Y64=0,40*(VLOOKUP($X64,Übungsübersicht!$E$7:$M$83,3,FALSE)),IF($Y64&gt;100,(MROUND(($Y64*1.7),(VLOOKUP($X64,Übungsübersicht!$E$7:$M$83,3,FALSE)))),IF($Y64&gt;80,(MROUND(($Y64*1.7),(VLOOKUP($X64,Übungsübersicht!$E$7:$M$83,3,FALSE)))),IF($Y64&gt;50,(MROUND(($Y64*1.6),(VLOOKUP($X64,Übungsübersicht!$E$7:$M$83,3,FALSE)))),IF($Y64&gt;25,(MROUND(($Y64*1.5),(VLOOKUP($X64,Übungsübersicht!$E$7:$M$83,3,FALSE)))),IF($Y64&gt;15,(MROUND(($Y64*1.4),(VLOOKUP($X64,Übungsübersicht!$E$7:$M$83,3,FALSE)))),IF($Y64&gt;(VLOOKUP($X64,Übungsübersicht!$E$7:$M$83,3,FALSE)),30*(VLOOKUP($X64,Übungsübersicht!$E$7:$M$83,3,FALSE)),""))))))),40*(VLOOKUP($X64,Übungsübersicht!$E$7:$M$83,3,FALSE)))</f>
        <v>#N/A</v>
      </c>
      <c r="AK64" s="656" t="e">
        <f ca="1">IFERROR(IF($Y64=0,50*(VLOOKUP($X64,Übungsübersicht!$E$7:$M$83,3,FALSE)),IF($Y64&gt;100,(MROUND(($Y64*1.9),(VLOOKUP($X64,Übungsübersicht!$E$7:$M$83,3,FALSE)))),IF($Y64&gt;80,(MROUND(($Y64*1.9),(VLOOKUP($X64,Übungsübersicht!$E$7:$M$83,3,FALSE)))),IF($Y64&gt;50,(MROUND(($Y64*1.8),(VLOOKUP($X64,Übungsübersicht!$E$7:$M$83,3,FALSE)))),IF($Y64&gt;25,(MROUND(($Y64*1.7),(VLOOKUP($X64,Übungsübersicht!$E$7:$M$83,3,FALSE)))),IF($Y64&gt;15,(MROUND(($Y64*1.6),(VLOOKUP($X64,Übungsübersicht!$E$7:$M$83,3,FALSE)))),IF($Y64&gt;(VLOOKUP($X64,Übungsübersicht!$E$7:$M$83,3,FALSE)),40*(VLOOKUP($X64,Übungsübersicht!$E$7:$M$83,3,FALSE)),""))))))),50*(VLOOKUP($X64,Übungsübersicht!$E$7:$M$83,3,FALSE)))</f>
        <v>#N/A</v>
      </c>
      <c r="AN64" s="655" t="e">
        <f ca="1">MROUND(INDEX(OFFSET(Zyklus!$M$13,61,0),1),(IF(VLOOKUP($X64,Übungsübersicht!$E$7:$K$80,3)=0,0.1,(VLOOKUP($X64,Übungsübersicht!$E$7:$K$80,3)))))</f>
        <v>#N/A</v>
      </c>
      <c r="AP64" s="652" t="str">
        <f ca="1">IFERROR(IF(IF(VLOOKUP($X64,Zyklus!$A$14:$U$68,9,FALSE)=0,"RPE 8",IF(VLOOKUP($X64,Übungsübersicht!$E$7:$M$83,3,FALSE)&lt;0.5,($AN64)-(3*0.5),(($AN64)-(3*(VLOOKUP($X64,Übungsübersicht!$E$7:$M$83,3,FALSE))))))&lt;1,0,(IF(VLOOKUP($X64,Zyklus!$A$14:$U$68,9,FALSE)=0,"RPE 8",IF(VLOOKUP($X64,Übungsübersicht!$E$7:$M$83,3,FALSE)&lt;0.5,($AN64)-(3*0.5),(($AN64)-(3*(VLOOKUP($X64,Übungsübersicht!$E$7:$M$83,3,FALSE)))))))),"RPE 8")</f>
        <v>RPE 8</v>
      </c>
      <c r="AQ64" s="652" t="str">
        <f ca="1">IFERROR(IF(IF(VLOOKUP($X64,Zyklus!$A$14:$U$68,9,FALSE)=0,"RPE 8",IF(VLOOKUP($X64,Übungsübersicht!$E$7:$M$83,3,FALSE)&lt;0.5,($AN64)-(2*0.5),(($AN64)-(2*(VLOOKUP($X64,Übungsübersicht!$E$7:$M$83,3,FALSE))))))&lt;1,0,(IF(VLOOKUP($X64,Zyklus!$A$14:$U$68,9,FALSE)=0,"RPE 8",IF(VLOOKUP($X64,Übungsübersicht!$E$7:$M$83,3,FALSE)&lt;0.5,($AN64)-(2*0.5),(($AN64)-(2*(VLOOKUP($X64,Übungsübersicht!$E$7:$M$83,3,FALSE)))))))),"RPE 8")</f>
        <v>RPE 8</v>
      </c>
      <c r="AR64" s="652" t="str">
        <f ca="1">IFERROR(IF(IF(VLOOKUP($X64,Zyklus!$A$14:$U$68,9,FALSE)=0,"RPE 8",IF(VLOOKUP($X64,Übungsübersicht!$E$7:$M$83,3,FALSE)&lt;0.5,($AN64)-(1*0.5),(($Y64)-(1*(VLOOKUP($X64,Übungsübersicht!$E$7:$M$83,3,FALSE))))))&lt;1,0,(IF(VLOOKUP($X64,Zyklus!$A$14:$U$68,9,FALSE)=0,"RPE 8",IF(VLOOKUP($X64,Übungsübersicht!$E$7:$M$83,3,FALSE)&lt;0.5,($AN64)-(1*0.5),(($Y64)-(1*(VLOOKUP($X64,Übungsübersicht!$E$7:$M$83,3,FALSE)))))))),"RPE 8")</f>
        <v>RPE 8</v>
      </c>
      <c r="AS64" s="652" t="str">
        <f t="shared" ca="1" si="0"/>
        <v>RPE 8</v>
      </c>
      <c r="AT64" s="652" t="str">
        <f ca="1">IFERROR(IF(VLOOKUP($X64,Zyklus!$A$14:$U$68,9,FALSE)=0,"RPE 8",IF(VLOOKUP($X64,Übungsübersicht!$E$7:$M$83,3,FALSE)&lt;0.5,($AN64)+(1*0.5),(($Y64)+(1*(VLOOKUP($X64,Übungsübersicht!$E$7:$M$83,3,FALSE)))))),"RPE 8")</f>
        <v>RPE 8</v>
      </c>
      <c r="AU64" s="652" t="str">
        <f ca="1">IFERROR(IF(VLOOKUP($X64,Zyklus!$A$14:$U$68,9,FALSE)=0,"RPE 8",IF(VLOOKUP($X64,Übungsübersicht!$E$7:$M$83,3,FALSE)&lt;0.5,($AN64)+(2*0.5),(($AN64)+(2*(VLOOKUP($X64,Übungsübersicht!$E$7:$M$83,3,FALSE)))))),"RPE 8")</f>
        <v>RPE 8</v>
      </c>
      <c r="AV64" s="652" t="str">
        <f ca="1">IFERROR(IF(VLOOKUP($X64,Zyklus!$A$14:$U$68,9,FALSE)=0,"RPE 8",IF(VLOOKUP($X64,Übungsübersicht!$E$7:$M$83,3,FALSE)&lt;0.5,($AN64)+(3*0.5),(($AN64)+(3*(VLOOKUP($X64,Übungsübersicht!$E$7:$M$83,3,FALSE)))))),"RPE 8")</f>
        <v>RPE 8</v>
      </c>
      <c r="AY64" s="655" t="e">
        <f ca="1">MROUND(INDEX(OFFSET(Zyklus!$M$13,61,0),1),(IF(VLOOKUP($X64,Übungsübersicht!$E$7:$K$80,3)=0,0.1,(VLOOKUP($X64,Übungsübersicht!$E$7:$K$80,3)))))</f>
        <v>#N/A</v>
      </c>
      <c r="BA64" s="652" t="e">
        <f ca="1">MROUND(INDEX(OFFSET(Zyklus!$Q$13,61,0),1),(IF(VLOOKUP($X64,Übungsübersicht!$E$7:$K$80,3)=0,0.1,(VLOOKUP($X64,Übungsübersicht!$E$7:$K$80,3)))))</f>
        <v>#N/A</v>
      </c>
      <c r="BC64" s="652" t="str">
        <f ca="1">IFERROR(IF(IF(VLOOKUP($X64,Zyklus!$A$14:$U$68,9,FALSE)=0,"RPE 9",IF(VLOOKUP($X64,Übungsübersicht!$E$7:$M$83,3,FALSE)&lt;0.5,($BA64)-(3*0.5),(($BA64)-(3*(VLOOKUP($X64,Übungsübersicht!$E$7:$M$83,3,FALSE))))))&lt;1,0,(IF(VLOOKUP($X64,Zyklus!$A$14:$U$68,9,FALSE)=0,"RPE 9",IF(VLOOKUP($X64,Übungsübersicht!$E$7:$M$83,3,FALSE)&lt;0.5,($BA64)-(3*0.5),(($BA64)-(3*(VLOOKUP($X64,Übungsübersicht!$E$7:$M$83,3,FALSE)))))))),"RPE 9")</f>
        <v>RPE 9</v>
      </c>
      <c r="BD64" s="652" t="str">
        <f ca="1">IFERROR(IF(IF(VLOOKUP($X64,Zyklus!$A$14:$U$68,9,FALSE)=0,"RPE 9",IF(VLOOKUP($X64,Übungsübersicht!$E$7:$M$83,3,FALSE)&lt;0.5,($BA64)-(2*0.5),(($BA64)-(2*(VLOOKUP($X64,Übungsübersicht!$E$7:$M$83,3,FALSE))))))&lt;1,0,(IF(VLOOKUP($X64,Zyklus!$A$14:$U$68,9,FALSE)=0,"RPE 9",IF(VLOOKUP($X64,Übungsübersicht!$E$7:$M$83,3,FALSE)&lt;0.5,($BA64)-(2*0.5),(($BA64)-(2*(VLOOKUP($X64,Übungsübersicht!$E$7:$M$83,3,FALSE)))))))),"RPE 9")</f>
        <v>RPE 9</v>
      </c>
      <c r="BE64" s="652" t="str">
        <f ca="1">IFERROR(IF(IF(VLOOKUP($X64,Zyklus!$A$14:$U$68,9,FALSE)=0,"RPE 9",IF(VLOOKUP($X64,Übungsübersicht!$E$7:$M$83,3,FALSE)&lt;0.5,($BA64)-(1*0.5),(($Y64)-(1*(VLOOKUP($X64,Übungsübersicht!$E$7:$M$83,3,FALSE))))))&lt;1,0,(IF(VLOOKUP($X64,Zyklus!$A$14:$U$68,9,FALSE)=0,"RPE 9",IF(VLOOKUP($X64,Übungsübersicht!$E$7:$M$83,3,FALSE)&lt;0.5,($BA64)-(1*0.5),(($Y64)-(1*(VLOOKUP($X64,Übungsübersicht!$E$7:$M$83,3,FALSE)))))))),"RPE 9")</f>
        <v>RPE 9</v>
      </c>
      <c r="BF64" s="652" t="str">
        <f t="shared" ca="1" si="1"/>
        <v>RPE 9</v>
      </c>
      <c r="BG64" s="652" t="str">
        <f ca="1">IFERROR(IF(VLOOKUP($X64,Zyklus!$A$14:$U$68,9,FALSE)=0,"RPE 9",IF(VLOOKUP($X64,Übungsübersicht!$E$7:$M$83,3,FALSE)&lt;0.5,($AY64)+(1*0.5),(($AY64)+(1*(VLOOKUP($X64,Übungsübersicht!$E$7:$M$83,3,FALSE)))))),"RPE 9")</f>
        <v>RPE 9</v>
      </c>
      <c r="BH64" s="652" t="str">
        <f ca="1">IFERROR(IF(VLOOKUP($X64,Zyklus!$A$14:$U$68,9,FALSE)=0,"RPE 9",IF(VLOOKUP($X64,Übungsübersicht!$E$7:$M$83,3,FALSE)&lt;0.5,($BA64)+(2*0.5),(($BA64)+(2*(VLOOKUP($X64,Übungsübersicht!$E$7:$M$83,3,FALSE)))))),"RPE 9")</f>
        <v>RPE 9</v>
      </c>
      <c r="BI64" s="652" t="str">
        <f ca="1">IFERROR(IF(VLOOKUP($X64,Zyklus!$A$14:$U$68,9,FALSE)=0,"RPE 9",IF(VLOOKUP($X64,Übungsübersicht!$E$7:$M$83,3,FALSE)&lt;0.5,($BA64)+(3*0.5),(($BA64)+(3*(VLOOKUP($X64,Übungsübersicht!$E$7:$M$83,3,FALSE)))))),"RPE 9")</f>
        <v>RPE 9</v>
      </c>
    </row>
    <row r="65" spans="8:61" ht="30" customHeight="1">
      <c r="H65" s="326">
        <v>44</v>
      </c>
      <c r="I65" s="323">
        <f t="shared" si="5"/>
        <v>48.648648648648646</v>
      </c>
      <c r="J65" s="344">
        <f t="shared" si="4"/>
        <v>0.40540540540540537</v>
      </c>
      <c r="Q65" s="872"/>
      <c r="R65" s="872"/>
      <c r="S65" s="872" t="str">
        <f>IF(AND(Dashboard!$C$46="OK/UK",VALUE(LEFT(Dashboard!$C$48,1))&lt;=1),"",IF(AND(Dashboard!$C$46="OK/UK",VALUE(LEFT(Dashboard!$C$48,1))&lt;=2),"",IF(AND(Dashboard!$C$46="OK/UK",VALUE(LEFT(Dashboard!$C$48,1))&lt;=3),"UK 3",IF(AND(Dashboard!$C$46="OK/UK/OK+",VALUE(LEFT(Dashboard!$C$48,1))&lt;=1),"",IF(AND(Dashboard!$C$46="OK/UK/OK+",VALUE(LEFT(Dashboard!$C$48,1))&lt;=2),"",IF(AND(Dashboard!$C$46="OK/UK/OK+",VALUE(LEFT(Dashboard!$C$48,1))&lt;=3),"",IF(AND(Dashboard!$C$46="PUSH/PULL/BEINE",VALUE(LEFT(Dashboard!$C$48,1))&lt;=1),"",IF(AND(Dashboard!$C$46="PUSH/PULL/BEINE",VALUE(LEFT(Dashboard!$C$48,1))&lt;=2),"BEINE 2",IF(AND(Dashboard!$C$46="PUSH/PULL/BEINE",VALUE(LEFT(Dashboard!$C$48,1))&lt;=3),"BEINE 2",IF(AND(Dashboard!$C$46="PUSH/PULL",VALUE(LEFT(Dashboard!$C$48,1))&lt;=1),"",IF(AND(Dashboard!$C$46="PUSH/PULL",VALUE(LEFT(Dashboard!$C$48,1))&lt;=2),"",IF(AND(Dashboard!$C$46="PUSH/PULL",VALUE(LEFT(Dashboard!$C$48,1))&lt;=3),"PULL 3",IF(AND(Dashboard!$C$46="GK",VALUE(LEFT(Dashboard!$C$48,1))&lt;=1),"",IF(AND(Dashboard!$C$46="GK",VALUE(LEFT(Dashboard!$C$48,1))&lt;=2),"",IF(AND(Dashboard!$C$46="GK",VALUE(LEFT(Dashboard!$C$48,1))&lt;=3),"",IF(AND(Dashboard!$C$46="GK",VALUE(LEFT(Dashboard!$C$48,1))&lt;=4),"",""))))))))))))))))</f>
        <v/>
      </c>
      <c r="X65" s="651">
        <f ca="1">INDEX(OFFSET(Zyklus!$A$13,62,0),1)</f>
        <v>0</v>
      </c>
      <c r="Y65" s="652" t="e">
        <f ca="1">MROUND(INDEX(OFFSET(Zyklus!$I$13,62,0),1),(IF(VLOOKUP($X65,Übungsübersicht!$E$7:$K$80,3)=0,0.1,(VLOOKUP($X65,Übungsübersicht!$E$7:$K$80,3)))))</f>
        <v>#N/A</v>
      </c>
      <c r="Z65" s="652"/>
      <c r="AA65" s="652" t="e">
        <f ca="1">IFERROR(IF($Y65=0,2*(VLOOKUP($X65,Übungsübersicht!$E$7:$M$83,3,FALSE)),IF($Y65&gt;100,(MROUND(($Y65*0.1),(VLOOKUP($X65,Übungsübersicht!$E$7:$M$83,3,FALSE)))),IF($Y65&gt;80,(MROUND(($Y65*0.1),(VLOOKUP($X65,Übungsübersicht!$E$7:$M$83,3,FALSE)))),IF($Y65&gt;50,(MROUND(($Y65*0.2),(VLOOKUP($X65,Übungsübersicht!$E$7:$M$83,3,FALSE)))),IF($Y65&gt;25,(MROUND(($Y65*0.3),(VLOOKUP($X65,Übungsübersicht!$E$7:$M$83,3,FALSE)))),IF($Y65&gt;15,(MROUND(($Y65*0.4),(VLOOKUP($X65,Übungsübersicht!$E$7:$M$83,3,FALSE)))),IF($Y65&gt;(VLOOKUP($X65,Übungsübersicht!$E$7:$M$83,3,FALSE)),(VLOOKUP($X65,Übungsübersicht!$E$7:$M$83,3,FALSE)),""))))))),2*(VLOOKUP($X65,Übungsübersicht!$E$7:$M$83,3,FALSE)))</f>
        <v>#N/A</v>
      </c>
      <c r="AB65" s="652" t="e">
        <f ca="1">IFERROR(IF($Y65=0,4*(VLOOKUP($X65,Übungsübersicht!$E$7:$M$83,3,FALSE)),IF($Y65&gt;100,(MROUND(($Y65*0.3),(VLOOKUP($X65,Übungsübersicht!$E$7:$M$83,3,FALSE)))),IF($Y65&gt;80,(MROUND(($Y65*0.3),(VLOOKUP($X65,Übungsübersicht!$E$7:$M$83,3,FALSE)))),IF($Y65&gt;50,(MROUND(($Y65*0.4),(VLOOKUP($X65,Übungsübersicht!$E$7:$M$83,3,FALSE)))),IF($Y65&gt;25,(MROUND(($Y65*0.5),(VLOOKUP($X65,Übungsübersicht!$E$7:$M$83,3,FALSE)))),IF($Y65&gt;15,(MROUND(($Y65*0.6),(VLOOKUP($X65,Übungsübersicht!$E$7:$M$83,3,FALSE)))),IF($Y65&gt;(VLOOKUP($X65,Übungsübersicht!$E$7:$M$83,3,FALSE)),(VLOOKUP($X65,Übungsübersicht!$E$7:$M$83,3,FALSE)),""))))))),4*(VLOOKUP($X65,Übungsübersicht!$E$7:$M$83,3,FALSE)))</f>
        <v>#N/A</v>
      </c>
      <c r="AC65" s="652" t="e">
        <f ca="1">IFERROR((IF($Y65=0,8*(VLOOKUP($X65,Übungsübersicht!$E$7:$M$83,3,FALSE)),(($Y65)-(3*(VLOOKUP($X65,Übungsübersicht!$E$7:$M$83,3,FALSE)))))),8*(VLOOKUP($X65,Übungsübersicht!$E$7:$M$83,3,FALSE)))</f>
        <v>#N/A</v>
      </c>
      <c r="AD65" s="652" t="e">
        <f ca="1">IFERROR(((IF($Y65=0,10*(VLOOKUP($X65,Übungsübersicht!$E$7:$M$83,3,FALSE)),($Y65)-(2*(VLOOKUP($X65,Übungsübersicht!$E$7:$M$83,3,FALSE)))))),10*(VLOOKUP($X65,Übungsübersicht!$E$7:$M$83,3,FALSE)))</f>
        <v>#N/A</v>
      </c>
      <c r="AE65" s="652" t="e">
        <f ca="1">IFERROR(((IF($Y65=0,10*(VLOOKUP($X65,Übungsübersicht!$E$7:$M$83,3,FALSE)),($Y65)-(1*(VLOOKUP($X65,Übungsübersicht!$E$7:$M$83,3,FALSE)))))),10*(VLOOKUP($X65,Übungsübersicht!$E$7:$M$83,3,FALSE)))</f>
        <v>#N/A</v>
      </c>
      <c r="AF65" s="652" t="e">
        <f ca="1">IFERROR(IF($Y65=0,20*(VLOOKUP($X65,Übungsübersicht!$E$7:$M$83,3,FALSE)),($Y65)),20*(VLOOKUP($X65,Übungsübersicht!$E$7:$M$83,3,FALSE)))</f>
        <v>#N/A</v>
      </c>
      <c r="AG65" s="652" t="e">
        <f ca="1">IFERROR(IF($Y65=0,30*(VLOOKUP($X65,Übungsübersicht!$E$7:$M$83,3,FALSE)),($Y65)+(1*(VLOOKUP($X65,Übungsübersicht!$E$7:$M$83,3,FALSE)))),30*(VLOOKUP($X65,Übungsübersicht!$E$7:$M$83,3,FALSE)))</f>
        <v>#N/A</v>
      </c>
      <c r="AH65" s="652" t="e">
        <f ca="1">IFERROR(IF($Y65=0,30*(VLOOKUP($X65,Übungsübersicht!$E$7:$M$83,3,FALSE)),($Y65)+(2*(VLOOKUP($X65,Übungsübersicht!$E$7:$M$83,3,FALSE)))),30*(VLOOKUP($X65,Übungsübersicht!$E$7:$M$83,3,FALSE)))</f>
        <v>#N/A</v>
      </c>
      <c r="AI65" s="652" t="e">
        <f ca="1">IFERROR(IF($Y65=0,30*(VLOOKUP($X65,Übungsübersicht!$E$7:$M$83,3,FALSE)),($Y65)+(3*(VLOOKUP($X65,Übungsübersicht!$E$7:$M$83,3,FALSE)))),30*(VLOOKUP($X65,Übungsübersicht!$E$7:$M$83,3,FALSE)))</f>
        <v>#N/A</v>
      </c>
      <c r="AJ65" s="652" t="e">
        <f ca="1">IFERROR(IF($Y65=0,40*(VLOOKUP($X65,Übungsübersicht!$E$7:$M$83,3,FALSE)),IF($Y65&gt;100,(MROUND(($Y65*1.7),(VLOOKUP($X65,Übungsübersicht!$E$7:$M$83,3,FALSE)))),IF($Y65&gt;80,(MROUND(($Y65*1.7),(VLOOKUP($X65,Übungsübersicht!$E$7:$M$83,3,FALSE)))),IF($Y65&gt;50,(MROUND(($Y65*1.6),(VLOOKUP($X65,Übungsübersicht!$E$7:$M$83,3,FALSE)))),IF($Y65&gt;25,(MROUND(($Y65*1.5),(VLOOKUP($X65,Übungsübersicht!$E$7:$M$83,3,FALSE)))),IF($Y65&gt;15,(MROUND(($Y65*1.4),(VLOOKUP($X65,Übungsübersicht!$E$7:$M$83,3,FALSE)))),IF($Y65&gt;(VLOOKUP($X65,Übungsübersicht!$E$7:$M$83,3,FALSE)),30*(VLOOKUP($X65,Übungsübersicht!$E$7:$M$83,3,FALSE)),""))))))),40*(VLOOKUP($X65,Übungsübersicht!$E$7:$M$83,3,FALSE)))</f>
        <v>#N/A</v>
      </c>
      <c r="AK65" s="653" t="e">
        <f ca="1">IFERROR(IF($Y65=0,50*(VLOOKUP($X65,Übungsübersicht!$E$7:$M$83,3,FALSE)),IF($Y65&gt;100,(MROUND(($Y65*1.9),(VLOOKUP($X65,Übungsübersicht!$E$7:$M$83,3,FALSE)))),IF($Y65&gt;80,(MROUND(($Y65*1.9),(VLOOKUP($X65,Übungsübersicht!$E$7:$M$83,3,FALSE)))),IF($Y65&gt;50,(MROUND(($Y65*1.8),(VLOOKUP($X65,Übungsübersicht!$E$7:$M$83,3,FALSE)))),IF($Y65&gt;25,(MROUND(($Y65*1.7),(VLOOKUP($X65,Übungsübersicht!$E$7:$M$83,3,FALSE)))),IF($Y65&gt;15,(MROUND(($Y65*1.6),(VLOOKUP($X65,Übungsübersicht!$E$7:$M$83,3,FALSE)))),IF($Y65&gt;(VLOOKUP($X65,Übungsübersicht!$E$7:$M$83,3,FALSE)),40*(VLOOKUP($X65,Übungsübersicht!$E$7:$M$83,3,FALSE)),""))))))),50*(VLOOKUP($X65,Übungsübersicht!$E$7:$M$83,3,FALSE)))</f>
        <v>#N/A</v>
      </c>
      <c r="AN65" s="652" t="e">
        <f ca="1">MROUND(INDEX(OFFSET(Zyklus!$M$13,62,0),1),(IF(VLOOKUP($X65,Übungsübersicht!$E$7:$K$80,3)=0,0.1,(VLOOKUP($X65,Übungsübersicht!$E$7:$K$80,3)))))</f>
        <v>#N/A</v>
      </c>
      <c r="AP65" s="655" t="str">
        <f ca="1">IFERROR(IF(IF(VLOOKUP($X65,Zyklus!$A$14:$U$68,9,FALSE)=0,"RPE 8",IF(VLOOKUP($X65,Übungsübersicht!$E$7:$M$83,3,FALSE)&lt;0.5,($AN65)-(3*0.5),(($AN65)-(3*(VLOOKUP($X65,Übungsübersicht!$E$7:$M$83,3,FALSE))))))&lt;1,0,(IF(VLOOKUP($X65,Zyklus!$A$14:$U$68,9,FALSE)=0,"RPE 8",IF(VLOOKUP($X65,Übungsübersicht!$E$7:$M$83,3,FALSE)&lt;0.5,($AN65)-(3*0.5),(($AN65)-(3*(VLOOKUP($X65,Übungsübersicht!$E$7:$M$83,3,FALSE)))))))),"RPE 8")</f>
        <v>RPE 8</v>
      </c>
      <c r="AQ65" s="655" t="str">
        <f ca="1">IFERROR(IF(IF(VLOOKUP($X65,Zyklus!$A$14:$U$68,9,FALSE)=0,"RPE 8",IF(VLOOKUP($X65,Übungsübersicht!$E$7:$M$83,3,FALSE)&lt;0.5,($AN65)-(2*0.5),(($AN65)-(2*(VLOOKUP($X65,Übungsübersicht!$E$7:$M$83,3,FALSE))))))&lt;1,0,(IF(VLOOKUP($X65,Zyklus!$A$14:$U$68,9,FALSE)=0,"RPE 8",IF(VLOOKUP($X65,Übungsübersicht!$E$7:$M$83,3,FALSE)&lt;0.5,($AN65)-(2*0.5),(($AN65)-(2*(VLOOKUP($X65,Übungsübersicht!$E$7:$M$83,3,FALSE)))))))),"RPE 8")</f>
        <v>RPE 8</v>
      </c>
      <c r="AR65" s="655" t="str">
        <f ca="1">IFERROR(IF(IF(VLOOKUP($X65,Zyklus!$A$14:$U$68,9,FALSE)=0,"RPE 8",IF(VLOOKUP($X65,Übungsübersicht!$E$7:$M$83,3,FALSE)&lt;0.5,($AN65)-(1*0.5),(($Y65)-(1*(VLOOKUP($X65,Übungsübersicht!$E$7:$M$83,3,FALSE))))))&lt;1,0,(IF(VLOOKUP($X65,Zyklus!$A$14:$U$68,9,FALSE)=0,"RPE 8",IF(VLOOKUP($X65,Übungsübersicht!$E$7:$M$83,3,FALSE)&lt;0.5,($AN65)-(1*0.5),(($Y65)-(1*(VLOOKUP($X65,Übungsübersicht!$E$7:$M$83,3,FALSE)))))))),"RPE 8")</f>
        <v>RPE 8</v>
      </c>
      <c r="AS65" s="655" t="str">
        <f t="shared" ca="1" si="0"/>
        <v>RPE 8</v>
      </c>
      <c r="AT65" s="655" t="str">
        <f ca="1">IFERROR(IF(VLOOKUP($X65,Zyklus!$A$14:$U$68,9,FALSE)=0,"RPE 8",IF(VLOOKUP($X65,Übungsübersicht!$E$7:$M$83,3,FALSE)&lt;0.5,($AN65)+(1*0.5),(($Y65)+(1*(VLOOKUP($X65,Übungsübersicht!$E$7:$M$83,3,FALSE)))))),"RPE 8")</f>
        <v>RPE 8</v>
      </c>
      <c r="AU65" s="655" t="str">
        <f ca="1">IFERROR(IF(VLOOKUP($X65,Zyklus!$A$14:$U$68,9,FALSE)=0,"RPE 8",IF(VLOOKUP($X65,Übungsübersicht!$E$7:$M$83,3,FALSE)&lt;0.5,($AN65)+(2*0.5),(($AN65)+(2*(VLOOKUP($X65,Übungsübersicht!$E$7:$M$83,3,FALSE)))))),"RPE 8")</f>
        <v>RPE 8</v>
      </c>
      <c r="AV65" s="655" t="str">
        <f ca="1">IFERROR(IF(VLOOKUP($X65,Zyklus!$A$14:$U$68,9,FALSE)=0,"RPE 8",IF(VLOOKUP($X65,Übungsübersicht!$E$7:$M$83,3,FALSE)&lt;0.5,($AN65)+(3*0.5),(($AN65)+(3*(VLOOKUP($X65,Übungsübersicht!$E$7:$M$83,3,FALSE)))))),"RPE 8")</f>
        <v>RPE 8</v>
      </c>
      <c r="AY65" s="652" t="e">
        <f ca="1">MROUND(INDEX(OFFSET(Zyklus!$M$13,62,0),1),(IF(VLOOKUP($X65,Übungsübersicht!$E$7:$K$80,3)=0,0.1,(VLOOKUP($X65,Übungsübersicht!$E$7:$K$80,3)))))</f>
        <v>#N/A</v>
      </c>
      <c r="BA65" s="655" t="e">
        <f ca="1">MROUND(INDEX(OFFSET(Zyklus!$Q$13,62,0),1),(IF(VLOOKUP($X65,Übungsübersicht!$E$7:$K$80,3)=0,0.1,(VLOOKUP($X65,Übungsübersicht!$E$7:$K$80,3)))))</f>
        <v>#N/A</v>
      </c>
      <c r="BC65" s="655" t="str">
        <f ca="1">IFERROR(IF(IF(VLOOKUP($X65,Zyklus!$A$14:$U$68,9,FALSE)=0,"RPE 9",IF(VLOOKUP($X65,Übungsübersicht!$E$7:$M$83,3,FALSE)&lt;0.5,($BA65)-(3*0.5),(($BA65)-(3*(VLOOKUP($X65,Übungsübersicht!$E$7:$M$83,3,FALSE))))))&lt;1,0,(IF(VLOOKUP($X65,Zyklus!$A$14:$U$68,9,FALSE)=0,"RPE 9",IF(VLOOKUP($X65,Übungsübersicht!$E$7:$M$83,3,FALSE)&lt;0.5,($BA65)-(3*0.5),(($BA65)-(3*(VLOOKUP($X65,Übungsübersicht!$E$7:$M$83,3,FALSE)))))))),"RPE 9")</f>
        <v>RPE 9</v>
      </c>
      <c r="BD65" s="655" t="str">
        <f ca="1">IFERROR(IF(IF(VLOOKUP($X65,Zyklus!$A$14:$U$68,9,FALSE)=0,"RPE 9",IF(VLOOKUP($X65,Übungsübersicht!$E$7:$M$83,3,FALSE)&lt;0.5,($BA65)-(2*0.5),(($BA65)-(2*(VLOOKUP($X65,Übungsübersicht!$E$7:$M$83,3,FALSE))))))&lt;1,0,(IF(VLOOKUP($X65,Zyklus!$A$14:$U$68,9,FALSE)=0,"RPE 9",IF(VLOOKUP($X65,Übungsübersicht!$E$7:$M$83,3,FALSE)&lt;0.5,($BA65)-(2*0.5),(($BA65)-(2*(VLOOKUP($X65,Übungsübersicht!$E$7:$M$83,3,FALSE)))))))),"RPE 9")</f>
        <v>RPE 9</v>
      </c>
      <c r="BE65" s="655" t="str">
        <f ca="1">IFERROR(IF(IF(VLOOKUP($X65,Zyklus!$A$14:$U$68,9,FALSE)=0,"RPE 9",IF(VLOOKUP($X65,Übungsübersicht!$E$7:$M$83,3,FALSE)&lt;0.5,($BA65)-(1*0.5),(($Y65)-(1*(VLOOKUP($X65,Übungsübersicht!$E$7:$M$83,3,FALSE))))))&lt;1,0,(IF(VLOOKUP($X65,Zyklus!$A$14:$U$68,9,FALSE)=0,"RPE 9",IF(VLOOKUP($X65,Übungsübersicht!$E$7:$M$83,3,FALSE)&lt;0.5,($BA65)-(1*0.5),(($Y65)-(1*(VLOOKUP($X65,Übungsübersicht!$E$7:$M$83,3,FALSE)))))))),"RPE 9")</f>
        <v>RPE 9</v>
      </c>
      <c r="BF65" s="655" t="str">
        <f t="shared" ca="1" si="1"/>
        <v>RPE 9</v>
      </c>
      <c r="BG65" s="655" t="str">
        <f ca="1">IFERROR(IF(VLOOKUP($X65,Zyklus!$A$14:$U$68,9,FALSE)=0,"RPE 9",IF(VLOOKUP($X65,Übungsübersicht!$E$7:$M$83,3,FALSE)&lt;0.5,($AY65)+(1*0.5),(($AY65)+(1*(VLOOKUP($X65,Übungsübersicht!$E$7:$M$83,3,FALSE)))))),"RPE 9")</f>
        <v>RPE 9</v>
      </c>
      <c r="BH65" s="655" t="str">
        <f ca="1">IFERROR(IF(VLOOKUP($X65,Zyklus!$A$14:$U$68,9,FALSE)=0,"RPE 9",IF(VLOOKUP($X65,Übungsübersicht!$E$7:$M$83,3,FALSE)&lt;0.5,($BA65)+(2*0.5),(($BA65)+(2*(VLOOKUP($X65,Übungsübersicht!$E$7:$M$83,3,FALSE)))))),"RPE 9")</f>
        <v>RPE 9</v>
      </c>
      <c r="BI65" s="655" t="str">
        <f ca="1">IFERROR(IF(VLOOKUP($X65,Zyklus!$A$14:$U$68,9,FALSE)=0,"RPE 9",IF(VLOOKUP($X65,Übungsübersicht!$E$7:$M$83,3,FALSE)&lt;0.5,($BA65)+(3*0.5),(($BA65)+(3*(VLOOKUP($X65,Übungsübersicht!$E$7:$M$83,3,FALSE)))))),"RPE 9")</f>
        <v>RPE 9</v>
      </c>
    </row>
    <row r="66" spans="8:61" ht="30" customHeight="1">
      <c r="H66" s="326">
        <v>45</v>
      </c>
      <c r="I66" s="323">
        <f t="shared" si="5"/>
        <v>48</v>
      </c>
      <c r="J66" s="344">
        <f t="shared" si="4"/>
        <v>0.4</v>
      </c>
      <c r="X66" s="654">
        <f ca="1">INDEX(OFFSET(Zyklus!$A$13,63,0),1)</f>
        <v>0</v>
      </c>
      <c r="Y66" s="655" t="e">
        <f ca="1">MROUND(INDEX(OFFSET(Zyklus!$I$13,63,0),1),(IF(VLOOKUP($X66,Übungsübersicht!$E$7:$K$80,3)=0,0.1,(VLOOKUP($X66,Übungsübersicht!$E$7:$K$80,3)))))</f>
        <v>#N/A</v>
      </c>
      <c r="Z66" s="655"/>
      <c r="AA66" s="655" t="e">
        <f ca="1">IFERROR(IF($Y66=0,2*(VLOOKUP($X66,Übungsübersicht!$E$7:$M$83,3,FALSE)),IF($Y66&gt;100,(MROUND(($Y66*0.1),(VLOOKUP($X66,Übungsübersicht!$E$7:$M$83,3,FALSE)))),IF($Y66&gt;80,(MROUND(($Y66*0.1),(VLOOKUP($X66,Übungsübersicht!$E$7:$M$83,3,FALSE)))),IF($Y66&gt;50,(MROUND(($Y66*0.2),(VLOOKUP($X66,Übungsübersicht!$E$7:$M$83,3,FALSE)))),IF($Y66&gt;25,(MROUND(($Y66*0.3),(VLOOKUP($X66,Übungsübersicht!$E$7:$M$83,3,FALSE)))),IF($Y66&gt;15,(MROUND(($Y66*0.4),(VLOOKUP($X66,Übungsübersicht!$E$7:$M$83,3,FALSE)))),IF($Y66&gt;(VLOOKUP($X66,Übungsübersicht!$E$7:$M$83,3,FALSE)),(VLOOKUP($X66,Übungsübersicht!$E$7:$M$83,3,FALSE)),""))))))),2*(VLOOKUP($X66,Übungsübersicht!$E$7:$M$83,3,FALSE)))</f>
        <v>#N/A</v>
      </c>
      <c r="AB66" s="655" t="e">
        <f ca="1">IFERROR(IF($Y66=0,4*(VLOOKUP($X66,Übungsübersicht!$E$7:$M$83,3,FALSE)),IF($Y66&gt;100,(MROUND(($Y66*0.3),(VLOOKUP($X66,Übungsübersicht!$E$7:$M$83,3,FALSE)))),IF($Y66&gt;80,(MROUND(($Y66*0.3),(VLOOKUP($X66,Übungsübersicht!$E$7:$M$83,3,FALSE)))),IF($Y66&gt;50,(MROUND(($Y66*0.4),(VLOOKUP($X66,Übungsübersicht!$E$7:$M$83,3,FALSE)))),IF($Y66&gt;25,(MROUND(($Y66*0.5),(VLOOKUP($X66,Übungsübersicht!$E$7:$M$83,3,FALSE)))),IF($Y66&gt;15,(MROUND(($Y66*0.6),(VLOOKUP($X66,Übungsübersicht!$E$7:$M$83,3,FALSE)))),IF($Y66&gt;(VLOOKUP($X66,Übungsübersicht!$E$7:$M$83,3,FALSE)),(VLOOKUP($X66,Übungsübersicht!$E$7:$M$83,3,FALSE)),""))))))),4*(VLOOKUP($X66,Übungsübersicht!$E$7:$M$83,3,FALSE)))</f>
        <v>#N/A</v>
      </c>
      <c r="AC66" s="655" t="e">
        <f ca="1">IFERROR((IF($Y66=0,8*(VLOOKUP($X66,Übungsübersicht!$E$7:$M$83,3,FALSE)),(($Y66)-(3*(VLOOKUP($X66,Übungsübersicht!$E$7:$M$83,3,FALSE)))))),8*(VLOOKUP($X66,Übungsübersicht!$E$7:$M$83,3,FALSE)))</f>
        <v>#N/A</v>
      </c>
      <c r="AD66" s="655" t="e">
        <f ca="1">IFERROR(((IF($Y66=0,10*(VLOOKUP($X66,Übungsübersicht!$E$7:$M$83,3,FALSE)),($Y66)-(2*(VLOOKUP($X66,Übungsübersicht!$E$7:$M$83,3,FALSE)))))),10*(VLOOKUP($X66,Übungsübersicht!$E$7:$M$83,3,FALSE)))</f>
        <v>#N/A</v>
      </c>
      <c r="AE66" s="655" t="e">
        <f ca="1">IFERROR(((IF($Y66=0,10*(VLOOKUP($X66,Übungsübersicht!$E$7:$M$83,3,FALSE)),($Y66)-(1*(VLOOKUP($X66,Übungsübersicht!$E$7:$M$83,3,FALSE)))))),10*(VLOOKUP($X66,Übungsübersicht!$E$7:$M$83,3,FALSE)))</f>
        <v>#N/A</v>
      </c>
      <c r="AF66" s="655" t="e">
        <f ca="1">IFERROR(IF($Y66=0,20*(VLOOKUP($X66,Übungsübersicht!$E$7:$M$83,3,FALSE)),($Y66)),20*(VLOOKUP($X66,Übungsübersicht!$E$7:$M$83,3,FALSE)))</f>
        <v>#N/A</v>
      </c>
      <c r="AG66" s="655" t="e">
        <f ca="1">IFERROR(IF($Y66=0,30*(VLOOKUP($X66,Übungsübersicht!$E$7:$M$83,3,FALSE)),($Y66)+(1*(VLOOKUP($X66,Übungsübersicht!$E$7:$M$83,3,FALSE)))),30*(VLOOKUP($X66,Übungsübersicht!$E$7:$M$83,3,FALSE)))</f>
        <v>#N/A</v>
      </c>
      <c r="AH66" s="655" t="e">
        <f ca="1">IFERROR(IF($Y66=0,30*(VLOOKUP($X66,Übungsübersicht!$E$7:$M$83,3,FALSE)),($Y66)+(2*(VLOOKUP($X66,Übungsübersicht!$E$7:$M$83,3,FALSE)))),30*(VLOOKUP($X66,Übungsübersicht!$E$7:$M$83,3,FALSE)))</f>
        <v>#N/A</v>
      </c>
      <c r="AI66" s="655" t="e">
        <f ca="1">IFERROR(IF($Y66=0,30*(VLOOKUP($X66,Übungsübersicht!$E$7:$M$83,3,FALSE)),($Y66)+(3*(VLOOKUP($X66,Übungsübersicht!$E$7:$M$83,3,FALSE)))),30*(VLOOKUP($X66,Übungsübersicht!$E$7:$M$83,3,FALSE)))</f>
        <v>#N/A</v>
      </c>
      <c r="AJ66" s="655" t="e">
        <f ca="1">IFERROR(IF($Y66=0,40*(VLOOKUP($X66,Übungsübersicht!$E$7:$M$83,3,FALSE)),IF($Y66&gt;100,(MROUND(($Y66*1.7),(VLOOKUP($X66,Übungsübersicht!$E$7:$M$83,3,FALSE)))),IF($Y66&gt;80,(MROUND(($Y66*1.7),(VLOOKUP($X66,Übungsübersicht!$E$7:$M$83,3,FALSE)))),IF($Y66&gt;50,(MROUND(($Y66*1.6),(VLOOKUP($X66,Übungsübersicht!$E$7:$M$83,3,FALSE)))),IF($Y66&gt;25,(MROUND(($Y66*1.5),(VLOOKUP($X66,Übungsübersicht!$E$7:$M$83,3,FALSE)))),IF($Y66&gt;15,(MROUND(($Y66*1.4),(VLOOKUP($X66,Übungsübersicht!$E$7:$M$83,3,FALSE)))),IF($Y66&gt;(VLOOKUP($X66,Übungsübersicht!$E$7:$M$83,3,FALSE)),30*(VLOOKUP($X66,Übungsübersicht!$E$7:$M$83,3,FALSE)),""))))))),40*(VLOOKUP($X66,Übungsübersicht!$E$7:$M$83,3,FALSE)))</f>
        <v>#N/A</v>
      </c>
      <c r="AK66" s="656" t="e">
        <f ca="1">IFERROR(IF($Y66=0,50*(VLOOKUP($X66,Übungsübersicht!$E$7:$M$83,3,FALSE)),IF($Y66&gt;100,(MROUND(($Y66*1.9),(VLOOKUP($X66,Übungsübersicht!$E$7:$M$83,3,FALSE)))),IF($Y66&gt;80,(MROUND(($Y66*1.9),(VLOOKUP($X66,Übungsübersicht!$E$7:$M$83,3,FALSE)))),IF($Y66&gt;50,(MROUND(($Y66*1.8),(VLOOKUP($X66,Übungsübersicht!$E$7:$M$83,3,FALSE)))),IF($Y66&gt;25,(MROUND(($Y66*1.7),(VLOOKUP($X66,Übungsübersicht!$E$7:$M$83,3,FALSE)))),IF($Y66&gt;15,(MROUND(($Y66*1.6),(VLOOKUP($X66,Übungsübersicht!$E$7:$M$83,3,FALSE)))),IF($Y66&gt;(VLOOKUP($X66,Übungsübersicht!$E$7:$M$83,3,FALSE)),40*(VLOOKUP($X66,Übungsübersicht!$E$7:$M$83,3,FALSE)),""))))))),50*(VLOOKUP($X66,Übungsübersicht!$E$7:$M$83,3,FALSE)))</f>
        <v>#N/A</v>
      </c>
      <c r="AN66" s="655" t="e">
        <f ca="1">MROUND(INDEX(OFFSET(Zyklus!$M$13,63,0),1),(IF(VLOOKUP($X66,Übungsübersicht!$E$7:$K$80,3)=0,0.1,(VLOOKUP($X66,Übungsübersicht!$E$7:$K$80,3)))))</f>
        <v>#N/A</v>
      </c>
      <c r="AP66" s="652" t="str">
        <f ca="1">IFERROR(IF(IF(VLOOKUP($X66,Zyklus!$A$14:$U$68,9,FALSE)=0,"RPE 8",IF(VLOOKUP($X66,Übungsübersicht!$E$7:$M$83,3,FALSE)&lt;0.5,($AN66)-(3*0.5),(($AN66)-(3*(VLOOKUP($X66,Übungsübersicht!$E$7:$M$83,3,FALSE))))))&lt;1,0,(IF(VLOOKUP($X66,Zyklus!$A$14:$U$68,9,FALSE)=0,"RPE 8",IF(VLOOKUP($X66,Übungsübersicht!$E$7:$M$83,3,FALSE)&lt;0.5,($AN66)-(3*0.5),(($AN66)-(3*(VLOOKUP($X66,Übungsübersicht!$E$7:$M$83,3,FALSE)))))))),"RPE 8")</f>
        <v>RPE 8</v>
      </c>
      <c r="AQ66" s="652" t="str">
        <f ca="1">IFERROR(IF(IF(VLOOKUP($X66,Zyklus!$A$14:$U$68,9,FALSE)=0,"RPE 8",IF(VLOOKUP($X66,Übungsübersicht!$E$7:$M$83,3,FALSE)&lt;0.5,($AN66)-(2*0.5),(($AN66)-(2*(VLOOKUP($X66,Übungsübersicht!$E$7:$M$83,3,FALSE))))))&lt;1,0,(IF(VLOOKUP($X66,Zyklus!$A$14:$U$68,9,FALSE)=0,"RPE 8",IF(VLOOKUP($X66,Übungsübersicht!$E$7:$M$83,3,FALSE)&lt;0.5,($AN66)-(2*0.5),(($AN66)-(2*(VLOOKUP($X66,Übungsübersicht!$E$7:$M$83,3,FALSE)))))))),"RPE 8")</f>
        <v>RPE 8</v>
      </c>
      <c r="AR66" s="652" t="str">
        <f ca="1">IFERROR(IF(IF(VLOOKUP($X66,Zyklus!$A$14:$U$68,9,FALSE)=0,"RPE 8",IF(VLOOKUP($X66,Übungsübersicht!$E$7:$M$83,3,FALSE)&lt;0.5,($AN66)-(1*0.5),(($Y66)-(1*(VLOOKUP($X66,Übungsübersicht!$E$7:$M$83,3,FALSE))))))&lt;1,0,(IF(VLOOKUP($X66,Zyklus!$A$14:$U$68,9,FALSE)=0,"RPE 8",IF(VLOOKUP($X66,Übungsübersicht!$E$7:$M$83,3,FALSE)&lt;0.5,($AN66)-(1*0.5),(($Y66)-(1*(VLOOKUP($X66,Übungsübersicht!$E$7:$M$83,3,FALSE)))))))),"RPE 8")</f>
        <v>RPE 8</v>
      </c>
      <c r="AS66" s="652" t="str">
        <f t="shared" ca="1" si="0"/>
        <v>RPE 8</v>
      </c>
      <c r="AT66" s="652" t="str">
        <f ca="1">IFERROR(IF(VLOOKUP($X66,Zyklus!$A$14:$U$68,9,FALSE)=0,"RPE 8",IF(VLOOKUP($X66,Übungsübersicht!$E$7:$M$83,3,FALSE)&lt;0.5,($AN66)+(1*0.5),(($Y66)+(1*(VLOOKUP($X66,Übungsübersicht!$E$7:$M$83,3,FALSE)))))),"RPE 8")</f>
        <v>RPE 8</v>
      </c>
      <c r="AU66" s="652" t="str">
        <f ca="1">IFERROR(IF(VLOOKUP($X66,Zyklus!$A$14:$U$68,9,FALSE)=0,"RPE 8",IF(VLOOKUP($X66,Übungsübersicht!$E$7:$M$83,3,FALSE)&lt;0.5,($AN66)+(2*0.5),(($AN66)+(2*(VLOOKUP($X66,Übungsübersicht!$E$7:$M$83,3,FALSE)))))),"RPE 8")</f>
        <v>RPE 8</v>
      </c>
      <c r="AV66" s="652" t="str">
        <f ca="1">IFERROR(IF(VLOOKUP($X66,Zyklus!$A$14:$U$68,9,FALSE)=0,"RPE 8",IF(VLOOKUP($X66,Übungsübersicht!$E$7:$M$83,3,FALSE)&lt;0.5,($AN66)+(3*0.5),(($AN66)+(3*(VLOOKUP($X66,Übungsübersicht!$E$7:$M$83,3,FALSE)))))),"RPE 8")</f>
        <v>RPE 8</v>
      </c>
      <c r="AY66" s="655" t="e">
        <f ca="1">MROUND(INDEX(OFFSET(Zyklus!$M$13,63,0),1),(IF(VLOOKUP($X66,Übungsübersicht!$E$7:$K$80,3)=0,0.1,(VLOOKUP($X66,Übungsübersicht!$E$7:$K$80,3)))))</f>
        <v>#N/A</v>
      </c>
      <c r="BA66" s="652" t="e">
        <f ca="1">MROUND(INDEX(OFFSET(Zyklus!$Q$13,63,0),1),(IF(VLOOKUP($X66,Übungsübersicht!$E$7:$K$80,3)=0,0.1,(VLOOKUP($X66,Übungsübersicht!$E$7:$K$80,3)))))</f>
        <v>#N/A</v>
      </c>
      <c r="BC66" s="652" t="str">
        <f ca="1">IFERROR(IF(IF(VLOOKUP($X66,Zyklus!$A$14:$U$68,9,FALSE)=0,"RPE 9",IF(VLOOKUP($X66,Übungsübersicht!$E$7:$M$83,3,FALSE)&lt;0.5,($BA66)-(3*0.5),(($BA66)-(3*(VLOOKUP($X66,Übungsübersicht!$E$7:$M$83,3,FALSE))))))&lt;1,0,(IF(VLOOKUP($X66,Zyklus!$A$14:$U$68,9,FALSE)=0,"RPE 9",IF(VLOOKUP($X66,Übungsübersicht!$E$7:$M$83,3,FALSE)&lt;0.5,($BA66)-(3*0.5),(($BA66)-(3*(VLOOKUP($X66,Übungsübersicht!$E$7:$M$83,3,FALSE)))))))),"RPE 9")</f>
        <v>RPE 9</v>
      </c>
      <c r="BD66" s="652" t="str">
        <f ca="1">IFERROR(IF(IF(VLOOKUP($X66,Zyklus!$A$14:$U$68,9,FALSE)=0,"RPE 9",IF(VLOOKUP($X66,Übungsübersicht!$E$7:$M$83,3,FALSE)&lt;0.5,($BA66)-(2*0.5),(($BA66)-(2*(VLOOKUP($X66,Übungsübersicht!$E$7:$M$83,3,FALSE))))))&lt;1,0,(IF(VLOOKUP($X66,Zyklus!$A$14:$U$68,9,FALSE)=0,"RPE 9",IF(VLOOKUP($X66,Übungsübersicht!$E$7:$M$83,3,FALSE)&lt;0.5,($BA66)-(2*0.5),(($BA66)-(2*(VLOOKUP($X66,Übungsübersicht!$E$7:$M$83,3,FALSE)))))))),"RPE 9")</f>
        <v>RPE 9</v>
      </c>
      <c r="BE66" s="652" t="str">
        <f ca="1">IFERROR(IF(IF(VLOOKUP($X66,Zyklus!$A$14:$U$68,9,FALSE)=0,"RPE 9",IF(VLOOKUP($X66,Übungsübersicht!$E$7:$M$83,3,FALSE)&lt;0.5,($BA66)-(1*0.5),(($Y66)-(1*(VLOOKUP($X66,Übungsübersicht!$E$7:$M$83,3,FALSE))))))&lt;1,0,(IF(VLOOKUP($X66,Zyklus!$A$14:$U$68,9,FALSE)=0,"RPE 9",IF(VLOOKUP($X66,Übungsübersicht!$E$7:$M$83,3,FALSE)&lt;0.5,($BA66)-(1*0.5),(($Y66)-(1*(VLOOKUP($X66,Übungsübersicht!$E$7:$M$83,3,FALSE)))))))),"RPE 9")</f>
        <v>RPE 9</v>
      </c>
      <c r="BF66" s="652" t="str">
        <f t="shared" ca="1" si="1"/>
        <v>RPE 9</v>
      </c>
      <c r="BG66" s="652" t="str">
        <f ca="1">IFERROR(IF(VLOOKUP($X66,Zyklus!$A$14:$U$68,9,FALSE)=0,"RPE 9",IF(VLOOKUP($X66,Übungsübersicht!$E$7:$M$83,3,FALSE)&lt;0.5,($AY66)+(1*0.5),(($AY66)+(1*(VLOOKUP($X66,Übungsübersicht!$E$7:$M$83,3,FALSE)))))),"RPE 9")</f>
        <v>RPE 9</v>
      </c>
      <c r="BH66" s="652" t="str">
        <f ca="1">IFERROR(IF(VLOOKUP($X66,Zyklus!$A$14:$U$68,9,FALSE)=0,"RPE 9",IF(VLOOKUP($X66,Übungsübersicht!$E$7:$M$83,3,FALSE)&lt;0.5,($BA66)+(2*0.5),(($BA66)+(2*(VLOOKUP($X66,Übungsübersicht!$E$7:$M$83,3,FALSE)))))),"RPE 9")</f>
        <v>RPE 9</v>
      </c>
      <c r="BI66" s="652" t="str">
        <f ca="1">IFERROR(IF(VLOOKUP($X66,Zyklus!$A$14:$U$68,9,FALSE)=0,"RPE 9",IF(VLOOKUP($X66,Übungsübersicht!$E$7:$M$83,3,FALSE)&lt;0.5,($BA66)+(3*0.5),(($BA66)+(3*(VLOOKUP($X66,Übungsübersicht!$E$7:$M$83,3,FALSE)))))),"RPE 9")</f>
        <v>RPE 9</v>
      </c>
    </row>
    <row r="67" spans="8:61" ht="30" customHeight="1">
      <c r="H67" s="326">
        <v>46</v>
      </c>
      <c r="I67" s="323">
        <f t="shared" si="5"/>
        <v>47.368421052631582</v>
      </c>
      <c r="J67" s="344">
        <f t="shared" si="4"/>
        <v>0.39473684210526316</v>
      </c>
      <c r="X67" s="651">
        <f ca="1">INDEX(OFFSET(Zyklus!$A$13,64,0),1)</f>
        <v>0</v>
      </c>
      <c r="Y67" s="652" t="e">
        <f ca="1">MROUND(INDEX(OFFSET(Zyklus!$I$13,64,0),1),(IF(VLOOKUP($X67,Übungsübersicht!$E$7:$K$80,3)=0,0.1,(VLOOKUP($X67,Übungsübersicht!$E$7:$K$80,3)))))</f>
        <v>#N/A</v>
      </c>
      <c r="Z67" s="652"/>
      <c r="AA67" s="652" t="e">
        <f ca="1">IFERROR(IF($Y67=0,2*(VLOOKUP($X67,Übungsübersicht!$E$7:$M$83,3,FALSE)),IF($Y67&gt;100,(MROUND(($Y67*0.1),(VLOOKUP($X67,Übungsübersicht!$E$7:$M$83,3,FALSE)))),IF($Y67&gt;80,(MROUND(($Y67*0.1),(VLOOKUP($X67,Übungsübersicht!$E$7:$M$83,3,FALSE)))),IF($Y67&gt;50,(MROUND(($Y67*0.2),(VLOOKUP($X67,Übungsübersicht!$E$7:$M$83,3,FALSE)))),IF($Y67&gt;25,(MROUND(($Y67*0.3),(VLOOKUP($X67,Übungsübersicht!$E$7:$M$83,3,FALSE)))),IF($Y67&gt;15,(MROUND(($Y67*0.4),(VLOOKUP($X67,Übungsübersicht!$E$7:$M$83,3,FALSE)))),IF($Y67&gt;(VLOOKUP($X67,Übungsübersicht!$E$7:$M$83,3,FALSE)),(VLOOKUP($X67,Übungsübersicht!$E$7:$M$83,3,FALSE)),""))))))),2*(VLOOKUP($X67,Übungsübersicht!$E$7:$M$83,3,FALSE)))</f>
        <v>#N/A</v>
      </c>
      <c r="AB67" s="652" t="e">
        <f ca="1">IFERROR(IF($Y67=0,4*(VLOOKUP($X67,Übungsübersicht!$E$7:$M$83,3,FALSE)),IF($Y67&gt;100,(MROUND(($Y67*0.3),(VLOOKUP($X67,Übungsübersicht!$E$7:$M$83,3,FALSE)))),IF($Y67&gt;80,(MROUND(($Y67*0.3),(VLOOKUP($X67,Übungsübersicht!$E$7:$M$83,3,FALSE)))),IF($Y67&gt;50,(MROUND(($Y67*0.4),(VLOOKUP($X67,Übungsübersicht!$E$7:$M$83,3,FALSE)))),IF($Y67&gt;25,(MROUND(($Y67*0.5),(VLOOKUP($X67,Übungsübersicht!$E$7:$M$83,3,FALSE)))),IF($Y67&gt;15,(MROUND(($Y67*0.6),(VLOOKUP($X67,Übungsübersicht!$E$7:$M$83,3,FALSE)))),IF($Y67&gt;(VLOOKUP($X67,Übungsübersicht!$E$7:$M$83,3,FALSE)),(VLOOKUP($X67,Übungsübersicht!$E$7:$M$83,3,FALSE)),""))))))),4*(VLOOKUP($X67,Übungsübersicht!$E$7:$M$83,3,FALSE)))</f>
        <v>#N/A</v>
      </c>
      <c r="AC67" s="652" t="e">
        <f ca="1">IFERROR((IF($Y67=0,8*(VLOOKUP($X67,Übungsübersicht!$E$7:$M$83,3,FALSE)),(($Y67)-(3*(VLOOKUP($X67,Übungsübersicht!$E$7:$M$83,3,FALSE)))))),8*(VLOOKUP($X67,Übungsübersicht!$E$7:$M$83,3,FALSE)))</f>
        <v>#N/A</v>
      </c>
      <c r="AD67" s="652" t="e">
        <f ca="1">IFERROR(((IF($Y67=0,10*(VLOOKUP($X67,Übungsübersicht!$E$7:$M$83,3,FALSE)),($Y67)-(2*(VLOOKUP($X67,Übungsübersicht!$E$7:$M$83,3,FALSE)))))),10*(VLOOKUP($X67,Übungsübersicht!$E$7:$M$83,3,FALSE)))</f>
        <v>#N/A</v>
      </c>
      <c r="AE67" s="652" t="e">
        <f ca="1">IFERROR(((IF($Y67=0,10*(VLOOKUP($X67,Übungsübersicht!$E$7:$M$83,3,FALSE)),($Y67)-(1*(VLOOKUP($X67,Übungsübersicht!$E$7:$M$83,3,FALSE)))))),10*(VLOOKUP($X67,Übungsübersicht!$E$7:$M$83,3,FALSE)))</f>
        <v>#N/A</v>
      </c>
      <c r="AF67" s="652" t="e">
        <f ca="1">IFERROR(IF($Y67=0,20*(VLOOKUP($X67,Übungsübersicht!$E$7:$M$83,3,FALSE)),($Y67)),20*(VLOOKUP($X67,Übungsübersicht!$E$7:$M$83,3,FALSE)))</f>
        <v>#N/A</v>
      </c>
      <c r="AG67" s="652" t="e">
        <f ca="1">IFERROR(IF($Y67=0,30*(VLOOKUP($X67,Übungsübersicht!$E$7:$M$83,3,FALSE)),($Y67)+(1*(VLOOKUP($X67,Übungsübersicht!$E$7:$M$83,3,FALSE)))),30*(VLOOKUP($X67,Übungsübersicht!$E$7:$M$83,3,FALSE)))</f>
        <v>#N/A</v>
      </c>
      <c r="AH67" s="652" t="e">
        <f ca="1">IFERROR(IF($Y67=0,30*(VLOOKUP($X67,Übungsübersicht!$E$7:$M$83,3,FALSE)),($Y67)+(2*(VLOOKUP($X67,Übungsübersicht!$E$7:$M$83,3,FALSE)))),30*(VLOOKUP($X67,Übungsübersicht!$E$7:$M$83,3,FALSE)))</f>
        <v>#N/A</v>
      </c>
      <c r="AI67" s="652" t="e">
        <f ca="1">IFERROR(IF($Y67=0,30*(VLOOKUP($X67,Übungsübersicht!$E$7:$M$83,3,FALSE)),($Y67)+(3*(VLOOKUP($X67,Übungsübersicht!$E$7:$M$83,3,FALSE)))),30*(VLOOKUP($X67,Übungsübersicht!$E$7:$M$83,3,FALSE)))</f>
        <v>#N/A</v>
      </c>
      <c r="AJ67" s="652" t="e">
        <f ca="1">IFERROR(IF($Y67=0,40*(VLOOKUP($X67,Übungsübersicht!$E$7:$M$83,3,FALSE)),IF($Y67&gt;100,(MROUND(($Y67*1.7),(VLOOKUP($X67,Übungsübersicht!$E$7:$M$83,3,FALSE)))),IF($Y67&gt;80,(MROUND(($Y67*1.7),(VLOOKUP($X67,Übungsübersicht!$E$7:$M$83,3,FALSE)))),IF($Y67&gt;50,(MROUND(($Y67*1.6),(VLOOKUP($X67,Übungsübersicht!$E$7:$M$83,3,FALSE)))),IF($Y67&gt;25,(MROUND(($Y67*1.5),(VLOOKUP($X67,Übungsübersicht!$E$7:$M$83,3,FALSE)))),IF($Y67&gt;15,(MROUND(($Y67*1.4),(VLOOKUP($X67,Übungsübersicht!$E$7:$M$83,3,FALSE)))),IF($Y67&gt;(VLOOKUP($X67,Übungsübersicht!$E$7:$M$83,3,FALSE)),30*(VLOOKUP($X67,Übungsübersicht!$E$7:$M$83,3,FALSE)),""))))))),40*(VLOOKUP($X67,Übungsübersicht!$E$7:$M$83,3,FALSE)))</f>
        <v>#N/A</v>
      </c>
      <c r="AK67" s="653" t="e">
        <f ca="1">IFERROR(IF($Y67=0,50*(VLOOKUP($X67,Übungsübersicht!$E$7:$M$83,3,FALSE)),IF($Y67&gt;100,(MROUND(($Y67*1.9),(VLOOKUP($X67,Übungsübersicht!$E$7:$M$83,3,FALSE)))),IF($Y67&gt;80,(MROUND(($Y67*1.9),(VLOOKUP($X67,Übungsübersicht!$E$7:$M$83,3,FALSE)))),IF($Y67&gt;50,(MROUND(($Y67*1.8),(VLOOKUP($X67,Übungsübersicht!$E$7:$M$83,3,FALSE)))),IF($Y67&gt;25,(MROUND(($Y67*1.7),(VLOOKUP($X67,Übungsübersicht!$E$7:$M$83,3,FALSE)))),IF($Y67&gt;15,(MROUND(($Y67*1.6),(VLOOKUP($X67,Übungsübersicht!$E$7:$M$83,3,FALSE)))),IF($Y67&gt;(VLOOKUP($X67,Übungsübersicht!$E$7:$M$83,3,FALSE)),40*(VLOOKUP($X67,Übungsübersicht!$E$7:$M$83,3,FALSE)),""))))))),50*(VLOOKUP($X67,Übungsübersicht!$E$7:$M$83,3,FALSE)))</f>
        <v>#N/A</v>
      </c>
      <c r="AN67" s="652" t="e">
        <f ca="1">MROUND(INDEX(OFFSET(Zyklus!$M$13,64,0),1),(IF(VLOOKUP($X67,Übungsübersicht!$E$7:$K$80,3)=0,0.1,(VLOOKUP($X67,Übungsübersicht!$E$7:$K$80,3)))))</f>
        <v>#N/A</v>
      </c>
      <c r="AP67" s="655" t="str">
        <f ca="1">IFERROR(IF(IF(VLOOKUP($X67,Zyklus!$A$14:$U$68,9,FALSE)=0,"RPE 8",IF(VLOOKUP($X67,Übungsübersicht!$E$7:$M$83,3,FALSE)&lt;0.5,($AN67)-(3*0.5),(($AN67)-(3*(VLOOKUP($X67,Übungsübersicht!$E$7:$M$83,3,FALSE))))))&lt;1,0,(IF(VLOOKUP($X67,Zyklus!$A$14:$U$68,9,FALSE)=0,"RPE 8",IF(VLOOKUP($X67,Übungsübersicht!$E$7:$M$83,3,FALSE)&lt;0.5,($AN67)-(3*0.5),(($AN67)-(3*(VLOOKUP($X67,Übungsübersicht!$E$7:$M$83,3,FALSE)))))))),"RPE 8")</f>
        <v>RPE 8</v>
      </c>
      <c r="AQ67" s="655" t="str">
        <f ca="1">IFERROR(IF(IF(VLOOKUP($X67,Zyklus!$A$14:$U$68,9,FALSE)=0,"RPE 8",IF(VLOOKUP($X67,Übungsübersicht!$E$7:$M$83,3,FALSE)&lt;0.5,($AN67)-(2*0.5),(($AN67)-(2*(VLOOKUP($X67,Übungsübersicht!$E$7:$M$83,3,FALSE))))))&lt;1,0,(IF(VLOOKUP($X67,Zyklus!$A$14:$U$68,9,FALSE)=0,"RPE 8",IF(VLOOKUP($X67,Übungsübersicht!$E$7:$M$83,3,FALSE)&lt;0.5,($AN67)-(2*0.5),(($AN67)-(2*(VLOOKUP($X67,Übungsübersicht!$E$7:$M$83,3,FALSE)))))))),"RPE 8")</f>
        <v>RPE 8</v>
      </c>
      <c r="AR67" s="655" t="str">
        <f ca="1">IFERROR(IF(IF(VLOOKUP($X67,Zyklus!$A$14:$U$68,9,FALSE)=0,"RPE 8",IF(VLOOKUP($X67,Übungsübersicht!$E$7:$M$83,3,FALSE)&lt;0.5,($AN67)-(1*0.5),(($Y67)-(1*(VLOOKUP($X67,Übungsübersicht!$E$7:$M$83,3,FALSE))))))&lt;1,0,(IF(VLOOKUP($X67,Zyklus!$A$14:$U$68,9,FALSE)=0,"RPE 8",IF(VLOOKUP($X67,Übungsübersicht!$E$7:$M$83,3,FALSE)&lt;0.5,($AN67)-(1*0.5),(($Y67)-(1*(VLOOKUP($X67,Übungsübersicht!$E$7:$M$83,3,FALSE)))))))),"RPE 8")</f>
        <v>RPE 8</v>
      </c>
      <c r="AS67" s="655" t="str">
        <f t="shared" ca="1" si="0"/>
        <v>RPE 8</v>
      </c>
      <c r="AT67" s="655" t="str">
        <f ca="1">IFERROR(IF(VLOOKUP($X67,Zyklus!$A$14:$U$68,9,FALSE)=0,"RPE 8",IF(VLOOKUP($X67,Übungsübersicht!$E$7:$M$83,3,FALSE)&lt;0.5,($AN67)+(1*0.5),(($Y67)+(1*(VLOOKUP($X67,Übungsübersicht!$E$7:$M$83,3,FALSE)))))),"RPE 8")</f>
        <v>RPE 8</v>
      </c>
      <c r="AU67" s="655" t="str">
        <f ca="1">IFERROR(IF(VLOOKUP($X67,Zyklus!$A$14:$U$68,9,FALSE)=0,"RPE 8",IF(VLOOKUP($X67,Übungsübersicht!$E$7:$M$83,3,FALSE)&lt;0.5,($AN67)+(2*0.5),(($AN67)+(2*(VLOOKUP($X67,Übungsübersicht!$E$7:$M$83,3,FALSE)))))),"RPE 8")</f>
        <v>RPE 8</v>
      </c>
      <c r="AV67" s="655" t="str">
        <f ca="1">IFERROR(IF(VLOOKUP($X67,Zyklus!$A$14:$U$68,9,FALSE)=0,"RPE 8",IF(VLOOKUP($X67,Übungsübersicht!$E$7:$M$83,3,FALSE)&lt;0.5,($AN67)+(3*0.5),(($AN67)+(3*(VLOOKUP($X67,Übungsübersicht!$E$7:$M$83,3,FALSE)))))),"RPE 8")</f>
        <v>RPE 8</v>
      </c>
      <c r="AY67" s="652" t="e">
        <f ca="1">MROUND(INDEX(OFFSET(Zyklus!$M$13,64,0),1),(IF(VLOOKUP($X67,Übungsübersicht!$E$7:$K$80,3)=0,0.1,(VLOOKUP($X67,Übungsübersicht!$E$7:$K$80,3)))))</f>
        <v>#N/A</v>
      </c>
      <c r="BA67" s="655" t="e">
        <f ca="1">MROUND(INDEX(OFFSET(Zyklus!$Q$13,64,0),1),(IF(VLOOKUP($X67,Übungsübersicht!$E$7:$K$80,3)=0,0.1,(VLOOKUP($X67,Übungsübersicht!$E$7:$K$80,3)))))</f>
        <v>#N/A</v>
      </c>
      <c r="BC67" s="655" t="str">
        <f ca="1">IFERROR(IF(IF(VLOOKUP($X67,Zyklus!$A$14:$U$68,9,FALSE)=0,"RPE 9",IF(VLOOKUP($X67,Übungsübersicht!$E$7:$M$83,3,FALSE)&lt;0.5,($BA67)-(3*0.5),(($BA67)-(3*(VLOOKUP($X67,Übungsübersicht!$E$7:$M$83,3,FALSE))))))&lt;1,0,(IF(VLOOKUP($X67,Zyklus!$A$14:$U$68,9,FALSE)=0,"RPE 9",IF(VLOOKUP($X67,Übungsübersicht!$E$7:$M$83,3,FALSE)&lt;0.5,($BA67)-(3*0.5),(($BA67)-(3*(VLOOKUP($X67,Übungsübersicht!$E$7:$M$83,3,FALSE)))))))),"RPE 9")</f>
        <v>RPE 9</v>
      </c>
      <c r="BD67" s="655" t="str">
        <f ca="1">IFERROR(IF(IF(VLOOKUP($X67,Zyklus!$A$14:$U$68,9,FALSE)=0,"RPE 9",IF(VLOOKUP($X67,Übungsübersicht!$E$7:$M$83,3,FALSE)&lt;0.5,($BA67)-(2*0.5),(($BA67)-(2*(VLOOKUP($X67,Übungsübersicht!$E$7:$M$83,3,FALSE))))))&lt;1,0,(IF(VLOOKUP($X67,Zyklus!$A$14:$U$68,9,FALSE)=0,"RPE 9",IF(VLOOKUP($X67,Übungsübersicht!$E$7:$M$83,3,FALSE)&lt;0.5,($BA67)-(2*0.5),(($BA67)-(2*(VLOOKUP($X67,Übungsübersicht!$E$7:$M$83,3,FALSE)))))))),"RPE 9")</f>
        <v>RPE 9</v>
      </c>
      <c r="BE67" s="655" t="str">
        <f ca="1">IFERROR(IF(IF(VLOOKUP($X67,Zyklus!$A$14:$U$68,9,FALSE)=0,"RPE 9",IF(VLOOKUP($X67,Übungsübersicht!$E$7:$M$83,3,FALSE)&lt;0.5,($BA67)-(1*0.5),(($Y67)-(1*(VLOOKUP($X67,Übungsübersicht!$E$7:$M$83,3,FALSE))))))&lt;1,0,(IF(VLOOKUP($X67,Zyklus!$A$14:$U$68,9,FALSE)=0,"RPE 9",IF(VLOOKUP($X67,Übungsübersicht!$E$7:$M$83,3,FALSE)&lt;0.5,($BA67)-(1*0.5),(($Y67)-(1*(VLOOKUP($X67,Übungsübersicht!$E$7:$M$83,3,FALSE)))))))),"RPE 9")</f>
        <v>RPE 9</v>
      </c>
      <c r="BF67" s="655" t="str">
        <f t="shared" ca="1" si="1"/>
        <v>RPE 9</v>
      </c>
      <c r="BG67" s="655" t="str">
        <f ca="1">IFERROR(IF(VLOOKUP($X67,Zyklus!$A$14:$U$68,9,FALSE)=0,"RPE 9",IF(VLOOKUP($X67,Übungsübersicht!$E$7:$M$83,3,FALSE)&lt;0.5,($AY67)+(1*0.5),(($AY67)+(1*(VLOOKUP($X67,Übungsübersicht!$E$7:$M$83,3,FALSE)))))),"RPE 9")</f>
        <v>RPE 9</v>
      </c>
      <c r="BH67" s="655" t="str">
        <f ca="1">IFERROR(IF(VLOOKUP($X67,Zyklus!$A$14:$U$68,9,FALSE)=0,"RPE 9",IF(VLOOKUP($X67,Übungsübersicht!$E$7:$M$83,3,FALSE)&lt;0.5,($BA67)+(2*0.5),(($BA67)+(2*(VLOOKUP($X67,Übungsübersicht!$E$7:$M$83,3,FALSE)))))),"RPE 9")</f>
        <v>RPE 9</v>
      </c>
      <c r="BI67" s="655" t="str">
        <f ca="1">IFERROR(IF(VLOOKUP($X67,Zyklus!$A$14:$U$68,9,FALSE)=0,"RPE 9",IF(VLOOKUP($X67,Übungsübersicht!$E$7:$M$83,3,FALSE)&lt;0.5,($BA67)+(3*0.5),(($BA67)+(3*(VLOOKUP($X67,Übungsübersicht!$E$7:$M$83,3,FALSE)))))),"RPE 9")</f>
        <v>RPE 9</v>
      </c>
    </row>
    <row r="68" spans="8:61" ht="30" customHeight="1">
      <c r="H68" s="326">
        <v>47</v>
      </c>
      <c r="I68" s="323">
        <f t="shared" si="5"/>
        <v>46.753246753246756</v>
      </c>
      <c r="J68" s="344">
        <f t="shared" si="4"/>
        <v>0.38961038961038963</v>
      </c>
      <c r="Q68" s="871"/>
      <c r="R68" s="871"/>
      <c r="S68" s="871" t="str">
        <f>IF(AND(Dashboard!$C$46="OK/UK",VALUE(LEFT(Dashboard!$C$48,1))&lt;=1),"OK",IF(AND(Dashboard!$C$46="OK/UK",VALUE(LEFT(Dashboard!$C$48,1))&lt;=2),"OK 1",IF(AND(Dashboard!$C$46="OK/UK",VALUE(LEFT(Dashboard!$C$48,1))&lt;=3),"OK 1",IF(AND(Dashboard!$C$46="OK/UK/OK+",VALUE(LEFT(Dashboard!$C$48,1))&lt;=1),"OK",IF(AND(Dashboard!$C$46="OK/UK/OK+",VALUE(LEFT(Dashboard!$C$48,1))&lt;=2),"OK 1",IF(AND(Dashboard!$C$46="OK/UK/OK+",VALUE(LEFT(Dashboard!$C$48,1))&lt;=3),"OK 1",IF(AND(Dashboard!$C$46="PUSH/PULL/BEINE",VALUE(LEFT(Dashboard!$C$48,1))&lt;=1),"PUSH",IF(AND(Dashboard!$C$46="PUSH/PULL/BEINE",VALUE(LEFT(Dashboard!$C$48,1))&lt;=2),"PUSH 1",IF(AND(Dashboard!$C$46="PUSH/PULL/BEINE",VALUE(LEFT(Dashboard!$C$48,1))&lt;=3),"PUSH 1",IF(AND(Dashboard!$C$46="PUSH/PULL",VALUE(LEFT(Dashboard!$C$48,1))&lt;=1),"PUSH",IF(AND(Dashboard!$C$46="PUSH/PULL",VALUE(LEFT(Dashboard!$C$48,1))&lt;=2),"PUSH 1",IF(AND(Dashboard!$C$46="PUSH/PULL",VALUE(LEFT(Dashboard!$C$48,1))&lt;=3),"PUSH 1",IF(AND(Dashboard!$C$46="GK",VALUE(LEFT(Dashboard!$C$48,1))&lt;=1),"GK",IF(AND(Dashboard!$C$46="GK",VALUE(LEFT(Dashboard!$C$48,1))&lt;=2),"GK 1",IF(AND(Dashboard!$C$46="GK",VALUE(LEFT(Dashboard!$C$48,1))&lt;=3),"GK 1",IF(AND(Dashboard!$C$46="GK",VALUE(LEFT(Dashboard!$C$48,1))&lt;=4),"GK 1",""))))))))))))))))</f>
        <v>OK 1</v>
      </c>
      <c r="X68" s="654">
        <f ca="1">INDEX(OFFSET(Zyklus!$A$13,65,0),1)</f>
        <v>0</v>
      </c>
      <c r="Y68" s="655" t="e">
        <f ca="1">MROUND(INDEX(OFFSET(Zyklus!$I$13,65,0),1),(IF(VLOOKUP($X68,Übungsübersicht!$E$7:$K$80,3)=0,0.1,(VLOOKUP($X68,Übungsübersicht!$E$7:$K$80,3)))))</f>
        <v>#VALUE!</v>
      </c>
      <c r="Z68" s="655"/>
      <c r="AA68" s="655" t="e">
        <f ca="1">IFERROR(IF($Y68=0,2*(VLOOKUP($X68,Übungsübersicht!$E$7:$M$83,3,FALSE)),IF($Y68&gt;100,(MROUND(($Y68*0.1),(VLOOKUP($X68,Übungsübersicht!$E$7:$M$83,3,FALSE)))),IF($Y68&gt;80,(MROUND(($Y68*0.1),(VLOOKUP($X68,Übungsübersicht!$E$7:$M$83,3,FALSE)))),IF($Y68&gt;50,(MROUND(($Y68*0.2),(VLOOKUP($X68,Übungsübersicht!$E$7:$M$83,3,FALSE)))),IF($Y68&gt;25,(MROUND(($Y68*0.3),(VLOOKUP($X68,Übungsübersicht!$E$7:$M$83,3,FALSE)))),IF($Y68&gt;15,(MROUND(($Y68*0.4),(VLOOKUP($X68,Übungsübersicht!$E$7:$M$83,3,FALSE)))),IF($Y68&gt;(VLOOKUP($X68,Übungsübersicht!$E$7:$M$83,3,FALSE)),(VLOOKUP($X68,Übungsübersicht!$E$7:$M$83,3,FALSE)),""))))))),2*(VLOOKUP($X68,Übungsübersicht!$E$7:$M$83,3,FALSE)))</f>
        <v>#N/A</v>
      </c>
      <c r="AB68" s="655" t="e">
        <f ca="1">IFERROR(IF($Y68=0,4*(VLOOKUP($X68,Übungsübersicht!$E$7:$M$83,3,FALSE)),IF($Y68&gt;100,(MROUND(($Y68*0.3),(VLOOKUP($X68,Übungsübersicht!$E$7:$M$83,3,FALSE)))),IF($Y68&gt;80,(MROUND(($Y68*0.3),(VLOOKUP($X68,Übungsübersicht!$E$7:$M$83,3,FALSE)))),IF($Y68&gt;50,(MROUND(($Y68*0.4),(VLOOKUP($X68,Übungsübersicht!$E$7:$M$83,3,FALSE)))),IF($Y68&gt;25,(MROUND(($Y68*0.5),(VLOOKUP($X68,Übungsübersicht!$E$7:$M$83,3,FALSE)))),IF($Y68&gt;15,(MROUND(($Y68*0.6),(VLOOKUP($X68,Übungsübersicht!$E$7:$M$83,3,FALSE)))),IF($Y68&gt;(VLOOKUP($X68,Übungsübersicht!$E$7:$M$83,3,FALSE)),(VLOOKUP($X68,Übungsübersicht!$E$7:$M$83,3,FALSE)),""))))))),4*(VLOOKUP($X68,Übungsübersicht!$E$7:$M$83,3,FALSE)))</f>
        <v>#N/A</v>
      </c>
      <c r="AC68" s="655" t="e">
        <f ca="1">IFERROR((IF($Y68=0,8*(VLOOKUP($X68,Übungsübersicht!$E$7:$M$83,3,FALSE)),(($Y68)-(3*(VLOOKUP($X68,Übungsübersicht!$E$7:$M$83,3,FALSE)))))),8*(VLOOKUP($X68,Übungsübersicht!$E$7:$M$83,3,FALSE)))</f>
        <v>#N/A</v>
      </c>
      <c r="AD68" s="655" t="e">
        <f ca="1">IFERROR(((IF($Y68=0,10*(VLOOKUP($X68,Übungsübersicht!$E$7:$M$83,3,FALSE)),($Y68)-(2*(VLOOKUP($X68,Übungsübersicht!$E$7:$M$83,3,FALSE)))))),10*(VLOOKUP($X68,Übungsübersicht!$E$7:$M$83,3,FALSE)))</f>
        <v>#N/A</v>
      </c>
      <c r="AE68" s="655" t="e">
        <f ca="1">IFERROR(((IF($Y68=0,10*(VLOOKUP($X68,Übungsübersicht!$E$7:$M$83,3,FALSE)),($Y68)-(1*(VLOOKUP($X68,Übungsübersicht!$E$7:$M$83,3,FALSE)))))),10*(VLOOKUP($X68,Übungsübersicht!$E$7:$M$83,3,FALSE)))</f>
        <v>#N/A</v>
      </c>
      <c r="AF68" s="655" t="e">
        <f ca="1">IFERROR(IF($Y68=0,20*(VLOOKUP($X68,Übungsübersicht!$E$7:$M$83,3,FALSE)),($Y68)),20*(VLOOKUP($X68,Übungsübersicht!$E$7:$M$83,3,FALSE)))</f>
        <v>#N/A</v>
      </c>
      <c r="AG68" s="655" t="e">
        <f ca="1">IFERROR(IF($Y68=0,30*(VLOOKUP($X68,Übungsübersicht!$E$7:$M$83,3,FALSE)),($Y68)+(1*(VLOOKUP($X68,Übungsübersicht!$E$7:$M$83,3,FALSE)))),30*(VLOOKUP($X68,Übungsübersicht!$E$7:$M$83,3,FALSE)))</f>
        <v>#N/A</v>
      </c>
      <c r="AH68" s="655" t="e">
        <f ca="1">IFERROR(IF($Y68=0,30*(VLOOKUP($X68,Übungsübersicht!$E$7:$M$83,3,FALSE)),($Y68)+(2*(VLOOKUP($X68,Übungsübersicht!$E$7:$M$83,3,FALSE)))),30*(VLOOKUP($X68,Übungsübersicht!$E$7:$M$83,3,FALSE)))</f>
        <v>#N/A</v>
      </c>
      <c r="AI68" s="655" t="e">
        <f ca="1">IFERROR(IF($Y68=0,30*(VLOOKUP($X68,Übungsübersicht!$E$7:$M$83,3,FALSE)),($Y68)+(3*(VLOOKUP($X68,Übungsübersicht!$E$7:$M$83,3,FALSE)))),30*(VLOOKUP($X68,Übungsübersicht!$E$7:$M$83,3,FALSE)))</f>
        <v>#N/A</v>
      </c>
      <c r="AJ68" s="655" t="e">
        <f ca="1">IFERROR(IF($Y68=0,40*(VLOOKUP($X68,Übungsübersicht!$E$7:$M$83,3,FALSE)),IF($Y68&gt;100,(MROUND(($Y68*1.7),(VLOOKUP($X68,Übungsübersicht!$E$7:$M$83,3,FALSE)))),IF($Y68&gt;80,(MROUND(($Y68*1.7),(VLOOKUP($X68,Übungsübersicht!$E$7:$M$83,3,FALSE)))),IF($Y68&gt;50,(MROUND(($Y68*1.6),(VLOOKUP($X68,Übungsübersicht!$E$7:$M$83,3,FALSE)))),IF($Y68&gt;25,(MROUND(($Y68*1.5),(VLOOKUP($X68,Übungsübersicht!$E$7:$M$83,3,FALSE)))),IF($Y68&gt;15,(MROUND(($Y68*1.4),(VLOOKUP($X68,Übungsübersicht!$E$7:$M$83,3,FALSE)))),IF($Y68&gt;(VLOOKUP($X68,Übungsübersicht!$E$7:$M$83,3,FALSE)),30*(VLOOKUP($X68,Übungsübersicht!$E$7:$M$83,3,FALSE)),""))))))),40*(VLOOKUP($X68,Übungsübersicht!$E$7:$M$83,3,FALSE)))</f>
        <v>#N/A</v>
      </c>
      <c r="AK68" s="656" t="e">
        <f ca="1">IFERROR(IF($Y68=0,50*(VLOOKUP($X68,Übungsübersicht!$E$7:$M$83,3,FALSE)),IF($Y68&gt;100,(MROUND(($Y68*1.9),(VLOOKUP($X68,Übungsübersicht!$E$7:$M$83,3,FALSE)))),IF($Y68&gt;80,(MROUND(($Y68*1.9),(VLOOKUP($X68,Übungsübersicht!$E$7:$M$83,3,FALSE)))),IF($Y68&gt;50,(MROUND(($Y68*1.8),(VLOOKUP($X68,Übungsübersicht!$E$7:$M$83,3,FALSE)))),IF($Y68&gt;25,(MROUND(($Y68*1.7),(VLOOKUP($X68,Übungsübersicht!$E$7:$M$83,3,FALSE)))),IF($Y68&gt;15,(MROUND(($Y68*1.6),(VLOOKUP($X68,Übungsübersicht!$E$7:$M$83,3,FALSE)))),IF($Y68&gt;(VLOOKUP($X68,Übungsübersicht!$E$7:$M$83,3,FALSE)),40*(VLOOKUP($X68,Übungsübersicht!$E$7:$M$83,3,FALSE)),""))))))),50*(VLOOKUP($X68,Übungsübersicht!$E$7:$M$83,3,FALSE)))</f>
        <v>#N/A</v>
      </c>
      <c r="AN68" s="655" t="e">
        <f ca="1">MROUND(INDEX(OFFSET(Zyklus!$M$13,65,0),1),(IF(VLOOKUP($X68,Übungsübersicht!$E$7:$K$80,3)=0,0.1,(VLOOKUP($X68,Übungsübersicht!$E$7:$K$80,3)))))</f>
        <v>#VALUE!</v>
      </c>
      <c r="AP68" s="652" t="str">
        <f ca="1">IFERROR(IF(IF(VLOOKUP($X68,Zyklus!$A$14:$U$68,9,FALSE)=0,"RPE 8",IF(VLOOKUP($X68,Übungsübersicht!$E$7:$M$83,3,FALSE)&lt;0.5,($AN68)-(3*0.5),(($AN68)-(3*(VLOOKUP($X68,Übungsübersicht!$E$7:$M$83,3,FALSE))))))&lt;1,0,(IF(VLOOKUP($X68,Zyklus!$A$14:$U$68,9,FALSE)=0,"RPE 8",IF(VLOOKUP($X68,Übungsübersicht!$E$7:$M$83,3,FALSE)&lt;0.5,($AN68)-(3*0.5),(($AN68)-(3*(VLOOKUP($X68,Übungsübersicht!$E$7:$M$83,3,FALSE)))))))),"RPE 8")</f>
        <v>RPE 8</v>
      </c>
      <c r="AQ68" s="652" t="str">
        <f ca="1">IFERROR(IF(IF(VLOOKUP($X68,Zyklus!$A$14:$U$68,9,FALSE)=0,"RPE 8",IF(VLOOKUP($X68,Übungsübersicht!$E$7:$M$83,3,FALSE)&lt;0.5,($AN68)-(2*0.5),(($AN68)-(2*(VLOOKUP($X68,Übungsübersicht!$E$7:$M$83,3,FALSE))))))&lt;1,0,(IF(VLOOKUP($X68,Zyklus!$A$14:$U$68,9,FALSE)=0,"RPE 8",IF(VLOOKUP($X68,Übungsübersicht!$E$7:$M$83,3,FALSE)&lt;0.5,($AN68)-(2*0.5),(($AN68)-(2*(VLOOKUP($X68,Übungsübersicht!$E$7:$M$83,3,FALSE)))))))),"RPE 8")</f>
        <v>RPE 8</v>
      </c>
      <c r="AR68" s="652" t="str">
        <f ca="1">IFERROR(IF(IF(VLOOKUP($X68,Zyklus!$A$14:$U$68,9,FALSE)=0,"RPE 8",IF(VLOOKUP($X68,Übungsübersicht!$E$7:$M$83,3,FALSE)&lt;0.5,($AN68)-(1*0.5),(($Y68)-(1*(VLOOKUP($X68,Übungsübersicht!$E$7:$M$83,3,FALSE))))))&lt;1,0,(IF(VLOOKUP($X68,Zyklus!$A$14:$U$68,9,FALSE)=0,"RPE 8",IF(VLOOKUP($X68,Übungsübersicht!$E$7:$M$83,3,FALSE)&lt;0.5,($AN68)-(1*0.5),(($Y68)-(1*(VLOOKUP($X68,Übungsübersicht!$E$7:$M$83,3,FALSE)))))))),"RPE 8")</f>
        <v>RPE 8</v>
      </c>
      <c r="AS68" s="652" t="str">
        <f t="shared" ca="1" si="0"/>
        <v>RPE 8</v>
      </c>
      <c r="AT68" s="652" t="str">
        <f ca="1">IFERROR(IF(VLOOKUP($X68,Zyklus!$A$14:$U$68,9,FALSE)=0,"RPE 8",IF(VLOOKUP($X68,Übungsübersicht!$E$7:$M$83,3,FALSE)&lt;0.5,($AN68)+(1*0.5),(($Y68)+(1*(VLOOKUP($X68,Übungsübersicht!$E$7:$M$83,3,FALSE)))))),"RPE 8")</f>
        <v>RPE 8</v>
      </c>
      <c r="AU68" s="652" t="str">
        <f ca="1">IFERROR(IF(VLOOKUP($X68,Zyklus!$A$14:$U$68,9,FALSE)=0,"RPE 8",IF(VLOOKUP($X68,Übungsübersicht!$E$7:$M$83,3,FALSE)&lt;0.5,($AN68)+(2*0.5),(($AN68)+(2*(VLOOKUP($X68,Übungsübersicht!$E$7:$M$83,3,FALSE)))))),"RPE 8")</f>
        <v>RPE 8</v>
      </c>
      <c r="AV68" s="652" t="str">
        <f ca="1">IFERROR(IF(VLOOKUP($X68,Zyklus!$A$14:$U$68,9,FALSE)=0,"RPE 8",IF(VLOOKUP($X68,Übungsübersicht!$E$7:$M$83,3,FALSE)&lt;0.5,($AN68)+(3*0.5),(($AN68)+(3*(VLOOKUP($X68,Übungsübersicht!$E$7:$M$83,3,FALSE)))))),"RPE 8")</f>
        <v>RPE 8</v>
      </c>
      <c r="AY68" s="655" t="e">
        <f ca="1">MROUND(INDEX(OFFSET(Zyklus!$M$13,65,0),1),(IF(VLOOKUP($X68,Übungsübersicht!$E$7:$K$80,3)=0,0.1,(VLOOKUP($X68,Übungsübersicht!$E$7:$K$80,3)))))</f>
        <v>#VALUE!</v>
      </c>
      <c r="BA68" s="652" t="e">
        <f ca="1">MROUND(INDEX(OFFSET(Zyklus!$Q$13,65,0),1),(IF(VLOOKUP($X68,Übungsübersicht!$E$7:$K$80,3)=0,0.1,(VLOOKUP($X68,Übungsübersicht!$E$7:$K$80,3)))))</f>
        <v>#N/A</v>
      </c>
      <c r="BC68" s="652" t="str">
        <f ca="1">IFERROR(IF(IF(VLOOKUP($X68,Zyklus!$A$14:$U$68,9,FALSE)=0,"RPE 9",IF(VLOOKUP($X68,Übungsübersicht!$E$7:$M$83,3,FALSE)&lt;0.5,($BA68)-(3*0.5),(($BA68)-(3*(VLOOKUP($X68,Übungsübersicht!$E$7:$M$83,3,FALSE))))))&lt;1,0,(IF(VLOOKUP($X68,Zyklus!$A$14:$U$68,9,FALSE)=0,"RPE 9",IF(VLOOKUP($X68,Übungsübersicht!$E$7:$M$83,3,FALSE)&lt;0.5,($BA68)-(3*0.5),(($BA68)-(3*(VLOOKUP($X68,Übungsübersicht!$E$7:$M$83,3,FALSE)))))))),"RPE 9")</f>
        <v>RPE 9</v>
      </c>
      <c r="BD68" s="652" t="str">
        <f ca="1">IFERROR(IF(IF(VLOOKUP($X68,Zyklus!$A$14:$U$68,9,FALSE)=0,"RPE 9",IF(VLOOKUP($X68,Übungsübersicht!$E$7:$M$83,3,FALSE)&lt;0.5,($BA68)-(2*0.5),(($BA68)-(2*(VLOOKUP($X68,Übungsübersicht!$E$7:$M$83,3,FALSE))))))&lt;1,0,(IF(VLOOKUP($X68,Zyklus!$A$14:$U$68,9,FALSE)=0,"RPE 9",IF(VLOOKUP($X68,Übungsübersicht!$E$7:$M$83,3,FALSE)&lt;0.5,($BA68)-(2*0.5),(($BA68)-(2*(VLOOKUP($X68,Übungsübersicht!$E$7:$M$83,3,FALSE)))))))),"RPE 9")</f>
        <v>RPE 9</v>
      </c>
      <c r="BE68" s="652" t="str">
        <f ca="1">IFERROR(IF(IF(VLOOKUP($X68,Zyklus!$A$14:$U$68,9,FALSE)=0,"RPE 9",IF(VLOOKUP($X68,Übungsübersicht!$E$7:$M$83,3,FALSE)&lt;0.5,($BA68)-(1*0.5),(($Y68)-(1*(VLOOKUP($X68,Übungsübersicht!$E$7:$M$83,3,FALSE))))))&lt;1,0,(IF(VLOOKUP($X68,Zyklus!$A$14:$U$68,9,FALSE)=0,"RPE 9",IF(VLOOKUP($X68,Übungsübersicht!$E$7:$M$83,3,FALSE)&lt;0.5,($BA68)-(1*0.5),(($Y68)-(1*(VLOOKUP($X68,Übungsübersicht!$E$7:$M$83,3,FALSE)))))))),"RPE 9")</f>
        <v>RPE 9</v>
      </c>
      <c r="BF68" s="652" t="str">
        <f t="shared" ca="1" si="1"/>
        <v>RPE 9</v>
      </c>
      <c r="BG68" s="652" t="str">
        <f ca="1">IFERROR(IF(VLOOKUP($X68,Zyklus!$A$14:$U$68,9,FALSE)=0,"RPE 9",IF(VLOOKUP($X68,Übungsübersicht!$E$7:$M$83,3,FALSE)&lt;0.5,($AY68)+(1*0.5),(($AY68)+(1*(VLOOKUP($X68,Übungsübersicht!$E$7:$M$83,3,FALSE)))))),"RPE 9")</f>
        <v>RPE 9</v>
      </c>
      <c r="BH68" s="652" t="str">
        <f ca="1">IFERROR(IF(VLOOKUP($X68,Zyklus!$A$14:$U$68,9,FALSE)=0,"RPE 9",IF(VLOOKUP($X68,Übungsübersicht!$E$7:$M$83,3,FALSE)&lt;0.5,($BA68)+(2*0.5),(($BA68)+(2*(VLOOKUP($X68,Übungsübersicht!$E$7:$M$83,3,FALSE)))))),"RPE 9")</f>
        <v>RPE 9</v>
      </c>
      <c r="BI68" s="652" t="str">
        <f ca="1">IFERROR(IF(VLOOKUP($X68,Zyklus!$A$14:$U$68,9,FALSE)=0,"RPE 9",IF(VLOOKUP($X68,Übungsübersicht!$E$7:$M$83,3,FALSE)&lt;0.5,($BA68)+(3*0.5),(($BA68)+(3*(VLOOKUP($X68,Übungsübersicht!$E$7:$M$83,3,FALSE)))))),"RPE 9")</f>
        <v>RPE 9</v>
      </c>
    </row>
    <row r="69" spans="8:61" ht="30" customHeight="1">
      <c r="H69" s="326">
        <v>48</v>
      </c>
      <c r="I69" s="323">
        <f t="shared" si="5"/>
        <v>46.153846153846153</v>
      </c>
      <c r="J69" s="344">
        <f t="shared" si="4"/>
        <v>0.38461538461538464</v>
      </c>
      <c r="Q69" s="872"/>
      <c r="R69" s="872"/>
      <c r="S69" s="872" t="str">
        <f>IF(AND(Dashboard!$C$46="OK/UK",VALUE(LEFT(Dashboard!$C$48,1))&lt;=1),"UK",IF(AND(Dashboard!$C$46="OK/UK",VALUE(LEFT(Dashboard!$C$48,1))&lt;=2),"UK 1",IF(AND(Dashboard!$C$46="OK/UK",VALUE(LEFT(Dashboard!$C$48,1))&lt;=3),"UK 1",IF(AND(Dashboard!$C$46="OK/UK/OK+",VALUE(LEFT(Dashboard!$C$48,1))&lt;=1),"UK",IF(AND(Dashboard!$C$46="OK/UK/OK+",VALUE(LEFT(Dashboard!$C$48,1))&lt;=2),"UK 1",IF(AND(Dashboard!$C$46="OK/UK/OK+",VALUE(LEFT(Dashboard!$C$48,1))&lt;=3),"UK 1",IF(AND(Dashboard!$C$46="PUSH/PULL/BEINE",VALUE(LEFT(Dashboard!$C$48,1))&lt;=1),"PULL",IF(AND(Dashboard!$C$46="PUSH/PULL/BEINE",VALUE(LEFT(Dashboard!$C$48,1))&lt;=2),"PULL 1",IF(AND(Dashboard!$C$46="PUSH/PULL/BEINE",VALUE(LEFT(Dashboard!$C$48,1))&lt;=3),"PULL 1",IF(AND(Dashboard!$C$46="PUSH/PULL",VALUE(LEFT(Dashboard!$C$48,1))&lt;=1),"PULL",IF(AND(Dashboard!$C$46="PUSH/PULL",VALUE(LEFT(Dashboard!$C$48,1))&lt;=2),"PULL 1",IF(AND(Dashboard!$C$46="PUSH/PULL",VALUE(LEFT(Dashboard!$C$48,1))&lt;=3),"PULL 1",IF(AND(Dashboard!$C$46="GK",VALUE(LEFT(Dashboard!$C$48,1))&lt;=1),"Frei",IF(AND(Dashboard!$C$46="GK",VALUE(LEFT(Dashboard!$C$48,1))&lt;=2),"GK 2",IF(AND(Dashboard!$C$46="GK",VALUE(LEFT(Dashboard!$C$48,1))&lt;=3),"GK 2",IF(AND(Dashboard!$C$46="GK",VALUE(LEFT(Dashboard!$C$48,1))&lt;=4),"GK 2",""))))))))))))))))</f>
        <v>UK 1</v>
      </c>
      <c r="X69" s="651">
        <f ca="1">INDEX(OFFSET(Zyklus!$A$13,66,0),1)</f>
        <v>0</v>
      </c>
      <c r="Y69" s="652" t="e">
        <f ca="1">MROUND(INDEX(OFFSET(Zyklus!$I$13,66,0),1),(IF(VLOOKUP($X69,Übungsübersicht!$E$7:$K$80,3)=0,0.1,(VLOOKUP($X69,Übungsübersicht!$E$7:$K$80,3)))))</f>
        <v>#N/A</v>
      </c>
      <c r="Z69" s="652"/>
      <c r="AA69" s="652" t="e">
        <f ca="1">IFERROR(IF($Y69=0,2*(VLOOKUP($X69,Übungsübersicht!$E$7:$M$83,3,FALSE)),IF($Y69&gt;100,(MROUND(($Y69*0.1),(VLOOKUP($X69,Übungsübersicht!$E$7:$M$83,3,FALSE)))),IF($Y69&gt;80,(MROUND(($Y69*0.1),(VLOOKUP($X69,Übungsübersicht!$E$7:$M$83,3,FALSE)))),IF($Y69&gt;50,(MROUND(($Y69*0.2),(VLOOKUP($X69,Übungsübersicht!$E$7:$M$83,3,FALSE)))),IF($Y69&gt;25,(MROUND(($Y69*0.3),(VLOOKUP($X69,Übungsübersicht!$E$7:$M$83,3,FALSE)))),IF($Y69&gt;15,(MROUND(($Y69*0.4),(VLOOKUP($X69,Übungsübersicht!$E$7:$M$83,3,FALSE)))),IF($Y69&gt;(VLOOKUP($X69,Übungsübersicht!$E$7:$M$83,3,FALSE)),(VLOOKUP($X69,Übungsübersicht!$E$7:$M$83,3,FALSE)),""))))))),2*(VLOOKUP($X69,Übungsübersicht!$E$7:$M$83,3,FALSE)))</f>
        <v>#N/A</v>
      </c>
      <c r="AB69" s="652" t="e">
        <f ca="1">IFERROR(IF($Y69=0,4*(VLOOKUP($X69,Übungsübersicht!$E$7:$M$83,3,FALSE)),IF($Y69&gt;100,(MROUND(($Y69*0.3),(VLOOKUP($X69,Übungsübersicht!$E$7:$M$83,3,FALSE)))),IF($Y69&gt;80,(MROUND(($Y69*0.3),(VLOOKUP($X69,Übungsübersicht!$E$7:$M$83,3,FALSE)))),IF($Y69&gt;50,(MROUND(($Y69*0.4),(VLOOKUP($X69,Übungsübersicht!$E$7:$M$83,3,FALSE)))),IF($Y69&gt;25,(MROUND(($Y69*0.5),(VLOOKUP($X69,Übungsübersicht!$E$7:$M$83,3,FALSE)))),IF($Y69&gt;15,(MROUND(($Y69*0.6),(VLOOKUP($X69,Übungsübersicht!$E$7:$M$83,3,FALSE)))),IF($Y69&gt;(VLOOKUP($X69,Übungsübersicht!$E$7:$M$83,3,FALSE)),(VLOOKUP($X69,Übungsübersicht!$E$7:$M$83,3,FALSE)),""))))))),4*(VLOOKUP($X69,Übungsübersicht!$E$7:$M$83,3,FALSE)))</f>
        <v>#N/A</v>
      </c>
      <c r="AC69" s="652" t="e">
        <f ca="1">IFERROR((IF($Y69=0,8*(VLOOKUP($X69,Übungsübersicht!$E$7:$M$83,3,FALSE)),(($Y69)-(3*(VLOOKUP($X69,Übungsübersicht!$E$7:$M$83,3,FALSE)))))),8*(VLOOKUP($X69,Übungsübersicht!$E$7:$M$83,3,FALSE)))</f>
        <v>#N/A</v>
      </c>
      <c r="AD69" s="652" t="e">
        <f ca="1">IFERROR(((IF($Y69=0,10*(VLOOKUP($X69,Übungsübersicht!$E$7:$M$83,3,FALSE)),($Y69)-(2*(VLOOKUP($X69,Übungsübersicht!$E$7:$M$83,3,FALSE)))))),10*(VLOOKUP($X69,Übungsübersicht!$E$7:$M$83,3,FALSE)))</f>
        <v>#N/A</v>
      </c>
      <c r="AE69" s="652" t="e">
        <f ca="1">IFERROR(((IF($Y69=0,10*(VLOOKUP($X69,Übungsübersicht!$E$7:$M$83,3,FALSE)),($Y69)-(1*(VLOOKUP($X69,Übungsübersicht!$E$7:$M$83,3,FALSE)))))),10*(VLOOKUP($X69,Übungsübersicht!$E$7:$M$83,3,FALSE)))</f>
        <v>#N/A</v>
      </c>
      <c r="AF69" s="652" t="e">
        <f ca="1">IFERROR(IF($Y69=0,20*(VLOOKUP($X69,Übungsübersicht!$E$7:$M$83,3,FALSE)),($Y69)),20*(VLOOKUP($X69,Übungsübersicht!$E$7:$M$83,3,FALSE)))</f>
        <v>#N/A</v>
      </c>
      <c r="AG69" s="652" t="e">
        <f ca="1">IFERROR(IF($Y69=0,30*(VLOOKUP($X69,Übungsübersicht!$E$7:$M$83,3,FALSE)),($Y69)+(1*(VLOOKUP($X69,Übungsübersicht!$E$7:$M$83,3,FALSE)))),30*(VLOOKUP($X69,Übungsübersicht!$E$7:$M$83,3,FALSE)))</f>
        <v>#N/A</v>
      </c>
      <c r="AH69" s="652" t="e">
        <f ca="1">IFERROR(IF($Y69=0,30*(VLOOKUP($X69,Übungsübersicht!$E$7:$M$83,3,FALSE)),($Y69)+(2*(VLOOKUP($X69,Übungsübersicht!$E$7:$M$83,3,FALSE)))),30*(VLOOKUP($X69,Übungsübersicht!$E$7:$M$83,3,FALSE)))</f>
        <v>#N/A</v>
      </c>
      <c r="AI69" s="652" t="e">
        <f ca="1">IFERROR(IF($Y69=0,30*(VLOOKUP($X69,Übungsübersicht!$E$7:$M$83,3,FALSE)),($Y69)+(3*(VLOOKUP($X69,Übungsübersicht!$E$7:$M$83,3,FALSE)))),30*(VLOOKUP($X69,Übungsübersicht!$E$7:$M$83,3,FALSE)))</f>
        <v>#N/A</v>
      </c>
      <c r="AJ69" s="652" t="e">
        <f ca="1">IFERROR(IF($Y69=0,40*(VLOOKUP($X69,Übungsübersicht!$E$7:$M$83,3,FALSE)),IF($Y69&gt;100,(MROUND(($Y69*1.7),(VLOOKUP($X69,Übungsübersicht!$E$7:$M$83,3,FALSE)))),IF($Y69&gt;80,(MROUND(($Y69*1.7),(VLOOKUP($X69,Übungsübersicht!$E$7:$M$83,3,FALSE)))),IF($Y69&gt;50,(MROUND(($Y69*1.6),(VLOOKUP($X69,Übungsübersicht!$E$7:$M$83,3,FALSE)))),IF($Y69&gt;25,(MROUND(($Y69*1.5),(VLOOKUP($X69,Übungsübersicht!$E$7:$M$83,3,FALSE)))),IF($Y69&gt;15,(MROUND(($Y69*1.4),(VLOOKUP($X69,Übungsübersicht!$E$7:$M$83,3,FALSE)))),IF($Y69&gt;(VLOOKUP($X69,Übungsübersicht!$E$7:$M$83,3,FALSE)),30*(VLOOKUP($X69,Übungsübersicht!$E$7:$M$83,3,FALSE)),""))))))),40*(VLOOKUP($X69,Übungsübersicht!$E$7:$M$83,3,FALSE)))</f>
        <v>#N/A</v>
      </c>
      <c r="AK69" s="653" t="e">
        <f ca="1">IFERROR(IF($Y69=0,50*(VLOOKUP($X69,Übungsübersicht!$E$7:$M$83,3,FALSE)),IF($Y69&gt;100,(MROUND(($Y69*1.9),(VLOOKUP($X69,Übungsübersicht!$E$7:$M$83,3,FALSE)))),IF($Y69&gt;80,(MROUND(($Y69*1.9),(VLOOKUP($X69,Übungsübersicht!$E$7:$M$83,3,FALSE)))),IF($Y69&gt;50,(MROUND(($Y69*1.8),(VLOOKUP($X69,Übungsübersicht!$E$7:$M$83,3,FALSE)))),IF($Y69&gt;25,(MROUND(($Y69*1.7),(VLOOKUP($X69,Übungsübersicht!$E$7:$M$83,3,FALSE)))),IF($Y69&gt;15,(MROUND(($Y69*1.6),(VLOOKUP($X69,Übungsübersicht!$E$7:$M$83,3,FALSE)))),IF($Y69&gt;(VLOOKUP($X69,Übungsübersicht!$E$7:$M$83,3,FALSE)),40*(VLOOKUP($X69,Übungsübersicht!$E$7:$M$83,3,FALSE)),""))))))),50*(VLOOKUP($X69,Übungsübersicht!$E$7:$M$83,3,FALSE)))</f>
        <v>#N/A</v>
      </c>
      <c r="AN69" s="652" t="e">
        <f ca="1">MROUND(INDEX(OFFSET(Zyklus!$M$13,66,0),1),(IF(VLOOKUP($X69,Übungsübersicht!$E$7:$K$80,3)=0,0.1,(VLOOKUP($X69,Übungsübersicht!$E$7:$K$80,3)))))</f>
        <v>#N/A</v>
      </c>
      <c r="AP69" s="655" t="str">
        <f ca="1">IFERROR(IF(IF(VLOOKUP($X69,Zyklus!$A$14:$U$68,9,FALSE)=0,"RPE 8",IF(VLOOKUP($X69,Übungsübersicht!$E$7:$M$83,3,FALSE)&lt;0.5,($AN69)-(3*0.5),(($AN69)-(3*(VLOOKUP($X69,Übungsübersicht!$E$7:$M$83,3,FALSE))))))&lt;1,0,(IF(VLOOKUP($X69,Zyklus!$A$14:$U$68,9,FALSE)=0,"RPE 8",IF(VLOOKUP($X69,Übungsübersicht!$E$7:$M$83,3,FALSE)&lt;0.5,($AN69)-(3*0.5),(($AN69)-(3*(VLOOKUP($X69,Übungsübersicht!$E$7:$M$83,3,FALSE)))))))),"RPE 8")</f>
        <v>RPE 8</v>
      </c>
      <c r="AQ69" s="655" t="str">
        <f ca="1">IFERROR(IF(IF(VLOOKUP($X69,Zyklus!$A$14:$U$68,9,FALSE)=0,"RPE 8",IF(VLOOKUP($X69,Übungsübersicht!$E$7:$M$83,3,FALSE)&lt;0.5,($AN69)-(2*0.5),(($AN69)-(2*(VLOOKUP($X69,Übungsübersicht!$E$7:$M$83,3,FALSE))))))&lt;1,0,(IF(VLOOKUP($X69,Zyklus!$A$14:$U$68,9,FALSE)=0,"RPE 8",IF(VLOOKUP($X69,Übungsübersicht!$E$7:$M$83,3,FALSE)&lt;0.5,($AN69)-(2*0.5),(($AN69)-(2*(VLOOKUP($X69,Übungsübersicht!$E$7:$M$83,3,FALSE)))))))),"RPE 8")</f>
        <v>RPE 8</v>
      </c>
      <c r="AR69" s="655" t="str">
        <f ca="1">IFERROR(IF(IF(VLOOKUP($X69,Zyklus!$A$14:$U$68,9,FALSE)=0,"RPE 8",IF(VLOOKUP($X69,Übungsübersicht!$E$7:$M$83,3,FALSE)&lt;0.5,($AN69)-(1*0.5),(($Y69)-(1*(VLOOKUP($X69,Übungsübersicht!$E$7:$M$83,3,FALSE))))))&lt;1,0,(IF(VLOOKUP($X69,Zyklus!$A$14:$U$68,9,FALSE)=0,"RPE 8",IF(VLOOKUP($X69,Übungsübersicht!$E$7:$M$83,3,FALSE)&lt;0.5,($AN69)-(1*0.5),(($Y69)-(1*(VLOOKUP($X69,Übungsübersicht!$E$7:$M$83,3,FALSE)))))))),"RPE 8")</f>
        <v>RPE 8</v>
      </c>
      <c r="AS69" s="655" t="str">
        <f t="shared" ref="AS69:AS92" ca="1" si="6">IFERROR(IF($Y69=0,"RPE 8",$Y69),"RPE 8")</f>
        <v>RPE 8</v>
      </c>
      <c r="AT69" s="655" t="str">
        <f ca="1">IFERROR(IF(VLOOKUP($X69,Zyklus!$A$14:$U$68,9,FALSE)=0,"RPE 8",IF(VLOOKUP($X69,Übungsübersicht!$E$7:$M$83,3,FALSE)&lt;0.5,($AN69)+(1*0.5),(($Y69)+(1*(VLOOKUP($X69,Übungsübersicht!$E$7:$M$83,3,FALSE)))))),"RPE 8")</f>
        <v>RPE 8</v>
      </c>
      <c r="AU69" s="655" t="str">
        <f ca="1">IFERROR(IF(VLOOKUP($X69,Zyklus!$A$14:$U$68,9,FALSE)=0,"RPE 8",IF(VLOOKUP($X69,Übungsübersicht!$E$7:$M$83,3,FALSE)&lt;0.5,($AN69)+(2*0.5),(($AN69)+(2*(VLOOKUP($X69,Übungsübersicht!$E$7:$M$83,3,FALSE)))))),"RPE 8")</f>
        <v>RPE 8</v>
      </c>
      <c r="AV69" s="655" t="str">
        <f ca="1">IFERROR(IF(VLOOKUP($X69,Zyklus!$A$14:$U$68,9,FALSE)=0,"RPE 8",IF(VLOOKUP($X69,Übungsübersicht!$E$7:$M$83,3,FALSE)&lt;0.5,($AN69)+(3*0.5),(($AN69)+(3*(VLOOKUP($X69,Übungsübersicht!$E$7:$M$83,3,FALSE)))))),"RPE 8")</f>
        <v>RPE 8</v>
      </c>
      <c r="AY69" s="652" t="e">
        <f ca="1">MROUND(INDEX(OFFSET(Zyklus!$M$13,66,0),1),(IF(VLOOKUP($X69,Übungsübersicht!$E$7:$K$80,3)=0,0.1,(VLOOKUP($X69,Übungsübersicht!$E$7:$K$80,3)))))</f>
        <v>#N/A</v>
      </c>
      <c r="BA69" s="655" t="e">
        <f ca="1">MROUND(INDEX(OFFSET(Zyklus!$Q$13,66,0),1),(IF(VLOOKUP($X69,Übungsübersicht!$E$7:$K$80,3)=0,0.1,(VLOOKUP($X69,Übungsübersicht!$E$7:$K$80,3)))))</f>
        <v>#N/A</v>
      </c>
      <c r="BC69" s="655" t="str">
        <f ca="1">IFERROR(IF(IF(VLOOKUP($X69,Zyklus!$A$14:$U$68,9,FALSE)=0,"RPE 9",IF(VLOOKUP($X69,Übungsübersicht!$E$7:$M$83,3,FALSE)&lt;0.5,($BA69)-(3*0.5),(($BA69)-(3*(VLOOKUP($X69,Übungsübersicht!$E$7:$M$83,3,FALSE))))))&lt;1,0,(IF(VLOOKUP($X69,Zyklus!$A$14:$U$68,9,FALSE)=0,"RPE 9",IF(VLOOKUP($X69,Übungsübersicht!$E$7:$M$83,3,FALSE)&lt;0.5,($BA69)-(3*0.5),(($BA69)-(3*(VLOOKUP($X69,Übungsübersicht!$E$7:$M$83,3,FALSE)))))))),"RPE 9")</f>
        <v>RPE 9</v>
      </c>
      <c r="BD69" s="655" t="str">
        <f ca="1">IFERROR(IF(IF(VLOOKUP($X69,Zyklus!$A$14:$U$68,9,FALSE)=0,"RPE 9",IF(VLOOKUP($X69,Übungsübersicht!$E$7:$M$83,3,FALSE)&lt;0.5,($BA69)-(2*0.5),(($BA69)-(2*(VLOOKUP($X69,Übungsübersicht!$E$7:$M$83,3,FALSE))))))&lt;1,0,(IF(VLOOKUP($X69,Zyklus!$A$14:$U$68,9,FALSE)=0,"RPE 9",IF(VLOOKUP($X69,Übungsübersicht!$E$7:$M$83,3,FALSE)&lt;0.5,($BA69)-(2*0.5),(($BA69)-(2*(VLOOKUP($X69,Übungsübersicht!$E$7:$M$83,3,FALSE)))))))),"RPE 9")</f>
        <v>RPE 9</v>
      </c>
      <c r="BE69" s="655" t="str">
        <f ca="1">IFERROR(IF(IF(VLOOKUP($X69,Zyklus!$A$14:$U$68,9,FALSE)=0,"RPE 9",IF(VLOOKUP($X69,Übungsübersicht!$E$7:$M$83,3,FALSE)&lt;0.5,($BA69)-(1*0.5),(($Y69)-(1*(VLOOKUP($X69,Übungsübersicht!$E$7:$M$83,3,FALSE))))))&lt;1,0,(IF(VLOOKUP($X69,Zyklus!$A$14:$U$68,9,FALSE)=0,"RPE 9",IF(VLOOKUP($X69,Übungsübersicht!$E$7:$M$83,3,FALSE)&lt;0.5,($BA69)-(1*0.5),(($Y69)-(1*(VLOOKUP($X69,Übungsübersicht!$E$7:$M$83,3,FALSE)))))))),"RPE 9")</f>
        <v>RPE 9</v>
      </c>
      <c r="BF69" s="655" t="str">
        <f t="shared" ref="BF69:BF92" ca="1" si="7">IFERROR(IF($Y69=0,"RPE 9",$AY69),"RPE 9")</f>
        <v>RPE 9</v>
      </c>
      <c r="BG69" s="655" t="str">
        <f ca="1">IFERROR(IF(VLOOKUP($X69,Zyklus!$A$14:$U$68,9,FALSE)=0,"RPE 9",IF(VLOOKUP($X69,Übungsübersicht!$E$7:$M$83,3,FALSE)&lt;0.5,($AY69)+(1*0.5),(($AY69)+(1*(VLOOKUP($X69,Übungsübersicht!$E$7:$M$83,3,FALSE)))))),"RPE 9")</f>
        <v>RPE 9</v>
      </c>
      <c r="BH69" s="655" t="str">
        <f ca="1">IFERROR(IF(VLOOKUP($X69,Zyklus!$A$14:$U$68,9,FALSE)=0,"RPE 9",IF(VLOOKUP($X69,Übungsübersicht!$E$7:$M$83,3,FALSE)&lt;0.5,($BA69)+(2*0.5),(($BA69)+(2*(VLOOKUP($X69,Übungsübersicht!$E$7:$M$83,3,FALSE)))))),"RPE 9")</f>
        <v>RPE 9</v>
      </c>
      <c r="BI69" s="655" t="str">
        <f ca="1">IFERROR(IF(VLOOKUP($X69,Zyklus!$A$14:$U$68,9,FALSE)=0,"RPE 9",IF(VLOOKUP($X69,Übungsübersicht!$E$7:$M$83,3,FALSE)&lt;0.5,($BA69)+(3*0.5),(($BA69)+(3*(VLOOKUP($X69,Übungsübersicht!$E$7:$M$83,3,FALSE)))))),"RPE 9")</f>
        <v>RPE 9</v>
      </c>
    </row>
    <row r="70" spans="8:61" ht="30" customHeight="1">
      <c r="H70" s="326">
        <v>49</v>
      </c>
      <c r="I70" s="323">
        <f t="shared" si="5"/>
        <v>45.569620253164558</v>
      </c>
      <c r="J70" s="344">
        <f t="shared" si="4"/>
        <v>0.379746835443038</v>
      </c>
      <c r="Q70" s="871"/>
      <c r="R70" s="871"/>
      <c r="S70" s="871" t="str">
        <f>IF(AND(Dashboard!$C$46="OK/UK",VALUE(LEFT(Dashboard!$C$48,1))&lt;=1),"Frei",IF(AND(Dashboard!$C$46="OK/UK",VALUE(LEFT(Dashboard!$C$48,1))&lt;=2),"OK 2",IF(AND(Dashboard!$C$46="OK/UK",VALUE(LEFT(Dashboard!$C$48,1))&lt;=3),"OK 2",IF(AND(Dashboard!$C$46="OK/UK/OK+",VALUE(LEFT(Dashboard!$C$48,1))&lt;=1),"OK 2+",IF(AND(Dashboard!$C$46="OK/UK/OK+",VALUE(LEFT(Dashboard!$C$48,1))&lt;=2),"OK 2",IF(AND(Dashboard!$C$46="OK/UK/OK+",VALUE(LEFT(Dashboard!$C$48,1))&lt;=3),"OK 2",IF(AND(Dashboard!$C$46="PUSH/PULL/BEINE",VALUE(LEFT(Dashboard!$C$48,1))&lt;=1),"BEINE",IF(AND(Dashboard!$C$46="PUSH/PULL/BEINE",VALUE(LEFT(Dashboard!$C$48,1))&lt;=2),"BEINE 1",IF(AND(Dashboard!$C$46="PUSH/PULL/BEINE",VALUE(LEFT(Dashboard!$C$48,1))&lt;=3),"BEINE 1",IF(AND(Dashboard!$C$46="PUSH/PULL",VALUE(LEFT(Dashboard!$C$48,1))&lt;=1),"Frei",IF(AND(Dashboard!$C$46="PUSH/PULL",VALUE(LEFT(Dashboard!$C$48,1))&lt;=2),"PUSH 2",IF(AND(Dashboard!$C$46="PUSH/PULL",VALUE(LEFT(Dashboard!$C$48,1))&lt;=3),"PUSH 2",IF(AND(Dashboard!$C$46="GK",VALUE(LEFT(Dashboard!$C$48,1))&lt;=1),"Skip",IF(AND(Dashboard!$C$46="GK",VALUE(LEFT(Dashboard!$C$48,1))&lt;=2),"Frei",IF(AND(Dashboard!$C$46="GK",VALUE(LEFT(Dashboard!$C$48,1))&lt;=3),"GK 3",IF(AND(Dashboard!$C$46="GK",VALUE(LEFT(Dashboard!$C$48,1))&lt;=4),"GK 3",""))))))))))))))))</f>
        <v>OK 2</v>
      </c>
      <c r="X70" s="654">
        <f ca="1">INDEX(OFFSET(Zyklus!$A$13,67,0),1)</f>
        <v>0</v>
      </c>
      <c r="Y70" s="655" t="e">
        <f ca="1">MROUND(INDEX(OFFSET(Zyklus!$I$13,67,0),1),(IF(VLOOKUP($X70,Übungsübersicht!$E$7:$K$80,3)=0,0.1,(VLOOKUP($X70,Übungsübersicht!$E$7:$K$80,3)))))</f>
        <v>#N/A</v>
      </c>
      <c r="Z70" s="655"/>
      <c r="AA70" s="655" t="e">
        <f ca="1">IFERROR(IF($Y70=0,2*(VLOOKUP($X70,Übungsübersicht!$E$7:$M$83,3,FALSE)),IF($Y70&gt;100,(MROUND(($Y70*0.1),(VLOOKUP($X70,Übungsübersicht!$E$7:$M$83,3,FALSE)))),IF($Y70&gt;80,(MROUND(($Y70*0.1),(VLOOKUP($X70,Übungsübersicht!$E$7:$M$83,3,FALSE)))),IF($Y70&gt;50,(MROUND(($Y70*0.2),(VLOOKUP($X70,Übungsübersicht!$E$7:$M$83,3,FALSE)))),IF($Y70&gt;25,(MROUND(($Y70*0.3),(VLOOKUP($X70,Übungsübersicht!$E$7:$M$83,3,FALSE)))),IF($Y70&gt;15,(MROUND(($Y70*0.4),(VLOOKUP($X70,Übungsübersicht!$E$7:$M$83,3,FALSE)))),IF($Y70&gt;(VLOOKUP($X70,Übungsübersicht!$E$7:$M$83,3,FALSE)),(VLOOKUP($X70,Übungsübersicht!$E$7:$M$83,3,FALSE)),""))))))),2*(VLOOKUP($X70,Übungsübersicht!$E$7:$M$83,3,FALSE)))</f>
        <v>#N/A</v>
      </c>
      <c r="AB70" s="655" t="e">
        <f ca="1">IFERROR(IF($Y70=0,4*(VLOOKUP($X70,Übungsübersicht!$E$7:$M$83,3,FALSE)),IF($Y70&gt;100,(MROUND(($Y70*0.3),(VLOOKUP($X70,Übungsübersicht!$E$7:$M$83,3,FALSE)))),IF($Y70&gt;80,(MROUND(($Y70*0.3),(VLOOKUP($X70,Übungsübersicht!$E$7:$M$83,3,FALSE)))),IF($Y70&gt;50,(MROUND(($Y70*0.4),(VLOOKUP($X70,Übungsübersicht!$E$7:$M$83,3,FALSE)))),IF($Y70&gt;25,(MROUND(($Y70*0.5),(VLOOKUP($X70,Übungsübersicht!$E$7:$M$83,3,FALSE)))),IF($Y70&gt;15,(MROUND(($Y70*0.6),(VLOOKUP($X70,Übungsübersicht!$E$7:$M$83,3,FALSE)))),IF($Y70&gt;(VLOOKUP($X70,Übungsübersicht!$E$7:$M$83,3,FALSE)),(VLOOKUP($X70,Übungsübersicht!$E$7:$M$83,3,FALSE)),""))))))),4*(VLOOKUP($X70,Übungsübersicht!$E$7:$M$83,3,FALSE)))</f>
        <v>#N/A</v>
      </c>
      <c r="AC70" s="655" t="e">
        <f ca="1">IFERROR((IF($Y70=0,8*(VLOOKUP($X70,Übungsübersicht!$E$7:$M$83,3,FALSE)),(($Y70)-(3*(VLOOKUP($X70,Übungsübersicht!$E$7:$M$83,3,FALSE)))))),8*(VLOOKUP($X70,Übungsübersicht!$E$7:$M$83,3,FALSE)))</f>
        <v>#N/A</v>
      </c>
      <c r="AD70" s="655" t="e">
        <f ca="1">IFERROR(((IF($Y70=0,10*(VLOOKUP($X70,Übungsübersicht!$E$7:$M$83,3,FALSE)),($Y70)-(2*(VLOOKUP($X70,Übungsübersicht!$E$7:$M$83,3,FALSE)))))),10*(VLOOKUP($X70,Übungsübersicht!$E$7:$M$83,3,FALSE)))</f>
        <v>#N/A</v>
      </c>
      <c r="AE70" s="655" t="e">
        <f ca="1">IFERROR(((IF($Y70=0,10*(VLOOKUP($X70,Übungsübersicht!$E$7:$M$83,3,FALSE)),($Y70)-(1*(VLOOKUP($X70,Übungsübersicht!$E$7:$M$83,3,FALSE)))))),10*(VLOOKUP($X70,Übungsübersicht!$E$7:$M$83,3,FALSE)))</f>
        <v>#N/A</v>
      </c>
      <c r="AF70" s="655" t="e">
        <f ca="1">IFERROR(IF($Y70=0,20*(VLOOKUP($X70,Übungsübersicht!$E$7:$M$83,3,FALSE)),($Y70)),20*(VLOOKUP($X70,Übungsübersicht!$E$7:$M$83,3,FALSE)))</f>
        <v>#N/A</v>
      </c>
      <c r="AG70" s="655" t="e">
        <f ca="1">IFERROR(IF($Y70=0,30*(VLOOKUP($X70,Übungsübersicht!$E$7:$M$83,3,FALSE)),($Y70)+(1*(VLOOKUP($X70,Übungsübersicht!$E$7:$M$83,3,FALSE)))),30*(VLOOKUP($X70,Übungsübersicht!$E$7:$M$83,3,FALSE)))</f>
        <v>#N/A</v>
      </c>
      <c r="AH70" s="655" t="e">
        <f ca="1">IFERROR(IF($Y70=0,30*(VLOOKUP($X70,Übungsübersicht!$E$7:$M$83,3,FALSE)),($Y70)+(2*(VLOOKUP($X70,Übungsübersicht!$E$7:$M$83,3,FALSE)))),30*(VLOOKUP($X70,Übungsübersicht!$E$7:$M$83,3,FALSE)))</f>
        <v>#N/A</v>
      </c>
      <c r="AI70" s="655" t="e">
        <f ca="1">IFERROR(IF($Y70=0,30*(VLOOKUP($X70,Übungsübersicht!$E$7:$M$83,3,FALSE)),($Y70)+(3*(VLOOKUP($X70,Übungsübersicht!$E$7:$M$83,3,FALSE)))),30*(VLOOKUP($X70,Übungsübersicht!$E$7:$M$83,3,FALSE)))</f>
        <v>#N/A</v>
      </c>
      <c r="AJ70" s="655" t="e">
        <f ca="1">IFERROR(IF($Y70=0,40*(VLOOKUP($X70,Übungsübersicht!$E$7:$M$83,3,FALSE)),IF($Y70&gt;100,(MROUND(($Y70*1.7),(VLOOKUP($X70,Übungsübersicht!$E$7:$M$83,3,FALSE)))),IF($Y70&gt;80,(MROUND(($Y70*1.7),(VLOOKUP($X70,Übungsübersicht!$E$7:$M$83,3,FALSE)))),IF($Y70&gt;50,(MROUND(($Y70*1.6),(VLOOKUP($X70,Übungsübersicht!$E$7:$M$83,3,FALSE)))),IF($Y70&gt;25,(MROUND(($Y70*1.5),(VLOOKUP($X70,Übungsübersicht!$E$7:$M$83,3,FALSE)))),IF($Y70&gt;15,(MROUND(($Y70*1.4),(VLOOKUP($X70,Übungsübersicht!$E$7:$M$83,3,FALSE)))),IF($Y70&gt;(VLOOKUP($X70,Übungsübersicht!$E$7:$M$83,3,FALSE)),30*(VLOOKUP($X70,Übungsübersicht!$E$7:$M$83,3,FALSE)),""))))))),40*(VLOOKUP($X70,Übungsübersicht!$E$7:$M$83,3,FALSE)))</f>
        <v>#N/A</v>
      </c>
      <c r="AK70" s="656" t="e">
        <f ca="1">IFERROR(IF($Y70=0,50*(VLOOKUP($X70,Übungsübersicht!$E$7:$M$83,3,FALSE)),IF($Y70&gt;100,(MROUND(($Y70*1.9),(VLOOKUP($X70,Übungsübersicht!$E$7:$M$83,3,FALSE)))),IF($Y70&gt;80,(MROUND(($Y70*1.9),(VLOOKUP($X70,Übungsübersicht!$E$7:$M$83,3,FALSE)))),IF($Y70&gt;50,(MROUND(($Y70*1.8),(VLOOKUP($X70,Übungsübersicht!$E$7:$M$83,3,FALSE)))),IF($Y70&gt;25,(MROUND(($Y70*1.7),(VLOOKUP($X70,Übungsübersicht!$E$7:$M$83,3,FALSE)))),IF($Y70&gt;15,(MROUND(($Y70*1.6),(VLOOKUP($X70,Übungsübersicht!$E$7:$M$83,3,FALSE)))),IF($Y70&gt;(VLOOKUP($X70,Übungsübersicht!$E$7:$M$83,3,FALSE)),40*(VLOOKUP($X70,Übungsübersicht!$E$7:$M$83,3,FALSE)),""))))))),50*(VLOOKUP($X70,Übungsübersicht!$E$7:$M$83,3,FALSE)))</f>
        <v>#N/A</v>
      </c>
      <c r="AN70" s="655" t="e">
        <f ca="1">MROUND(INDEX(OFFSET(Zyklus!$M$13,67,0),1),(IF(VLOOKUP($X70,Übungsübersicht!$E$7:$K$80,3)=0,0.1,(VLOOKUP($X70,Übungsübersicht!$E$7:$K$80,3)))))</f>
        <v>#N/A</v>
      </c>
      <c r="AP70" s="652" t="str">
        <f ca="1">IFERROR(IF(IF(VLOOKUP($X70,Zyklus!$A$14:$U$68,9,FALSE)=0,"RPE 8",IF(VLOOKUP($X70,Übungsübersicht!$E$7:$M$83,3,FALSE)&lt;0.5,($AN70)-(3*0.5),(($AN70)-(3*(VLOOKUP($X70,Übungsübersicht!$E$7:$M$83,3,FALSE))))))&lt;1,0,(IF(VLOOKUP($X70,Zyklus!$A$14:$U$68,9,FALSE)=0,"RPE 8",IF(VLOOKUP($X70,Übungsübersicht!$E$7:$M$83,3,FALSE)&lt;0.5,($AN70)-(3*0.5),(($AN70)-(3*(VLOOKUP($X70,Übungsübersicht!$E$7:$M$83,3,FALSE)))))))),"RPE 8")</f>
        <v>RPE 8</v>
      </c>
      <c r="AQ70" s="652" t="str">
        <f ca="1">IFERROR(IF(IF(VLOOKUP($X70,Zyklus!$A$14:$U$68,9,FALSE)=0,"RPE 8",IF(VLOOKUP($X70,Übungsübersicht!$E$7:$M$83,3,FALSE)&lt;0.5,($AN70)-(2*0.5),(($AN70)-(2*(VLOOKUP($X70,Übungsübersicht!$E$7:$M$83,3,FALSE))))))&lt;1,0,(IF(VLOOKUP($X70,Zyklus!$A$14:$U$68,9,FALSE)=0,"RPE 8",IF(VLOOKUP($X70,Übungsübersicht!$E$7:$M$83,3,FALSE)&lt;0.5,($AN70)-(2*0.5),(($AN70)-(2*(VLOOKUP($X70,Übungsübersicht!$E$7:$M$83,3,FALSE)))))))),"RPE 8")</f>
        <v>RPE 8</v>
      </c>
      <c r="AR70" s="652" t="str">
        <f ca="1">IFERROR(IF(IF(VLOOKUP($X70,Zyklus!$A$14:$U$68,9,FALSE)=0,"RPE 8",IF(VLOOKUP($X70,Übungsübersicht!$E$7:$M$83,3,FALSE)&lt;0.5,($AN70)-(1*0.5),(($Y70)-(1*(VLOOKUP($X70,Übungsübersicht!$E$7:$M$83,3,FALSE))))))&lt;1,0,(IF(VLOOKUP($X70,Zyklus!$A$14:$U$68,9,FALSE)=0,"RPE 8",IF(VLOOKUP($X70,Übungsübersicht!$E$7:$M$83,3,FALSE)&lt;0.5,($AN70)-(1*0.5),(($Y70)-(1*(VLOOKUP($X70,Übungsübersicht!$E$7:$M$83,3,FALSE)))))))),"RPE 8")</f>
        <v>RPE 8</v>
      </c>
      <c r="AS70" s="652" t="str">
        <f t="shared" ca="1" si="6"/>
        <v>RPE 8</v>
      </c>
      <c r="AT70" s="652" t="str">
        <f ca="1">IFERROR(IF(VLOOKUP($X70,Zyklus!$A$14:$U$68,9,FALSE)=0,"RPE 8",IF(VLOOKUP($X70,Übungsübersicht!$E$7:$M$83,3,FALSE)&lt;0.5,($AN70)+(1*0.5),(($Y70)+(1*(VLOOKUP($X70,Übungsübersicht!$E$7:$M$83,3,FALSE)))))),"RPE 8")</f>
        <v>RPE 8</v>
      </c>
      <c r="AU70" s="652" t="str">
        <f ca="1">IFERROR(IF(VLOOKUP($X70,Zyklus!$A$14:$U$68,9,FALSE)=0,"RPE 8",IF(VLOOKUP($X70,Übungsübersicht!$E$7:$M$83,3,FALSE)&lt;0.5,($AN70)+(2*0.5),(($AN70)+(2*(VLOOKUP($X70,Übungsübersicht!$E$7:$M$83,3,FALSE)))))),"RPE 8")</f>
        <v>RPE 8</v>
      </c>
      <c r="AV70" s="652" t="str">
        <f ca="1">IFERROR(IF(VLOOKUP($X70,Zyklus!$A$14:$U$68,9,FALSE)=0,"RPE 8",IF(VLOOKUP($X70,Übungsübersicht!$E$7:$M$83,3,FALSE)&lt;0.5,($AN70)+(3*0.5),(($AN70)+(3*(VLOOKUP($X70,Übungsübersicht!$E$7:$M$83,3,FALSE)))))),"RPE 8")</f>
        <v>RPE 8</v>
      </c>
      <c r="AY70" s="655" t="e">
        <f ca="1">MROUND(INDEX(OFFSET(Zyklus!$M$13,67,0),1),(IF(VLOOKUP($X70,Übungsübersicht!$E$7:$K$80,3)=0,0.1,(VLOOKUP($X70,Übungsübersicht!$E$7:$K$80,3)))))</f>
        <v>#N/A</v>
      </c>
      <c r="BA70" s="652" t="e">
        <f ca="1">MROUND(INDEX(OFFSET(Zyklus!$Q$13,67,0),1),(IF(VLOOKUP($X70,Übungsübersicht!$E$7:$K$80,3)=0,0.1,(VLOOKUP($X70,Übungsübersicht!$E$7:$K$80,3)))))</f>
        <v>#VALUE!</v>
      </c>
      <c r="BC70" s="652" t="str">
        <f ca="1">IFERROR(IF(IF(VLOOKUP($X70,Zyklus!$A$14:$U$68,9,FALSE)=0,"RPE 9",IF(VLOOKUP($X70,Übungsübersicht!$E$7:$M$83,3,FALSE)&lt;0.5,($BA70)-(3*0.5),(($BA70)-(3*(VLOOKUP($X70,Übungsübersicht!$E$7:$M$83,3,FALSE))))))&lt;1,0,(IF(VLOOKUP($X70,Zyklus!$A$14:$U$68,9,FALSE)=0,"RPE 9",IF(VLOOKUP($X70,Übungsübersicht!$E$7:$M$83,3,FALSE)&lt;0.5,($BA70)-(3*0.5),(($BA70)-(3*(VLOOKUP($X70,Übungsübersicht!$E$7:$M$83,3,FALSE)))))))),"RPE 9")</f>
        <v>RPE 9</v>
      </c>
      <c r="BD70" s="652" t="str">
        <f ca="1">IFERROR(IF(IF(VLOOKUP($X70,Zyklus!$A$14:$U$68,9,FALSE)=0,"RPE 9",IF(VLOOKUP($X70,Übungsübersicht!$E$7:$M$83,3,FALSE)&lt;0.5,($BA70)-(2*0.5),(($BA70)-(2*(VLOOKUP($X70,Übungsübersicht!$E$7:$M$83,3,FALSE))))))&lt;1,0,(IF(VLOOKUP($X70,Zyklus!$A$14:$U$68,9,FALSE)=0,"RPE 9",IF(VLOOKUP($X70,Übungsübersicht!$E$7:$M$83,3,FALSE)&lt;0.5,($BA70)-(2*0.5),(($BA70)-(2*(VLOOKUP($X70,Übungsübersicht!$E$7:$M$83,3,FALSE)))))))),"RPE 9")</f>
        <v>RPE 9</v>
      </c>
      <c r="BE70" s="652" t="str">
        <f ca="1">IFERROR(IF(IF(VLOOKUP($X70,Zyklus!$A$14:$U$68,9,FALSE)=0,"RPE 9",IF(VLOOKUP($X70,Übungsübersicht!$E$7:$M$83,3,FALSE)&lt;0.5,($BA70)-(1*0.5),(($Y70)-(1*(VLOOKUP($X70,Übungsübersicht!$E$7:$M$83,3,FALSE))))))&lt;1,0,(IF(VLOOKUP($X70,Zyklus!$A$14:$U$68,9,FALSE)=0,"RPE 9",IF(VLOOKUP($X70,Übungsübersicht!$E$7:$M$83,3,FALSE)&lt;0.5,($BA70)-(1*0.5),(($Y70)-(1*(VLOOKUP($X70,Übungsübersicht!$E$7:$M$83,3,FALSE)))))))),"RPE 9")</f>
        <v>RPE 9</v>
      </c>
      <c r="BF70" s="652" t="str">
        <f t="shared" ca="1" si="7"/>
        <v>RPE 9</v>
      </c>
      <c r="BG70" s="652" t="str">
        <f ca="1">IFERROR(IF(VLOOKUP($X70,Zyklus!$A$14:$U$68,9,FALSE)=0,"RPE 9",IF(VLOOKUP($X70,Übungsübersicht!$E$7:$M$83,3,FALSE)&lt;0.5,($AY70)+(1*0.5),(($AY70)+(1*(VLOOKUP($X70,Übungsübersicht!$E$7:$M$83,3,FALSE)))))),"RPE 9")</f>
        <v>RPE 9</v>
      </c>
      <c r="BH70" s="652" t="str">
        <f ca="1">IFERROR(IF(VLOOKUP($X70,Zyklus!$A$14:$U$68,9,FALSE)=0,"RPE 9",IF(VLOOKUP($X70,Übungsübersicht!$E$7:$M$83,3,FALSE)&lt;0.5,($BA70)+(2*0.5),(($BA70)+(2*(VLOOKUP($X70,Übungsübersicht!$E$7:$M$83,3,FALSE)))))),"RPE 9")</f>
        <v>RPE 9</v>
      </c>
      <c r="BI70" s="652" t="str">
        <f ca="1">IFERROR(IF(VLOOKUP($X70,Zyklus!$A$14:$U$68,9,FALSE)=0,"RPE 9",IF(VLOOKUP($X70,Übungsübersicht!$E$7:$M$83,3,FALSE)&lt;0.5,($BA70)+(3*0.5),(($BA70)+(3*(VLOOKUP($X70,Übungsübersicht!$E$7:$M$83,3,FALSE)))))),"RPE 9")</f>
        <v>RPE 9</v>
      </c>
    </row>
    <row r="71" spans="8:61" ht="30" customHeight="1">
      <c r="H71" s="326">
        <v>50</v>
      </c>
      <c r="I71" s="323">
        <f t="shared" si="5"/>
        <v>44.999999999999993</v>
      </c>
      <c r="J71" s="344">
        <f t="shared" si="4"/>
        <v>0.37499999999999994</v>
      </c>
      <c r="Q71" s="872"/>
      <c r="R71" s="872"/>
      <c r="S71" s="872" t="str">
        <f>IF(AND(Dashboard!$C$46="OK/UK",VALUE(LEFT(Dashboard!$C$48,1))&lt;=1),"Skip",IF(AND(Dashboard!$C$46="OK/UK",VALUE(LEFT(Dashboard!$C$48,1))&lt;=2),"UK 2",IF(AND(Dashboard!$C$46="OK/UK",VALUE(LEFT(Dashboard!$C$48,1))&lt;=3),"UK 2",IF(AND(Dashboard!$C$46="OK/UK/OK+",VALUE(LEFT(Dashboard!$C$48,1))&lt;=1),"Frei",IF(AND(Dashboard!$C$46="OK/UK/OK+",VALUE(LEFT(Dashboard!$C$48,1))&lt;=2),"UK 2",IF(AND(Dashboard!$C$46="OK/UK/OK+",VALUE(LEFT(Dashboard!$C$48,1))&lt;=3),"UK 2",IF(AND(Dashboard!$C$46="PUSH/PULL/BEINE",VALUE(LEFT(Dashboard!$C$48,1))&lt;=1),"Frei",IF(AND(Dashboard!$C$46="PUSH/PULL/BEINE",VALUE(LEFT(Dashboard!$C$48,1))&lt;=2),"PUSH 2",IF(AND(Dashboard!$C$46="PUSH/PULL/BEINE",VALUE(LEFT(Dashboard!$C$48,1))&lt;=3),"PUSH 2",IF(AND(Dashboard!$C$46="PUSH/PULL",VALUE(LEFT(Dashboard!$C$48,1))&lt;=1),"Skip",IF(AND(Dashboard!$C$46="PUSH/PULL",VALUE(LEFT(Dashboard!$C$48,1))&lt;=2),"PULL 2",IF(AND(Dashboard!$C$46="PUSH/PULL",VALUE(LEFT(Dashboard!$C$48,1))&lt;=3),"PULL 2",IF(AND(Dashboard!$C$46="GK",VALUE(LEFT(Dashboard!$C$48,1))&lt;=1),"Keine Zeit",IF(AND(Dashboard!$C$46="GK",VALUE(LEFT(Dashboard!$C$48,1))&lt;=2),"Skip",IF(AND(Dashboard!$C$46="GK",VALUE(LEFT(Dashboard!$C$48,1))&lt;=3),"Frei",IF(AND(Dashboard!$C$46="GK",VALUE(LEFT(Dashboard!$C$48,1))&lt;=4),"GK 4",""))))))))))))))))</f>
        <v>UK 2</v>
      </c>
      <c r="X71" s="651">
        <f ca="1">INDEX(OFFSET(Zyklus!$A$13,68,0),1)</f>
        <v>0</v>
      </c>
      <c r="Y71" s="652" t="e">
        <f ca="1">MROUND(INDEX(OFFSET(Zyklus!$I$13,68,0),1),(IF(VLOOKUP($X71,Übungsübersicht!$E$7:$K$80,3)=0,0.1,(VLOOKUP($X71,Übungsübersicht!$E$7:$K$80,3)))))</f>
        <v>#N/A</v>
      </c>
      <c r="Z71" s="652"/>
      <c r="AA71" s="652" t="e">
        <f ca="1">IFERROR(IF($Y71=0,2*(VLOOKUP($X71,Übungsübersicht!$E$7:$M$83,3,FALSE)),IF($Y71&gt;100,(MROUND(($Y71*0.1),(VLOOKUP($X71,Übungsübersicht!$E$7:$M$83,3,FALSE)))),IF($Y71&gt;80,(MROUND(($Y71*0.1),(VLOOKUP($X71,Übungsübersicht!$E$7:$M$83,3,FALSE)))),IF($Y71&gt;50,(MROUND(($Y71*0.2),(VLOOKUP($X71,Übungsübersicht!$E$7:$M$83,3,FALSE)))),IF($Y71&gt;25,(MROUND(($Y71*0.3),(VLOOKUP($X71,Übungsübersicht!$E$7:$M$83,3,FALSE)))),IF($Y71&gt;15,(MROUND(($Y71*0.4),(VLOOKUP($X71,Übungsübersicht!$E$7:$M$83,3,FALSE)))),IF($Y71&gt;(VLOOKUP($X71,Übungsübersicht!$E$7:$M$83,3,FALSE)),(VLOOKUP($X71,Übungsübersicht!$E$7:$M$83,3,FALSE)),""))))))),2*(VLOOKUP($X71,Übungsübersicht!$E$7:$M$83,3,FALSE)))</f>
        <v>#N/A</v>
      </c>
      <c r="AB71" s="652" t="e">
        <f ca="1">IFERROR(IF($Y71=0,4*(VLOOKUP($X71,Übungsübersicht!$E$7:$M$83,3,FALSE)),IF($Y71&gt;100,(MROUND(($Y71*0.3),(VLOOKUP($X71,Übungsübersicht!$E$7:$M$83,3,FALSE)))),IF($Y71&gt;80,(MROUND(($Y71*0.3),(VLOOKUP($X71,Übungsübersicht!$E$7:$M$83,3,FALSE)))),IF($Y71&gt;50,(MROUND(($Y71*0.4),(VLOOKUP($X71,Übungsübersicht!$E$7:$M$83,3,FALSE)))),IF($Y71&gt;25,(MROUND(($Y71*0.5),(VLOOKUP($X71,Übungsübersicht!$E$7:$M$83,3,FALSE)))),IF($Y71&gt;15,(MROUND(($Y71*0.6),(VLOOKUP($X71,Übungsübersicht!$E$7:$M$83,3,FALSE)))),IF($Y71&gt;(VLOOKUP($X71,Übungsübersicht!$E$7:$M$83,3,FALSE)),(VLOOKUP($X71,Übungsübersicht!$E$7:$M$83,3,FALSE)),""))))))),4*(VLOOKUP($X71,Übungsübersicht!$E$7:$M$83,3,FALSE)))</f>
        <v>#N/A</v>
      </c>
      <c r="AC71" s="652" t="e">
        <f ca="1">IFERROR((IF($Y71=0,8*(VLOOKUP($X71,Übungsübersicht!$E$7:$M$83,3,FALSE)),(($Y71)-(3*(VLOOKUP($X71,Übungsübersicht!$E$7:$M$83,3,FALSE)))))),8*(VLOOKUP($X71,Übungsübersicht!$E$7:$M$83,3,FALSE)))</f>
        <v>#N/A</v>
      </c>
      <c r="AD71" s="652" t="e">
        <f ca="1">IFERROR(((IF($Y71=0,10*(VLOOKUP($X71,Übungsübersicht!$E$7:$M$83,3,FALSE)),($Y71)-(2*(VLOOKUP($X71,Übungsübersicht!$E$7:$M$83,3,FALSE)))))),10*(VLOOKUP($X71,Übungsübersicht!$E$7:$M$83,3,FALSE)))</f>
        <v>#N/A</v>
      </c>
      <c r="AE71" s="652" t="e">
        <f ca="1">IFERROR(((IF($Y71=0,10*(VLOOKUP($X71,Übungsübersicht!$E$7:$M$83,3,FALSE)),($Y71)-(1*(VLOOKUP($X71,Übungsübersicht!$E$7:$M$83,3,FALSE)))))),10*(VLOOKUP($X71,Übungsübersicht!$E$7:$M$83,3,FALSE)))</f>
        <v>#N/A</v>
      </c>
      <c r="AF71" s="652" t="e">
        <f ca="1">IFERROR(IF($Y71=0,20*(VLOOKUP($X71,Übungsübersicht!$E$7:$M$83,3,FALSE)),($Y71)),20*(VLOOKUP($X71,Übungsübersicht!$E$7:$M$83,3,FALSE)))</f>
        <v>#N/A</v>
      </c>
      <c r="AG71" s="652" t="e">
        <f ca="1">IFERROR(IF($Y71=0,30*(VLOOKUP($X71,Übungsübersicht!$E$7:$M$83,3,FALSE)),($Y71)+(1*(VLOOKUP($X71,Übungsübersicht!$E$7:$M$83,3,FALSE)))),30*(VLOOKUP($X71,Übungsübersicht!$E$7:$M$83,3,FALSE)))</f>
        <v>#N/A</v>
      </c>
      <c r="AH71" s="652" t="e">
        <f ca="1">IFERROR(IF($Y71=0,30*(VLOOKUP($X71,Übungsübersicht!$E$7:$M$83,3,FALSE)),($Y71)+(2*(VLOOKUP($X71,Übungsübersicht!$E$7:$M$83,3,FALSE)))),30*(VLOOKUP($X71,Übungsübersicht!$E$7:$M$83,3,FALSE)))</f>
        <v>#N/A</v>
      </c>
      <c r="AI71" s="652" t="e">
        <f ca="1">IFERROR(IF($Y71=0,30*(VLOOKUP($X71,Übungsübersicht!$E$7:$M$83,3,FALSE)),($Y71)+(3*(VLOOKUP($X71,Übungsübersicht!$E$7:$M$83,3,FALSE)))),30*(VLOOKUP($X71,Übungsübersicht!$E$7:$M$83,3,FALSE)))</f>
        <v>#N/A</v>
      </c>
      <c r="AJ71" s="652" t="e">
        <f ca="1">IFERROR(IF($Y71=0,40*(VLOOKUP($X71,Übungsübersicht!$E$7:$M$83,3,FALSE)),IF($Y71&gt;100,(MROUND(($Y71*1.7),(VLOOKUP($X71,Übungsübersicht!$E$7:$M$83,3,FALSE)))),IF($Y71&gt;80,(MROUND(($Y71*1.7),(VLOOKUP($X71,Übungsübersicht!$E$7:$M$83,3,FALSE)))),IF($Y71&gt;50,(MROUND(($Y71*1.6),(VLOOKUP($X71,Übungsübersicht!$E$7:$M$83,3,FALSE)))),IF($Y71&gt;25,(MROUND(($Y71*1.5),(VLOOKUP($X71,Übungsübersicht!$E$7:$M$83,3,FALSE)))),IF($Y71&gt;15,(MROUND(($Y71*1.4),(VLOOKUP($X71,Übungsübersicht!$E$7:$M$83,3,FALSE)))),IF($Y71&gt;(VLOOKUP($X71,Übungsübersicht!$E$7:$M$83,3,FALSE)),30*(VLOOKUP($X71,Übungsübersicht!$E$7:$M$83,3,FALSE)),""))))))),40*(VLOOKUP($X71,Übungsübersicht!$E$7:$M$83,3,FALSE)))</f>
        <v>#N/A</v>
      </c>
      <c r="AK71" s="653" t="e">
        <f ca="1">IFERROR(IF($Y71=0,50*(VLOOKUP($X71,Übungsübersicht!$E$7:$M$83,3,FALSE)),IF($Y71&gt;100,(MROUND(($Y71*1.9),(VLOOKUP($X71,Übungsübersicht!$E$7:$M$83,3,FALSE)))),IF($Y71&gt;80,(MROUND(($Y71*1.9),(VLOOKUP($X71,Übungsübersicht!$E$7:$M$83,3,FALSE)))),IF($Y71&gt;50,(MROUND(($Y71*1.8),(VLOOKUP($X71,Übungsübersicht!$E$7:$M$83,3,FALSE)))),IF($Y71&gt;25,(MROUND(($Y71*1.7),(VLOOKUP($X71,Übungsübersicht!$E$7:$M$83,3,FALSE)))),IF($Y71&gt;15,(MROUND(($Y71*1.6),(VLOOKUP($X71,Übungsübersicht!$E$7:$M$83,3,FALSE)))),IF($Y71&gt;(VLOOKUP($X71,Übungsübersicht!$E$7:$M$83,3,FALSE)),40*(VLOOKUP($X71,Übungsübersicht!$E$7:$M$83,3,FALSE)),""))))))),50*(VLOOKUP($X71,Übungsübersicht!$E$7:$M$83,3,FALSE)))</f>
        <v>#N/A</v>
      </c>
      <c r="AN71" s="652" t="e">
        <f ca="1">MROUND(INDEX(OFFSET(Zyklus!$M$13,68,0),1),(IF(VLOOKUP($X71,Übungsübersicht!$E$7:$K$80,3)=0,0.1,(VLOOKUP($X71,Übungsübersicht!$E$7:$K$80,3)))))</f>
        <v>#N/A</v>
      </c>
      <c r="AP71" s="655" t="str">
        <f ca="1">IFERROR(IF(IF(VLOOKUP($X71,Zyklus!$A$14:$U$68,9,FALSE)=0,"RPE 8",IF(VLOOKUP($X71,Übungsübersicht!$E$7:$M$83,3,FALSE)&lt;0.5,($AN71)-(3*0.5),(($AN71)-(3*(VLOOKUP($X71,Übungsübersicht!$E$7:$M$83,3,FALSE))))))&lt;1,0,(IF(VLOOKUP($X71,Zyklus!$A$14:$U$68,9,FALSE)=0,"RPE 8",IF(VLOOKUP($X71,Übungsübersicht!$E$7:$M$83,3,FALSE)&lt;0.5,($AN71)-(3*0.5),(($AN71)-(3*(VLOOKUP($X71,Übungsübersicht!$E$7:$M$83,3,FALSE)))))))),"RPE 8")</f>
        <v>RPE 8</v>
      </c>
      <c r="AQ71" s="655" t="str">
        <f ca="1">IFERROR(IF(IF(VLOOKUP($X71,Zyklus!$A$14:$U$68,9,FALSE)=0,"RPE 8",IF(VLOOKUP($X71,Übungsübersicht!$E$7:$M$83,3,FALSE)&lt;0.5,($AN71)-(2*0.5),(($AN71)-(2*(VLOOKUP($X71,Übungsübersicht!$E$7:$M$83,3,FALSE))))))&lt;1,0,(IF(VLOOKUP($X71,Zyklus!$A$14:$U$68,9,FALSE)=0,"RPE 8",IF(VLOOKUP($X71,Übungsübersicht!$E$7:$M$83,3,FALSE)&lt;0.5,($AN71)-(2*0.5),(($AN71)-(2*(VLOOKUP($X71,Übungsübersicht!$E$7:$M$83,3,FALSE)))))))),"RPE 8")</f>
        <v>RPE 8</v>
      </c>
      <c r="AR71" s="655" t="str">
        <f ca="1">IFERROR(IF(IF(VLOOKUP($X71,Zyklus!$A$14:$U$68,9,FALSE)=0,"RPE 8",IF(VLOOKUP($X71,Übungsübersicht!$E$7:$M$83,3,FALSE)&lt;0.5,($AN71)-(1*0.5),(($Y71)-(1*(VLOOKUP($X71,Übungsübersicht!$E$7:$M$83,3,FALSE))))))&lt;1,0,(IF(VLOOKUP($X71,Zyklus!$A$14:$U$68,9,FALSE)=0,"RPE 8",IF(VLOOKUP($X71,Übungsübersicht!$E$7:$M$83,3,FALSE)&lt;0.5,($AN71)-(1*0.5),(($Y71)-(1*(VLOOKUP($X71,Übungsübersicht!$E$7:$M$83,3,FALSE)))))))),"RPE 8")</f>
        <v>RPE 8</v>
      </c>
      <c r="AS71" s="655" t="str">
        <f t="shared" ca="1" si="6"/>
        <v>RPE 8</v>
      </c>
      <c r="AT71" s="655" t="str">
        <f ca="1">IFERROR(IF(VLOOKUP($X71,Zyklus!$A$14:$U$68,9,FALSE)=0,"RPE 8",IF(VLOOKUP($X71,Übungsübersicht!$E$7:$M$83,3,FALSE)&lt;0.5,($AN71)+(1*0.5),(($Y71)+(1*(VLOOKUP($X71,Übungsübersicht!$E$7:$M$83,3,FALSE)))))),"RPE 8")</f>
        <v>RPE 8</v>
      </c>
      <c r="AU71" s="655" t="str">
        <f ca="1">IFERROR(IF(VLOOKUP($X71,Zyklus!$A$14:$U$68,9,FALSE)=0,"RPE 8",IF(VLOOKUP($X71,Übungsübersicht!$E$7:$M$83,3,FALSE)&lt;0.5,($AN71)+(2*0.5),(($AN71)+(2*(VLOOKUP($X71,Übungsübersicht!$E$7:$M$83,3,FALSE)))))),"RPE 8")</f>
        <v>RPE 8</v>
      </c>
      <c r="AV71" s="655" t="str">
        <f ca="1">IFERROR(IF(VLOOKUP($X71,Zyklus!$A$14:$U$68,9,FALSE)=0,"RPE 8",IF(VLOOKUP($X71,Übungsübersicht!$E$7:$M$83,3,FALSE)&lt;0.5,($AN71)+(3*0.5),(($AN71)+(3*(VLOOKUP($X71,Übungsübersicht!$E$7:$M$83,3,FALSE)))))),"RPE 8")</f>
        <v>RPE 8</v>
      </c>
      <c r="AY71" s="652" t="e">
        <f ca="1">MROUND(INDEX(OFFSET(Zyklus!$M$13,68,0),1),(IF(VLOOKUP($X71,Übungsübersicht!$E$7:$K$80,3)=0,0.1,(VLOOKUP($X71,Übungsübersicht!$E$7:$K$80,3)))))</f>
        <v>#N/A</v>
      </c>
      <c r="BA71" s="655" t="e">
        <f ca="1">MROUND(INDEX(OFFSET(Zyklus!$Q$13,68,0),1),(IF(VLOOKUP($X71,Übungsübersicht!$E$7:$K$80,3)=0,0.1,(VLOOKUP($X71,Übungsübersicht!$E$7:$K$80,3)))))</f>
        <v>#N/A</v>
      </c>
      <c r="BC71" s="655" t="str">
        <f ca="1">IFERROR(IF(IF(VLOOKUP($X71,Zyklus!$A$14:$U$68,9,FALSE)=0,"RPE 9",IF(VLOOKUP($X71,Übungsübersicht!$E$7:$M$83,3,FALSE)&lt;0.5,($BA71)-(3*0.5),(($BA71)-(3*(VLOOKUP($X71,Übungsübersicht!$E$7:$M$83,3,FALSE))))))&lt;1,0,(IF(VLOOKUP($X71,Zyklus!$A$14:$U$68,9,FALSE)=0,"RPE 9",IF(VLOOKUP($X71,Übungsübersicht!$E$7:$M$83,3,FALSE)&lt;0.5,($BA71)-(3*0.5),(($BA71)-(3*(VLOOKUP($X71,Übungsübersicht!$E$7:$M$83,3,FALSE)))))))),"RPE 9")</f>
        <v>RPE 9</v>
      </c>
      <c r="BD71" s="655" t="str">
        <f ca="1">IFERROR(IF(IF(VLOOKUP($X71,Zyklus!$A$14:$U$68,9,FALSE)=0,"RPE 9",IF(VLOOKUP($X71,Übungsübersicht!$E$7:$M$83,3,FALSE)&lt;0.5,($BA71)-(2*0.5),(($BA71)-(2*(VLOOKUP($X71,Übungsübersicht!$E$7:$M$83,3,FALSE))))))&lt;1,0,(IF(VLOOKUP($X71,Zyklus!$A$14:$U$68,9,FALSE)=0,"RPE 9",IF(VLOOKUP($X71,Übungsübersicht!$E$7:$M$83,3,FALSE)&lt;0.5,($BA71)-(2*0.5),(($BA71)-(2*(VLOOKUP($X71,Übungsübersicht!$E$7:$M$83,3,FALSE)))))))),"RPE 9")</f>
        <v>RPE 9</v>
      </c>
      <c r="BE71" s="655" t="str">
        <f ca="1">IFERROR(IF(IF(VLOOKUP($X71,Zyklus!$A$14:$U$68,9,FALSE)=0,"RPE 9",IF(VLOOKUP($X71,Übungsübersicht!$E$7:$M$83,3,FALSE)&lt;0.5,($BA71)-(1*0.5),(($Y71)-(1*(VLOOKUP($X71,Übungsübersicht!$E$7:$M$83,3,FALSE))))))&lt;1,0,(IF(VLOOKUP($X71,Zyklus!$A$14:$U$68,9,FALSE)=0,"RPE 9",IF(VLOOKUP($X71,Übungsübersicht!$E$7:$M$83,3,FALSE)&lt;0.5,($BA71)-(1*0.5),(($Y71)-(1*(VLOOKUP($X71,Übungsübersicht!$E$7:$M$83,3,FALSE)))))))),"RPE 9")</f>
        <v>RPE 9</v>
      </c>
      <c r="BF71" s="655" t="str">
        <f t="shared" ca="1" si="7"/>
        <v>RPE 9</v>
      </c>
      <c r="BG71" s="655" t="str">
        <f ca="1">IFERROR(IF(VLOOKUP($X71,Zyklus!$A$14:$U$68,9,FALSE)=0,"RPE 9",IF(VLOOKUP($X71,Übungsübersicht!$E$7:$M$83,3,FALSE)&lt;0.5,($AY71)+(1*0.5),(($AY71)+(1*(VLOOKUP($X71,Übungsübersicht!$E$7:$M$83,3,FALSE)))))),"RPE 9")</f>
        <v>RPE 9</v>
      </c>
      <c r="BH71" s="655" t="str">
        <f ca="1">IFERROR(IF(VLOOKUP($X71,Zyklus!$A$14:$U$68,9,FALSE)=0,"RPE 9",IF(VLOOKUP($X71,Übungsübersicht!$E$7:$M$83,3,FALSE)&lt;0.5,($BA71)+(2*0.5),(($BA71)+(2*(VLOOKUP($X71,Übungsübersicht!$E$7:$M$83,3,FALSE)))))),"RPE 9")</f>
        <v>RPE 9</v>
      </c>
      <c r="BI71" s="655" t="str">
        <f ca="1">IFERROR(IF(VLOOKUP($X71,Zyklus!$A$14:$U$68,9,FALSE)=0,"RPE 9",IF(VLOOKUP($X71,Übungsübersicht!$E$7:$M$83,3,FALSE)&lt;0.5,($BA71)+(3*0.5),(($BA71)+(3*(VLOOKUP($X71,Übungsübersicht!$E$7:$M$83,3,FALSE)))))),"RPE 9")</f>
        <v>RPE 9</v>
      </c>
    </row>
    <row r="72" spans="8:61" ht="30" customHeight="1">
      <c r="H72" s="326">
        <v>51</v>
      </c>
      <c r="I72" s="323">
        <f t="shared" si="5"/>
        <v>44.444444444444443</v>
      </c>
      <c r="J72" s="344">
        <f t="shared" si="4"/>
        <v>0.37037037037037035</v>
      </c>
      <c r="Q72" s="871"/>
      <c r="R72" s="871"/>
      <c r="S72" s="871" t="str">
        <f>IF(AND(Dashboard!$C$46="OK/UK",VALUE(LEFT(Dashboard!$C$48,1))&lt;=1),"Keine Zeit",IF(AND(Dashboard!$C$46="OK/UK",VALUE(LEFT(Dashboard!$C$48,1))&lt;=2),"Frrei",IF(AND(Dashboard!$C$46="OK/UK",VALUE(LEFT(Dashboard!$C$48,1))&lt;=3),"OK 3",IF(AND(Dashboard!$C$46="OK/UK/OK+",VALUE(LEFT(Dashboard!$C$48,1))&lt;=1),"Skip",IF(AND(Dashboard!$C$46="OK/UK/OK+",VALUE(LEFT(Dashboard!$C$48,1))&lt;=2),"OK 3+",IF(AND(Dashboard!$C$46="OK/UK/OK+",VALUE(LEFT(Dashboard!$C$48,1))&lt;=3),"OK 3+",IF(AND(Dashboard!$C$46="PUSH/PULL/BEINE",VALUE(LEFT(Dashboard!$C$48,1))&lt;=1),"Skip",IF(AND(Dashboard!$C$46="PUSH/PULL/BEINE",VALUE(LEFT(Dashboard!$C$48,1))&lt;=2),"PULL 2",IF(AND(Dashboard!$C$46="PUSH/PULL/BEINE",VALUE(LEFT(Dashboard!$C$48,1))&lt;=3),"PULL 2",IF(AND(Dashboard!$C$46="PUSH/PULL",VALUE(LEFT(Dashboard!$C$48,1))&lt;=1),"Keine Zeit",IF(AND(Dashboard!$C$46="PUSH/PULL",VALUE(LEFT(Dashboard!$C$48,1))&lt;=2),"Frei",IF(AND(Dashboard!$C$46="PUSH/PULL",VALUE(LEFT(Dashboard!$C$48,1))&lt;=3),"PUSH 3",IF(AND(Dashboard!$C$46="GK",VALUE(LEFT(Dashboard!$C$48,1))&lt;=1),"",IF(AND(Dashboard!$C$46="GK",VALUE(LEFT(Dashboard!$C$48,1))&lt;=2),"Keine Zeit",IF(AND(Dashboard!$C$46="GK",VALUE(LEFT(Dashboard!$C$48,1))&lt;=3),"Skip",IF(AND(Dashboard!$C$46="GK",VALUE(LEFT(Dashboard!$C$48,1))&lt;=4),"Frei",""))))))))))))))))</f>
        <v>OK 3+</v>
      </c>
      <c r="X72" s="654">
        <f ca="1">INDEX(OFFSET(Zyklus!$A$13,69,0),1)</f>
        <v>0</v>
      </c>
      <c r="Y72" s="655" t="e">
        <f ca="1">MROUND(INDEX(OFFSET(Zyklus!$I$13,69,0),1),(IF(VLOOKUP($X72,Übungsübersicht!$E$7:$K$80,3)=0,0.1,(VLOOKUP($X72,Übungsübersicht!$E$7:$K$80,3)))))</f>
        <v>#N/A</v>
      </c>
      <c r="Z72" s="655"/>
      <c r="AA72" s="655" t="e">
        <f ca="1">IFERROR(IF($Y72=0,2*(VLOOKUP($X72,Übungsübersicht!$E$7:$M$83,3,FALSE)),IF($Y72&gt;100,(MROUND(($Y72*0.1),(VLOOKUP($X72,Übungsübersicht!$E$7:$M$83,3,FALSE)))),IF($Y72&gt;80,(MROUND(($Y72*0.1),(VLOOKUP($X72,Übungsübersicht!$E$7:$M$83,3,FALSE)))),IF($Y72&gt;50,(MROUND(($Y72*0.2),(VLOOKUP($X72,Übungsübersicht!$E$7:$M$83,3,FALSE)))),IF($Y72&gt;25,(MROUND(($Y72*0.3),(VLOOKUP($X72,Übungsübersicht!$E$7:$M$83,3,FALSE)))),IF($Y72&gt;15,(MROUND(($Y72*0.4),(VLOOKUP($X72,Übungsübersicht!$E$7:$M$83,3,FALSE)))),IF($Y72&gt;(VLOOKUP($X72,Übungsübersicht!$E$7:$M$83,3,FALSE)),(VLOOKUP($X72,Übungsübersicht!$E$7:$M$83,3,FALSE)),""))))))),2*(VLOOKUP($X72,Übungsübersicht!$E$7:$M$83,3,FALSE)))</f>
        <v>#N/A</v>
      </c>
      <c r="AB72" s="655" t="e">
        <f ca="1">IFERROR(IF($Y72=0,4*(VLOOKUP($X72,Übungsübersicht!$E$7:$M$83,3,FALSE)),IF($Y72&gt;100,(MROUND(($Y72*0.3),(VLOOKUP($X72,Übungsübersicht!$E$7:$M$83,3,FALSE)))),IF($Y72&gt;80,(MROUND(($Y72*0.3),(VLOOKUP($X72,Übungsübersicht!$E$7:$M$83,3,FALSE)))),IF($Y72&gt;50,(MROUND(($Y72*0.4),(VLOOKUP($X72,Übungsübersicht!$E$7:$M$83,3,FALSE)))),IF($Y72&gt;25,(MROUND(($Y72*0.5),(VLOOKUP($X72,Übungsübersicht!$E$7:$M$83,3,FALSE)))),IF($Y72&gt;15,(MROUND(($Y72*0.6),(VLOOKUP($X72,Übungsübersicht!$E$7:$M$83,3,FALSE)))),IF($Y72&gt;(VLOOKUP($X72,Übungsübersicht!$E$7:$M$83,3,FALSE)),(VLOOKUP($X72,Übungsübersicht!$E$7:$M$83,3,FALSE)),""))))))),4*(VLOOKUP($X72,Übungsübersicht!$E$7:$M$83,3,FALSE)))</f>
        <v>#N/A</v>
      </c>
      <c r="AC72" s="655" t="e">
        <f ca="1">IFERROR((IF($Y72=0,8*(VLOOKUP($X72,Übungsübersicht!$E$7:$M$83,3,FALSE)),(($Y72)-(3*(VLOOKUP($X72,Übungsübersicht!$E$7:$M$83,3,FALSE)))))),8*(VLOOKUP($X72,Übungsübersicht!$E$7:$M$83,3,FALSE)))</f>
        <v>#N/A</v>
      </c>
      <c r="AD72" s="655" t="e">
        <f ca="1">IFERROR(((IF($Y72=0,10*(VLOOKUP($X72,Übungsübersicht!$E$7:$M$83,3,FALSE)),($Y72)-(2*(VLOOKUP($X72,Übungsübersicht!$E$7:$M$83,3,FALSE)))))),10*(VLOOKUP($X72,Übungsübersicht!$E$7:$M$83,3,FALSE)))</f>
        <v>#N/A</v>
      </c>
      <c r="AE72" s="655" t="e">
        <f ca="1">IFERROR(((IF($Y72=0,10*(VLOOKUP($X72,Übungsübersicht!$E$7:$M$83,3,FALSE)),($Y72)-(1*(VLOOKUP($X72,Übungsübersicht!$E$7:$M$83,3,FALSE)))))),10*(VLOOKUP($X72,Übungsübersicht!$E$7:$M$83,3,FALSE)))</f>
        <v>#N/A</v>
      </c>
      <c r="AF72" s="655" t="e">
        <f ca="1">IFERROR(IF($Y72=0,20*(VLOOKUP($X72,Übungsübersicht!$E$7:$M$83,3,FALSE)),($Y72)),20*(VLOOKUP($X72,Übungsübersicht!$E$7:$M$83,3,FALSE)))</f>
        <v>#N/A</v>
      </c>
      <c r="AG72" s="655" t="e">
        <f ca="1">IFERROR(IF($Y72=0,30*(VLOOKUP($X72,Übungsübersicht!$E$7:$M$83,3,FALSE)),($Y72)+(1*(VLOOKUP($X72,Übungsübersicht!$E$7:$M$83,3,FALSE)))),30*(VLOOKUP($X72,Übungsübersicht!$E$7:$M$83,3,FALSE)))</f>
        <v>#N/A</v>
      </c>
      <c r="AH72" s="655" t="e">
        <f ca="1">IFERROR(IF($Y72=0,30*(VLOOKUP($X72,Übungsübersicht!$E$7:$M$83,3,FALSE)),($Y72)+(2*(VLOOKUP($X72,Übungsübersicht!$E$7:$M$83,3,FALSE)))),30*(VLOOKUP($X72,Übungsübersicht!$E$7:$M$83,3,FALSE)))</f>
        <v>#N/A</v>
      </c>
      <c r="AI72" s="655" t="e">
        <f ca="1">IFERROR(IF($Y72=0,30*(VLOOKUP($X72,Übungsübersicht!$E$7:$M$83,3,FALSE)),($Y72)+(3*(VLOOKUP($X72,Übungsübersicht!$E$7:$M$83,3,FALSE)))),30*(VLOOKUP($X72,Übungsübersicht!$E$7:$M$83,3,FALSE)))</f>
        <v>#N/A</v>
      </c>
      <c r="AJ72" s="655" t="e">
        <f ca="1">IFERROR(IF($Y72=0,40*(VLOOKUP($X72,Übungsübersicht!$E$7:$M$83,3,FALSE)),IF($Y72&gt;100,(MROUND(($Y72*1.7),(VLOOKUP($X72,Übungsübersicht!$E$7:$M$83,3,FALSE)))),IF($Y72&gt;80,(MROUND(($Y72*1.7),(VLOOKUP($X72,Übungsübersicht!$E$7:$M$83,3,FALSE)))),IF($Y72&gt;50,(MROUND(($Y72*1.6),(VLOOKUP($X72,Übungsübersicht!$E$7:$M$83,3,FALSE)))),IF($Y72&gt;25,(MROUND(($Y72*1.5),(VLOOKUP($X72,Übungsübersicht!$E$7:$M$83,3,FALSE)))),IF($Y72&gt;15,(MROUND(($Y72*1.4),(VLOOKUP($X72,Übungsübersicht!$E$7:$M$83,3,FALSE)))),IF($Y72&gt;(VLOOKUP($X72,Übungsübersicht!$E$7:$M$83,3,FALSE)),30*(VLOOKUP($X72,Übungsübersicht!$E$7:$M$83,3,FALSE)),""))))))),40*(VLOOKUP($X72,Übungsübersicht!$E$7:$M$83,3,FALSE)))</f>
        <v>#N/A</v>
      </c>
      <c r="AK72" s="656" t="e">
        <f ca="1">IFERROR(IF($Y72=0,50*(VLOOKUP($X72,Übungsübersicht!$E$7:$M$83,3,FALSE)),IF($Y72&gt;100,(MROUND(($Y72*1.9),(VLOOKUP($X72,Übungsübersicht!$E$7:$M$83,3,FALSE)))),IF($Y72&gt;80,(MROUND(($Y72*1.9),(VLOOKUP($X72,Übungsübersicht!$E$7:$M$83,3,FALSE)))),IF($Y72&gt;50,(MROUND(($Y72*1.8),(VLOOKUP($X72,Übungsübersicht!$E$7:$M$83,3,FALSE)))),IF($Y72&gt;25,(MROUND(($Y72*1.7),(VLOOKUP($X72,Übungsübersicht!$E$7:$M$83,3,FALSE)))),IF($Y72&gt;15,(MROUND(($Y72*1.6),(VLOOKUP($X72,Übungsübersicht!$E$7:$M$83,3,FALSE)))),IF($Y72&gt;(VLOOKUP($X72,Übungsübersicht!$E$7:$M$83,3,FALSE)),40*(VLOOKUP($X72,Übungsübersicht!$E$7:$M$83,3,FALSE)),""))))))),50*(VLOOKUP($X72,Übungsübersicht!$E$7:$M$83,3,FALSE)))</f>
        <v>#N/A</v>
      </c>
      <c r="AN72" s="655" t="e">
        <f ca="1">MROUND(INDEX(OFFSET(Zyklus!$M$13,69,0),1),(IF(VLOOKUP($X72,Übungsübersicht!$E$7:$K$80,3)=0,0.1,(VLOOKUP($X72,Übungsübersicht!$E$7:$K$80,3)))))</f>
        <v>#N/A</v>
      </c>
      <c r="AP72" s="652" t="str">
        <f ca="1">IFERROR(IF(IF(VLOOKUP($X72,Zyklus!$A$14:$U$68,9,FALSE)=0,"RPE 8",IF(VLOOKUP($X72,Übungsübersicht!$E$7:$M$83,3,FALSE)&lt;0.5,($AN72)-(3*0.5),(($AN72)-(3*(VLOOKUP($X72,Übungsübersicht!$E$7:$M$83,3,FALSE))))))&lt;1,0,(IF(VLOOKUP($X72,Zyklus!$A$14:$U$68,9,FALSE)=0,"RPE 8",IF(VLOOKUP($X72,Übungsübersicht!$E$7:$M$83,3,FALSE)&lt;0.5,($AN72)-(3*0.5),(($AN72)-(3*(VLOOKUP($X72,Übungsübersicht!$E$7:$M$83,3,FALSE)))))))),"RPE 8")</f>
        <v>RPE 8</v>
      </c>
      <c r="AQ72" s="652" t="str">
        <f ca="1">IFERROR(IF(IF(VLOOKUP($X72,Zyklus!$A$14:$U$68,9,FALSE)=0,"RPE 8",IF(VLOOKUP($X72,Übungsübersicht!$E$7:$M$83,3,FALSE)&lt;0.5,($AN72)-(2*0.5),(($AN72)-(2*(VLOOKUP($X72,Übungsübersicht!$E$7:$M$83,3,FALSE))))))&lt;1,0,(IF(VLOOKUP($X72,Zyklus!$A$14:$U$68,9,FALSE)=0,"RPE 8",IF(VLOOKUP($X72,Übungsübersicht!$E$7:$M$83,3,FALSE)&lt;0.5,($AN72)-(2*0.5),(($AN72)-(2*(VLOOKUP($X72,Übungsübersicht!$E$7:$M$83,3,FALSE)))))))),"RPE 8")</f>
        <v>RPE 8</v>
      </c>
      <c r="AR72" s="652" t="str">
        <f ca="1">IFERROR(IF(IF(VLOOKUP($X72,Zyklus!$A$14:$U$68,9,FALSE)=0,"RPE 8",IF(VLOOKUP($X72,Übungsübersicht!$E$7:$M$83,3,FALSE)&lt;0.5,($AN72)-(1*0.5),(($Y72)-(1*(VLOOKUP($X72,Übungsübersicht!$E$7:$M$83,3,FALSE))))))&lt;1,0,(IF(VLOOKUP($X72,Zyklus!$A$14:$U$68,9,FALSE)=0,"RPE 8",IF(VLOOKUP($X72,Übungsübersicht!$E$7:$M$83,3,FALSE)&lt;0.5,($AN72)-(1*0.5),(($Y72)-(1*(VLOOKUP($X72,Übungsübersicht!$E$7:$M$83,3,FALSE)))))))),"RPE 8")</f>
        <v>RPE 8</v>
      </c>
      <c r="AS72" s="652" t="str">
        <f t="shared" ca="1" si="6"/>
        <v>RPE 8</v>
      </c>
      <c r="AT72" s="652" t="str">
        <f ca="1">IFERROR(IF(VLOOKUP($X72,Zyklus!$A$14:$U$68,9,FALSE)=0,"RPE 8",IF(VLOOKUP($X72,Übungsübersicht!$E$7:$M$83,3,FALSE)&lt;0.5,($AN72)+(1*0.5),(($Y72)+(1*(VLOOKUP($X72,Übungsübersicht!$E$7:$M$83,3,FALSE)))))),"RPE 8")</f>
        <v>RPE 8</v>
      </c>
      <c r="AU72" s="652" t="str">
        <f ca="1">IFERROR(IF(VLOOKUP($X72,Zyklus!$A$14:$U$68,9,FALSE)=0,"RPE 8",IF(VLOOKUP($X72,Übungsübersicht!$E$7:$M$83,3,FALSE)&lt;0.5,($AN72)+(2*0.5),(($AN72)+(2*(VLOOKUP($X72,Übungsübersicht!$E$7:$M$83,3,FALSE)))))),"RPE 8")</f>
        <v>RPE 8</v>
      </c>
      <c r="AV72" s="652" t="str">
        <f ca="1">IFERROR(IF(VLOOKUP($X72,Zyklus!$A$14:$U$68,9,FALSE)=0,"RPE 8",IF(VLOOKUP($X72,Übungsübersicht!$E$7:$M$83,3,FALSE)&lt;0.5,($AN72)+(3*0.5),(($AN72)+(3*(VLOOKUP($X72,Übungsübersicht!$E$7:$M$83,3,FALSE)))))),"RPE 8")</f>
        <v>RPE 8</v>
      </c>
      <c r="AY72" s="655" t="e">
        <f ca="1">MROUND(INDEX(OFFSET(Zyklus!$M$13,69,0),1),(IF(VLOOKUP($X72,Übungsübersicht!$E$7:$K$80,3)=0,0.1,(VLOOKUP($X72,Übungsübersicht!$E$7:$K$80,3)))))</f>
        <v>#N/A</v>
      </c>
      <c r="BA72" s="652" t="e">
        <f ca="1">MROUND(INDEX(OFFSET(Zyklus!$Q$13,69,0),1),(IF(VLOOKUP($X72,Übungsübersicht!$E$7:$K$80,3)=0,0.1,(VLOOKUP($X72,Übungsübersicht!$E$7:$K$80,3)))))</f>
        <v>#N/A</v>
      </c>
      <c r="BC72" s="652" t="str">
        <f ca="1">IFERROR(IF(IF(VLOOKUP($X72,Zyklus!$A$14:$U$68,9,FALSE)=0,"RPE 9",IF(VLOOKUP($X72,Übungsübersicht!$E$7:$M$83,3,FALSE)&lt;0.5,($BA72)-(3*0.5),(($BA72)-(3*(VLOOKUP($X72,Übungsübersicht!$E$7:$M$83,3,FALSE))))))&lt;1,0,(IF(VLOOKUP($X72,Zyklus!$A$14:$U$68,9,FALSE)=0,"RPE 9",IF(VLOOKUP($X72,Übungsübersicht!$E$7:$M$83,3,FALSE)&lt;0.5,($BA72)-(3*0.5),(($BA72)-(3*(VLOOKUP($X72,Übungsübersicht!$E$7:$M$83,3,FALSE)))))))),"RPE 9")</f>
        <v>RPE 9</v>
      </c>
      <c r="BD72" s="652" t="str">
        <f ca="1">IFERROR(IF(IF(VLOOKUP($X72,Zyklus!$A$14:$U$68,9,FALSE)=0,"RPE 9",IF(VLOOKUP($X72,Übungsübersicht!$E$7:$M$83,3,FALSE)&lt;0.5,($BA72)-(2*0.5),(($BA72)-(2*(VLOOKUP($X72,Übungsübersicht!$E$7:$M$83,3,FALSE))))))&lt;1,0,(IF(VLOOKUP($X72,Zyklus!$A$14:$U$68,9,FALSE)=0,"RPE 9",IF(VLOOKUP($X72,Übungsübersicht!$E$7:$M$83,3,FALSE)&lt;0.5,($BA72)-(2*0.5),(($BA72)-(2*(VLOOKUP($X72,Übungsübersicht!$E$7:$M$83,3,FALSE)))))))),"RPE 9")</f>
        <v>RPE 9</v>
      </c>
      <c r="BE72" s="652" t="str">
        <f ca="1">IFERROR(IF(IF(VLOOKUP($X72,Zyklus!$A$14:$U$68,9,FALSE)=0,"RPE 9",IF(VLOOKUP($X72,Übungsübersicht!$E$7:$M$83,3,FALSE)&lt;0.5,($BA72)-(1*0.5),(($Y72)-(1*(VLOOKUP($X72,Übungsübersicht!$E$7:$M$83,3,FALSE))))))&lt;1,0,(IF(VLOOKUP($X72,Zyklus!$A$14:$U$68,9,FALSE)=0,"RPE 9",IF(VLOOKUP($X72,Übungsübersicht!$E$7:$M$83,3,FALSE)&lt;0.5,($BA72)-(1*0.5),(($Y72)-(1*(VLOOKUP($X72,Übungsübersicht!$E$7:$M$83,3,FALSE)))))))),"RPE 9")</f>
        <v>RPE 9</v>
      </c>
      <c r="BF72" s="652" t="str">
        <f t="shared" ca="1" si="7"/>
        <v>RPE 9</v>
      </c>
      <c r="BG72" s="652" t="str">
        <f ca="1">IFERROR(IF(VLOOKUP($X72,Zyklus!$A$14:$U$68,9,FALSE)=0,"RPE 9",IF(VLOOKUP($X72,Übungsübersicht!$E$7:$M$83,3,FALSE)&lt;0.5,($AY72)+(1*0.5),(($AY72)+(1*(VLOOKUP($X72,Übungsübersicht!$E$7:$M$83,3,FALSE)))))),"RPE 9")</f>
        <v>RPE 9</v>
      </c>
      <c r="BH72" s="652" t="str">
        <f ca="1">IFERROR(IF(VLOOKUP($X72,Zyklus!$A$14:$U$68,9,FALSE)=0,"RPE 9",IF(VLOOKUP($X72,Übungsübersicht!$E$7:$M$83,3,FALSE)&lt;0.5,($BA72)+(2*0.5),(($BA72)+(2*(VLOOKUP($X72,Übungsübersicht!$E$7:$M$83,3,FALSE)))))),"RPE 9")</f>
        <v>RPE 9</v>
      </c>
      <c r="BI72" s="652" t="str">
        <f ca="1">IFERROR(IF(VLOOKUP($X72,Zyklus!$A$14:$U$68,9,FALSE)=0,"RPE 9",IF(VLOOKUP($X72,Übungsübersicht!$E$7:$M$83,3,FALSE)&lt;0.5,($BA72)+(3*0.5),(($BA72)+(3*(VLOOKUP($X72,Übungsübersicht!$E$7:$M$83,3,FALSE)))))),"RPE 9")</f>
        <v>RPE 9</v>
      </c>
    </row>
    <row r="73" spans="8:61" ht="30" customHeight="1">
      <c r="H73" s="326">
        <v>52</v>
      </c>
      <c r="I73" s="323">
        <f t="shared" si="5"/>
        <v>43.90243902439024</v>
      </c>
      <c r="J73" s="344">
        <f t="shared" si="4"/>
        <v>0.36585365853658536</v>
      </c>
      <c r="Q73" s="872"/>
      <c r="R73" s="872"/>
      <c r="S73" s="872" t="str">
        <f>IF(AND(Dashboard!$C$46="OK/UK",VALUE(LEFT(Dashboard!$C$48,1))&lt;=1),"",IF(AND(Dashboard!$C$46="OK/UK",VALUE(LEFT(Dashboard!$C$48,1))&lt;=2),"Skip",IF(AND(Dashboard!$C$46="OK/UK",VALUE(LEFT(Dashboard!$C$48,1))&lt;=3),"UK 3",IF(AND(Dashboard!$C$46="OK/UK/OK+",VALUE(LEFT(Dashboard!$C$48,1))&lt;=1),"Keine Zeit",IF(AND(Dashboard!$C$46="OK/UK/OK+",VALUE(LEFT(Dashboard!$C$48,1))&lt;=2),"Frei",IF(AND(Dashboard!$C$46="OK/UK/OK+",VALUE(LEFT(Dashboard!$C$48,1))&lt;=3),"Frei",IF(AND(Dashboard!$C$46="PUSH/PULL/BEINE",VALUE(LEFT(Dashboard!$C$48,1))&lt;=1),"Keine Zeit",IF(AND(Dashboard!$C$46="PUSH/PULL/BEINE",VALUE(LEFT(Dashboard!$C$48,1))&lt;=2),"BEINE 2",IF(AND(Dashboard!$C$46="PUSH/PULL/BEINE",VALUE(LEFT(Dashboard!$C$48,1))&lt;=3),"BEINE 2",IF(AND(Dashboard!$C$46="PUSH/PULL",VALUE(LEFT(Dashboard!$C$48,1))&lt;=1),"",IF(AND(Dashboard!$C$46="PUSH/PULL",VALUE(LEFT(Dashboard!$C$48,1))&lt;=2),"Skip",IF(AND(Dashboard!$C$46="PUSH/PULL",VALUE(LEFT(Dashboard!$C$48,1))&lt;=3),"PULL 3",IF(AND(Dashboard!$C$46="GK",VALUE(LEFT(Dashboard!$C$48,1))&lt;=1),"",IF(AND(Dashboard!$C$46="GK",VALUE(LEFT(Dashboard!$C$48,1))&lt;=2),"",IF(AND(Dashboard!$C$46="GK",VALUE(LEFT(Dashboard!$C$48,1))&lt;=3),"Keine Zeit",IF(AND(Dashboard!$C$46="GK",VALUE(LEFT(Dashboard!$C$48,1))&lt;=4),"Skip",""))))))))))))))))</f>
        <v>Frei</v>
      </c>
      <c r="X73" s="651">
        <f ca="1">INDEX(OFFSET(Zyklus!$A$13,70,0),1)</f>
        <v>0</v>
      </c>
      <c r="Y73" s="652" t="e">
        <f ca="1">MROUND(INDEX(OFFSET(Zyklus!$I$13,70,0),1),(IF(VLOOKUP($X73,Übungsübersicht!$E$7:$K$80,3)=0,0.1,(VLOOKUP($X73,Übungsübersicht!$E$7:$K$80,3)))))</f>
        <v>#N/A</v>
      </c>
      <c r="Z73" s="652"/>
      <c r="AA73" s="652" t="e">
        <f ca="1">IFERROR(IF($Y73=0,2*(VLOOKUP($X73,Übungsübersicht!$E$7:$M$83,3,FALSE)),IF($Y73&gt;100,(MROUND(($Y73*0.1),(VLOOKUP($X73,Übungsübersicht!$E$7:$M$83,3,FALSE)))),IF($Y73&gt;80,(MROUND(($Y73*0.1),(VLOOKUP($X73,Übungsübersicht!$E$7:$M$83,3,FALSE)))),IF($Y73&gt;50,(MROUND(($Y73*0.2),(VLOOKUP($X73,Übungsübersicht!$E$7:$M$83,3,FALSE)))),IF($Y73&gt;25,(MROUND(($Y73*0.3),(VLOOKUP($X73,Übungsübersicht!$E$7:$M$83,3,FALSE)))),IF($Y73&gt;15,(MROUND(($Y73*0.4),(VLOOKUP($X73,Übungsübersicht!$E$7:$M$83,3,FALSE)))),IF($Y73&gt;(VLOOKUP($X73,Übungsübersicht!$E$7:$M$83,3,FALSE)),(VLOOKUP($X73,Übungsübersicht!$E$7:$M$83,3,FALSE)),""))))))),2*(VLOOKUP($X73,Übungsübersicht!$E$7:$M$83,3,FALSE)))</f>
        <v>#N/A</v>
      </c>
      <c r="AB73" s="652" t="e">
        <f ca="1">IFERROR(IF($Y73=0,4*(VLOOKUP($X73,Übungsübersicht!$E$7:$M$83,3,FALSE)),IF($Y73&gt;100,(MROUND(($Y73*0.3),(VLOOKUP($X73,Übungsübersicht!$E$7:$M$83,3,FALSE)))),IF($Y73&gt;80,(MROUND(($Y73*0.3),(VLOOKUP($X73,Übungsübersicht!$E$7:$M$83,3,FALSE)))),IF($Y73&gt;50,(MROUND(($Y73*0.4),(VLOOKUP($X73,Übungsübersicht!$E$7:$M$83,3,FALSE)))),IF($Y73&gt;25,(MROUND(($Y73*0.5),(VLOOKUP($X73,Übungsübersicht!$E$7:$M$83,3,FALSE)))),IF($Y73&gt;15,(MROUND(($Y73*0.6),(VLOOKUP($X73,Übungsübersicht!$E$7:$M$83,3,FALSE)))),IF($Y73&gt;(VLOOKUP($X73,Übungsübersicht!$E$7:$M$83,3,FALSE)),(VLOOKUP($X73,Übungsübersicht!$E$7:$M$83,3,FALSE)),""))))))),4*(VLOOKUP($X73,Übungsübersicht!$E$7:$M$83,3,FALSE)))</f>
        <v>#N/A</v>
      </c>
      <c r="AC73" s="652" t="e">
        <f ca="1">IFERROR((IF($Y73=0,8*(VLOOKUP($X73,Übungsübersicht!$E$7:$M$83,3,FALSE)),(($Y73)-(3*(VLOOKUP($X73,Übungsübersicht!$E$7:$M$83,3,FALSE)))))),8*(VLOOKUP($X73,Übungsübersicht!$E$7:$M$83,3,FALSE)))</f>
        <v>#N/A</v>
      </c>
      <c r="AD73" s="652" t="e">
        <f ca="1">IFERROR(((IF($Y73=0,10*(VLOOKUP($X73,Übungsübersicht!$E$7:$M$83,3,FALSE)),($Y73)-(2*(VLOOKUP($X73,Übungsübersicht!$E$7:$M$83,3,FALSE)))))),10*(VLOOKUP($X73,Übungsübersicht!$E$7:$M$83,3,FALSE)))</f>
        <v>#N/A</v>
      </c>
      <c r="AE73" s="652" t="e">
        <f ca="1">IFERROR(((IF($Y73=0,10*(VLOOKUP($X73,Übungsübersicht!$E$7:$M$83,3,FALSE)),($Y73)-(1*(VLOOKUP($X73,Übungsübersicht!$E$7:$M$83,3,FALSE)))))),10*(VLOOKUP($X73,Übungsübersicht!$E$7:$M$83,3,FALSE)))</f>
        <v>#N/A</v>
      </c>
      <c r="AF73" s="652" t="e">
        <f ca="1">IFERROR(IF($Y73=0,20*(VLOOKUP($X73,Übungsübersicht!$E$7:$M$83,3,FALSE)),($Y73)),20*(VLOOKUP($X73,Übungsübersicht!$E$7:$M$83,3,FALSE)))</f>
        <v>#N/A</v>
      </c>
      <c r="AG73" s="652" t="e">
        <f ca="1">IFERROR(IF($Y73=0,30*(VLOOKUP($X73,Übungsübersicht!$E$7:$M$83,3,FALSE)),($Y73)+(1*(VLOOKUP($X73,Übungsübersicht!$E$7:$M$83,3,FALSE)))),30*(VLOOKUP($X73,Übungsübersicht!$E$7:$M$83,3,FALSE)))</f>
        <v>#N/A</v>
      </c>
      <c r="AH73" s="652" t="e">
        <f ca="1">IFERROR(IF($Y73=0,30*(VLOOKUP($X73,Übungsübersicht!$E$7:$M$83,3,FALSE)),($Y73)+(2*(VLOOKUP($X73,Übungsübersicht!$E$7:$M$83,3,FALSE)))),30*(VLOOKUP($X73,Übungsübersicht!$E$7:$M$83,3,FALSE)))</f>
        <v>#N/A</v>
      </c>
      <c r="AI73" s="652" t="e">
        <f ca="1">IFERROR(IF($Y73=0,30*(VLOOKUP($X73,Übungsübersicht!$E$7:$M$83,3,FALSE)),($Y73)+(3*(VLOOKUP($X73,Übungsübersicht!$E$7:$M$83,3,FALSE)))),30*(VLOOKUP($X73,Übungsübersicht!$E$7:$M$83,3,FALSE)))</f>
        <v>#N/A</v>
      </c>
      <c r="AJ73" s="652" t="e">
        <f ca="1">IFERROR(IF($Y73=0,40*(VLOOKUP($X73,Übungsübersicht!$E$7:$M$83,3,FALSE)),IF($Y73&gt;100,(MROUND(($Y73*1.7),(VLOOKUP($X73,Übungsübersicht!$E$7:$M$83,3,FALSE)))),IF($Y73&gt;80,(MROUND(($Y73*1.7),(VLOOKUP($X73,Übungsübersicht!$E$7:$M$83,3,FALSE)))),IF($Y73&gt;50,(MROUND(($Y73*1.6),(VLOOKUP($X73,Übungsübersicht!$E$7:$M$83,3,FALSE)))),IF($Y73&gt;25,(MROUND(($Y73*1.5),(VLOOKUP($X73,Übungsübersicht!$E$7:$M$83,3,FALSE)))),IF($Y73&gt;15,(MROUND(($Y73*1.4),(VLOOKUP($X73,Übungsübersicht!$E$7:$M$83,3,FALSE)))),IF($Y73&gt;(VLOOKUP($X73,Übungsübersicht!$E$7:$M$83,3,FALSE)),30*(VLOOKUP($X73,Übungsübersicht!$E$7:$M$83,3,FALSE)),""))))))),40*(VLOOKUP($X73,Übungsübersicht!$E$7:$M$83,3,FALSE)))</f>
        <v>#N/A</v>
      </c>
      <c r="AK73" s="653" t="e">
        <f ca="1">IFERROR(IF($Y73=0,50*(VLOOKUP($X73,Übungsübersicht!$E$7:$M$83,3,FALSE)),IF($Y73&gt;100,(MROUND(($Y73*1.9),(VLOOKUP($X73,Übungsübersicht!$E$7:$M$83,3,FALSE)))),IF($Y73&gt;80,(MROUND(($Y73*1.9),(VLOOKUP($X73,Übungsübersicht!$E$7:$M$83,3,FALSE)))),IF($Y73&gt;50,(MROUND(($Y73*1.8),(VLOOKUP($X73,Übungsübersicht!$E$7:$M$83,3,FALSE)))),IF($Y73&gt;25,(MROUND(($Y73*1.7),(VLOOKUP($X73,Übungsübersicht!$E$7:$M$83,3,FALSE)))),IF($Y73&gt;15,(MROUND(($Y73*1.6),(VLOOKUP($X73,Übungsübersicht!$E$7:$M$83,3,FALSE)))),IF($Y73&gt;(VLOOKUP($X73,Übungsübersicht!$E$7:$M$83,3,FALSE)),40*(VLOOKUP($X73,Übungsübersicht!$E$7:$M$83,3,FALSE)),""))))))),50*(VLOOKUP($X73,Übungsübersicht!$E$7:$M$83,3,FALSE)))</f>
        <v>#N/A</v>
      </c>
      <c r="AN73" s="652" t="e">
        <f ca="1">MROUND(INDEX(OFFSET(Zyklus!$M$13,70,0),1),(IF(VLOOKUP($X73,Übungsübersicht!$E$7:$K$80,3)=0,0.1,(VLOOKUP($X73,Übungsübersicht!$E$7:$K$80,3)))))</f>
        <v>#N/A</v>
      </c>
      <c r="AP73" s="655" t="str">
        <f ca="1">IFERROR(IF(IF(VLOOKUP($X73,Zyklus!$A$14:$U$68,9,FALSE)=0,"RPE 8",IF(VLOOKUP($X73,Übungsübersicht!$E$7:$M$83,3,FALSE)&lt;0.5,($AN73)-(3*0.5),(($AN73)-(3*(VLOOKUP($X73,Übungsübersicht!$E$7:$M$83,3,FALSE))))))&lt;1,0,(IF(VLOOKUP($X73,Zyklus!$A$14:$U$68,9,FALSE)=0,"RPE 8",IF(VLOOKUP($X73,Übungsübersicht!$E$7:$M$83,3,FALSE)&lt;0.5,($AN73)-(3*0.5),(($AN73)-(3*(VLOOKUP($X73,Übungsübersicht!$E$7:$M$83,3,FALSE)))))))),"RPE 8")</f>
        <v>RPE 8</v>
      </c>
      <c r="AQ73" s="655" t="str">
        <f ca="1">IFERROR(IF(IF(VLOOKUP($X73,Zyklus!$A$14:$U$68,9,FALSE)=0,"RPE 8",IF(VLOOKUP($X73,Übungsübersicht!$E$7:$M$83,3,FALSE)&lt;0.5,($AN73)-(2*0.5),(($AN73)-(2*(VLOOKUP($X73,Übungsübersicht!$E$7:$M$83,3,FALSE))))))&lt;1,0,(IF(VLOOKUP($X73,Zyklus!$A$14:$U$68,9,FALSE)=0,"RPE 8",IF(VLOOKUP($X73,Übungsübersicht!$E$7:$M$83,3,FALSE)&lt;0.5,($AN73)-(2*0.5),(($AN73)-(2*(VLOOKUP($X73,Übungsübersicht!$E$7:$M$83,3,FALSE)))))))),"RPE 8")</f>
        <v>RPE 8</v>
      </c>
      <c r="AR73" s="655" t="str">
        <f ca="1">IFERROR(IF(IF(VLOOKUP($X73,Zyklus!$A$14:$U$68,9,FALSE)=0,"RPE 8",IF(VLOOKUP($X73,Übungsübersicht!$E$7:$M$83,3,FALSE)&lt;0.5,($AN73)-(1*0.5),(($Y73)-(1*(VLOOKUP($X73,Übungsübersicht!$E$7:$M$83,3,FALSE))))))&lt;1,0,(IF(VLOOKUP($X73,Zyklus!$A$14:$U$68,9,FALSE)=0,"RPE 8",IF(VLOOKUP($X73,Übungsübersicht!$E$7:$M$83,3,FALSE)&lt;0.5,($AN73)-(1*0.5),(($Y73)-(1*(VLOOKUP($X73,Übungsübersicht!$E$7:$M$83,3,FALSE)))))))),"RPE 8")</f>
        <v>RPE 8</v>
      </c>
      <c r="AS73" s="655" t="str">
        <f t="shared" ca="1" si="6"/>
        <v>RPE 8</v>
      </c>
      <c r="AT73" s="655" t="str">
        <f ca="1">IFERROR(IF(VLOOKUP($X73,Zyklus!$A$14:$U$68,9,FALSE)=0,"RPE 8",IF(VLOOKUP($X73,Übungsübersicht!$E$7:$M$83,3,FALSE)&lt;0.5,($AN73)+(1*0.5),(($Y73)+(1*(VLOOKUP($X73,Übungsübersicht!$E$7:$M$83,3,FALSE)))))),"RPE 8")</f>
        <v>RPE 8</v>
      </c>
      <c r="AU73" s="655" t="str">
        <f ca="1">IFERROR(IF(VLOOKUP($X73,Zyklus!$A$14:$U$68,9,FALSE)=0,"RPE 8",IF(VLOOKUP($X73,Übungsübersicht!$E$7:$M$83,3,FALSE)&lt;0.5,($AN73)+(2*0.5),(($AN73)+(2*(VLOOKUP($X73,Übungsübersicht!$E$7:$M$83,3,FALSE)))))),"RPE 8")</f>
        <v>RPE 8</v>
      </c>
      <c r="AV73" s="655" t="str">
        <f ca="1">IFERROR(IF(VLOOKUP($X73,Zyklus!$A$14:$U$68,9,FALSE)=0,"RPE 8",IF(VLOOKUP($X73,Übungsübersicht!$E$7:$M$83,3,FALSE)&lt;0.5,($AN73)+(3*0.5),(($AN73)+(3*(VLOOKUP($X73,Übungsübersicht!$E$7:$M$83,3,FALSE)))))),"RPE 8")</f>
        <v>RPE 8</v>
      </c>
      <c r="AY73" s="652" t="e">
        <f ca="1">MROUND(INDEX(OFFSET(Zyklus!$M$13,70,0),1),(IF(VLOOKUP($X73,Übungsübersicht!$E$7:$K$80,3)=0,0.1,(VLOOKUP($X73,Übungsübersicht!$E$7:$K$80,3)))))</f>
        <v>#N/A</v>
      </c>
      <c r="BA73" s="655" t="e">
        <f ca="1">MROUND(INDEX(OFFSET(Zyklus!$Q$13,70,0),1),(IF(VLOOKUP($X73,Übungsübersicht!$E$7:$K$80,3)=0,0.1,(VLOOKUP($X73,Übungsübersicht!$E$7:$K$80,3)))))</f>
        <v>#N/A</v>
      </c>
      <c r="BC73" s="655" t="str">
        <f ca="1">IFERROR(IF(IF(VLOOKUP($X73,Zyklus!$A$14:$U$68,9,FALSE)=0,"RPE 9",IF(VLOOKUP($X73,Übungsübersicht!$E$7:$M$83,3,FALSE)&lt;0.5,($BA73)-(3*0.5),(($BA73)-(3*(VLOOKUP($X73,Übungsübersicht!$E$7:$M$83,3,FALSE))))))&lt;1,0,(IF(VLOOKUP($X73,Zyklus!$A$14:$U$68,9,FALSE)=0,"RPE 9",IF(VLOOKUP($X73,Übungsübersicht!$E$7:$M$83,3,FALSE)&lt;0.5,($BA73)-(3*0.5),(($BA73)-(3*(VLOOKUP($X73,Übungsübersicht!$E$7:$M$83,3,FALSE)))))))),"RPE 9")</f>
        <v>RPE 9</v>
      </c>
      <c r="BD73" s="655" t="str">
        <f ca="1">IFERROR(IF(IF(VLOOKUP($X73,Zyklus!$A$14:$U$68,9,FALSE)=0,"RPE 9",IF(VLOOKUP($X73,Übungsübersicht!$E$7:$M$83,3,FALSE)&lt;0.5,($BA73)-(2*0.5),(($BA73)-(2*(VLOOKUP($X73,Übungsübersicht!$E$7:$M$83,3,FALSE))))))&lt;1,0,(IF(VLOOKUP($X73,Zyklus!$A$14:$U$68,9,FALSE)=0,"RPE 9",IF(VLOOKUP($X73,Übungsübersicht!$E$7:$M$83,3,FALSE)&lt;0.5,($BA73)-(2*0.5),(($BA73)-(2*(VLOOKUP($X73,Übungsübersicht!$E$7:$M$83,3,FALSE)))))))),"RPE 9")</f>
        <v>RPE 9</v>
      </c>
      <c r="BE73" s="655" t="str">
        <f ca="1">IFERROR(IF(IF(VLOOKUP($X73,Zyklus!$A$14:$U$68,9,FALSE)=0,"RPE 9",IF(VLOOKUP($X73,Übungsübersicht!$E$7:$M$83,3,FALSE)&lt;0.5,($BA73)-(1*0.5),(($Y73)-(1*(VLOOKUP($X73,Übungsübersicht!$E$7:$M$83,3,FALSE))))))&lt;1,0,(IF(VLOOKUP($X73,Zyklus!$A$14:$U$68,9,FALSE)=0,"RPE 9",IF(VLOOKUP($X73,Übungsübersicht!$E$7:$M$83,3,FALSE)&lt;0.5,($BA73)-(1*0.5),(($Y73)-(1*(VLOOKUP($X73,Übungsübersicht!$E$7:$M$83,3,FALSE)))))))),"RPE 9")</f>
        <v>RPE 9</v>
      </c>
      <c r="BF73" s="655" t="str">
        <f t="shared" ca="1" si="7"/>
        <v>RPE 9</v>
      </c>
      <c r="BG73" s="655" t="str">
        <f ca="1">IFERROR(IF(VLOOKUP($X73,Zyklus!$A$14:$U$68,9,FALSE)=0,"RPE 9",IF(VLOOKUP($X73,Übungsübersicht!$E$7:$M$83,3,FALSE)&lt;0.5,($AY73)+(1*0.5),(($AY73)+(1*(VLOOKUP($X73,Übungsübersicht!$E$7:$M$83,3,FALSE)))))),"RPE 9")</f>
        <v>RPE 9</v>
      </c>
      <c r="BH73" s="655" t="str">
        <f ca="1">IFERROR(IF(VLOOKUP($X73,Zyklus!$A$14:$U$68,9,FALSE)=0,"RPE 9",IF(VLOOKUP($X73,Übungsübersicht!$E$7:$M$83,3,FALSE)&lt;0.5,($BA73)+(2*0.5),(($BA73)+(2*(VLOOKUP($X73,Übungsübersicht!$E$7:$M$83,3,FALSE)))))),"RPE 9")</f>
        <v>RPE 9</v>
      </c>
      <c r="BI73" s="655" t="str">
        <f ca="1">IFERROR(IF(VLOOKUP($X73,Zyklus!$A$14:$U$68,9,FALSE)=0,"RPE 9",IF(VLOOKUP($X73,Übungsübersicht!$E$7:$M$83,3,FALSE)&lt;0.5,($BA73)+(3*0.5),(($BA73)+(3*(VLOOKUP($X73,Übungsübersicht!$E$7:$M$83,3,FALSE)))))),"RPE 9")</f>
        <v>RPE 9</v>
      </c>
    </row>
    <row r="74" spans="8:61" ht="30" customHeight="1">
      <c r="H74" s="326">
        <v>53</v>
      </c>
      <c r="I74" s="323">
        <f t="shared" si="5"/>
        <v>43.373493975903614</v>
      </c>
      <c r="J74" s="344">
        <f t="shared" si="4"/>
        <v>0.36144578313253012</v>
      </c>
      <c r="Q74" s="859"/>
      <c r="R74" s="859"/>
      <c r="S74" s="871" t="str">
        <f>IF(AND(Dashboard!$C$46="OK/UK",VALUE(LEFT(Dashboard!$C$48,1))&lt;=1),"",IF(AND(Dashboard!$C$46="OK/UK",VALUE(LEFT(Dashboard!$C$48,1))&lt;=2),"Keine Zeit",IF(AND(Dashboard!$C$46="OK/UK",VALUE(LEFT(Dashboard!$C$48,1))&lt;=3),"Frei",IF(AND(Dashboard!$C$46="OK/UK/OK+",VALUE(LEFT(Dashboard!$C$48,1))&lt;=1),"",IF(AND(Dashboard!$C$46="OK/UK/OK+",VALUE(LEFT(Dashboard!$C$48,1))&lt;=2),"Skip",IF(AND(Dashboard!$C$46="OK/UK/OK+",VALUE(LEFT(Dashboard!$C$48,1))&lt;=3),"Skip",IF(AND(Dashboard!$C$46="PUSH/PULL/BEINE",VALUE(LEFT(Dashboard!$C$48,1))&lt;=1),"",IF(AND(Dashboard!$C$46="PUSH/PULL/BEINE",VALUE(LEFT(Dashboard!$C$48,1))&lt;=2),"Frei",IF(AND(Dashboard!$C$46="PUSH/PULL/BEINE",VALUE(LEFT(Dashboard!$C$48,1))&lt;=3),"Frei",IF(AND(Dashboard!$C$46="PUSH/PULL",VALUE(LEFT(Dashboard!$C$48,1))&lt;=1),"",IF(AND(Dashboard!$C$46="PUSH/PULL",VALUE(LEFT(Dashboard!$C$48,1))&lt;=2),"Keine Zeit",IF(AND(Dashboard!$C$46="PUSH/PULL",VALUE(LEFT(Dashboard!$C$48,1))&lt;=3),"Frei",IF(AND(Dashboard!$C$46="GK",VALUE(LEFT(Dashboard!$C$48,1))&lt;=1),"",IF(AND(Dashboard!$C$46="GK",VALUE(LEFT(Dashboard!$C$48,1))&lt;=2),"",IF(AND(Dashboard!$C$46="GK",VALUE(LEFT(Dashboard!$C$48,1))&lt;=3),"",IF(AND(Dashboard!$C$46="GK",VALUE(LEFT(Dashboard!$C$48,1))&lt;=4),"Keine Zeit",""))))))))))))))))</f>
        <v>Skip</v>
      </c>
      <c r="X74" s="654">
        <f ca="1">INDEX(OFFSET(Zyklus!$A$13,71,0),1)</f>
        <v>0</v>
      </c>
      <c r="Y74" s="655" t="e">
        <f ca="1">MROUND(INDEX(OFFSET(Zyklus!$I$13,71,0),1),(IF(VLOOKUP($X74,Übungsübersicht!$E$7:$K$80,3)=0,0.1,(VLOOKUP($X74,Übungsübersicht!$E$7:$K$80,3)))))</f>
        <v>#N/A</v>
      </c>
      <c r="Z74" s="655"/>
      <c r="AA74" s="655" t="e">
        <f ca="1">IFERROR(IF($Y74=0,2*(VLOOKUP($X74,Übungsübersicht!$E$7:$M$83,3,FALSE)),IF($Y74&gt;100,(MROUND(($Y74*0.1),(VLOOKUP($X74,Übungsübersicht!$E$7:$M$83,3,FALSE)))),IF($Y74&gt;80,(MROUND(($Y74*0.1),(VLOOKUP($X74,Übungsübersicht!$E$7:$M$83,3,FALSE)))),IF($Y74&gt;50,(MROUND(($Y74*0.2),(VLOOKUP($X74,Übungsübersicht!$E$7:$M$83,3,FALSE)))),IF($Y74&gt;25,(MROUND(($Y74*0.3),(VLOOKUP($X74,Übungsübersicht!$E$7:$M$83,3,FALSE)))),IF($Y74&gt;15,(MROUND(($Y74*0.4),(VLOOKUP($X74,Übungsübersicht!$E$7:$M$83,3,FALSE)))),IF($Y74&gt;(VLOOKUP($X74,Übungsübersicht!$E$7:$M$83,3,FALSE)),(VLOOKUP($X74,Übungsübersicht!$E$7:$M$83,3,FALSE)),""))))))),2*(VLOOKUP($X74,Übungsübersicht!$E$7:$M$83,3,FALSE)))</f>
        <v>#N/A</v>
      </c>
      <c r="AB74" s="655" t="e">
        <f ca="1">IFERROR(IF($Y74=0,4*(VLOOKUP($X74,Übungsübersicht!$E$7:$M$83,3,FALSE)),IF($Y74&gt;100,(MROUND(($Y74*0.3),(VLOOKUP($X74,Übungsübersicht!$E$7:$M$83,3,FALSE)))),IF($Y74&gt;80,(MROUND(($Y74*0.3),(VLOOKUP($X74,Übungsübersicht!$E$7:$M$83,3,FALSE)))),IF($Y74&gt;50,(MROUND(($Y74*0.4),(VLOOKUP($X74,Übungsübersicht!$E$7:$M$83,3,FALSE)))),IF($Y74&gt;25,(MROUND(($Y74*0.5),(VLOOKUP($X74,Übungsübersicht!$E$7:$M$83,3,FALSE)))),IF($Y74&gt;15,(MROUND(($Y74*0.6),(VLOOKUP($X74,Übungsübersicht!$E$7:$M$83,3,FALSE)))),IF($Y74&gt;(VLOOKUP($X74,Übungsübersicht!$E$7:$M$83,3,FALSE)),(VLOOKUP($X74,Übungsübersicht!$E$7:$M$83,3,FALSE)),""))))))),4*(VLOOKUP($X74,Übungsübersicht!$E$7:$M$83,3,FALSE)))</f>
        <v>#N/A</v>
      </c>
      <c r="AC74" s="655" t="e">
        <f ca="1">IFERROR((IF($Y74=0,8*(VLOOKUP($X74,Übungsübersicht!$E$7:$M$83,3,FALSE)),(($Y74)-(3*(VLOOKUP($X74,Übungsübersicht!$E$7:$M$83,3,FALSE)))))),8*(VLOOKUP($X74,Übungsübersicht!$E$7:$M$83,3,FALSE)))</f>
        <v>#N/A</v>
      </c>
      <c r="AD74" s="655" t="e">
        <f ca="1">IFERROR(((IF($Y74=0,10*(VLOOKUP($X74,Übungsübersicht!$E$7:$M$83,3,FALSE)),($Y74)-(2*(VLOOKUP($X74,Übungsübersicht!$E$7:$M$83,3,FALSE)))))),10*(VLOOKUP($X74,Übungsübersicht!$E$7:$M$83,3,FALSE)))</f>
        <v>#N/A</v>
      </c>
      <c r="AE74" s="655" t="e">
        <f ca="1">IFERROR(((IF($Y74=0,10*(VLOOKUP($X74,Übungsübersicht!$E$7:$M$83,3,FALSE)),($Y74)-(1*(VLOOKUP($X74,Übungsübersicht!$E$7:$M$83,3,FALSE)))))),10*(VLOOKUP($X74,Übungsübersicht!$E$7:$M$83,3,FALSE)))</f>
        <v>#N/A</v>
      </c>
      <c r="AF74" s="655" t="e">
        <f ca="1">IFERROR(IF($Y74=0,20*(VLOOKUP($X74,Übungsübersicht!$E$7:$M$83,3,FALSE)),($Y74)),20*(VLOOKUP($X74,Übungsübersicht!$E$7:$M$83,3,FALSE)))</f>
        <v>#N/A</v>
      </c>
      <c r="AG74" s="655" t="e">
        <f ca="1">IFERROR(IF($Y74=0,30*(VLOOKUP($X74,Übungsübersicht!$E$7:$M$83,3,FALSE)),($Y74)+(1*(VLOOKUP($X74,Übungsübersicht!$E$7:$M$83,3,FALSE)))),30*(VLOOKUP($X74,Übungsübersicht!$E$7:$M$83,3,FALSE)))</f>
        <v>#N/A</v>
      </c>
      <c r="AH74" s="655" t="e">
        <f ca="1">IFERROR(IF($Y74=0,30*(VLOOKUP($X74,Übungsübersicht!$E$7:$M$83,3,FALSE)),($Y74)+(2*(VLOOKUP($X74,Übungsübersicht!$E$7:$M$83,3,FALSE)))),30*(VLOOKUP($X74,Übungsübersicht!$E$7:$M$83,3,FALSE)))</f>
        <v>#N/A</v>
      </c>
      <c r="AI74" s="655" t="e">
        <f ca="1">IFERROR(IF($Y74=0,30*(VLOOKUP($X74,Übungsübersicht!$E$7:$M$83,3,FALSE)),($Y74)+(3*(VLOOKUP($X74,Übungsübersicht!$E$7:$M$83,3,FALSE)))),30*(VLOOKUP($X74,Übungsübersicht!$E$7:$M$83,3,FALSE)))</f>
        <v>#N/A</v>
      </c>
      <c r="AJ74" s="655" t="e">
        <f ca="1">IFERROR(IF($Y74=0,40*(VLOOKUP($X74,Übungsübersicht!$E$7:$M$83,3,FALSE)),IF($Y74&gt;100,(MROUND(($Y74*1.7),(VLOOKUP($X74,Übungsübersicht!$E$7:$M$83,3,FALSE)))),IF($Y74&gt;80,(MROUND(($Y74*1.7),(VLOOKUP($X74,Übungsübersicht!$E$7:$M$83,3,FALSE)))),IF($Y74&gt;50,(MROUND(($Y74*1.6),(VLOOKUP($X74,Übungsübersicht!$E$7:$M$83,3,FALSE)))),IF($Y74&gt;25,(MROUND(($Y74*1.5),(VLOOKUP($X74,Übungsübersicht!$E$7:$M$83,3,FALSE)))),IF($Y74&gt;15,(MROUND(($Y74*1.4),(VLOOKUP($X74,Übungsübersicht!$E$7:$M$83,3,FALSE)))),IF($Y74&gt;(VLOOKUP($X74,Übungsübersicht!$E$7:$M$83,3,FALSE)),30*(VLOOKUP($X74,Übungsübersicht!$E$7:$M$83,3,FALSE)),""))))))),40*(VLOOKUP($X74,Übungsübersicht!$E$7:$M$83,3,FALSE)))</f>
        <v>#N/A</v>
      </c>
      <c r="AK74" s="656" t="e">
        <f ca="1">IFERROR(IF($Y74=0,50*(VLOOKUP($X74,Übungsübersicht!$E$7:$M$83,3,FALSE)),IF($Y74&gt;100,(MROUND(($Y74*1.9),(VLOOKUP($X74,Übungsübersicht!$E$7:$M$83,3,FALSE)))),IF($Y74&gt;80,(MROUND(($Y74*1.9),(VLOOKUP($X74,Übungsübersicht!$E$7:$M$83,3,FALSE)))),IF($Y74&gt;50,(MROUND(($Y74*1.8),(VLOOKUP($X74,Übungsübersicht!$E$7:$M$83,3,FALSE)))),IF($Y74&gt;25,(MROUND(($Y74*1.7),(VLOOKUP($X74,Übungsübersicht!$E$7:$M$83,3,FALSE)))),IF($Y74&gt;15,(MROUND(($Y74*1.6),(VLOOKUP($X74,Übungsübersicht!$E$7:$M$83,3,FALSE)))),IF($Y74&gt;(VLOOKUP($X74,Übungsübersicht!$E$7:$M$83,3,FALSE)),40*(VLOOKUP($X74,Übungsübersicht!$E$7:$M$83,3,FALSE)),""))))))),50*(VLOOKUP($X74,Übungsübersicht!$E$7:$M$83,3,FALSE)))</f>
        <v>#N/A</v>
      </c>
      <c r="AN74" s="655" t="e">
        <f ca="1">MROUND(INDEX(OFFSET(Zyklus!$M$13,71,0),1),(IF(VLOOKUP($X74,Übungsübersicht!$E$7:$K$80,3)=0,0.1,(VLOOKUP($X74,Übungsübersicht!$E$7:$K$80,3)))))</f>
        <v>#N/A</v>
      </c>
      <c r="AP74" s="652" t="str">
        <f ca="1">IFERROR(IF(IF(VLOOKUP($X74,Zyklus!$A$14:$U$68,9,FALSE)=0,"RPE 8",IF(VLOOKUP($X74,Übungsübersicht!$E$7:$M$83,3,FALSE)&lt;0.5,($AN74)-(3*0.5),(($AN74)-(3*(VLOOKUP($X74,Übungsübersicht!$E$7:$M$83,3,FALSE))))))&lt;1,0,(IF(VLOOKUP($X74,Zyklus!$A$14:$U$68,9,FALSE)=0,"RPE 8",IF(VLOOKUP($X74,Übungsübersicht!$E$7:$M$83,3,FALSE)&lt;0.5,($AN74)-(3*0.5),(($AN74)-(3*(VLOOKUP($X74,Übungsübersicht!$E$7:$M$83,3,FALSE)))))))),"RPE 8")</f>
        <v>RPE 8</v>
      </c>
      <c r="AQ74" s="652" t="str">
        <f ca="1">IFERROR(IF(IF(VLOOKUP($X74,Zyklus!$A$14:$U$68,9,FALSE)=0,"RPE 8",IF(VLOOKUP($X74,Übungsübersicht!$E$7:$M$83,3,FALSE)&lt;0.5,($AN74)-(2*0.5),(($AN74)-(2*(VLOOKUP($X74,Übungsübersicht!$E$7:$M$83,3,FALSE))))))&lt;1,0,(IF(VLOOKUP($X74,Zyklus!$A$14:$U$68,9,FALSE)=0,"RPE 8",IF(VLOOKUP($X74,Übungsübersicht!$E$7:$M$83,3,FALSE)&lt;0.5,($AN74)-(2*0.5),(($AN74)-(2*(VLOOKUP($X74,Übungsübersicht!$E$7:$M$83,3,FALSE)))))))),"RPE 8")</f>
        <v>RPE 8</v>
      </c>
      <c r="AR74" s="652" t="str">
        <f ca="1">IFERROR(IF(IF(VLOOKUP($X74,Zyklus!$A$14:$U$68,9,FALSE)=0,"RPE 8",IF(VLOOKUP($X74,Übungsübersicht!$E$7:$M$83,3,FALSE)&lt;0.5,($AN74)-(1*0.5),(($Y74)-(1*(VLOOKUP($X74,Übungsübersicht!$E$7:$M$83,3,FALSE))))))&lt;1,0,(IF(VLOOKUP($X74,Zyklus!$A$14:$U$68,9,FALSE)=0,"RPE 8",IF(VLOOKUP($X74,Übungsübersicht!$E$7:$M$83,3,FALSE)&lt;0.5,($AN74)-(1*0.5),(($Y74)-(1*(VLOOKUP($X74,Übungsübersicht!$E$7:$M$83,3,FALSE)))))))),"RPE 8")</f>
        <v>RPE 8</v>
      </c>
      <c r="AS74" s="652" t="str">
        <f t="shared" ca="1" si="6"/>
        <v>RPE 8</v>
      </c>
      <c r="AT74" s="652" t="str">
        <f ca="1">IFERROR(IF(VLOOKUP($X74,Zyklus!$A$14:$U$68,9,FALSE)=0,"RPE 8",IF(VLOOKUP($X74,Übungsübersicht!$E$7:$M$83,3,FALSE)&lt;0.5,($AN74)+(1*0.5),(($Y74)+(1*(VLOOKUP($X74,Übungsübersicht!$E$7:$M$83,3,FALSE)))))),"RPE 8")</f>
        <v>RPE 8</v>
      </c>
      <c r="AU74" s="652" t="str">
        <f ca="1">IFERROR(IF(VLOOKUP($X74,Zyklus!$A$14:$U$68,9,FALSE)=0,"RPE 8",IF(VLOOKUP($X74,Übungsübersicht!$E$7:$M$83,3,FALSE)&lt;0.5,($AN74)+(2*0.5),(($AN74)+(2*(VLOOKUP($X74,Übungsübersicht!$E$7:$M$83,3,FALSE)))))),"RPE 8")</f>
        <v>RPE 8</v>
      </c>
      <c r="AV74" s="652" t="str">
        <f ca="1">IFERROR(IF(VLOOKUP($X74,Zyklus!$A$14:$U$68,9,FALSE)=0,"RPE 8",IF(VLOOKUP($X74,Übungsübersicht!$E$7:$M$83,3,FALSE)&lt;0.5,($AN74)+(3*0.5),(($AN74)+(3*(VLOOKUP($X74,Übungsübersicht!$E$7:$M$83,3,FALSE)))))),"RPE 8")</f>
        <v>RPE 8</v>
      </c>
      <c r="AY74" s="655" t="e">
        <f ca="1">MROUND(INDEX(OFFSET(Zyklus!$M$13,71,0),1),(IF(VLOOKUP($X74,Übungsübersicht!$E$7:$K$80,3)=0,0.1,(VLOOKUP($X74,Übungsübersicht!$E$7:$K$80,3)))))</f>
        <v>#N/A</v>
      </c>
      <c r="BA74" s="652" t="e">
        <f ca="1">MROUND(INDEX(OFFSET(Zyklus!$Q$13,71,0),1),(IF(VLOOKUP($X74,Übungsübersicht!$E$7:$K$80,3)=0,0.1,(VLOOKUP($X74,Übungsübersicht!$E$7:$K$80,3)))))</f>
        <v>#N/A</v>
      </c>
      <c r="BC74" s="652" t="str">
        <f ca="1">IFERROR(IF(IF(VLOOKUP($X74,Zyklus!$A$14:$U$68,9,FALSE)=0,"RPE 9",IF(VLOOKUP($X74,Übungsübersicht!$E$7:$M$83,3,FALSE)&lt;0.5,($BA74)-(3*0.5),(($BA74)-(3*(VLOOKUP($X74,Übungsübersicht!$E$7:$M$83,3,FALSE))))))&lt;1,0,(IF(VLOOKUP($X74,Zyklus!$A$14:$U$68,9,FALSE)=0,"RPE 9",IF(VLOOKUP($X74,Übungsübersicht!$E$7:$M$83,3,FALSE)&lt;0.5,($BA74)-(3*0.5),(($BA74)-(3*(VLOOKUP($X74,Übungsübersicht!$E$7:$M$83,3,FALSE)))))))),"RPE 9")</f>
        <v>RPE 9</v>
      </c>
      <c r="BD74" s="652" t="str">
        <f ca="1">IFERROR(IF(IF(VLOOKUP($X74,Zyklus!$A$14:$U$68,9,FALSE)=0,"RPE 9",IF(VLOOKUP($X74,Übungsübersicht!$E$7:$M$83,3,FALSE)&lt;0.5,($BA74)-(2*0.5),(($BA74)-(2*(VLOOKUP($X74,Übungsübersicht!$E$7:$M$83,3,FALSE))))))&lt;1,0,(IF(VLOOKUP($X74,Zyklus!$A$14:$U$68,9,FALSE)=0,"RPE 9",IF(VLOOKUP($X74,Übungsübersicht!$E$7:$M$83,3,FALSE)&lt;0.5,($BA74)-(2*0.5),(($BA74)-(2*(VLOOKUP($X74,Übungsübersicht!$E$7:$M$83,3,FALSE)))))))),"RPE 9")</f>
        <v>RPE 9</v>
      </c>
      <c r="BE74" s="652" t="str">
        <f ca="1">IFERROR(IF(IF(VLOOKUP($X74,Zyklus!$A$14:$U$68,9,FALSE)=0,"RPE 9",IF(VLOOKUP($X74,Übungsübersicht!$E$7:$M$83,3,FALSE)&lt;0.5,($BA74)-(1*0.5),(($Y74)-(1*(VLOOKUP($X74,Übungsübersicht!$E$7:$M$83,3,FALSE))))))&lt;1,0,(IF(VLOOKUP($X74,Zyklus!$A$14:$U$68,9,FALSE)=0,"RPE 9",IF(VLOOKUP($X74,Übungsübersicht!$E$7:$M$83,3,FALSE)&lt;0.5,($BA74)-(1*0.5),(($Y74)-(1*(VLOOKUP($X74,Übungsübersicht!$E$7:$M$83,3,FALSE)))))))),"RPE 9")</f>
        <v>RPE 9</v>
      </c>
      <c r="BF74" s="652" t="str">
        <f t="shared" ca="1" si="7"/>
        <v>RPE 9</v>
      </c>
      <c r="BG74" s="652" t="str">
        <f ca="1">IFERROR(IF(VLOOKUP($X74,Zyklus!$A$14:$U$68,9,FALSE)=0,"RPE 9",IF(VLOOKUP($X74,Übungsübersicht!$E$7:$M$83,3,FALSE)&lt;0.5,($AY74)+(1*0.5),(($AY74)+(1*(VLOOKUP($X74,Übungsübersicht!$E$7:$M$83,3,FALSE)))))),"RPE 9")</f>
        <v>RPE 9</v>
      </c>
      <c r="BH74" s="652" t="str">
        <f ca="1">IFERROR(IF(VLOOKUP($X74,Zyklus!$A$14:$U$68,9,FALSE)=0,"RPE 9",IF(VLOOKUP($X74,Übungsübersicht!$E$7:$M$83,3,FALSE)&lt;0.5,($BA74)+(2*0.5),(($BA74)+(2*(VLOOKUP($X74,Übungsübersicht!$E$7:$M$83,3,FALSE)))))),"RPE 9")</f>
        <v>RPE 9</v>
      </c>
      <c r="BI74" s="652" t="str">
        <f ca="1">IFERROR(IF(VLOOKUP($X74,Zyklus!$A$14:$U$68,9,FALSE)=0,"RPE 9",IF(VLOOKUP($X74,Übungsübersicht!$E$7:$M$83,3,FALSE)&lt;0.5,($BA74)+(3*0.5),(($BA74)+(3*(VLOOKUP($X74,Übungsübersicht!$E$7:$M$83,3,FALSE)))))),"RPE 9")</f>
        <v>RPE 9</v>
      </c>
    </row>
    <row r="75" spans="8:61" ht="30" customHeight="1">
      <c r="H75" s="326">
        <v>54</v>
      </c>
      <c r="I75" s="323">
        <f t="shared" si="5"/>
        <v>42.857142857142861</v>
      </c>
      <c r="J75" s="344">
        <f t="shared" si="4"/>
        <v>0.35714285714285715</v>
      </c>
      <c r="Q75" s="870"/>
      <c r="R75" s="870"/>
      <c r="S75" s="872" t="str">
        <f>IF(AND(Dashboard!$C$46="OK/UK",VALUE(LEFT(Dashboard!$C$48,1))&lt;=1),"",IF(AND(Dashboard!$C$46="OK/UK",VALUE(LEFT(Dashboard!$C$48,1))&lt;=2),"",IF(AND(Dashboard!$C$46="OK/UK",VALUE(LEFT(Dashboard!$C$48,1))&lt;=3),"Skip",IF(AND(Dashboard!$C$46="OK/UK/OK+",VALUE(LEFT(Dashboard!$C$48,1))&lt;=1),"",IF(AND(Dashboard!$C$46="OK/UK/OK+",VALUE(LEFT(Dashboard!$C$48,1))&lt;=2),"Keine Zeit",IF(AND(Dashboard!$C$46="OK/UK/OK+",VALUE(LEFT(Dashboard!$C$48,1))&lt;=3),"Keine Zeit",IF(AND(Dashboard!$C$46="PUSH/PULL/BEINE",VALUE(LEFT(Dashboard!$C$48,1))&lt;=1),"",IF(AND(Dashboard!$C$46="PUSH/PULL/BEINE",VALUE(LEFT(Dashboard!$C$48,1))&lt;=2),"Skip",IF(AND(Dashboard!$C$46="PUSH/PULL/BEINE",VALUE(LEFT(Dashboard!$C$48,1))&lt;=3),"Skip",IF(AND(Dashboard!$C$46="PUSH/PULL",VALUE(LEFT(Dashboard!$C$48,1))&lt;=1),"",IF(AND(Dashboard!$C$46="PUSH/PULL",VALUE(LEFT(Dashboard!$C$48,1))&lt;=2),"",IF(AND(Dashboard!$C$46="PUSH/PULL",VALUE(LEFT(Dashboard!$C$48,1))&lt;=3),"Skip",IF(AND(Dashboard!$C$46="GK",VALUE(LEFT(Dashboard!$C$48,1))&lt;=1),"",IF(AND(Dashboard!$C$46="GK",VALUE(LEFT(Dashboard!$C$48,1))&lt;=2),"",IF(AND(Dashboard!$C$46="GK",VALUE(LEFT(Dashboard!$C$48,1))&lt;=3),"",IF(AND(Dashboard!$C$46="GK",VALUE(LEFT(Dashboard!$C$48,1))&lt;=4),"",""))))))))))))))))</f>
        <v>Keine Zeit</v>
      </c>
      <c r="X75" s="651">
        <f ca="1">INDEX(OFFSET(Zyklus!$A$13,72,0),1)</f>
        <v>0</v>
      </c>
      <c r="Y75" s="652" t="e">
        <f ca="1">MROUND(INDEX(OFFSET(Zyklus!$I$13,72,0),1),(IF(VLOOKUP($X75,Übungsübersicht!$E$7:$K$80,3)=0,0.1,(VLOOKUP($X75,Übungsübersicht!$E$7:$K$80,3)))))</f>
        <v>#N/A</v>
      </c>
      <c r="Z75" s="652"/>
      <c r="AA75" s="652" t="e">
        <f ca="1">IFERROR(IF($Y75=0,2*(VLOOKUP($X75,Übungsübersicht!$E$7:$M$83,3,FALSE)),IF($Y75&gt;100,(MROUND(($Y75*0.1),(VLOOKUP($X75,Übungsübersicht!$E$7:$M$83,3,FALSE)))),IF($Y75&gt;80,(MROUND(($Y75*0.1),(VLOOKUP($X75,Übungsübersicht!$E$7:$M$83,3,FALSE)))),IF($Y75&gt;50,(MROUND(($Y75*0.2),(VLOOKUP($X75,Übungsübersicht!$E$7:$M$83,3,FALSE)))),IF($Y75&gt;25,(MROUND(($Y75*0.3),(VLOOKUP($X75,Übungsübersicht!$E$7:$M$83,3,FALSE)))),IF($Y75&gt;15,(MROUND(($Y75*0.4),(VLOOKUP($X75,Übungsübersicht!$E$7:$M$83,3,FALSE)))),IF($Y75&gt;(VLOOKUP($X75,Übungsübersicht!$E$7:$M$83,3,FALSE)),(VLOOKUP($X75,Übungsübersicht!$E$7:$M$83,3,FALSE)),""))))))),2*(VLOOKUP($X75,Übungsübersicht!$E$7:$M$83,3,FALSE)))</f>
        <v>#N/A</v>
      </c>
      <c r="AB75" s="652" t="e">
        <f ca="1">IFERROR(IF($Y75=0,4*(VLOOKUP($X75,Übungsübersicht!$E$7:$M$83,3,FALSE)),IF($Y75&gt;100,(MROUND(($Y75*0.3),(VLOOKUP($X75,Übungsübersicht!$E$7:$M$83,3,FALSE)))),IF($Y75&gt;80,(MROUND(($Y75*0.3),(VLOOKUP($X75,Übungsübersicht!$E$7:$M$83,3,FALSE)))),IF($Y75&gt;50,(MROUND(($Y75*0.4),(VLOOKUP($X75,Übungsübersicht!$E$7:$M$83,3,FALSE)))),IF($Y75&gt;25,(MROUND(($Y75*0.5),(VLOOKUP($X75,Übungsübersicht!$E$7:$M$83,3,FALSE)))),IF($Y75&gt;15,(MROUND(($Y75*0.6),(VLOOKUP($X75,Übungsübersicht!$E$7:$M$83,3,FALSE)))),IF($Y75&gt;(VLOOKUP($X75,Übungsübersicht!$E$7:$M$83,3,FALSE)),(VLOOKUP($X75,Übungsübersicht!$E$7:$M$83,3,FALSE)),""))))))),4*(VLOOKUP($X75,Übungsübersicht!$E$7:$M$83,3,FALSE)))</f>
        <v>#N/A</v>
      </c>
      <c r="AC75" s="652" t="e">
        <f ca="1">IFERROR((IF($Y75=0,8*(VLOOKUP($X75,Übungsübersicht!$E$7:$M$83,3,FALSE)),(($Y75)-(3*(VLOOKUP($X75,Übungsübersicht!$E$7:$M$83,3,FALSE)))))),8*(VLOOKUP($X75,Übungsübersicht!$E$7:$M$83,3,FALSE)))</f>
        <v>#N/A</v>
      </c>
      <c r="AD75" s="652" t="e">
        <f ca="1">IFERROR(((IF($Y75=0,10*(VLOOKUP($X75,Übungsübersicht!$E$7:$M$83,3,FALSE)),($Y75)-(2*(VLOOKUP($X75,Übungsübersicht!$E$7:$M$83,3,FALSE)))))),10*(VLOOKUP($X75,Übungsübersicht!$E$7:$M$83,3,FALSE)))</f>
        <v>#N/A</v>
      </c>
      <c r="AE75" s="652" t="e">
        <f ca="1">IFERROR(((IF($Y75=0,10*(VLOOKUP($X75,Übungsübersicht!$E$7:$M$83,3,FALSE)),($Y75)-(1*(VLOOKUP($X75,Übungsübersicht!$E$7:$M$83,3,FALSE)))))),10*(VLOOKUP($X75,Übungsübersicht!$E$7:$M$83,3,FALSE)))</f>
        <v>#N/A</v>
      </c>
      <c r="AF75" s="652" t="e">
        <f ca="1">IFERROR(IF($Y75=0,20*(VLOOKUP($X75,Übungsübersicht!$E$7:$M$83,3,FALSE)),($Y75)),20*(VLOOKUP($X75,Übungsübersicht!$E$7:$M$83,3,FALSE)))</f>
        <v>#N/A</v>
      </c>
      <c r="AG75" s="652" t="e">
        <f ca="1">IFERROR(IF($Y75=0,30*(VLOOKUP($X75,Übungsübersicht!$E$7:$M$83,3,FALSE)),($Y75)+(1*(VLOOKUP($X75,Übungsübersicht!$E$7:$M$83,3,FALSE)))),30*(VLOOKUP($X75,Übungsübersicht!$E$7:$M$83,3,FALSE)))</f>
        <v>#N/A</v>
      </c>
      <c r="AH75" s="652" t="e">
        <f ca="1">IFERROR(IF($Y75=0,30*(VLOOKUP($X75,Übungsübersicht!$E$7:$M$83,3,FALSE)),($Y75)+(2*(VLOOKUP($X75,Übungsübersicht!$E$7:$M$83,3,FALSE)))),30*(VLOOKUP($X75,Übungsübersicht!$E$7:$M$83,3,FALSE)))</f>
        <v>#N/A</v>
      </c>
      <c r="AI75" s="652" t="e">
        <f ca="1">IFERROR(IF($Y75=0,30*(VLOOKUP($X75,Übungsübersicht!$E$7:$M$83,3,FALSE)),($Y75)+(3*(VLOOKUP($X75,Übungsübersicht!$E$7:$M$83,3,FALSE)))),30*(VLOOKUP($X75,Übungsübersicht!$E$7:$M$83,3,FALSE)))</f>
        <v>#N/A</v>
      </c>
      <c r="AJ75" s="652" t="e">
        <f ca="1">IFERROR(IF($Y75=0,40*(VLOOKUP($X75,Übungsübersicht!$E$7:$M$83,3,FALSE)),IF($Y75&gt;100,(MROUND(($Y75*1.7),(VLOOKUP($X75,Übungsübersicht!$E$7:$M$83,3,FALSE)))),IF($Y75&gt;80,(MROUND(($Y75*1.7),(VLOOKUP($X75,Übungsübersicht!$E$7:$M$83,3,FALSE)))),IF($Y75&gt;50,(MROUND(($Y75*1.6),(VLOOKUP($X75,Übungsübersicht!$E$7:$M$83,3,FALSE)))),IF($Y75&gt;25,(MROUND(($Y75*1.5),(VLOOKUP($X75,Übungsübersicht!$E$7:$M$83,3,FALSE)))),IF($Y75&gt;15,(MROUND(($Y75*1.4),(VLOOKUP($X75,Übungsübersicht!$E$7:$M$83,3,FALSE)))),IF($Y75&gt;(VLOOKUP($X75,Übungsübersicht!$E$7:$M$83,3,FALSE)),30*(VLOOKUP($X75,Übungsübersicht!$E$7:$M$83,3,FALSE)),""))))))),40*(VLOOKUP($X75,Übungsübersicht!$E$7:$M$83,3,FALSE)))</f>
        <v>#N/A</v>
      </c>
      <c r="AK75" s="653" t="e">
        <f ca="1">IFERROR(IF($Y75=0,50*(VLOOKUP($X75,Übungsübersicht!$E$7:$M$83,3,FALSE)),IF($Y75&gt;100,(MROUND(($Y75*1.9),(VLOOKUP($X75,Übungsübersicht!$E$7:$M$83,3,FALSE)))),IF($Y75&gt;80,(MROUND(($Y75*1.9),(VLOOKUP($X75,Übungsübersicht!$E$7:$M$83,3,FALSE)))),IF($Y75&gt;50,(MROUND(($Y75*1.8),(VLOOKUP($X75,Übungsübersicht!$E$7:$M$83,3,FALSE)))),IF($Y75&gt;25,(MROUND(($Y75*1.7),(VLOOKUP($X75,Übungsübersicht!$E$7:$M$83,3,FALSE)))),IF($Y75&gt;15,(MROUND(($Y75*1.6),(VLOOKUP($X75,Übungsübersicht!$E$7:$M$83,3,FALSE)))),IF($Y75&gt;(VLOOKUP($X75,Übungsübersicht!$E$7:$M$83,3,FALSE)),40*(VLOOKUP($X75,Übungsübersicht!$E$7:$M$83,3,FALSE)),""))))))),50*(VLOOKUP($X75,Übungsübersicht!$E$7:$M$83,3,FALSE)))</f>
        <v>#N/A</v>
      </c>
      <c r="AN75" s="652" t="e">
        <f ca="1">MROUND(INDEX(OFFSET(Zyklus!$M$13,72,0),1),(IF(VLOOKUP($X75,Übungsübersicht!$E$7:$K$80,3)=0,0.1,(VLOOKUP($X75,Übungsübersicht!$E$7:$K$80,3)))))</f>
        <v>#N/A</v>
      </c>
      <c r="AP75" s="655" t="str">
        <f ca="1">IFERROR(IF(IF(VLOOKUP($X75,Zyklus!$A$14:$U$68,9,FALSE)=0,"RPE 8",IF(VLOOKUP($X75,Übungsübersicht!$E$7:$M$83,3,FALSE)&lt;0.5,($AN75)-(3*0.5),(($AN75)-(3*(VLOOKUP($X75,Übungsübersicht!$E$7:$M$83,3,FALSE))))))&lt;1,0,(IF(VLOOKUP($X75,Zyklus!$A$14:$U$68,9,FALSE)=0,"RPE 8",IF(VLOOKUP($X75,Übungsübersicht!$E$7:$M$83,3,FALSE)&lt;0.5,($AN75)-(3*0.5),(($AN75)-(3*(VLOOKUP($X75,Übungsübersicht!$E$7:$M$83,3,FALSE)))))))),"RPE 8")</f>
        <v>RPE 8</v>
      </c>
      <c r="AQ75" s="655" t="str">
        <f ca="1">IFERROR(IF(IF(VLOOKUP($X75,Zyklus!$A$14:$U$68,9,FALSE)=0,"RPE 8",IF(VLOOKUP($X75,Übungsübersicht!$E$7:$M$83,3,FALSE)&lt;0.5,($AN75)-(2*0.5),(($AN75)-(2*(VLOOKUP($X75,Übungsübersicht!$E$7:$M$83,3,FALSE))))))&lt;1,0,(IF(VLOOKUP($X75,Zyklus!$A$14:$U$68,9,FALSE)=0,"RPE 8",IF(VLOOKUP($X75,Übungsübersicht!$E$7:$M$83,3,FALSE)&lt;0.5,($AN75)-(2*0.5),(($AN75)-(2*(VLOOKUP($X75,Übungsübersicht!$E$7:$M$83,3,FALSE)))))))),"RPE 8")</f>
        <v>RPE 8</v>
      </c>
      <c r="AR75" s="655" t="str">
        <f ca="1">IFERROR(IF(IF(VLOOKUP($X75,Zyklus!$A$14:$U$68,9,FALSE)=0,"RPE 8",IF(VLOOKUP($X75,Übungsübersicht!$E$7:$M$83,3,FALSE)&lt;0.5,($AN75)-(1*0.5),(($Y75)-(1*(VLOOKUP($X75,Übungsübersicht!$E$7:$M$83,3,FALSE))))))&lt;1,0,(IF(VLOOKUP($X75,Zyklus!$A$14:$U$68,9,FALSE)=0,"RPE 8",IF(VLOOKUP($X75,Übungsübersicht!$E$7:$M$83,3,FALSE)&lt;0.5,($AN75)-(1*0.5),(($Y75)-(1*(VLOOKUP($X75,Übungsübersicht!$E$7:$M$83,3,FALSE)))))))),"RPE 8")</f>
        <v>RPE 8</v>
      </c>
      <c r="AS75" s="655" t="str">
        <f t="shared" ca="1" si="6"/>
        <v>RPE 8</v>
      </c>
      <c r="AT75" s="655" t="str">
        <f ca="1">IFERROR(IF(VLOOKUP($X75,Zyklus!$A$14:$U$68,9,FALSE)=0,"RPE 8",IF(VLOOKUP($X75,Übungsübersicht!$E$7:$M$83,3,FALSE)&lt;0.5,($AN75)+(1*0.5),(($Y75)+(1*(VLOOKUP($X75,Übungsübersicht!$E$7:$M$83,3,FALSE)))))),"RPE 8")</f>
        <v>RPE 8</v>
      </c>
      <c r="AU75" s="655" t="str">
        <f ca="1">IFERROR(IF(VLOOKUP($X75,Zyklus!$A$14:$U$68,9,FALSE)=0,"RPE 8",IF(VLOOKUP($X75,Übungsübersicht!$E$7:$M$83,3,FALSE)&lt;0.5,($AN75)+(2*0.5),(($AN75)+(2*(VLOOKUP($X75,Übungsübersicht!$E$7:$M$83,3,FALSE)))))),"RPE 8")</f>
        <v>RPE 8</v>
      </c>
      <c r="AV75" s="655" t="str">
        <f ca="1">IFERROR(IF(VLOOKUP($X75,Zyklus!$A$14:$U$68,9,FALSE)=0,"RPE 8",IF(VLOOKUP($X75,Übungsübersicht!$E$7:$M$83,3,FALSE)&lt;0.5,($AN75)+(3*0.5),(($AN75)+(3*(VLOOKUP($X75,Übungsübersicht!$E$7:$M$83,3,FALSE)))))),"RPE 8")</f>
        <v>RPE 8</v>
      </c>
      <c r="AY75" s="652" t="e">
        <f ca="1">MROUND(INDEX(OFFSET(Zyklus!$M$13,72,0),1),(IF(VLOOKUP($X75,Übungsübersicht!$E$7:$K$80,3)=0,0.1,(VLOOKUP($X75,Übungsübersicht!$E$7:$K$80,3)))))</f>
        <v>#N/A</v>
      </c>
      <c r="BA75" s="655" t="e">
        <f ca="1">MROUND(INDEX(OFFSET(Zyklus!$Q$13,72,0),1),(IF(VLOOKUP($X75,Übungsübersicht!$E$7:$K$80,3)=0,0.1,(VLOOKUP($X75,Übungsübersicht!$E$7:$K$80,3)))))</f>
        <v>#N/A</v>
      </c>
      <c r="BC75" s="655" t="str">
        <f ca="1">IFERROR(IF(IF(VLOOKUP($X75,Zyklus!$A$14:$U$68,9,FALSE)=0,"RPE 9",IF(VLOOKUP($X75,Übungsübersicht!$E$7:$M$83,3,FALSE)&lt;0.5,($BA75)-(3*0.5),(($BA75)-(3*(VLOOKUP($X75,Übungsübersicht!$E$7:$M$83,3,FALSE))))))&lt;1,0,(IF(VLOOKUP($X75,Zyklus!$A$14:$U$68,9,FALSE)=0,"RPE 9",IF(VLOOKUP($X75,Übungsübersicht!$E$7:$M$83,3,FALSE)&lt;0.5,($BA75)-(3*0.5),(($BA75)-(3*(VLOOKUP($X75,Übungsübersicht!$E$7:$M$83,3,FALSE)))))))),"RPE 9")</f>
        <v>RPE 9</v>
      </c>
      <c r="BD75" s="655" t="str">
        <f ca="1">IFERROR(IF(IF(VLOOKUP($X75,Zyklus!$A$14:$U$68,9,FALSE)=0,"RPE 9",IF(VLOOKUP($X75,Übungsübersicht!$E$7:$M$83,3,FALSE)&lt;0.5,($BA75)-(2*0.5),(($BA75)-(2*(VLOOKUP($X75,Übungsübersicht!$E$7:$M$83,3,FALSE))))))&lt;1,0,(IF(VLOOKUP($X75,Zyklus!$A$14:$U$68,9,FALSE)=0,"RPE 9",IF(VLOOKUP($X75,Übungsübersicht!$E$7:$M$83,3,FALSE)&lt;0.5,($BA75)-(2*0.5),(($BA75)-(2*(VLOOKUP($X75,Übungsübersicht!$E$7:$M$83,3,FALSE)))))))),"RPE 9")</f>
        <v>RPE 9</v>
      </c>
      <c r="BE75" s="655" t="str">
        <f ca="1">IFERROR(IF(IF(VLOOKUP($X75,Zyklus!$A$14:$U$68,9,FALSE)=0,"RPE 9",IF(VLOOKUP($X75,Übungsübersicht!$E$7:$M$83,3,FALSE)&lt;0.5,($BA75)-(1*0.5),(($Y75)-(1*(VLOOKUP($X75,Übungsübersicht!$E$7:$M$83,3,FALSE))))))&lt;1,0,(IF(VLOOKUP($X75,Zyklus!$A$14:$U$68,9,FALSE)=0,"RPE 9",IF(VLOOKUP($X75,Übungsübersicht!$E$7:$M$83,3,FALSE)&lt;0.5,($BA75)-(1*0.5),(($Y75)-(1*(VLOOKUP($X75,Übungsübersicht!$E$7:$M$83,3,FALSE)))))))),"RPE 9")</f>
        <v>RPE 9</v>
      </c>
      <c r="BF75" s="655" t="str">
        <f t="shared" ca="1" si="7"/>
        <v>RPE 9</v>
      </c>
      <c r="BG75" s="655" t="str">
        <f ca="1">IFERROR(IF(VLOOKUP($X75,Zyklus!$A$14:$U$68,9,FALSE)=0,"RPE 9",IF(VLOOKUP($X75,Übungsübersicht!$E$7:$M$83,3,FALSE)&lt;0.5,($AY75)+(1*0.5),(($AY75)+(1*(VLOOKUP($X75,Übungsübersicht!$E$7:$M$83,3,FALSE)))))),"RPE 9")</f>
        <v>RPE 9</v>
      </c>
      <c r="BH75" s="655" t="str">
        <f ca="1">IFERROR(IF(VLOOKUP($X75,Zyklus!$A$14:$U$68,9,FALSE)=0,"RPE 9",IF(VLOOKUP($X75,Übungsübersicht!$E$7:$M$83,3,FALSE)&lt;0.5,($BA75)+(2*0.5),(($BA75)+(2*(VLOOKUP($X75,Übungsübersicht!$E$7:$M$83,3,FALSE)))))),"RPE 9")</f>
        <v>RPE 9</v>
      </c>
      <c r="BI75" s="655" t="str">
        <f ca="1">IFERROR(IF(VLOOKUP($X75,Zyklus!$A$14:$U$68,9,FALSE)=0,"RPE 9",IF(VLOOKUP($X75,Übungsübersicht!$E$7:$M$83,3,FALSE)&lt;0.5,($BA75)+(3*0.5),(($BA75)+(3*(VLOOKUP($X75,Übungsübersicht!$E$7:$M$83,3,FALSE)))))),"RPE 9")</f>
        <v>RPE 9</v>
      </c>
    </row>
    <row r="76" spans="8:61" ht="30" customHeight="1">
      <c r="H76" s="326">
        <v>55</v>
      </c>
      <c r="I76" s="323">
        <f t="shared" si="5"/>
        <v>42.352941176470594</v>
      </c>
      <c r="J76" s="344">
        <f t="shared" si="4"/>
        <v>0.35294117647058826</v>
      </c>
      <c r="Q76" s="869"/>
      <c r="R76" s="869"/>
      <c r="S76" s="871" t="str">
        <f>IF(AND(Dashboard!$C$46="OK/UK",VALUE(LEFT(Dashboard!$C$48,1))&lt;=1),"",IF(AND(Dashboard!$C$46="OK/UK",VALUE(LEFT(Dashboard!$C$48,1))&lt;=2),"",IF(AND(Dashboard!$C$46="OK/UK",VALUE(LEFT(Dashboard!$C$48,1))&lt;=3),"Keine Zeit",IF(AND(Dashboard!$C$46="OK/UK/OK+",VALUE(LEFT(Dashboard!$C$48,1))&lt;=1),"",IF(AND(Dashboard!$C$46="OK/UK/OK+",VALUE(LEFT(Dashboard!$C$48,1))&lt;=2),"",IF(AND(Dashboard!$C$46="OK/UK/OK+",VALUE(LEFT(Dashboard!$C$48,1))&lt;=3),"",IF(AND(Dashboard!$C$46="PUSH/PULL/BEINE",VALUE(LEFT(Dashboard!$C$48,1))&lt;=1),"",IF(AND(Dashboard!$C$46="PUSH/PULL/BEINE",VALUE(LEFT(Dashboard!$C$48,1))&lt;=2),"Keine Zeit",IF(AND(Dashboard!$C$46="PUSH/PULL/BEINE",VALUE(LEFT(Dashboard!$C$48,1))&lt;=3),"Keine Zeit",IF(AND(Dashboard!$C$46="PUSH/PULL",VALUE(LEFT(Dashboard!$C$48,1))&lt;=1),"",IF(AND(Dashboard!$C$46="PUSH/PULL",VALUE(LEFT(Dashboard!$C$48,1))&lt;=2),"",IF(AND(Dashboard!$C$46="PUSH/PULL",VALUE(LEFT(Dashboard!$C$48,1))&lt;=3),"Keine Zeit",IF(AND(Dashboard!$C$46="GK",VALUE(LEFT(Dashboard!$C$48,1))&lt;=1),"",IF(AND(Dashboard!$C$46="GK",VALUE(LEFT(Dashboard!$C$48,1))&lt;=2),"",IF(AND(Dashboard!$C$46="GK",VALUE(LEFT(Dashboard!$C$48,1))&lt;=3),"",IF(AND(Dashboard!$C$46="GK",VALUE(LEFT(Dashboard!$C$48,1))&lt;=4),"",""))))))))))))))))</f>
        <v/>
      </c>
      <c r="X76" s="654">
        <f ca="1">INDEX(OFFSET(Zyklus!$A$13,73,0),1)</f>
        <v>0</v>
      </c>
      <c r="Y76" s="655" t="e">
        <f ca="1">MROUND(INDEX(OFFSET(Zyklus!$I$13,73,0),1),(IF(VLOOKUP($X76,Übungsübersicht!$E$7:$K$80,3)=0,0.1,(VLOOKUP($X76,Übungsübersicht!$E$7:$K$80,3)))))</f>
        <v>#VALUE!</v>
      </c>
      <c r="Z76" s="655"/>
      <c r="AA76" s="655" t="e">
        <f ca="1">IFERROR(IF($Y76=0,2*(VLOOKUP($X76,Übungsübersicht!$E$7:$M$83,3,FALSE)),IF($Y76&gt;100,(MROUND(($Y76*0.1),(VLOOKUP($X76,Übungsübersicht!$E$7:$M$83,3,FALSE)))),IF($Y76&gt;80,(MROUND(($Y76*0.1),(VLOOKUP($X76,Übungsübersicht!$E$7:$M$83,3,FALSE)))),IF($Y76&gt;50,(MROUND(($Y76*0.2),(VLOOKUP($X76,Übungsübersicht!$E$7:$M$83,3,FALSE)))),IF($Y76&gt;25,(MROUND(($Y76*0.3),(VLOOKUP($X76,Übungsübersicht!$E$7:$M$83,3,FALSE)))),IF($Y76&gt;15,(MROUND(($Y76*0.4),(VLOOKUP($X76,Übungsübersicht!$E$7:$M$83,3,FALSE)))),IF($Y76&gt;(VLOOKUP($X76,Übungsübersicht!$E$7:$M$83,3,FALSE)),(VLOOKUP($X76,Übungsübersicht!$E$7:$M$83,3,FALSE)),""))))))),2*(VLOOKUP($X76,Übungsübersicht!$E$7:$M$83,3,FALSE)))</f>
        <v>#N/A</v>
      </c>
      <c r="AB76" s="655" t="e">
        <f ca="1">IFERROR(IF($Y76=0,4*(VLOOKUP($X76,Übungsübersicht!$E$7:$M$83,3,FALSE)),IF($Y76&gt;100,(MROUND(($Y76*0.3),(VLOOKUP($X76,Übungsübersicht!$E$7:$M$83,3,FALSE)))),IF($Y76&gt;80,(MROUND(($Y76*0.3),(VLOOKUP($X76,Übungsübersicht!$E$7:$M$83,3,FALSE)))),IF($Y76&gt;50,(MROUND(($Y76*0.4),(VLOOKUP($X76,Übungsübersicht!$E$7:$M$83,3,FALSE)))),IF($Y76&gt;25,(MROUND(($Y76*0.5),(VLOOKUP($X76,Übungsübersicht!$E$7:$M$83,3,FALSE)))),IF($Y76&gt;15,(MROUND(($Y76*0.6),(VLOOKUP($X76,Übungsübersicht!$E$7:$M$83,3,FALSE)))),IF($Y76&gt;(VLOOKUP($X76,Übungsübersicht!$E$7:$M$83,3,FALSE)),(VLOOKUP($X76,Übungsübersicht!$E$7:$M$83,3,FALSE)),""))))))),4*(VLOOKUP($X76,Übungsübersicht!$E$7:$M$83,3,FALSE)))</f>
        <v>#N/A</v>
      </c>
      <c r="AC76" s="655" t="e">
        <f ca="1">IFERROR((IF($Y76=0,8*(VLOOKUP($X76,Übungsübersicht!$E$7:$M$83,3,FALSE)),(($Y76)-(3*(VLOOKUP($X76,Übungsübersicht!$E$7:$M$83,3,FALSE)))))),8*(VLOOKUP($X76,Übungsübersicht!$E$7:$M$83,3,FALSE)))</f>
        <v>#N/A</v>
      </c>
      <c r="AD76" s="655" t="e">
        <f ca="1">IFERROR(((IF($Y76=0,10*(VLOOKUP($X76,Übungsübersicht!$E$7:$M$83,3,FALSE)),($Y76)-(2*(VLOOKUP($X76,Übungsübersicht!$E$7:$M$83,3,FALSE)))))),10*(VLOOKUP($X76,Übungsübersicht!$E$7:$M$83,3,FALSE)))</f>
        <v>#N/A</v>
      </c>
      <c r="AE76" s="655" t="e">
        <f ca="1">IFERROR(((IF($Y76=0,10*(VLOOKUP($X76,Übungsübersicht!$E$7:$M$83,3,FALSE)),($Y76)-(1*(VLOOKUP($X76,Übungsübersicht!$E$7:$M$83,3,FALSE)))))),10*(VLOOKUP($X76,Übungsübersicht!$E$7:$M$83,3,FALSE)))</f>
        <v>#N/A</v>
      </c>
      <c r="AF76" s="655" t="e">
        <f ca="1">IFERROR(IF($Y76=0,20*(VLOOKUP($X76,Übungsübersicht!$E$7:$M$83,3,FALSE)),($Y76)),20*(VLOOKUP($X76,Übungsübersicht!$E$7:$M$83,3,FALSE)))</f>
        <v>#N/A</v>
      </c>
      <c r="AG76" s="655" t="e">
        <f ca="1">IFERROR(IF($Y76=0,30*(VLOOKUP($X76,Übungsübersicht!$E$7:$M$83,3,FALSE)),($Y76)+(1*(VLOOKUP($X76,Übungsübersicht!$E$7:$M$83,3,FALSE)))),30*(VLOOKUP($X76,Übungsübersicht!$E$7:$M$83,3,FALSE)))</f>
        <v>#N/A</v>
      </c>
      <c r="AH76" s="655" t="e">
        <f ca="1">IFERROR(IF($Y76=0,30*(VLOOKUP($X76,Übungsübersicht!$E$7:$M$83,3,FALSE)),($Y76)+(2*(VLOOKUP($X76,Übungsübersicht!$E$7:$M$83,3,FALSE)))),30*(VLOOKUP($X76,Übungsübersicht!$E$7:$M$83,3,FALSE)))</f>
        <v>#N/A</v>
      </c>
      <c r="AI76" s="655" t="e">
        <f ca="1">IFERROR(IF($Y76=0,30*(VLOOKUP($X76,Übungsübersicht!$E$7:$M$83,3,FALSE)),($Y76)+(3*(VLOOKUP($X76,Übungsübersicht!$E$7:$M$83,3,FALSE)))),30*(VLOOKUP($X76,Übungsübersicht!$E$7:$M$83,3,FALSE)))</f>
        <v>#N/A</v>
      </c>
      <c r="AJ76" s="655" t="e">
        <f ca="1">IFERROR(IF($Y76=0,40*(VLOOKUP($X76,Übungsübersicht!$E$7:$M$83,3,FALSE)),IF($Y76&gt;100,(MROUND(($Y76*1.7),(VLOOKUP($X76,Übungsübersicht!$E$7:$M$83,3,FALSE)))),IF($Y76&gt;80,(MROUND(($Y76*1.7),(VLOOKUP($X76,Übungsübersicht!$E$7:$M$83,3,FALSE)))),IF($Y76&gt;50,(MROUND(($Y76*1.6),(VLOOKUP($X76,Übungsübersicht!$E$7:$M$83,3,FALSE)))),IF($Y76&gt;25,(MROUND(($Y76*1.5),(VLOOKUP($X76,Übungsübersicht!$E$7:$M$83,3,FALSE)))),IF($Y76&gt;15,(MROUND(($Y76*1.4),(VLOOKUP($X76,Übungsübersicht!$E$7:$M$83,3,FALSE)))),IF($Y76&gt;(VLOOKUP($X76,Übungsübersicht!$E$7:$M$83,3,FALSE)),30*(VLOOKUP($X76,Übungsübersicht!$E$7:$M$83,3,FALSE)),""))))))),40*(VLOOKUP($X76,Übungsübersicht!$E$7:$M$83,3,FALSE)))</f>
        <v>#N/A</v>
      </c>
      <c r="AK76" s="656" t="e">
        <f ca="1">IFERROR(IF($Y76=0,50*(VLOOKUP($X76,Übungsübersicht!$E$7:$M$83,3,FALSE)),IF($Y76&gt;100,(MROUND(($Y76*1.9),(VLOOKUP($X76,Übungsübersicht!$E$7:$M$83,3,FALSE)))),IF($Y76&gt;80,(MROUND(($Y76*1.9),(VLOOKUP($X76,Übungsübersicht!$E$7:$M$83,3,FALSE)))),IF($Y76&gt;50,(MROUND(($Y76*1.8),(VLOOKUP($X76,Übungsübersicht!$E$7:$M$83,3,FALSE)))),IF($Y76&gt;25,(MROUND(($Y76*1.7),(VLOOKUP($X76,Übungsübersicht!$E$7:$M$83,3,FALSE)))),IF($Y76&gt;15,(MROUND(($Y76*1.6),(VLOOKUP($X76,Übungsübersicht!$E$7:$M$83,3,FALSE)))),IF($Y76&gt;(VLOOKUP($X76,Übungsübersicht!$E$7:$M$83,3,FALSE)),40*(VLOOKUP($X76,Übungsübersicht!$E$7:$M$83,3,FALSE)),""))))))),50*(VLOOKUP($X76,Übungsübersicht!$E$7:$M$83,3,FALSE)))</f>
        <v>#N/A</v>
      </c>
      <c r="AN76" s="655" t="e">
        <f ca="1">MROUND(INDEX(OFFSET(Zyklus!$M$13,73,0),1),(IF(VLOOKUP($X76,Übungsübersicht!$E$7:$K$80,3)=0,0.1,(VLOOKUP($X76,Übungsübersicht!$E$7:$K$80,3)))))</f>
        <v>#VALUE!</v>
      </c>
      <c r="AP76" s="652" t="str">
        <f ca="1">IFERROR(IF(IF(VLOOKUP($X76,Zyklus!$A$14:$U$68,9,FALSE)=0,"RPE 8",IF(VLOOKUP($X76,Übungsübersicht!$E$7:$M$83,3,FALSE)&lt;0.5,($AN76)-(3*0.5),(($AN76)-(3*(VLOOKUP($X76,Übungsübersicht!$E$7:$M$83,3,FALSE))))))&lt;1,0,(IF(VLOOKUP($X76,Zyklus!$A$14:$U$68,9,FALSE)=0,"RPE 8",IF(VLOOKUP($X76,Übungsübersicht!$E$7:$M$83,3,FALSE)&lt;0.5,($AN76)-(3*0.5),(($AN76)-(3*(VLOOKUP($X76,Übungsübersicht!$E$7:$M$83,3,FALSE)))))))),"RPE 8")</f>
        <v>RPE 8</v>
      </c>
      <c r="AQ76" s="652" t="str">
        <f ca="1">IFERROR(IF(IF(VLOOKUP($X76,Zyklus!$A$14:$U$68,9,FALSE)=0,"RPE 8",IF(VLOOKUP($X76,Übungsübersicht!$E$7:$M$83,3,FALSE)&lt;0.5,($AN76)-(2*0.5),(($AN76)-(2*(VLOOKUP($X76,Übungsübersicht!$E$7:$M$83,3,FALSE))))))&lt;1,0,(IF(VLOOKUP($X76,Zyklus!$A$14:$U$68,9,FALSE)=0,"RPE 8",IF(VLOOKUP($X76,Übungsübersicht!$E$7:$M$83,3,FALSE)&lt;0.5,($AN76)-(2*0.5),(($AN76)-(2*(VLOOKUP($X76,Übungsübersicht!$E$7:$M$83,3,FALSE)))))))),"RPE 8")</f>
        <v>RPE 8</v>
      </c>
      <c r="AR76" s="652" t="str">
        <f ca="1">IFERROR(IF(IF(VLOOKUP($X76,Zyklus!$A$14:$U$68,9,FALSE)=0,"RPE 8",IF(VLOOKUP($X76,Übungsübersicht!$E$7:$M$83,3,FALSE)&lt;0.5,($AN76)-(1*0.5),(($Y76)-(1*(VLOOKUP($X76,Übungsübersicht!$E$7:$M$83,3,FALSE))))))&lt;1,0,(IF(VLOOKUP($X76,Zyklus!$A$14:$U$68,9,FALSE)=0,"RPE 8",IF(VLOOKUP($X76,Übungsübersicht!$E$7:$M$83,3,FALSE)&lt;0.5,($AN76)-(1*0.5),(($Y76)-(1*(VLOOKUP($X76,Übungsübersicht!$E$7:$M$83,3,FALSE)))))))),"RPE 8")</f>
        <v>RPE 8</v>
      </c>
      <c r="AS76" s="652" t="str">
        <f t="shared" ca="1" si="6"/>
        <v>RPE 8</v>
      </c>
      <c r="AT76" s="652" t="str">
        <f ca="1">IFERROR(IF(VLOOKUP($X76,Zyklus!$A$14:$U$68,9,FALSE)=0,"RPE 8",IF(VLOOKUP($X76,Übungsübersicht!$E$7:$M$83,3,FALSE)&lt;0.5,($AN76)+(1*0.5),(($Y76)+(1*(VLOOKUP($X76,Übungsübersicht!$E$7:$M$83,3,FALSE)))))),"RPE 8")</f>
        <v>RPE 8</v>
      </c>
      <c r="AU76" s="652" t="str">
        <f ca="1">IFERROR(IF(VLOOKUP($X76,Zyklus!$A$14:$U$68,9,FALSE)=0,"RPE 8",IF(VLOOKUP($X76,Übungsübersicht!$E$7:$M$83,3,FALSE)&lt;0.5,($AN76)+(2*0.5),(($AN76)+(2*(VLOOKUP($X76,Übungsübersicht!$E$7:$M$83,3,FALSE)))))),"RPE 8")</f>
        <v>RPE 8</v>
      </c>
      <c r="AV76" s="652" t="str">
        <f ca="1">IFERROR(IF(VLOOKUP($X76,Zyklus!$A$14:$U$68,9,FALSE)=0,"RPE 8",IF(VLOOKUP($X76,Übungsübersicht!$E$7:$M$83,3,FALSE)&lt;0.5,($AN76)+(3*0.5),(($AN76)+(3*(VLOOKUP($X76,Übungsübersicht!$E$7:$M$83,3,FALSE)))))),"RPE 8")</f>
        <v>RPE 8</v>
      </c>
      <c r="AY76" s="655" t="e">
        <f ca="1">MROUND(INDEX(OFFSET(Zyklus!$M$13,73,0),1),(IF(VLOOKUP($X76,Übungsübersicht!$E$7:$K$80,3)=0,0.1,(VLOOKUP($X76,Übungsübersicht!$E$7:$K$80,3)))))</f>
        <v>#VALUE!</v>
      </c>
      <c r="BA76" s="652" t="e">
        <f ca="1">MROUND(INDEX(OFFSET(Zyklus!$Q$13,73,0),1),(IF(VLOOKUP($X76,Übungsübersicht!$E$7:$K$80,3)=0,0.1,(VLOOKUP($X76,Übungsübersicht!$E$7:$K$80,3)))))</f>
        <v>#N/A</v>
      </c>
      <c r="BC76" s="652" t="str">
        <f ca="1">IFERROR(IF(IF(VLOOKUP($X76,Zyklus!$A$14:$U$68,9,FALSE)=0,"RPE 9",IF(VLOOKUP($X76,Übungsübersicht!$E$7:$M$83,3,FALSE)&lt;0.5,($BA76)-(3*0.5),(($BA76)-(3*(VLOOKUP($X76,Übungsübersicht!$E$7:$M$83,3,FALSE))))))&lt;1,0,(IF(VLOOKUP($X76,Zyklus!$A$14:$U$68,9,FALSE)=0,"RPE 9",IF(VLOOKUP($X76,Übungsübersicht!$E$7:$M$83,3,FALSE)&lt;0.5,($BA76)-(3*0.5),(($BA76)-(3*(VLOOKUP($X76,Übungsübersicht!$E$7:$M$83,3,FALSE)))))))),"RPE 9")</f>
        <v>RPE 9</v>
      </c>
      <c r="BD76" s="652" t="str">
        <f ca="1">IFERROR(IF(IF(VLOOKUP($X76,Zyklus!$A$14:$U$68,9,FALSE)=0,"RPE 9",IF(VLOOKUP($X76,Übungsübersicht!$E$7:$M$83,3,FALSE)&lt;0.5,($BA76)-(2*0.5),(($BA76)-(2*(VLOOKUP($X76,Übungsübersicht!$E$7:$M$83,3,FALSE))))))&lt;1,0,(IF(VLOOKUP($X76,Zyklus!$A$14:$U$68,9,FALSE)=0,"RPE 9",IF(VLOOKUP($X76,Übungsübersicht!$E$7:$M$83,3,FALSE)&lt;0.5,($BA76)-(2*0.5),(($BA76)-(2*(VLOOKUP($X76,Übungsübersicht!$E$7:$M$83,3,FALSE)))))))),"RPE 9")</f>
        <v>RPE 9</v>
      </c>
      <c r="BE76" s="652" t="str">
        <f ca="1">IFERROR(IF(IF(VLOOKUP($X76,Zyklus!$A$14:$U$68,9,FALSE)=0,"RPE 9",IF(VLOOKUP($X76,Übungsübersicht!$E$7:$M$83,3,FALSE)&lt;0.5,($BA76)-(1*0.5),(($Y76)-(1*(VLOOKUP($X76,Übungsübersicht!$E$7:$M$83,3,FALSE))))))&lt;1,0,(IF(VLOOKUP($X76,Zyklus!$A$14:$U$68,9,FALSE)=0,"RPE 9",IF(VLOOKUP($X76,Übungsübersicht!$E$7:$M$83,3,FALSE)&lt;0.5,($BA76)-(1*0.5),(($Y76)-(1*(VLOOKUP($X76,Übungsübersicht!$E$7:$M$83,3,FALSE)))))))),"RPE 9")</f>
        <v>RPE 9</v>
      </c>
      <c r="BF76" s="652" t="str">
        <f t="shared" ca="1" si="7"/>
        <v>RPE 9</v>
      </c>
      <c r="BG76" s="652" t="str">
        <f ca="1">IFERROR(IF(VLOOKUP($X76,Zyklus!$A$14:$U$68,9,FALSE)=0,"RPE 9",IF(VLOOKUP($X76,Übungsübersicht!$E$7:$M$83,3,FALSE)&lt;0.5,($AY76)+(1*0.5),(($AY76)+(1*(VLOOKUP($X76,Übungsübersicht!$E$7:$M$83,3,FALSE)))))),"RPE 9")</f>
        <v>RPE 9</v>
      </c>
      <c r="BH76" s="652" t="str">
        <f ca="1">IFERROR(IF(VLOOKUP($X76,Zyklus!$A$14:$U$68,9,FALSE)=0,"RPE 9",IF(VLOOKUP($X76,Übungsübersicht!$E$7:$M$83,3,FALSE)&lt;0.5,($BA76)+(2*0.5),(($BA76)+(2*(VLOOKUP($X76,Übungsübersicht!$E$7:$M$83,3,FALSE)))))),"RPE 9")</f>
        <v>RPE 9</v>
      </c>
      <c r="BI76" s="652" t="str">
        <f ca="1">IFERROR(IF(VLOOKUP($X76,Zyklus!$A$14:$U$68,9,FALSE)=0,"RPE 9",IF(VLOOKUP($X76,Übungsübersicht!$E$7:$M$83,3,FALSE)&lt;0.5,($BA76)+(3*0.5),(($BA76)+(3*(VLOOKUP($X76,Übungsübersicht!$E$7:$M$83,3,FALSE)))))),"RPE 9")</f>
        <v>RPE 9</v>
      </c>
    </row>
    <row r="77" spans="8:61" ht="30" customHeight="1">
      <c r="H77" s="326">
        <v>56</v>
      </c>
      <c r="I77" s="323">
        <f t="shared" si="5"/>
        <v>41.860465116279066</v>
      </c>
      <c r="J77" s="344">
        <f t="shared" si="4"/>
        <v>0.34883720930232553</v>
      </c>
      <c r="X77" s="651">
        <f ca="1">INDEX(OFFSET(Zyklus!$A$13,74,0),1)</f>
        <v>0</v>
      </c>
      <c r="Y77" s="652" t="e">
        <f ca="1">MROUND(INDEX(OFFSET(Zyklus!$I$13,74,0),1),(IF(VLOOKUP($X77,Übungsübersicht!$E$7:$K$80,3)=0,0.1,(VLOOKUP($X77,Übungsübersicht!$E$7:$K$80,3)))))</f>
        <v>#N/A</v>
      </c>
      <c r="Z77" s="652"/>
      <c r="AA77" s="652" t="e">
        <f ca="1">IFERROR(IF($Y77=0,2*(VLOOKUP($X77,Übungsübersicht!$E$7:$M$83,3,FALSE)),IF($Y77&gt;100,(MROUND(($Y77*0.1),(VLOOKUP($X77,Übungsübersicht!$E$7:$M$83,3,FALSE)))),IF($Y77&gt;80,(MROUND(($Y77*0.1),(VLOOKUP($X77,Übungsübersicht!$E$7:$M$83,3,FALSE)))),IF($Y77&gt;50,(MROUND(($Y77*0.2),(VLOOKUP($X77,Übungsübersicht!$E$7:$M$83,3,FALSE)))),IF($Y77&gt;25,(MROUND(($Y77*0.3),(VLOOKUP($X77,Übungsübersicht!$E$7:$M$83,3,FALSE)))),IF($Y77&gt;15,(MROUND(($Y77*0.4),(VLOOKUP($X77,Übungsübersicht!$E$7:$M$83,3,FALSE)))),IF($Y77&gt;(VLOOKUP($X77,Übungsübersicht!$E$7:$M$83,3,FALSE)),(VLOOKUP($X77,Übungsübersicht!$E$7:$M$83,3,FALSE)),""))))))),2*(VLOOKUP($X77,Übungsübersicht!$E$7:$M$83,3,FALSE)))</f>
        <v>#N/A</v>
      </c>
      <c r="AB77" s="652" t="e">
        <f ca="1">IFERROR(IF($Y77=0,4*(VLOOKUP($X77,Übungsübersicht!$E$7:$M$83,3,FALSE)),IF($Y77&gt;100,(MROUND(($Y77*0.3),(VLOOKUP($X77,Übungsübersicht!$E$7:$M$83,3,FALSE)))),IF($Y77&gt;80,(MROUND(($Y77*0.3),(VLOOKUP($X77,Übungsübersicht!$E$7:$M$83,3,FALSE)))),IF($Y77&gt;50,(MROUND(($Y77*0.4),(VLOOKUP($X77,Übungsübersicht!$E$7:$M$83,3,FALSE)))),IF($Y77&gt;25,(MROUND(($Y77*0.5),(VLOOKUP($X77,Übungsübersicht!$E$7:$M$83,3,FALSE)))),IF($Y77&gt;15,(MROUND(($Y77*0.6),(VLOOKUP($X77,Übungsübersicht!$E$7:$M$83,3,FALSE)))),IF($Y77&gt;(VLOOKUP($X77,Übungsübersicht!$E$7:$M$83,3,FALSE)),(VLOOKUP($X77,Übungsübersicht!$E$7:$M$83,3,FALSE)),""))))))),4*(VLOOKUP($X77,Übungsübersicht!$E$7:$M$83,3,FALSE)))</f>
        <v>#N/A</v>
      </c>
      <c r="AC77" s="652" t="e">
        <f ca="1">IFERROR((IF($Y77=0,8*(VLOOKUP($X77,Übungsübersicht!$E$7:$M$83,3,FALSE)),(($Y77)-(3*(VLOOKUP($X77,Übungsübersicht!$E$7:$M$83,3,FALSE)))))),8*(VLOOKUP($X77,Übungsübersicht!$E$7:$M$83,3,FALSE)))</f>
        <v>#N/A</v>
      </c>
      <c r="AD77" s="652" t="e">
        <f ca="1">IFERROR(((IF($Y77=0,10*(VLOOKUP($X77,Übungsübersicht!$E$7:$M$83,3,FALSE)),($Y77)-(2*(VLOOKUP($X77,Übungsübersicht!$E$7:$M$83,3,FALSE)))))),10*(VLOOKUP($X77,Übungsübersicht!$E$7:$M$83,3,FALSE)))</f>
        <v>#N/A</v>
      </c>
      <c r="AE77" s="652" t="e">
        <f ca="1">IFERROR(((IF($Y77=0,10*(VLOOKUP($X77,Übungsübersicht!$E$7:$M$83,3,FALSE)),($Y77)-(1*(VLOOKUP($X77,Übungsübersicht!$E$7:$M$83,3,FALSE)))))),10*(VLOOKUP($X77,Übungsübersicht!$E$7:$M$83,3,FALSE)))</f>
        <v>#N/A</v>
      </c>
      <c r="AF77" s="652" t="e">
        <f ca="1">IFERROR(IF($Y77=0,20*(VLOOKUP($X77,Übungsübersicht!$E$7:$M$83,3,FALSE)),($Y77)),20*(VLOOKUP($X77,Übungsübersicht!$E$7:$M$83,3,FALSE)))</f>
        <v>#N/A</v>
      </c>
      <c r="AG77" s="652" t="e">
        <f ca="1">IFERROR(IF($Y77=0,30*(VLOOKUP($X77,Übungsübersicht!$E$7:$M$83,3,FALSE)),($Y77)+(1*(VLOOKUP($X77,Übungsübersicht!$E$7:$M$83,3,FALSE)))),30*(VLOOKUP($X77,Übungsübersicht!$E$7:$M$83,3,FALSE)))</f>
        <v>#N/A</v>
      </c>
      <c r="AH77" s="652" t="e">
        <f ca="1">IFERROR(IF($Y77=0,30*(VLOOKUP($X77,Übungsübersicht!$E$7:$M$83,3,FALSE)),($Y77)+(2*(VLOOKUP($X77,Übungsübersicht!$E$7:$M$83,3,FALSE)))),30*(VLOOKUP($X77,Übungsübersicht!$E$7:$M$83,3,FALSE)))</f>
        <v>#N/A</v>
      </c>
      <c r="AI77" s="652" t="e">
        <f ca="1">IFERROR(IF($Y77=0,30*(VLOOKUP($X77,Übungsübersicht!$E$7:$M$83,3,FALSE)),($Y77)+(3*(VLOOKUP($X77,Übungsübersicht!$E$7:$M$83,3,FALSE)))),30*(VLOOKUP($X77,Übungsübersicht!$E$7:$M$83,3,FALSE)))</f>
        <v>#N/A</v>
      </c>
      <c r="AJ77" s="652" t="e">
        <f ca="1">IFERROR(IF($Y77=0,40*(VLOOKUP($X77,Übungsübersicht!$E$7:$M$83,3,FALSE)),IF($Y77&gt;100,(MROUND(($Y77*1.7),(VLOOKUP($X77,Übungsübersicht!$E$7:$M$83,3,FALSE)))),IF($Y77&gt;80,(MROUND(($Y77*1.7),(VLOOKUP($X77,Übungsübersicht!$E$7:$M$83,3,FALSE)))),IF($Y77&gt;50,(MROUND(($Y77*1.6),(VLOOKUP($X77,Übungsübersicht!$E$7:$M$83,3,FALSE)))),IF($Y77&gt;25,(MROUND(($Y77*1.5),(VLOOKUP($X77,Übungsübersicht!$E$7:$M$83,3,FALSE)))),IF($Y77&gt;15,(MROUND(($Y77*1.4),(VLOOKUP($X77,Übungsübersicht!$E$7:$M$83,3,FALSE)))),IF($Y77&gt;(VLOOKUP($X77,Übungsübersicht!$E$7:$M$83,3,FALSE)),30*(VLOOKUP($X77,Übungsübersicht!$E$7:$M$83,3,FALSE)),""))))))),40*(VLOOKUP($X77,Übungsübersicht!$E$7:$M$83,3,FALSE)))</f>
        <v>#N/A</v>
      </c>
      <c r="AK77" s="653" t="e">
        <f ca="1">IFERROR(IF($Y77=0,50*(VLOOKUP($X77,Übungsübersicht!$E$7:$M$83,3,FALSE)),IF($Y77&gt;100,(MROUND(($Y77*1.9),(VLOOKUP($X77,Übungsübersicht!$E$7:$M$83,3,FALSE)))),IF($Y77&gt;80,(MROUND(($Y77*1.9),(VLOOKUP($X77,Übungsübersicht!$E$7:$M$83,3,FALSE)))),IF($Y77&gt;50,(MROUND(($Y77*1.8),(VLOOKUP($X77,Übungsübersicht!$E$7:$M$83,3,FALSE)))),IF($Y77&gt;25,(MROUND(($Y77*1.7),(VLOOKUP($X77,Übungsübersicht!$E$7:$M$83,3,FALSE)))),IF($Y77&gt;15,(MROUND(($Y77*1.6),(VLOOKUP($X77,Übungsübersicht!$E$7:$M$83,3,FALSE)))),IF($Y77&gt;(VLOOKUP($X77,Übungsübersicht!$E$7:$M$83,3,FALSE)),40*(VLOOKUP($X77,Übungsübersicht!$E$7:$M$83,3,FALSE)),""))))))),50*(VLOOKUP($X77,Übungsübersicht!$E$7:$M$83,3,FALSE)))</f>
        <v>#N/A</v>
      </c>
      <c r="AN77" s="652" t="e">
        <f ca="1">MROUND(INDEX(OFFSET(Zyklus!$M$13,74,0),1),(IF(VLOOKUP($X77,Übungsübersicht!$E$7:$K$80,3)=0,0.1,(VLOOKUP($X77,Übungsübersicht!$E$7:$K$80,3)))))</f>
        <v>#VALUE!</v>
      </c>
      <c r="AP77" s="655" t="str">
        <f ca="1">IFERROR(IF(IF(VLOOKUP($X77,Zyklus!$A$14:$U$68,9,FALSE)=0,"RPE 8",IF(VLOOKUP($X77,Übungsübersicht!$E$7:$M$83,3,FALSE)&lt;0.5,($AN77)-(3*0.5),(($AN77)-(3*(VLOOKUP($X77,Übungsübersicht!$E$7:$M$83,3,FALSE))))))&lt;1,0,(IF(VLOOKUP($X77,Zyklus!$A$14:$U$68,9,FALSE)=0,"RPE 8",IF(VLOOKUP($X77,Übungsübersicht!$E$7:$M$83,3,FALSE)&lt;0.5,($AN77)-(3*0.5),(($AN77)-(3*(VLOOKUP($X77,Übungsübersicht!$E$7:$M$83,3,FALSE)))))))),"RPE 8")</f>
        <v>RPE 8</v>
      </c>
      <c r="AQ77" s="655" t="str">
        <f ca="1">IFERROR(IF(IF(VLOOKUP($X77,Zyklus!$A$14:$U$68,9,FALSE)=0,"RPE 8",IF(VLOOKUP($X77,Übungsübersicht!$E$7:$M$83,3,FALSE)&lt;0.5,($AN77)-(2*0.5),(($AN77)-(2*(VLOOKUP($X77,Übungsübersicht!$E$7:$M$83,3,FALSE))))))&lt;1,0,(IF(VLOOKUP($X77,Zyklus!$A$14:$U$68,9,FALSE)=0,"RPE 8",IF(VLOOKUP($X77,Übungsübersicht!$E$7:$M$83,3,FALSE)&lt;0.5,($AN77)-(2*0.5),(($AN77)-(2*(VLOOKUP($X77,Übungsübersicht!$E$7:$M$83,3,FALSE)))))))),"RPE 8")</f>
        <v>RPE 8</v>
      </c>
      <c r="AR77" s="655" t="str">
        <f ca="1">IFERROR(IF(IF(VLOOKUP($X77,Zyklus!$A$14:$U$68,9,FALSE)=0,"RPE 8",IF(VLOOKUP($X77,Übungsübersicht!$E$7:$M$83,3,FALSE)&lt;0.5,($AN77)-(1*0.5),(($Y77)-(1*(VLOOKUP($X77,Übungsübersicht!$E$7:$M$83,3,FALSE))))))&lt;1,0,(IF(VLOOKUP($X77,Zyklus!$A$14:$U$68,9,FALSE)=0,"RPE 8",IF(VLOOKUP($X77,Übungsübersicht!$E$7:$M$83,3,FALSE)&lt;0.5,($AN77)-(1*0.5),(($Y77)-(1*(VLOOKUP($X77,Übungsübersicht!$E$7:$M$83,3,FALSE)))))))),"RPE 8")</f>
        <v>RPE 8</v>
      </c>
      <c r="AS77" s="655" t="str">
        <f t="shared" ca="1" si="6"/>
        <v>RPE 8</v>
      </c>
      <c r="AT77" s="655" t="str">
        <f ca="1">IFERROR(IF(VLOOKUP($X77,Zyklus!$A$14:$U$68,9,FALSE)=0,"RPE 8",IF(VLOOKUP($X77,Übungsübersicht!$E$7:$M$83,3,FALSE)&lt;0.5,($AN77)+(1*0.5),(($Y77)+(1*(VLOOKUP($X77,Übungsübersicht!$E$7:$M$83,3,FALSE)))))),"RPE 8")</f>
        <v>RPE 8</v>
      </c>
      <c r="AU77" s="655" t="str">
        <f ca="1">IFERROR(IF(VLOOKUP($X77,Zyklus!$A$14:$U$68,9,FALSE)=0,"RPE 8",IF(VLOOKUP($X77,Übungsübersicht!$E$7:$M$83,3,FALSE)&lt;0.5,($AN77)+(2*0.5),(($AN77)+(2*(VLOOKUP($X77,Übungsübersicht!$E$7:$M$83,3,FALSE)))))),"RPE 8")</f>
        <v>RPE 8</v>
      </c>
      <c r="AV77" s="655" t="str">
        <f ca="1">IFERROR(IF(VLOOKUP($X77,Zyklus!$A$14:$U$68,9,FALSE)=0,"RPE 8",IF(VLOOKUP($X77,Übungsübersicht!$E$7:$M$83,3,FALSE)&lt;0.5,($AN77)+(3*0.5),(($AN77)+(3*(VLOOKUP($X77,Übungsübersicht!$E$7:$M$83,3,FALSE)))))),"RPE 8")</f>
        <v>RPE 8</v>
      </c>
      <c r="AY77" s="652" t="e">
        <f ca="1">MROUND(INDEX(OFFSET(Zyklus!$M$13,74,0),1),(IF(VLOOKUP($X77,Übungsübersicht!$E$7:$K$80,3)=0,0.1,(VLOOKUP($X77,Übungsübersicht!$E$7:$K$80,3)))))</f>
        <v>#VALUE!</v>
      </c>
      <c r="BA77" s="655" t="e">
        <f ca="1">MROUND(INDEX(OFFSET(Zyklus!$Q$13,74,0),1),(IF(VLOOKUP($X77,Übungsübersicht!$E$7:$K$80,3)=0,0.1,(VLOOKUP($X77,Übungsübersicht!$E$7:$K$80,3)))))</f>
        <v>#N/A</v>
      </c>
      <c r="BC77" s="655" t="str">
        <f ca="1">IFERROR(IF(IF(VLOOKUP($X77,Zyklus!$A$14:$U$68,9,FALSE)=0,"RPE 9",IF(VLOOKUP($X77,Übungsübersicht!$E$7:$M$83,3,FALSE)&lt;0.5,($BA77)-(3*0.5),(($BA77)-(3*(VLOOKUP($X77,Übungsübersicht!$E$7:$M$83,3,FALSE))))))&lt;1,0,(IF(VLOOKUP($X77,Zyklus!$A$14:$U$68,9,FALSE)=0,"RPE 9",IF(VLOOKUP($X77,Übungsübersicht!$E$7:$M$83,3,FALSE)&lt;0.5,($BA77)-(3*0.5),(($BA77)-(3*(VLOOKUP($X77,Übungsübersicht!$E$7:$M$83,3,FALSE)))))))),"RPE 9")</f>
        <v>RPE 9</v>
      </c>
      <c r="BD77" s="655" t="str">
        <f ca="1">IFERROR(IF(IF(VLOOKUP($X77,Zyklus!$A$14:$U$68,9,FALSE)=0,"RPE 9",IF(VLOOKUP($X77,Übungsübersicht!$E$7:$M$83,3,FALSE)&lt;0.5,($BA77)-(2*0.5),(($BA77)-(2*(VLOOKUP($X77,Übungsübersicht!$E$7:$M$83,3,FALSE))))))&lt;1,0,(IF(VLOOKUP($X77,Zyklus!$A$14:$U$68,9,FALSE)=0,"RPE 9",IF(VLOOKUP($X77,Übungsübersicht!$E$7:$M$83,3,FALSE)&lt;0.5,($BA77)-(2*0.5),(($BA77)-(2*(VLOOKUP($X77,Übungsübersicht!$E$7:$M$83,3,FALSE)))))))),"RPE 9")</f>
        <v>RPE 9</v>
      </c>
      <c r="BE77" s="655" t="str">
        <f ca="1">IFERROR(IF(IF(VLOOKUP($X77,Zyklus!$A$14:$U$68,9,FALSE)=0,"RPE 9",IF(VLOOKUP($X77,Übungsübersicht!$E$7:$M$83,3,FALSE)&lt;0.5,($BA77)-(1*0.5),(($Y77)-(1*(VLOOKUP($X77,Übungsübersicht!$E$7:$M$83,3,FALSE))))))&lt;1,0,(IF(VLOOKUP($X77,Zyklus!$A$14:$U$68,9,FALSE)=0,"RPE 9",IF(VLOOKUP($X77,Übungsübersicht!$E$7:$M$83,3,FALSE)&lt;0.5,($BA77)-(1*0.5),(($Y77)-(1*(VLOOKUP($X77,Übungsübersicht!$E$7:$M$83,3,FALSE)))))))),"RPE 9")</f>
        <v>RPE 9</v>
      </c>
      <c r="BF77" s="655" t="str">
        <f t="shared" ca="1" si="7"/>
        <v>RPE 9</v>
      </c>
      <c r="BG77" s="655" t="str">
        <f ca="1">IFERROR(IF(VLOOKUP($X77,Zyklus!$A$14:$U$68,9,FALSE)=0,"RPE 9",IF(VLOOKUP($X77,Übungsübersicht!$E$7:$M$83,3,FALSE)&lt;0.5,($AY77)+(1*0.5),(($AY77)+(1*(VLOOKUP($X77,Übungsübersicht!$E$7:$M$83,3,FALSE)))))),"RPE 9")</f>
        <v>RPE 9</v>
      </c>
      <c r="BH77" s="655" t="str">
        <f ca="1">IFERROR(IF(VLOOKUP($X77,Zyklus!$A$14:$U$68,9,FALSE)=0,"RPE 9",IF(VLOOKUP($X77,Übungsübersicht!$E$7:$M$83,3,FALSE)&lt;0.5,($BA77)+(2*0.5),(($BA77)+(2*(VLOOKUP($X77,Übungsübersicht!$E$7:$M$83,3,FALSE)))))),"RPE 9")</f>
        <v>RPE 9</v>
      </c>
      <c r="BI77" s="655" t="str">
        <f ca="1">IFERROR(IF(VLOOKUP($X77,Zyklus!$A$14:$U$68,9,FALSE)=0,"RPE 9",IF(VLOOKUP($X77,Übungsübersicht!$E$7:$M$83,3,FALSE)&lt;0.5,($BA77)+(3*0.5),(($BA77)+(3*(VLOOKUP($X77,Übungsübersicht!$E$7:$M$83,3,FALSE)))))),"RPE 9")</f>
        <v>RPE 9</v>
      </c>
    </row>
    <row r="78" spans="8:61" ht="30" customHeight="1">
      <c r="H78" s="326">
        <v>57</v>
      </c>
      <c r="I78" s="323">
        <f t="shared" si="5"/>
        <v>41.379310344827587</v>
      </c>
      <c r="J78" s="344">
        <f t="shared" si="4"/>
        <v>0.34482758620689657</v>
      </c>
      <c r="X78" s="654">
        <f ca="1">INDEX(OFFSET(Zyklus!$A$13,75,0),1)</f>
        <v>0</v>
      </c>
      <c r="Y78" s="655" t="e">
        <f ca="1">MROUND(INDEX(OFFSET(Zyklus!$I$13,75,0),1),(IF(VLOOKUP($X78,Übungsübersicht!$E$7:$K$80,3)=0,0.1,(VLOOKUP($X78,Übungsübersicht!$E$7:$K$80,3)))))</f>
        <v>#N/A</v>
      </c>
      <c r="Z78" s="655"/>
      <c r="AA78" s="655" t="e">
        <f ca="1">IFERROR(IF($Y78=0,2*(VLOOKUP($X78,Übungsübersicht!$E$7:$M$83,3,FALSE)),IF($Y78&gt;100,(MROUND(($Y78*0.1),(VLOOKUP($X78,Übungsübersicht!$E$7:$M$83,3,FALSE)))),IF($Y78&gt;80,(MROUND(($Y78*0.1),(VLOOKUP($X78,Übungsübersicht!$E$7:$M$83,3,FALSE)))),IF($Y78&gt;50,(MROUND(($Y78*0.2),(VLOOKUP($X78,Übungsübersicht!$E$7:$M$83,3,FALSE)))),IF($Y78&gt;25,(MROUND(($Y78*0.3),(VLOOKUP($X78,Übungsübersicht!$E$7:$M$83,3,FALSE)))),IF($Y78&gt;15,(MROUND(($Y78*0.4),(VLOOKUP($X78,Übungsübersicht!$E$7:$M$83,3,FALSE)))),IF($Y78&gt;(VLOOKUP($X78,Übungsübersicht!$E$7:$M$83,3,FALSE)),(VLOOKUP($X78,Übungsübersicht!$E$7:$M$83,3,FALSE)),""))))))),2*(VLOOKUP($X78,Übungsübersicht!$E$7:$M$83,3,FALSE)))</f>
        <v>#N/A</v>
      </c>
      <c r="AB78" s="655" t="e">
        <f ca="1">IFERROR(IF($Y78=0,4*(VLOOKUP($X78,Übungsübersicht!$E$7:$M$83,3,FALSE)),IF($Y78&gt;100,(MROUND(($Y78*0.3),(VLOOKUP($X78,Übungsübersicht!$E$7:$M$83,3,FALSE)))),IF($Y78&gt;80,(MROUND(($Y78*0.3),(VLOOKUP($X78,Übungsübersicht!$E$7:$M$83,3,FALSE)))),IF($Y78&gt;50,(MROUND(($Y78*0.4),(VLOOKUP($X78,Übungsübersicht!$E$7:$M$83,3,FALSE)))),IF($Y78&gt;25,(MROUND(($Y78*0.5),(VLOOKUP($X78,Übungsübersicht!$E$7:$M$83,3,FALSE)))),IF($Y78&gt;15,(MROUND(($Y78*0.6),(VLOOKUP($X78,Übungsübersicht!$E$7:$M$83,3,FALSE)))),IF($Y78&gt;(VLOOKUP($X78,Übungsübersicht!$E$7:$M$83,3,FALSE)),(VLOOKUP($X78,Übungsübersicht!$E$7:$M$83,3,FALSE)),""))))))),4*(VLOOKUP($X78,Übungsübersicht!$E$7:$M$83,3,FALSE)))</f>
        <v>#N/A</v>
      </c>
      <c r="AC78" s="655" t="e">
        <f ca="1">IFERROR((IF($Y78=0,8*(VLOOKUP($X78,Übungsübersicht!$E$7:$M$83,3,FALSE)),(($Y78)-(3*(VLOOKUP($X78,Übungsübersicht!$E$7:$M$83,3,FALSE)))))),8*(VLOOKUP($X78,Übungsübersicht!$E$7:$M$83,3,FALSE)))</f>
        <v>#N/A</v>
      </c>
      <c r="AD78" s="655" t="e">
        <f ca="1">IFERROR(((IF($Y78=0,10*(VLOOKUP($X78,Übungsübersicht!$E$7:$M$83,3,FALSE)),($Y78)-(2*(VLOOKUP($X78,Übungsübersicht!$E$7:$M$83,3,FALSE)))))),10*(VLOOKUP($X78,Übungsübersicht!$E$7:$M$83,3,FALSE)))</f>
        <v>#N/A</v>
      </c>
      <c r="AE78" s="655" t="e">
        <f ca="1">IFERROR(((IF($Y78=0,10*(VLOOKUP($X78,Übungsübersicht!$E$7:$M$83,3,FALSE)),($Y78)-(1*(VLOOKUP($X78,Übungsübersicht!$E$7:$M$83,3,FALSE)))))),10*(VLOOKUP($X78,Übungsübersicht!$E$7:$M$83,3,FALSE)))</f>
        <v>#N/A</v>
      </c>
      <c r="AF78" s="655" t="e">
        <f ca="1">IFERROR(IF($Y78=0,20*(VLOOKUP($X78,Übungsübersicht!$E$7:$M$83,3,FALSE)),($Y78)),20*(VLOOKUP($X78,Übungsübersicht!$E$7:$M$83,3,FALSE)))</f>
        <v>#N/A</v>
      </c>
      <c r="AG78" s="655" t="e">
        <f ca="1">IFERROR(IF($Y78=0,30*(VLOOKUP($X78,Übungsübersicht!$E$7:$M$83,3,FALSE)),($Y78)+(1*(VLOOKUP($X78,Übungsübersicht!$E$7:$M$83,3,FALSE)))),30*(VLOOKUP($X78,Übungsübersicht!$E$7:$M$83,3,FALSE)))</f>
        <v>#N/A</v>
      </c>
      <c r="AH78" s="655" t="e">
        <f ca="1">IFERROR(IF($Y78=0,30*(VLOOKUP($X78,Übungsübersicht!$E$7:$M$83,3,FALSE)),($Y78)+(2*(VLOOKUP($X78,Übungsübersicht!$E$7:$M$83,3,FALSE)))),30*(VLOOKUP($X78,Übungsübersicht!$E$7:$M$83,3,FALSE)))</f>
        <v>#N/A</v>
      </c>
      <c r="AI78" s="655" t="e">
        <f ca="1">IFERROR(IF($Y78=0,30*(VLOOKUP($X78,Übungsübersicht!$E$7:$M$83,3,FALSE)),($Y78)+(3*(VLOOKUP($X78,Übungsübersicht!$E$7:$M$83,3,FALSE)))),30*(VLOOKUP($X78,Übungsübersicht!$E$7:$M$83,3,FALSE)))</f>
        <v>#N/A</v>
      </c>
      <c r="AJ78" s="655" t="e">
        <f ca="1">IFERROR(IF($Y78=0,40*(VLOOKUP($X78,Übungsübersicht!$E$7:$M$83,3,FALSE)),IF($Y78&gt;100,(MROUND(($Y78*1.7),(VLOOKUP($X78,Übungsübersicht!$E$7:$M$83,3,FALSE)))),IF($Y78&gt;80,(MROUND(($Y78*1.7),(VLOOKUP($X78,Übungsübersicht!$E$7:$M$83,3,FALSE)))),IF($Y78&gt;50,(MROUND(($Y78*1.6),(VLOOKUP($X78,Übungsübersicht!$E$7:$M$83,3,FALSE)))),IF($Y78&gt;25,(MROUND(($Y78*1.5),(VLOOKUP($X78,Übungsübersicht!$E$7:$M$83,3,FALSE)))),IF($Y78&gt;15,(MROUND(($Y78*1.4),(VLOOKUP($X78,Übungsübersicht!$E$7:$M$83,3,FALSE)))),IF($Y78&gt;(VLOOKUP($X78,Übungsübersicht!$E$7:$M$83,3,FALSE)),30*(VLOOKUP($X78,Übungsübersicht!$E$7:$M$83,3,FALSE)),""))))))),40*(VLOOKUP($X78,Übungsübersicht!$E$7:$M$83,3,FALSE)))</f>
        <v>#N/A</v>
      </c>
      <c r="AK78" s="656" t="e">
        <f ca="1">IFERROR(IF($Y78=0,50*(VLOOKUP($X78,Übungsübersicht!$E$7:$M$83,3,FALSE)),IF($Y78&gt;100,(MROUND(($Y78*1.9),(VLOOKUP($X78,Übungsübersicht!$E$7:$M$83,3,FALSE)))),IF($Y78&gt;80,(MROUND(($Y78*1.9),(VLOOKUP($X78,Übungsübersicht!$E$7:$M$83,3,FALSE)))),IF($Y78&gt;50,(MROUND(($Y78*1.8),(VLOOKUP($X78,Übungsübersicht!$E$7:$M$83,3,FALSE)))),IF($Y78&gt;25,(MROUND(($Y78*1.7),(VLOOKUP($X78,Übungsübersicht!$E$7:$M$83,3,FALSE)))),IF($Y78&gt;15,(MROUND(($Y78*1.6),(VLOOKUP($X78,Übungsübersicht!$E$7:$M$83,3,FALSE)))),IF($Y78&gt;(VLOOKUP($X78,Übungsübersicht!$E$7:$M$83,3,FALSE)),40*(VLOOKUP($X78,Übungsübersicht!$E$7:$M$83,3,FALSE)),""))))))),50*(VLOOKUP($X78,Übungsübersicht!$E$7:$M$83,3,FALSE)))</f>
        <v>#N/A</v>
      </c>
      <c r="AN78" s="655" t="e">
        <f ca="1">MROUND(INDEX(OFFSET(Zyklus!$M$13,75,0),1),(IF(VLOOKUP($X78,Übungsübersicht!$E$7:$K$80,3)=0,0.1,(VLOOKUP($X78,Übungsübersicht!$E$7:$K$80,3)))))</f>
        <v>#N/A</v>
      </c>
      <c r="AP78" s="652" t="str">
        <f ca="1">IFERROR(IF(IF(VLOOKUP($X78,Zyklus!$A$14:$U$68,9,FALSE)=0,"RPE 8",IF(VLOOKUP($X78,Übungsübersicht!$E$7:$M$83,3,FALSE)&lt;0.5,($AN78)-(3*0.5),(($AN78)-(3*(VLOOKUP($X78,Übungsübersicht!$E$7:$M$83,3,FALSE))))))&lt;1,0,(IF(VLOOKUP($X78,Zyklus!$A$14:$U$68,9,FALSE)=0,"RPE 8",IF(VLOOKUP($X78,Übungsübersicht!$E$7:$M$83,3,FALSE)&lt;0.5,($AN78)-(3*0.5),(($AN78)-(3*(VLOOKUP($X78,Übungsübersicht!$E$7:$M$83,3,FALSE)))))))),"RPE 8")</f>
        <v>RPE 8</v>
      </c>
      <c r="AQ78" s="652" t="str">
        <f ca="1">IFERROR(IF(IF(VLOOKUP($X78,Zyklus!$A$14:$U$68,9,FALSE)=0,"RPE 8",IF(VLOOKUP($X78,Übungsübersicht!$E$7:$M$83,3,FALSE)&lt;0.5,($AN78)-(2*0.5),(($AN78)-(2*(VLOOKUP($X78,Übungsübersicht!$E$7:$M$83,3,FALSE))))))&lt;1,0,(IF(VLOOKUP($X78,Zyklus!$A$14:$U$68,9,FALSE)=0,"RPE 8",IF(VLOOKUP($X78,Übungsübersicht!$E$7:$M$83,3,FALSE)&lt;0.5,($AN78)-(2*0.5),(($AN78)-(2*(VLOOKUP($X78,Übungsübersicht!$E$7:$M$83,3,FALSE)))))))),"RPE 8")</f>
        <v>RPE 8</v>
      </c>
      <c r="AR78" s="652" t="str">
        <f ca="1">IFERROR(IF(IF(VLOOKUP($X78,Zyklus!$A$14:$U$68,9,FALSE)=0,"RPE 8",IF(VLOOKUP($X78,Übungsübersicht!$E$7:$M$83,3,FALSE)&lt;0.5,($AN78)-(1*0.5),(($Y78)-(1*(VLOOKUP($X78,Übungsübersicht!$E$7:$M$83,3,FALSE))))))&lt;1,0,(IF(VLOOKUP($X78,Zyklus!$A$14:$U$68,9,FALSE)=0,"RPE 8",IF(VLOOKUP($X78,Übungsübersicht!$E$7:$M$83,3,FALSE)&lt;0.5,($AN78)-(1*0.5),(($Y78)-(1*(VLOOKUP($X78,Übungsübersicht!$E$7:$M$83,3,FALSE)))))))),"RPE 8")</f>
        <v>RPE 8</v>
      </c>
      <c r="AS78" s="652" t="str">
        <f t="shared" ca="1" si="6"/>
        <v>RPE 8</v>
      </c>
      <c r="AT78" s="652" t="str">
        <f ca="1">IFERROR(IF(VLOOKUP($X78,Zyklus!$A$14:$U$68,9,FALSE)=0,"RPE 8",IF(VLOOKUP($X78,Übungsübersicht!$E$7:$M$83,3,FALSE)&lt;0.5,($AN78)+(1*0.5),(($Y78)+(1*(VLOOKUP($X78,Übungsübersicht!$E$7:$M$83,3,FALSE)))))),"RPE 8")</f>
        <v>RPE 8</v>
      </c>
      <c r="AU78" s="652" t="str">
        <f ca="1">IFERROR(IF(VLOOKUP($X78,Zyklus!$A$14:$U$68,9,FALSE)=0,"RPE 8",IF(VLOOKUP($X78,Übungsübersicht!$E$7:$M$83,3,FALSE)&lt;0.5,($AN78)+(2*0.5),(($AN78)+(2*(VLOOKUP($X78,Übungsübersicht!$E$7:$M$83,3,FALSE)))))),"RPE 8")</f>
        <v>RPE 8</v>
      </c>
      <c r="AV78" s="652" t="str">
        <f ca="1">IFERROR(IF(VLOOKUP($X78,Zyklus!$A$14:$U$68,9,FALSE)=0,"RPE 8",IF(VLOOKUP($X78,Übungsübersicht!$E$7:$M$83,3,FALSE)&lt;0.5,($AN78)+(3*0.5),(($AN78)+(3*(VLOOKUP($X78,Übungsübersicht!$E$7:$M$83,3,FALSE)))))),"RPE 8")</f>
        <v>RPE 8</v>
      </c>
      <c r="AY78" s="655" t="e">
        <f ca="1">MROUND(INDEX(OFFSET(Zyklus!$M$13,75,0),1),(IF(VLOOKUP($X78,Übungsübersicht!$E$7:$K$80,3)=0,0.1,(VLOOKUP($X78,Übungsübersicht!$E$7:$K$80,3)))))</f>
        <v>#N/A</v>
      </c>
      <c r="BA78" s="652" t="e">
        <f ca="1">MROUND(INDEX(OFFSET(Zyklus!$Q$13,75,0),1),(IF(VLOOKUP($X78,Übungsübersicht!$E$7:$K$80,3)=0,0.1,(VLOOKUP($X78,Übungsübersicht!$E$7:$K$80,3)))))</f>
        <v>#N/A</v>
      </c>
      <c r="BC78" s="652" t="str">
        <f ca="1">IFERROR(IF(IF(VLOOKUP($X78,Zyklus!$A$14:$U$68,9,FALSE)=0,"RPE 9",IF(VLOOKUP($X78,Übungsübersicht!$E$7:$M$83,3,FALSE)&lt;0.5,($BA78)-(3*0.5),(($BA78)-(3*(VLOOKUP($X78,Übungsübersicht!$E$7:$M$83,3,FALSE))))))&lt;1,0,(IF(VLOOKUP($X78,Zyklus!$A$14:$U$68,9,FALSE)=0,"RPE 9",IF(VLOOKUP($X78,Übungsübersicht!$E$7:$M$83,3,FALSE)&lt;0.5,($BA78)-(3*0.5),(($BA78)-(3*(VLOOKUP($X78,Übungsübersicht!$E$7:$M$83,3,FALSE)))))))),"RPE 9")</f>
        <v>RPE 9</v>
      </c>
      <c r="BD78" s="652" t="str">
        <f ca="1">IFERROR(IF(IF(VLOOKUP($X78,Zyklus!$A$14:$U$68,9,FALSE)=0,"RPE 9",IF(VLOOKUP($X78,Übungsübersicht!$E$7:$M$83,3,FALSE)&lt;0.5,($BA78)-(2*0.5),(($BA78)-(2*(VLOOKUP($X78,Übungsübersicht!$E$7:$M$83,3,FALSE))))))&lt;1,0,(IF(VLOOKUP($X78,Zyklus!$A$14:$U$68,9,FALSE)=0,"RPE 9",IF(VLOOKUP($X78,Übungsübersicht!$E$7:$M$83,3,FALSE)&lt;0.5,($BA78)-(2*0.5),(($BA78)-(2*(VLOOKUP($X78,Übungsübersicht!$E$7:$M$83,3,FALSE)))))))),"RPE 9")</f>
        <v>RPE 9</v>
      </c>
      <c r="BE78" s="652" t="str">
        <f ca="1">IFERROR(IF(IF(VLOOKUP($X78,Zyklus!$A$14:$U$68,9,FALSE)=0,"RPE 9",IF(VLOOKUP($X78,Übungsübersicht!$E$7:$M$83,3,FALSE)&lt;0.5,($BA78)-(1*0.5),(($Y78)-(1*(VLOOKUP($X78,Übungsübersicht!$E$7:$M$83,3,FALSE))))))&lt;1,0,(IF(VLOOKUP($X78,Zyklus!$A$14:$U$68,9,FALSE)=0,"RPE 9",IF(VLOOKUP($X78,Übungsübersicht!$E$7:$M$83,3,FALSE)&lt;0.5,($BA78)-(1*0.5),(($Y78)-(1*(VLOOKUP($X78,Übungsübersicht!$E$7:$M$83,3,FALSE)))))))),"RPE 9")</f>
        <v>RPE 9</v>
      </c>
      <c r="BF78" s="652" t="str">
        <f t="shared" ca="1" si="7"/>
        <v>RPE 9</v>
      </c>
      <c r="BG78" s="652" t="str">
        <f ca="1">IFERROR(IF(VLOOKUP($X78,Zyklus!$A$14:$U$68,9,FALSE)=0,"RPE 9",IF(VLOOKUP($X78,Übungsübersicht!$E$7:$M$83,3,FALSE)&lt;0.5,($AY78)+(1*0.5),(($AY78)+(1*(VLOOKUP($X78,Übungsübersicht!$E$7:$M$83,3,FALSE)))))),"RPE 9")</f>
        <v>RPE 9</v>
      </c>
      <c r="BH78" s="652" t="str">
        <f ca="1">IFERROR(IF(VLOOKUP($X78,Zyklus!$A$14:$U$68,9,FALSE)=0,"RPE 9",IF(VLOOKUP($X78,Übungsübersicht!$E$7:$M$83,3,FALSE)&lt;0.5,($BA78)+(2*0.5),(($BA78)+(2*(VLOOKUP($X78,Übungsübersicht!$E$7:$M$83,3,FALSE)))))),"RPE 9")</f>
        <v>RPE 9</v>
      </c>
      <c r="BI78" s="652" t="str">
        <f ca="1">IFERROR(IF(VLOOKUP($X78,Zyklus!$A$14:$U$68,9,FALSE)=0,"RPE 9",IF(VLOOKUP($X78,Übungsübersicht!$E$7:$M$83,3,FALSE)&lt;0.5,($BA78)+(3*0.5),(($BA78)+(3*(VLOOKUP($X78,Übungsübersicht!$E$7:$M$83,3,FALSE)))))),"RPE 9")</f>
        <v>RPE 9</v>
      </c>
    </row>
    <row r="79" spans="8:61" ht="30" customHeight="1">
      <c r="H79" s="326">
        <v>58</v>
      </c>
      <c r="I79" s="323">
        <f t="shared" si="5"/>
        <v>40.909090909090907</v>
      </c>
      <c r="J79" s="344">
        <f t="shared" si="4"/>
        <v>0.34090909090909088</v>
      </c>
      <c r="X79" s="651">
        <f ca="1">INDEX(OFFSET(Zyklus!$A$13,76,0),1)</f>
        <v>0</v>
      </c>
      <c r="Y79" s="652" t="e">
        <f ca="1">MROUND(INDEX(OFFSET(Zyklus!$I$13,76,0),1),(IF(VLOOKUP($X79,Übungsübersicht!$E$7:$K$80,3)=0,0.1,(VLOOKUP($X79,Übungsübersicht!$E$7:$K$80,3)))))</f>
        <v>#N/A</v>
      </c>
      <c r="Z79" s="652"/>
      <c r="AA79" s="652" t="e">
        <f ca="1">IFERROR(IF($Y79=0,2*(VLOOKUP($X79,Übungsübersicht!$E$7:$M$83,3,FALSE)),IF($Y79&gt;100,(MROUND(($Y79*0.1),(VLOOKUP($X79,Übungsübersicht!$E$7:$M$83,3,FALSE)))),IF($Y79&gt;80,(MROUND(($Y79*0.1),(VLOOKUP($X79,Übungsübersicht!$E$7:$M$83,3,FALSE)))),IF($Y79&gt;50,(MROUND(($Y79*0.2),(VLOOKUP($X79,Übungsübersicht!$E$7:$M$83,3,FALSE)))),IF($Y79&gt;25,(MROUND(($Y79*0.3),(VLOOKUP($X79,Übungsübersicht!$E$7:$M$83,3,FALSE)))),IF($Y79&gt;15,(MROUND(($Y79*0.4),(VLOOKUP($X79,Übungsübersicht!$E$7:$M$83,3,FALSE)))),IF($Y79&gt;(VLOOKUP($X79,Übungsübersicht!$E$7:$M$83,3,FALSE)),(VLOOKUP($X79,Übungsübersicht!$E$7:$M$83,3,FALSE)),""))))))),2*(VLOOKUP($X79,Übungsübersicht!$E$7:$M$83,3,FALSE)))</f>
        <v>#N/A</v>
      </c>
      <c r="AB79" s="652" t="e">
        <f ca="1">IFERROR(IF($Y79=0,4*(VLOOKUP($X79,Übungsübersicht!$E$7:$M$83,3,FALSE)),IF($Y79&gt;100,(MROUND(($Y79*0.3),(VLOOKUP($X79,Übungsübersicht!$E$7:$M$83,3,FALSE)))),IF($Y79&gt;80,(MROUND(($Y79*0.3),(VLOOKUP($X79,Übungsübersicht!$E$7:$M$83,3,FALSE)))),IF($Y79&gt;50,(MROUND(($Y79*0.4),(VLOOKUP($X79,Übungsübersicht!$E$7:$M$83,3,FALSE)))),IF($Y79&gt;25,(MROUND(($Y79*0.5),(VLOOKUP($X79,Übungsübersicht!$E$7:$M$83,3,FALSE)))),IF($Y79&gt;15,(MROUND(($Y79*0.6),(VLOOKUP($X79,Übungsübersicht!$E$7:$M$83,3,FALSE)))),IF($Y79&gt;(VLOOKUP($X79,Übungsübersicht!$E$7:$M$83,3,FALSE)),(VLOOKUP($X79,Übungsübersicht!$E$7:$M$83,3,FALSE)),""))))))),4*(VLOOKUP($X79,Übungsübersicht!$E$7:$M$83,3,FALSE)))</f>
        <v>#N/A</v>
      </c>
      <c r="AC79" s="652" t="e">
        <f ca="1">IFERROR((IF($Y79=0,8*(VLOOKUP($X79,Übungsübersicht!$E$7:$M$83,3,FALSE)),(($Y79)-(3*(VLOOKUP($X79,Übungsübersicht!$E$7:$M$83,3,FALSE)))))),8*(VLOOKUP($X79,Übungsübersicht!$E$7:$M$83,3,FALSE)))</f>
        <v>#N/A</v>
      </c>
      <c r="AD79" s="652" t="e">
        <f ca="1">IFERROR(((IF($Y79=0,10*(VLOOKUP($X79,Übungsübersicht!$E$7:$M$83,3,FALSE)),($Y79)-(2*(VLOOKUP($X79,Übungsübersicht!$E$7:$M$83,3,FALSE)))))),10*(VLOOKUP($X79,Übungsübersicht!$E$7:$M$83,3,FALSE)))</f>
        <v>#N/A</v>
      </c>
      <c r="AE79" s="652" t="e">
        <f ca="1">IFERROR(((IF($Y79=0,10*(VLOOKUP($X79,Übungsübersicht!$E$7:$M$83,3,FALSE)),($Y79)-(1*(VLOOKUP($X79,Übungsübersicht!$E$7:$M$83,3,FALSE)))))),10*(VLOOKUP($X79,Übungsübersicht!$E$7:$M$83,3,FALSE)))</f>
        <v>#N/A</v>
      </c>
      <c r="AF79" s="652" t="e">
        <f ca="1">IFERROR(IF($Y79=0,20*(VLOOKUP($X79,Übungsübersicht!$E$7:$M$83,3,FALSE)),($Y79)),20*(VLOOKUP($X79,Übungsübersicht!$E$7:$M$83,3,FALSE)))</f>
        <v>#N/A</v>
      </c>
      <c r="AG79" s="652" t="e">
        <f ca="1">IFERROR(IF($Y79=0,30*(VLOOKUP($X79,Übungsübersicht!$E$7:$M$83,3,FALSE)),($Y79)+(1*(VLOOKUP($X79,Übungsübersicht!$E$7:$M$83,3,FALSE)))),30*(VLOOKUP($X79,Übungsübersicht!$E$7:$M$83,3,FALSE)))</f>
        <v>#N/A</v>
      </c>
      <c r="AH79" s="652" t="e">
        <f ca="1">IFERROR(IF($Y79=0,30*(VLOOKUP($X79,Übungsübersicht!$E$7:$M$83,3,FALSE)),($Y79)+(2*(VLOOKUP($X79,Übungsübersicht!$E$7:$M$83,3,FALSE)))),30*(VLOOKUP($X79,Übungsübersicht!$E$7:$M$83,3,FALSE)))</f>
        <v>#N/A</v>
      </c>
      <c r="AI79" s="652" t="e">
        <f ca="1">IFERROR(IF($Y79=0,30*(VLOOKUP($X79,Übungsübersicht!$E$7:$M$83,3,FALSE)),($Y79)+(3*(VLOOKUP($X79,Übungsübersicht!$E$7:$M$83,3,FALSE)))),30*(VLOOKUP($X79,Übungsübersicht!$E$7:$M$83,3,FALSE)))</f>
        <v>#N/A</v>
      </c>
      <c r="AJ79" s="652" t="e">
        <f ca="1">IFERROR(IF($Y79=0,40*(VLOOKUP($X79,Übungsübersicht!$E$7:$M$83,3,FALSE)),IF($Y79&gt;100,(MROUND(($Y79*1.7),(VLOOKUP($X79,Übungsübersicht!$E$7:$M$83,3,FALSE)))),IF($Y79&gt;80,(MROUND(($Y79*1.7),(VLOOKUP($X79,Übungsübersicht!$E$7:$M$83,3,FALSE)))),IF($Y79&gt;50,(MROUND(($Y79*1.6),(VLOOKUP($X79,Übungsübersicht!$E$7:$M$83,3,FALSE)))),IF($Y79&gt;25,(MROUND(($Y79*1.5),(VLOOKUP($X79,Übungsübersicht!$E$7:$M$83,3,FALSE)))),IF($Y79&gt;15,(MROUND(($Y79*1.4),(VLOOKUP($X79,Übungsübersicht!$E$7:$M$83,3,FALSE)))),IF($Y79&gt;(VLOOKUP($X79,Übungsübersicht!$E$7:$M$83,3,FALSE)),30*(VLOOKUP($X79,Übungsübersicht!$E$7:$M$83,3,FALSE)),""))))))),40*(VLOOKUP($X79,Übungsübersicht!$E$7:$M$83,3,FALSE)))</f>
        <v>#N/A</v>
      </c>
      <c r="AK79" s="653" t="e">
        <f ca="1">IFERROR(IF($Y79=0,50*(VLOOKUP($X79,Übungsübersicht!$E$7:$M$83,3,FALSE)),IF($Y79&gt;100,(MROUND(($Y79*1.9),(VLOOKUP($X79,Übungsübersicht!$E$7:$M$83,3,FALSE)))),IF($Y79&gt;80,(MROUND(($Y79*1.9),(VLOOKUP($X79,Übungsübersicht!$E$7:$M$83,3,FALSE)))),IF($Y79&gt;50,(MROUND(($Y79*1.8),(VLOOKUP($X79,Übungsübersicht!$E$7:$M$83,3,FALSE)))),IF($Y79&gt;25,(MROUND(($Y79*1.7),(VLOOKUP($X79,Übungsübersicht!$E$7:$M$83,3,FALSE)))),IF($Y79&gt;15,(MROUND(($Y79*1.6),(VLOOKUP($X79,Übungsübersicht!$E$7:$M$83,3,FALSE)))),IF($Y79&gt;(VLOOKUP($X79,Übungsübersicht!$E$7:$M$83,3,FALSE)),40*(VLOOKUP($X79,Übungsübersicht!$E$7:$M$83,3,FALSE)),""))))))),50*(VLOOKUP($X79,Übungsübersicht!$E$7:$M$83,3,FALSE)))</f>
        <v>#N/A</v>
      </c>
      <c r="AN79" s="652" t="e">
        <f ca="1">MROUND(INDEX(OFFSET(Zyklus!$M$13,76,0),1),(IF(VLOOKUP($X79,Übungsübersicht!$E$7:$K$80,3)=0,0.1,(VLOOKUP($X79,Übungsübersicht!$E$7:$K$80,3)))))</f>
        <v>#N/A</v>
      </c>
      <c r="AP79" s="655" t="str">
        <f ca="1">IFERROR(IF(IF(VLOOKUP($X79,Zyklus!$A$14:$U$68,9,FALSE)=0,"RPE 8",IF(VLOOKUP($X79,Übungsübersicht!$E$7:$M$83,3,FALSE)&lt;0.5,($AN79)-(3*0.5),(($AN79)-(3*(VLOOKUP($X79,Übungsübersicht!$E$7:$M$83,3,FALSE))))))&lt;1,0,(IF(VLOOKUP($X79,Zyklus!$A$14:$U$68,9,FALSE)=0,"RPE 8",IF(VLOOKUP($X79,Übungsübersicht!$E$7:$M$83,3,FALSE)&lt;0.5,($AN79)-(3*0.5),(($AN79)-(3*(VLOOKUP($X79,Übungsübersicht!$E$7:$M$83,3,FALSE)))))))),"RPE 8")</f>
        <v>RPE 8</v>
      </c>
      <c r="AQ79" s="655" t="str">
        <f ca="1">IFERROR(IF(IF(VLOOKUP($X79,Zyklus!$A$14:$U$68,9,FALSE)=0,"RPE 8",IF(VLOOKUP($X79,Übungsübersicht!$E$7:$M$83,3,FALSE)&lt;0.5,($AN79)-(2*0.5),(($AN79)-(2*(VLOOKUP($X79,Übungsübersicht!$E$7:$M$83,3,FALSE))))))&lt;1,0,(IF(VLOOKUP($X79,Zyklus!$A$14:$U$68,9,FALSE)=0,"RPE 8",IF(VLOOKUP($X79,Übungsübersicht!$E$7:$M$83,3,FALSE)&lt;0.5,($AN79)-(2*0.5),(($AN79)-(2*(VLOOKUP($X79,Übungsübersicht!$E$7:$M$83,3,FALSE)))))))),"RPE 8")</f>
        <v>RPE 8</v>
      </c>
      <c r="AR79" s="655" t="str">
        <f ca="1">IFERROR(IF(IF(VLOOKUP($X79,Zyklus!$A$14:$U$68,9,FALSE)=0,"RPE 8",IF(VLOOKUP($X79,Übungsübersicht!$E$7:$M$83,3,FALSE)&lt;0.5,($AN79)-(1*0.5),(($Y79)-(1*(VLOOKUP($X79,Übungsübersicht!$E$7:$M$83,3,FALSE))))))&lt;1,0,(IF(VLOOKUP($X79,Zyklus!$A$14:$U$68,9,FALSE)=0,"RPE 8",IF(VLOOKUP($X79,Übungsübersicht!$E$7:$M$83,3,FALSE)&lt;0.5,($AN79)-(1*0.5),(($Y79)-(1*(VLOOKUP($X79,Übungsübersicht!$E$7:$M$83,3,FALSE)))))))),"RPE 8")</f>
        <v>RPE 8</v>
      </c>
      <c r="AS79" s="655" t="str">
        <f t="shared" ca="1" si="6"/>
        <v>RPE 8</v>
      </c>
      <c r="AT79" s="655" t="str">
        <f ca="1">IFERROR(IF(VLOOKUP($X79,Zyklus!$A$14:$U$68,9,FALSE)=0,"RPE 8",IF(VLOOKUP($X79,Übungsübersicht!$E$7:$M$83,3,FALSE)&lt;0.5,($AN79)+(1*0.5),(($Y79)+(1*(VLOOKUP($X79,Übungsübersicht!$E$7:$M$83,3,FALSE)))))),"RPE 8")</f>
        <v>RPE 8</v>
      </c>
      <c r="AU79" s="655" t="str">
        <f ca="1">IFERROR(IF(VLOOKUP($X79,Zyklus!$A$14:$U$68,9,FALSE)=0,"RPE 8",IF(VLOOKUP($X79,Übungsübersicht!$E$7:$M$83,3,FALSE)&lt;0.5,($AN79)+(2*0.5),(($AN79)+(2*(VLOOKUP($X79,Übungsübersicht!$E$7:$M$83,3,FALSE)))))),"RPE 8")</f>
        <v>RPE 8</v>
      </c>
      <c r="AV79" s="655" t="str">
        <f ca="1">IFERROR(IF(VLOOKUP($X79,Zyklus!$A$14:$U$68,9,FALSE)=0,"RPE 8",IF(VLOOKUP($X79,Übungsübersicht!$E$7:$M$83,3,FALSE)&lt;0.5,($AN79)+(3*0.5),(($AN79)+(3*(VLOOKUP($X79,Übungsübersicht!$E$7:$M$83,3,FALSE)))))),"RPE 8")</f>
        <v>RPE 8</v>
      </c>
      <c r="AY79" s="652" t="e">
        <f ca="1">MROUND(INDEX(OFFSET(Zyklus!$M$13,76,0),1),(IF(VLOOKUP($X79,Übungsübersicht!$E$7:$K$80,3)=0,0.1,(VLOOKUP($X79,Übungsübersicht!$E$7:$K$80,3)))))</f>
        <v>#N/A</v>
      </c>
      <c r="BA79" s="655" t="e">
        <f ca="1">MROUND(INDEX(OFFSET(Zyklus!$Q$13,76,0),1),(IF(VLOOKUP($X79,Übungsübersicht!$E$7:$K$80,3)=0,0.1,(VLOOKUP($X79,Übungsübersicht!$E$7:$K$80,3)))))</f>
        <v>#N/A</v>
      </c>
      <c r="BC79" s="655" t="str">
        <f ca="1">IFERROR(IF(IF(VLOOKUP($X79,Zyklus!$A$14:$U$68,9,FALSE)=0,"RPE 9",IF(VLOOKUP($X79,Übungsübersicht!$E$7:$M$83,3,FALSE)&lt;0.5,($BA79)-(3*0.5),(($BA79)-(3*(VLOOKUP($X79,Übungsübersicht!$E$7:$M$83,3,FALSE))))))&lt;1,0,(IF(VLOOKUP($X79,Zyklus!$A$14:$U$68,9,FALSE)=0,"RPE 9",IF(VLOOKUP($X79,Übungsübersicht!$E$7:$M$83,3,FALSE)&lt;0.5,($BA79)-(3*0.5),(($BA79)-(3*(VLOOKUP($X79,Übungsübersicht!$E$7:$M$83,3,FALSE)))))))),"RPE 9")</f>
        <v>RPE 9</v>
      </c>
      <c r="BD79" s="655" t="str">
        <f ca="1">IFERROR(IF(IF(VLOOKUP($X79,Zyklus!$A$14:$U$68,9,FALSE)=0,"RPE 9",IF(VLOOKUP($X79,Übungsübersicht!$E$7:$M$83,3,FALSE)&lt;0.5,($BA79)-(2*0.5),(($BA79)-(2*(VLOOKUP($X79,Übungsübersicht!$E$7:$M$83,3,FALSE))))))&lt;1,0,(IF(VLOOKUP($X79,Zyklus!$A$14:$U$68,9,FALSE)=0,"RPE 9",IF(VLOOKUP($X79,Übungsübersicht!$E$7:$M$83,3,FALSE)&lt;0.5,($BA79)-(2*0.5),(($BA79)-(2*(VLOOKUP($X79,Übungsübersicht!$E$7:$M$83,3,FALSE)))))))),"RPE 9")</f>
        <v>RPE 9</v>
      </c>
      <c r="BE79" s="655" t="str">
        <f ca="1">IFERROR(IF(IF(VLOOKUP($X79,Zyklus!$A$14:$U$68,9,FALSE)=0,"RPE 9",IF(VLOOKUP($X79,Übungsübersicht!$E$7:$M$83,3,FALSE)&lt;0.5,($BA79)-(1*0.5),(($Y79)-(1*(VLOOKUP($X79,Übungsübersicht!$E$7:$M$83,3,FALSE))))))&lt;1,0,(IF(VLOOKUP($X79,Zyklus!$A$14:$U$68,9,FALSE)=0,"RPE 9",IF(VLOOKUP($X79,Übungsübersicht!$E$7:$M$83,3,FALSE)&lt;0.5,($BA79)-(1*0.5),(($Y79)-(1*(VLOOKUP($X79,Übungsübersicht!$E$7:$M$83,3,FALSE)))))))),"RPE 9")</f>
        <v>RPE 9</v>
      </c>
      <c r="BF79" s="655" t="str">
        <f t="shared" ca="1" si="7"/>
        <v>RPE 9</v>
      </c>
      <c r="BG79" s="655" t="str">
        <f ca="1">IFERROR(IF(VLOOKUP($X79,Zyklus!$A$14:$U$68,9,FALSE)=0,"RPE 9",IF(VLOOKUP($X79,Übungsübersicht!$E$7:$M$83,3,FALSE)&lt;0.5,($AY79)+(1*0.5),(($AY79)+(1*(VLOOKUP($X79,Übungsübersicht!$E$7:$M$83,3,FALSE)))))),"RPE 9")</f>
        <v>RPE 9</v>
      </c>
      <c r="BH79" s="655" t="str">
        <f ca="1">IFERROR(IF(VLOOKUP($X79,Zyklus!$A$14:$U$68,9,FALSE)=0,"RPE 9",IF(VLOOKUP($X79,Übungsübersicht!$E$7:$M$83,3,FALSE)&lt;0.5,($BA79)+(2*0.5),(($BA79)+(2*(VLOOKUP($X79,Übungsübersicht!$E$7:$M$83,3,FALSE)))))),"RPE 9")</f>
        <v>RPE 9</v>
      </c>
      <c r="BI79" s="655" t="str">
        <f ca="1">IFERROR(IF(VLOOKUP($X79,Zyklus!$A$14:$U$68,9,FALSE)=0,"RPE 9",IF(VLOOKUP($X79,Übungsübersicht!$E$7:$M$83,3,FALSE)&lt;0.5,($BA79)+(3*0.5),(($BA79)+(3*(VLOOKUP($X79,Übungsübersicht!$E$7:$M$83,3,FALSE)))))),"RPE 9")</f>
        <v>RPE 9</v>
      </c>
    </row>
    <row r="80" spans="8:61" ht="30" customHeight="1">
      <c r="H80" s="326">
        <v>59</v>
      </c>
      <c r="I80" s="323">
        <f t="shared" si="5"/>
        <v>40.449438202247187</v>
      </c>
      <c r="J80" s="344">
        <f t="shared" si="4"/>
        <v>0.33707865168539325</v>
      </c>
      <c r="X80" s="654">
        <f ca="1">INDEX(OFFSET(Zyklus!$A$13,77,0),1)</f>
        <v>0</v>
      </c>
      <c r="Y80" s="655" t="e">
        <f ca="1">MROUND(INDEX(OFFSET(Zyklus!$I$13,77,0),1),(IF(VLOOKUP($X80,Übungsübersicht!$E$7:$K$80,3)=0,0.1,(VLOOKUP($X80,Übungsübersicht!$E$7:$K$80,3)))))</f>
        <v>#N/A</v>
      </c>
      <c r="Z80" s="655"/>
      <c r="AA80" s="655" t="e">
        <f ca="1">IFERROR(IF($Y80=0,2*(VLOOKUP($X80,Übungsübersicht!$E$7:$M$83,3,FALSE)),IF($Y80&gt;100,(MROUND(($Y80*0.1),(VLOOKUP($X80,Übungsübersicht!$E$7:$M$83,3,FALSE)))),IF($Y80&gt;80,(MROUND(($Y80*0.1),(VLOOKUP($X80,Übungsübersicht!$E$7:$M$83,3,FALSE)))),IF($Y80&gt;50,(MROUND(($Y80*0.2),(VLOOKUP($X80,Übungsübersicht!$E$7:$M$83,3,FALSE)))),IF($Y80&gt;25,(MROUND(($Y80*0.3),(VLOOKUP($X80,Übungsübersicht!$E$7:$M$83,3,FALSE)))),IF($Y80&gt;15,(MROUND(($Y80*0.4),(VLOOKUP($X80,Übungsübersicht!$E$7:$M$83,3,FALSE)))),IF($Y80&gt;(VLOOKUP($X80,Übungsübersicht!$E$7:$M$83,3,FALSE)),(VLOOKUP($X80,Übungsübersicht!$E$7:$M$83,3,FALSE)),""))))))),2*(VLOOKUP($X80,Übungsübersicht!$E$7:$M$83,3,FALSE)))</f>
        <v>#N/A</v>
      </c>
      <c r="AB80" s="655" t="e">
        <f ca="1">IFERROR(IF($Y80=0,4*(VLOOKUP($X80,Übungsübersicht!$E$7:$M$83,3,FALSE)),IF($Y80&gt;100,(MROUND(($Y80*0.3),(VLOOKUP($X80,Übungsübersicht!$E$7:$M$83,3,FALSE)))),IF($Y80&gt;80,(MROUND(($Y80*0.3),(VLOOKUP($X80,Übungsübersicht!$E$7:$M$83,3,FALSE)))),IF($Y80&gt;50,(MROUND(($Y80*0.4),(VLOOKUP($X80,Übungsübersicht!$E$7:$M$83,3,FALSE)))),IF($Y80&gt;25,(MROUND(($Y80*0.5),(VLOOKUP($X80,Übungsübersicht!$E$7:$M$83,3,FALSE)))),IF($Y80&gt;15,(MROUND(($Y80*0.6),(VLOOKUP($X80,Übungsübersicht!$E$7:$M$83,3,FALSE)))),IF($Y80&gt;(VLOOKUP($X80,Übungsübersicht!$E$7:$M$83,3,FALSE)),(VLOOKUP($X80,Übungsübersicht!$E$7:$M$83,3,FALSE)),""))))))),4*(VLOOKUP($X80,Übungsübersicht!$E$7:$M$83,3,FALSE)))</f>
        <v>#N/A</v>
      </c>
      <c r="AC80" s="655" t="e">
        <f ca="1">IFERROR((IF($Y80=0,8*(VLOOKUP($X80,Übungsübersicht!$E$7:$M$83,3,FALSE)),(($Y80)-(3*(VLOOKUP($X80,Übungsübersicht!$E$7:$M$83,3,FALSE)))))),8*(VLOOKUP($X80,Übungsübersicht!$E$7:$M$83,3,FALSE)))</f>
        <v>#N/A</v>
      </c>
      <c r="AD80" s="655" t="e">
        <f ca="1">IFERROR(((IF($Y80=0,10*(VLOOKUP($X80,Übungsübersicht!$E$7:$M$83,3,FALSE)),($Y80)-(2*(VLOOKUP($X80,Übungsübersicht!$E$7:$M$83,3,FALSE)))))),10*(VLOOKUP($X80,Übungsübersicht!$E$7:$M$83,3,FALSE)))</f>
        <v>#N/A</v>
      </c>
      <c r="AE80" s="655" t="e">
        <f ca="1">IFERROR(((IF($Y80=0,10*(VLOOKUP($X80,Übungsübersicht!$E$7:$M$83,3,FALSE)),($Y80)-(1*(VLOOKUP($X80,Übungsübersicht!$E$7:$M$83,3,FALSE)))))),10*(VLOOKUP($X80,Übungsübersicht!$E$7:$M$83,3,FALSE)))</f>
        <v>#N/A</v>
      </c>
      <c r="AF80" s="655" t="e">
        <f ca="1">IFERROR(IF($Y80=0,20*(VLOOKUP($X80,Übungsübersicht!$E$7:$M$83,3,FALSE)),($Y80)),20*(VLOOKUP($X80,Übungsübersicht!$E$7:$M$83,3,FALSE)))</f>
        <v>#N/A</v>
      </c>
      <c r="AG80" s="655" t="e">
        <f ca="1">IFERROR(IF($Y80=0,30*(VLOOKUP($X80,Übungsübersicht!$E$7:$M$83,3,FALSE)),($Y80)+(1*(VLOOKUP($X80,Übungsübersicht!$E$7:$M$83,3,FALSE)))),30*(VLOOKUP($X80,Übungsübersicht!$E$7:$M$83,3,FALSE)))</f>
        <v>#N/A</v>
      </c>
      <c r="AH80" s="655" t="e">
        <f ca="1">IFERROR(IF($Y80=0,30*(VLOOKUP($X80,Übungsübersicht!$E$7:$M$83,3,FALSE)),($Y80)+(2*(VLOOKUP($X80,Übungsübersicht!$E$7:$M$83,3,FALSE)))),30*(VLOOKUP($X80,Übungsübersicht!$E$7:$M$83,3,FALSE)))</f>
        <v>#N/A</v>
      </c>
      <c r="AI80" s="655" t="e">
        <f ca="1">IFERROR(IF($Y80=0,30*(VLOOKUP($X80,Übungsübersicht!$E$7:$M$83,3,FALSE)),($Y80)+(3*(VLOOKUP($X80,Übungsübersicht!$E$7:$M$83,3,FALSE)))),30*(VLOOKUP($X80,Übungsübersicht!$E$7:$M$83,3,FALSE)))</f>
        <v>#N/A</v>
      </c>
      <c r="AJ80" s="655" t="e">
        <f ca="1">IFERROR(IF($Y80=0,40*(VLOOKUP($X80,Übungsübersicht!$E$7:$M$83,3,FALSE)),IF($Y80&gt;100,(MROUND(($Y80*1.7),(VLOOKUP($X80,Übungsübersicht!$E$7:$M$83,3,FALSE)))),IF($Y80&gt;80,(MROUND(($Y80*1.7),(VLOOKUP($X80,Übungsübersicht!$E$7:$M$83,3,FALSE)))),IF($Y80&gt;50,(MROUND(($Y80*1.6),(VLOOKUP($X80,Übungsübersicht!$E$7:$M$83,3,FALSE)))),IF($Y80&gt;25,(MROUND(($Y80*1.5),(VLOOKUP($X80,Übungsübersicht!$E$7:$M$83,3,FALSE)))),IF($Y80&gt;15,(MROUND(($Y80*1.4),(VLOOKUP($X80,Übungsübersicht!$E$7:$M$83,3,FALSE)))),IF($Y80&gt;(VLOOKUP($X80,Übungsübersicht!$E$7:$M$83,3,FALSE)),30*(VLOOKUP($X80,Übungsübersicht!$E$7:$M$83,3,FALSE)),""))))))),40*(VLOOKUP($X80,Übungsübersicht!$E$7:$M$83,3,FALSE)))</f>
        <v>#N/A</v>
      </c>
      <c r="AK80" s="656" t="e">
        <f ca="1">IFERROR(IF($Y80=0,50*(VLOOKUP($X80,Übungsübersicht!$E$7:$M$83,3,FALSE)),IF($Y80&gt;100,(MROUND(($Y80*1.9),(VLOOKUP($X80,Übungsübersicht!$E$7:$M$83,3,FALSE)))),IF($Y80&gt;80,(MROUND(($Y80*1.9),(VLOOKUP($X80,Übungsübersicht!$E$7:$M$83,3,FALSE)))),IF($Y80&gt;50,(MROUND(($Y80*1.8),(VLOOKUP($X80,Übungsübersicht!$E$7:$M$83,3,FALSE)))),IF($Y80&gt;25,(MROUND(($Y80*1.7),(VLOOKUP($X80,Übungsübersicht!$E$7:$M$83,3,FALSE)))),IF($Y80&gt;15,(MROUND(($Y80*1.6),(VLOOKUP($X80,Übungsübersicht!$E$7:$M$83,3,FALSE)))),IF($Y80&gt;(VLOOKUP($X80,Übungsübersicht!$E$7:$M$83,3,FALSE)),40*(VLOOKUP($X80,Übungsübersicht!$E$7:$M$83,3,FALSE)),""))))))),50*(VLOOKUP($X80,Übungsübersicht!$E$7:$M$83,3,FALSE)))</f>
        <v>#N/A</v>
      </c>
      <c r="AN80" s="655" t="e">
        <f ca="1">MROUND(INDEX(OFFSET(Zyklus!$M$13,77,0),1),(IF(VLOOKUP($X80,Übungsübersicht!$E$7:$K$80,3)=0,0.1,(VLOOKUP($X80,Übungsübersicht!$E$7:$K$80,3)))))</f>
        <v>#N/A</v>
      </c>
      <c r="AP80" s="652" t="str">
        <f ca="1">IFERROR(IF(IF(VLOOKUP($X80,Zyklus!$A$14:$U$68,9,FALSE)=0,"RPE 8",IF(VLOOKUP($X80,Übungsübersicht!$E$7:$M$83,3,FALSE)&lt;0.5,($AN80)-(3*0.5),(($AN80)-(3*(VLOOKUP($X80,Übungsübersicht!$E$7:$M$83,3,FALSE))))))&lt;1,0,(IF(VLOOKUP($X80,Zyklus!$A$14:$U$68,9,FALSE)=0,"RPE 8",IF(VLOOKUP($X80,Übungsübersicht!$E$7:$M$83,3,FALSE)&lt;0.5,($AN80)-(3*0.5),(($AN80)-(3*(VLOOKUP($X80,Übungsübersicht!$E$7:$M$83,3,FALSE)))))))),"RPE 8")</f>
        <v>RPE 8</v>
      </c>
      <c r="AQ80" s="652" t="str">
        <f ca="1">IFERROR(IF(IF(VLOOKUP($X80,Zyklus!$A$14:$U$68,9,FALSE)=0,"RPE 8",IF(VLOOKUP($X80,Übungsübersicht!$E$7:$M$83,3,FALSE)&lt;0.5,($AN80)-(2*0.5),(($AN80)-(2*(VLOOKUP($X80,Übungsübersicht!$E$7:$M$83,3,FALSE))))))&lt;1,0,(IF(VLOOKUP($X80,Zyklus!$A$14:$U$68,9,FALSE)=0,"RPE 8",IF(VLOOKUP($X80,Übungsübersicht!$E$7:$M$83,3,FALSE)&lt;0.5,($AN80)-(2*0.5),(($AN80)-(2*(VLOOKUP($X80,Übungsübersicht!$E$7:$M$83,3,FALSE)))))))),"RPE 8")</f>
        <v>RPE 8</v>
      </c>
      <c r="AR80" s="652" t="str">
        <f ca="1">IFERROR(IF(IF(VLOOKUP($X80,Zyklus!$A$14:$U$68,9,FALSE)=0,"RPE 8",IF(VLOOKUP($X80,Übungsübersicht!$E$7:$M$83,3,FALSE)&lt;0.5,($AN80)-(1*0.5),(($Y80)-(1*(VLOOKUP($X80,Übungsübersicht!$E$7:$M$83,3,FALSE))))))&lt;1,0,(IF(VLOOKUP($X80,Zyklus!$A$14:$U$68,9,FALSE)=0,"RPE 8",IF(VLOOKUP($X80,Übungsübersicht!$E$7:$M$83,3,FALSE)&lt;0.5,($AN80)-(1*0.5),(($Y80)-(1*(VLOOKUP($X80,Übungsübersicht!$E$7:$M$83,3,FALSE)))))))),"RPE 8")</f>
        <v>RPE 8</v>
      </c>
      <c r="AS80" s="652" t="str">
        <f t="shared" ca="1" si="6"/>
        <v>RPE 8</v>
      </c>
      <c r="AT80" s="652" t="str">
        <f ca="1">IFERROR(IF(VLOOKUP($X80,Zyklus!$A$14:$U$68,9,FALSE)=0,"RPE 8",IF(VLOOKUP($X80,Übungsübersicht!$E$7:$M$83,3,FALSE)&lt;0.5,($AN80)+(1*0.5),(($Y80)+(1*(VLOOKUP($X80,Übungsübersicht!$E$7:$M$83,3,FALSE)))))),"RPE 8")</f>
        <v>RPE 8</v>
      </c>
      <c r="AU80" s="652" t="str">
        <f ca="1">IFERROR(IF(VLOOKUP($X80,Zyklus!$A$14:$U$68,9,FALSE)=0,"RPE 8",IF(VLOOKUP($X80,Übungsübersicht!$E$7:$M$83,3,FALSE)&lt;0.5,($AN80)+(2*0.5),(($AN80)+(2*(VLOOKUP($X80,Übungsübersicht!$E$7:$M$83,3,FALSE)))))),"RPE 8")</f>
        <v>RPE 8</v>
      </c>
      <c r="AV80" s="652" t="str">
        <f ca="1">IFERROR(IF(VLOOKUP($X80,Zyklus!$A$14:$U$68,9,FALSE)=0,"RPE 8",IF(VLOOKUP($X80,Übungsübersicht!$E$7:$M$83,3,FALSE)&lt;0.5,($AN80)+(3*0.5),(($AN80)+(3*(VLOOKUP($X80,Übungsübersicht!$E$7:$M$83,3,FALSE)))))),"RPE 8")</f>
        <v>RPE 8</v>
      </c>
      <c r="AY80" s="655" t="e">
        <f ca="1">MROUND(INDEX(OFFSET(Zyklus!$M$13,77,0),1),(IF(VLOOKUP($X80,Übungsübersicht!$E$7:$K$80,3)=0,0.1,(VLOOKUP($X80,Übungsübersicht!$E$7:$K$80,3)))))</f>
        <v>#N/A</v>
      </c>
      <c r="BA80" s="652" t="e">
        <f ca="1">MROUND(INDEX(OFFSET(Zyklus!$Q$13,77,0),1),(IF(VLOOKUP($X80,Übungsübersicht!$E$7:$K$80,3)=0,0.1,(VLOOKUP($X80,Übungsübersicht!$E$7:$K$80,3)))))</f>
        <v>#N/A</v>
      </c>
      <c r="BC80" s="652" t="str">
        <f ca="1">IFERROR(IF(IF(VLOOKUP($X80,Zyklus!$A$14:$U$68,9,FALSE)=0,"RPE 9",IF(VLOOKUP($X80,Übungsübersicht!$E$7:$M$83,3,FALSE)&lt;0.5,($BA80)-(3*0.5),(($BA80)-(3*(VLOOKUP($X80,Übungsübersicht!$E$7:$M$83,3,FALSE))))))&lt;1,0,(IF(VLOOKUP($X80,Zyklus!$A$14:$U$68,9,FALSE)=0,"RPE 9",IF(VLOOKUP($X80,Übungsübersicht!$E$7:$M$83,3,FALSE)&lt;0.5,($BA80)-(3*0.5),(($BA80)-(3*(VLOOKUP($X80,Übungsübersicht!$E$7:$M$83,3,FALSE)))))))),"RPE 9")</f>
        <v>RPE 9</v>
      </c>
      <c r="BD80" s="652" t="str">
        <f ca="1">IFERROR(IF(IF(VLOOKUP($X80,Zyklus!$A$14:$U$68,9,FALSE)=0,"RPE 9",IF(VLOOKUP($X80,Übungsübersicht!$E$7:$M$83,3,FALSE)&lt;0.5,($BA80)-(2*0.5),(($BA80)-(2*(VLOOKUP($X80,Übungsübersicht!$E$7:$M$83,3,FALSE))))))&lt;1,0,(IF(VLOOKUP($X80,Zyklus!$A$14:$U$68,9,FALSE)=0,"RPE 9",IF(VLOOKUP($X80,Übungsübersicht!$E$7:$M$83,3,FALSE)&lt;0.5,($BA80)-(2*0.5),(($BA80)-(2*(VLOOKUP($X80,Übungsübersicht!$E$7:$M$83,3,FALSE)))))))),"RPE 9")</f>
        <v>RPE 9</v>
      </c>
      <c r="BE80" s="652" t="str">
        <f ca="1">IFERROR(IF(IF(VLOOKUP($X80,Zyklus!$A$14:$U$68,9,FALSE)=0,"RPE 9",IF(VLOOKUP($X80,Übungsübersicht!$E$7:$M$83,3,FALSE)&lt;0.5,($BA80)-(1*0.5),(($Y80)-(1*(VLOOKUP($X80,Übungsübersicht!$E$7:$M$83,3,FALSE))))))&lt;1,0,(IF(VLOOKUP($X80,Zyklus!$A$14:$U$68,9,FALSE)=0,"RPE 9",IF(VLOOKUP($X80,Übungsübersicht!$E$7:$M$83,3,FALSE)&lt;0.5,($BA80)-(1*0.5),(($Y80)-(1*(VLOOKUP($X80,Übungsübersicht!$E$7:$M$83,3,FALSE)))))))),"RPE 9")</f>
        <v>RPE 9</v>
      </c>
      <c r="BF80" s="652" t="str">
        <f t="shared" ca="1" si="7"/>
        <v>RPE 9</v>
      </c>
      <c r="BG80" s="652" t="str">
        <f ca="1">IFERROR(IF(VLOOKUP($X80,Zyklus!$A$14:$U$68,9,FALSE)=0,"RPE 9",IF(VLOOKUP($X80,Übungsübersicht!$E$7:$M$83,3,FALSE)&lt;0.5,($AY80)+(1*0.5),(($AY80)+(1*(VLOOKUP($X80,Übungsübersicht!$E$7:$M$83,3,FALSE)))))),"RPE 9")</f>
        <v>RPE 9</v>
      </c>
      <c r="BH80" s="652" t="str">
        <f ca="1">IFERROR(IF(VLOOKUP($X80,Zyklus!$A$14:$U$68,9,FALSE)=0,"RPE 9",IF(VLOOKUP($X80,Übungsübersicht!$E$7:$M$83,3,FALSE)&lt;0.5,($BA80)+(2*0.5),(($BA80)+(2*(VLOOKUP($X80,Übungsübersicht!$E$7:$M$83,3,FALSE)))))),"RPE 9")</f>
        <v>RPE 9</v>
      </c>
      <c r="BI80" s="652" t="str">
        <f ca="1">IFERROR(IF(VLOOKUP($X80,Zyklus!$A$14:$U$68,9,FALSE)=0,"RPE 9",IF(VLOOKUP($X80,Übungsübersicht!$E$7:$M$83,3,FALSE)&lt;0.5,($BA80)+(3*0.5),(($BA80)+(3*(VLOOKUP($X80,Übungsübersicht!$E$7:$M$83,3,FALSE)))))),"RPE 9")</f>
        <v>RPE 9</v>
      </c>
    </row>
    <row r="81" spans="8:61" ht="30" customHeight="1">
      <c r="H81" s="326">
        <v>60</v>
      </c>
      <c r="I81" s="323">
        <f t="shared" si="5"/>
        <v>40</v>
      </c>
      <c r="J81" s="344">
        <f t="shared" si="4"/>
        <v>0.33333333333333331</v>
      </c>
      <c r="X81" s="651">
        <f ca="1">INDEX(OFFSET(Zyklus!$A$13,78,0),1)</f>
        <v>0</v>
      </c>
      <c r="Y81" s="652" t="e">
        <f ca="1">MROUND(INDEX(OFFSET(Zyklus!$I$13,78,0),1),(IF(VLOOKUP($X81,Übungsübersicht!$E$7:$K$80,3)=0,0.1,(VLOOKUP($X81,Übungsübersicht!$E$7:$K$80,3)))))</f>
        <v>#N/A</v>
      </c>
      <c r="Z81" s="652"/>
      <c r="AA81" s="652" t="e">
        <f ca="1">IFERROR(IF($Y81=0,2*(VLOOKUP($X81,Übungsübersicht!$E$7:$M$83,3,FALSE)),IF($Y81&gt;100,(MROUND(($Y81*0.1),(VLOOKUP($X81,Übungsübersicht!$E$7:$M$83,3,FALSE)))),IF($Y81&gt;80,(MROUND(($Y81*0.1),(VLOOKUP($X81,Übungsübersicht!$E$7:$M$83,3,FALSE)))),IF($Y81&gt;50,(MROUND(($Y81*0.2),(VLOOKUP($X81,Übungsübersicht!$E$7:$M$83,3,FALSE)))),IF($Y81&gt;25,(MROUND(($Y81*0.3),(VLOOKUP($X81,Übungsübersicht!$E$7:$M$83,3,FALSE)))),IF($Y81&gt;15,(MROUND(($Y81*0.4),(VLOOKUP($X81,Übungsübersicht!$E$7:$M$83,3,FALSE)))),IF($Y81&gt;(VLOOKUP($X81,Übungsübersicht!$E$7:$M$83,3,FALSE)),(VLOOKUP($X81,Übungsübersicht!$E$7:$M$83,3,FALSE)),""))))))),2*(VLOOKUP($X81,Übungsübersicht!$E$7:$M$83,3,FALSE)))</f>
        <v>#N/A</v>
      </c>
      <c r="AB81" s="652" t="e">
        <f ca="1">IFERROR(IF($Y81=0,4*(VLOOKUP($X81,Übungsübersicht!$E$7:$M$83,3,FALSE)),IF($Y81&gt;100,(MROUND(($Y81*0.3),(VLOOKUP($X81,Übungsübersicht!$E$7:$M$83,3,FALSE)))),IF($Y81&gt;80,(MROUND(($Y81*0.3),(VLOOKUP($X81,Übungsübersicht!$E$7:$M$83,3,FALSE)))),IF($Y81&gt;50,(MROUND(($Y81*0.4),(VLOOKUP($X81,Übungsübersicht!$E$7:$M$83,3,FALSE)))),IF($Y81&gt;25,(MROUND(($Y81*0.5),(VLOOKUP($X81,Übungsübersicht!$E$7:$M$83,3,FALSE)))),IF($Y81&gt;15,(MROUND(($Y81*0.6),(VLOOKUP($X81,Übungsübersicht!$E$7:$M$83,3,FALSE)))),IF($Y81&gt;(VLOOKUP($X81,Übungsübersicht!$E$7:$M$83,3,FALSE)),(VLOOKUP($X81,Übungsübersicht!$E$7:$M$83,3,FALSE)),""))))))),4*(VLOOKUP($X81,Übungsübersicht!$E$7:$M$83,3,FALSE)))</f>
        <v>#N/A</v>
      </c>
      <c r="AC81" s="652" t="e">
        <f ca="1">IFERROR((IF($Y81=0,8*(VLOOKUP($X81,Übungsübersicht!$E$7:$M$83,3,FALSE)),(($Y81)-(3*(VLOOKUP($X81,Übungsübersicht!$E$7:$M$83,3,FALSE)))))),8*(VLOOKUP($X81,Übungsübersicht!$E$7:$M$83,3,FALSE)))</f>
        <v>#N/A</v>
      </c>
      <c r="AD81" s="652" t="e">
        <f ca="1">IFERROR(((IF($Y81=0,10*(VLOOKUP($X81,Übungsübersicht!$E$7:$M$83,3,FALSE)),($Y81)-(2*(VLOOKUP($X81,Übungsübersicht!$E$7:$M$83,3,FALSE)))))),10*(VLOOKUP($X81,Übungsübersicht!$E$7:$M$83,3,FALSE)))</f>
        <v>#N/A</v>
      </c>
      <c r="AE81" s="652" t="e">
        <f ca="1">IFERROR(((IF($Y81=0,10*(VLOOKUP($X81,Übungsübersicht!$E$7:$M$83,3,FALSE)),($Y81)-(1*(VLOOKUP($X81,Übungsübersicht!$E$7:$M$83,3,FALSE)))))),10*(VLOOKUP($X81,Übungsübersicht!$E$7:$M$83,3,FALSE)))</f>
        <v>#N/A</v>
      </c>
      <c r="AF81" s="652" t="e">
        <f ca="1">IFERROR(IF($Y81=0,20*(VLOOKUP($X81,Übungsübersicht!$E$7:$M$83,3,FALSE)),($Y81)),20*(VLOOKUP($X81,Übungsübersicht!$E$7:$M$83,3,FALSE)))</f>
        <v>#N/A</v>
      </c>
      <c r="AG81" s="652" t="e">
        <f ca="1">IFERROR(IF($Y81=0,30*(VLOOKUP($X81,Übungsübersicht!$E$7:$M$83,3,FALSE)),($Y81)+(1*(VLOOKUP($X81,Übungsübersicht!$E$7:$M$83,3,FALSE)))),30*(VLOOKUP($X81,Übungsübersicht!$E$7:$M$83,3,FALSE)))</f>
        <v>#N/A</v>
      </c>
      <c r="AH81" s="652" t="e">
        <f ca="1">IFERROR(IF($Y81=0,30*(VLOOKUP($X81,Übungsübersicht!$E$7:$M$83,3,FALSE)),($Y81)+(2*(VLOOKUP($X81,Übungsübersicht!$E$7:$M$83,3,FALSE)))),30*(VLOOKUP($X81,Übungsübersicht!$E$7:$M$83,3,FALSE)))</f>
        <v>#N/A</v>
      </c>
      <c r="AI81" s="652" t="e">
        <f ca="1">IFERROR(IF($Y81=0,30*(VLOOKUP($X81,Übungsübersicht!$E$7:$M$83,3,FALSE)),($Y81)+(3*(VLOOKUP($X81,Übungsübersicht!$E$7:$M$83,3,FALSE)))),30*(VLOOKUP($X81,Übungsübersicht!$E$7:$M$83,3,FALSE)))</f>
        <v>#N/A</v>
      </c>
      <c r="AJ81" s="652" t="e">
        <f ca="1">IFERROR(IF($Y81=0,40*(VLOOKUP($X81,Übungsübersicht!$E$7:$M$83,3,FALSE)),IF($Y81&gt;100,(MROUND(($Y81*1.7),(VLOOKUP($X81,Übungsübersicht!$E$7:$M$83,3,FALSE)))),IF($Y81&gt;80,(MROUND(($Y81*1.7),(VLOOKUP($X81,Übungsübersicht!$E$7:$M$83,3,FALSE)))),IF($Y81&gt;50,(MROUND(($Y81*1.6),(VLOOKUP($X81,Übungsübersicht!$E$7:$M$83,3,FALSE)))),IF($Y81&gt;25,(MROUND(($Y81*1.5),(VLOOKUP($X81,Übungsübersicht!$E$7:$M$83,3,FALSE)))),IF($Y81&gt;15,(MROUND(($Y81*1.4),(VLOOKUP($X81,Übungsübersicht!$E$7:$M$83,3,FALSE)))),IF($Y81&gt;(VLOOKUP($X81,Übungsübersicht!$E$7:$M$83,3,FALSE)),30*(VLOOKUP($X81,Übungsübersicht!$E$7:$M$83,3,FALSE)),""))))))),40*(VLOOKUP($X81,Übungsübersicht!$E$7:$M$83,3,FALSE)))</f>
        <v>#N/A</v>
      </c>
      <c r="AK81" s="653" t="e">
        <f ca="1">IFERROR(IF($Y81=0,50*(VLOOKUP($X81,Übungsübersicht!$E$7:$M$83,3,FALSE)),IF($Y81&gt;100,(MROUND(($Y81*1.9),(VLOOKUP($X81,Übungsübersicht!$E$7:$M$83,3,FALSE)))),IF($Y81&gt;80,(MROUND(($Y81*1.9),(VLOOKUP($X81,Übungsübersicht!$E$7:$M$83,3,FALSE)))),IF($Y81&gt;50,(MROUND(($Y81*1.8),(VLOOKUP($X81,Übungsübersicht!$E$7:$M$83,3,FALSE)))),IF($Y81&gt;25,(MROUND(($Y81*1.7),(VLOOKUP($X81,Übungsübersicht!$E$7:$M$83,3,FALSE)))),IF($Y81&gt;15,(MROUND(($Y81*1.6),(VLOOKUP($X81,Übungsübersicht!$E$7:$M$83,3,FALSE)))),IF($Y81&gt;(VLOOKUP($X81,Übungsübersicht!$E$7:$M$83,3,FALSE)),40*(VLOOKUP($X81,Übungsübersicht!$E$7:$M$83,3,FALSE)),""))))))),50*(VLOOKUP($X81,Übungsübersicht!$E$7:$M$83,3,FALSE)))</f>
        <v>#N/A</v>
      </c>
      <c r="AN81" s="652" t="e">
        <f ca="1">MROUND(INDEX(OFFSET(Zyklus!$M$13,78,0),1),(IF(VLOOKUP($X81,Übungsübersicht!$E$7:$K$80,3)=0,0.1,(VLOOKUP($X81,Übungsübersicht!$E$7:$K$80,3)))))</f>
        <v>#N/A</v>
      </c>
      <c r="AP81" s="655" t="str">
        <f ca="1">IFERROR(IF(IF(VLOOKUP($X81,Zyklus!$A$14:$U$68,9,FALSE)=0,"RPE 8",IF(VLOOKUP($X81,Übungsübersicht!$E$7:$M$83,3,FALSE)&lt;0.5,($AN81)-(3*0.5),(($AN81)-(3*(VLOOKUP($X81,Übungsübersicht!$E$7:$M$83,3,FALSE))))))&lt;1,0,(IF(VLOOKUP($X81,Zyklus!$A$14:$U$68,9,FALSE)=0,"RPE 8",IF(VLOOKUP($X81,Übungsübersicht!$E$7:$M$83,3,FALSE)&lt;0.5,($AN81)-(3*0.5),(($AN81)-(3*(VLOOKUP($X81,Übungsübersicht!$E$7:$M$83,3,FALSE)))))))),"RPE 8")</f>
        <v>RPE 8</v>
      </c>
      <c r="AQ81" s="655" t="str">
        <f ca="1">IFERROR(IF(IF(VLOOKUP($X81,Zyklus!$A$14:$U$68,9,FALSE)=0,"RPE 8",IF(VLOOKUP($X81,Übungsübersicht!$E$7:$M$83,3,FALSE)&lt;0.5,($AN81)-(2*0.5),(($AN81)-(2*(VLOOKUP($X81,Übungsübersicht!$E$7:$M$83,3,FALSE))))))&lt;1,0,(IF(VLOOKUP($X81,Zyklus!$A$14:$U$68,9,FALSE)=0,"RPE 8",IF(VLOOKUP($X81,Übungsübersicht!$E$7:$M$83,3,FALSE)&lt;0.5,($AN81)-(2*0.5),(($AN81)-(2*(VLOOKUP($X81,Übungsübersicht!$E$7:$M$83,3,FALSE)))))))),"RPE 8")</f>
        <v>RPE 8</v>
      </c>
      <c r="AR81" s="655" t="str">
        <f ca="1">IFERROR(IF(IF(VLOOKUP($X81,Zyklus!$A$14:$U$68,9,FALSE)=0,"RPE 8",IF(VLOOKUP($X81,Übungsübersicht!$E$7:$M$83,3,FALSE)&lt;0.5,($AN81)-(1*0.5),(($Y81)-(1*(VLOOKUP($X81,Übungsübersicht!$E$7:$M$83,3,FALSE))))))&lt;1,0,(IF(VLOOKUP($X81,Zyklus!$A$14:$U$68,9,FALSE)=0,"RPE 8",IF(VLOOKUP($X81,Übungsübersicht!$E$7:$M$83,3,FALSE)&lt;0.5,($AN81)-(1*0.5),(($Y81)-(1*(VLOOKUP($X81,Übungsübersicht!$E$7:$M$83,3,FALSE)))))))),"RPE 8")</f>
        <v>RPE 8</v>
      </c>
      <c r="AS81" s="655" t="str">
        <f t="shared" ca="1" si="6"/>
        <v>RPE 8</v>
      </c>
      <c r="AT81" s="655" t="str">
        <f ca="1">IFERROR(IF(VLOOKUP($X81,Zyklus!$A$14:$U$68,9,FALSE)=0,"RPE 8",IF(VLOOKUP($X81,Übungsübersicht!$E$7:$M$83,3,FALSE)&lt;0.5,($AN81)+(1*0.5),(($Y81)+(1*(VLOOKUP($X81,Übungsübersicht!$E$7:$M$83,3,FALSE)))))),"RPE 8")</f>
        <v>RPE 8</v>
      </c>
      <c r="AU81" s="655" t="str">
        <f ca="1">IFERROR(IF(VLOOKUP($X81,Zyklus!$A$14:$U$68,9,FALSE)=0,"RPE 8",IF(VLOOKUP($X81,Übungsübersicht!$E$7:$M$83,3,FALSE)&lt;0.5,($AN81)+(2*0.5),(($AN81)+(2*(VLOOKUP($X81,Übungsübersicht!$E$7:$M$83,3,FALSE)))))),"RPE 8")</f>
        <v>RPE 8</v>
      </c>
      <c r="AV81" s="655" t="str">
        <f ca="1">IFERROR(IF(VLOOKUP($X81,Zyklus!$A$14:$U$68,9,FALSE)=0,"RPE 8",IF(VLOOKUP($X81,Übungsübersicht!$E$7:$M$83,3,FALSE)&lt;0.5,($AN81)+(3*0.5),(($AN81)+(3*(VLOOKUP($X81,Übungsübersicht!$E$7:$M$83,3,FALSE)))))),"RPE 8")</f>
        <v>RPE 8</v>
      </c>
      <c r="AY81" s="652" t="e">
        <f ca="1">MROUND(INDEX(OFFSET(Zyklus!$M$13,78,0),1),(IF(VLOOKUP($X81,Übungsübersicht!$E$7:$K$80,3)=0,0.1,(VLOOKUP($X81,Übungsübersicht!$E$7:$K$80,3)))))</f>
        <v>#N/A</v>
      </c>
      <c r="BA81" s="655" t="e">
        <f ca="1">MROUND(INDEX(OFFSET(Zyklus!$Q$13,78,0),1),(IF(VLOOKUP($X81,Übungsübersicht!$E$7:$K$80,3)=0,0.1,(VLOOKUP($X81,Übungsübersicht!$E$7:$K$80,3)))))</f>
        <v>#N/A</v>
      </c>
      <c r="BC81" s="655" t="str">
        <f ca="1">IFERROR(IF(IF(VLOOKUP($X81,Zyklus!$A$14:$U$68,9,FALSE)=0,"RPE 9",IF(VLOOKUP($X81,Übungsübersicht!$E$7:$M$83,3,FALSE)&lt;0.5,($BA81)-(3*0.5),(($BA81)-(3*(VLOOKUP($X81,Übungsübersicht!$E$7:$M$83,3,FALSE))))))&lt;1,0,(IF(VLOOKUP($X81,Zyklus!$A$14:$U$68,9,FALSE)=0,"RPE 9",IF(VLOOKUP($X81,Übungsübersicht!$E$7:$M$83,3,FALSE)&lt;0.5,($BA81)-(3*0.5),(($BA81)-(3*(VLOOKUP($X81,Übungsübersicht!$E$7:$M$83,3,FALSE)))))))),"RPE 9")</f>
        <v>RPE 9</v>
      </c>
      <c r="BD81" s="655" t="str">
        <f ca="1">IFERROR(IF(IF(VLOOKUP($X81,Zyklus!$A$14:$U$68,9,FALSE)=0,"RPE 9",IF(VLOOKUP($X81,Übungsübersicht!$E$7:$M$83,3,FALSE)&lt;0.5,($BA81)-(2*0.5),(($BA81)-(2*(VLOOKUP($X81,Übungsübersicht!$E$7:$M$83,3,FALSE))))))&lt;1,0,(IF(VLOOKUP($X81,Zyklus!$A$14:$U$68,9,FALSE)=0,"RPE 9",IF(VLOOKUP($X81,Übungsübersicht!$E$7:$M$83,3,FALSE)&lt;0.5,($BA81)-(2*0.5),(($BA81)-(2*(VLOOKUP($X81,Übungsübersicht!$E$7:$M$83,3,FALSE)))))))),"RPE 9")</f>
        <v>RPE 9</v>
      </c>
      <c r="BE81" s="655" t="str">
        <f ca="1">IFERROR(IF(IF(VLOOKUP($X81,Zyklus!$A$14:$U$68,9,FALSE)=0,"RPE 9",IF(VLOOKUP($X81,Übungsübersicht!$E$7:$M$83,3,FALSE)&lt;0.5,($BA81)-(1*0.5),(($Y81)-(1*(VLOOKUP($X81,Übungsübersicht!$E$7:$M$83,3,FALSE))))))&lt;1,0,(IF(VLOOKUP($X81,Zyklus!$A$14:$U$68,9,FALSE)=0,"RPE 9",IF(VLOOKUP($X81,Übungsübersicht!$E$7:$M$83,3,FALSE)&lt;0.5,($BA81)-(1*0.5),(($Y81)-(1*(VLOOKUP($X81,Übungsübersicht!$E$7:$M$83,3,FALSE)))))))),"RPE 9")</f>
        <v>RPE 9</v>
      </c>
      <c r="BF81" s="655" t="str">
        <f t="shared" ca="1" si="7"/>
        <v>RPE 9</v>
      </c>
      <c r="BG81" s="655" t="str">
        <f ca="1">IFERROR(IF(VLOOKUP($X81,Zyklus!$A$14:$U$68,9,FALSE)=0,"RPE 9",IF(VLOOKUP($X81,Übungsübersicht!$E$7:$M$83,3,FALSE)&lt;0.5,($AY81)+(1*0.5),(($AY81)+(1*(VLOOKUP($X81,Übungsübersicht!$E$7:$M$83,3,FALSE)))))),"RPE 9")</f>
        <v>RPE 9</v>
      </c>
      <c r="BH81" s="655" t="str">
        <f ca="1">IFERROR(IF(VLOOKUP($X81,Zyklus!$A$14:$U$68,9,FALSE)=0,"RPE 9",IF(VLOOKUP($X81,Übungsübersicht!$E$7:$M$83,3,FALSE)&lt;0.5,($BA81)+(2*0.5),(($BA81)+(2*(VLOOKUP($X81,Übungsübersicht!$E$7:$M$83,3,FALSE)))))),"RPE 9")</f>
        <v>RPE 9</v>
      </c>
      <c r="BI81" s="655" t="str">
        <f ca="1">IFERROR(IF(VLOOKUP($X81,Zyklus!$A$14:$U$68,9,FALSE)=0,"RPE 9",IF(VLOOKUP($X81,Übungsübersicht!$E$7:$M$83,3,FALSE)&lt;0.5,($BA81)+(3*0.5),(($BA81)+(3*(VLOOKUP($X81,Übungsübersicht!$E$7:$M$83,3,FALSE)))))),"RPE 9")</f>
        <v>RPE 9</v>
      </c>
    </row>
    <row r="82" spans="8:61" ht="30" customHeight="1">
      <c r="H82" s="326">
        <v>61</v>
      </c>
      <c r="I82" s="323">
        <f t="shared" si="5"/>
        <v>39.560439560439562</v>
      </c>
      <c r="J82" s="344">
        <f t="shared" si="4"/>
        <v>0.32967032967032966</v>
      </c>
      <c r="X82" s="654">
        <f ca="1">INDEX(OFFSET(Zyklus!$A$13,79,0),1)</f>
        <v>0</v>
      </c>
      <c r="Y82" s="655" t="e">
        <f ca="1">MROUND(INDEX(OFFSET(Zyklus!$I$13,79,0),1),(IF(VLOOKUP($X82,Übungsübersicht!$E$7:$K$80,3)=0,0.1,(VLOOKUP($X82,Übungsübersicht!$E$7:$K$80,3)))))</f>
        <v>#N/A</v>
      </c>
      <c r="Z82" s="655"/>
      <c r="AA82" s="655" t="e">
        <f ca="1">IFERROR(IF($Y82=0,2*(VLOOKUP($X82,Übungsübersicht!$E$7:$M$83,3,FALSE)),IF($Y82&gt;100,(MROUND(($Y82*0.1),(VLOOKUP($X82,Übungsübersicht!$E$7:$M$83,3,FALSE)))),IF($Y82&gt;80,(MROUND(($Y82*0.1),(VLOOKUP($X82,Übungsübersicht!$E$7:$M$83,3,FALSE)))),IF($Y82&gt;50,(MROUND(($Y82*0.2),(VLOOKUP($X82,Übungsübersicht!$E$7:$M$83,3,FALSE)))),IF($Y82&gt;25,(MROUND(($Y82*0.3),(VLOOKUP($X82,Übungsübersicht!$E$7:$M$83,3,FALSE)))),IF($Y82&gt;15,(MROUND(($Y82*0.4),(VLOOKUP($X82,Übungsübersicht!$E$7:$M$83,3,FALSE)))),IF($Y82&gt;(VLOOKUP($X82,Übungsübersicht!$E$7:$M$83,3,FALSE)),(VLOOKUP($X82,Übungsübersicht!$E$7:$M$83,3,FALSE)),""))))))),2*(VLOOKUP($X82,Übungsübersicht!$E$7:$M$83,3,FALSE)))</f>
        <v>#N/A</v>
      </c>
      <c r="AB82" s="655" t="e">
        <f ca="1">IFERROR(IF($Y82=0,4*(VLOOKUP($X82,Übungsübersicht!$E$7:$M$83,3,FALSE)),IF($Y82&gt;100,(MROUND(($Y82*0.3),(VLOOKUP($X82,Übungsübersicht!$E$7:$M$83,3,FALSE)))),IF($Y82&gt;80,(MROUND(($Y82*0.3),(VLOOKUP($X82,Übungsübersicht!$E$7:$M$83,3,FALSE)))),IF($Y82&gt;50,(MROUND(($Y82*0.4),(VLOOKUP($X82,Übungsübersicht!$E$7:$M$83,3,FALSE)))),IF($Y82&gt;25,(MROUND(($Y82*0.5),(VLOOKUP($X82,Übungsübersicht!$E$7:$M$83,3,FALSE)))),IF($Y82&gt;15,(MROUND(($Y82*0.6),(VLOOKUP($X82,Übungsübersicht!$E$7:$M$83,3,FALSE)))),IF($Y82&gt;(VLOOKUP($X82,Übungsübersicht!$E$7:$M$83,3,FALSE)),(VLOOKUP($X82,Übungsübersicht!$E$7:$M$83,3,FALSE)),""))))))),4*(VLOOKUP($X82,Übungsübersicht!$E$7:$M$83,3,FALSE)))</f>
        <v>#N/A</v>
      </c>
      <c r="AC82" s="655" t="e">
        <f ca="1">IFERROR((IF($Y82=0,8*(VLOOKUP($X82,Übungsübersicht!$E$7:$M$83,3,FALSE)),(($Y82)-(3*(VLOOKUP($X82,Übungsübersicht!$E$7:$M$83,3,FALSE)))))),8*(VLOOKUP($X82,Übungsübersicht!$E$7:$M$83,3,FALSE)))</f>
        <v>#N/A</v>
      </c>
      <c r="AD82" s="655" t="e">
        <f ca="1">IFERROR(((IF($Y82=0,10*(VLOOKUP($X82,Übungsübersicht!$E$7:$M$83,3,FALSE)),($Y82)-(2*(VLOOKUP($X82,Übungsübersicht!$E$7:$M$83,3,FALSE)))))),10*(VLOOKUP($X82,Übungsübersicht!$E$7:$M$83,3,FALSE)))</f>
        <v>#N/A</v>
      </c>
      <c r="AE82" s="655" t="e">
        <f ca="1">IFERROR(((IF($Y82=0,10*(VLOOKUP($X82,Übungsübersicht!$E$7:$M$83,3,FALSE)),($Y82)-(1*(VLOOKUP($X82,Übungsübersicht!$E$7:$M$83,3,FALSE)))))),10*(VLOOKUP($X82,Übungsübersicht!$E$7:$M$83,3,FALSE)))</f>
        <v>#N/A</v>
      </c>
      <c r="AF82" s="655" t="e">
        <f ca="1">IFERROR(IF($Y82=0,20*(VLOOKUP($X82,Übungsübersicht!$E$7:$M$83,3,FALSE)),($Y82)),20*(VLOOKUP($X82,Übungsübersicht!$E$7:$M$83,3,FALSE)))</f>
        <v>#N/A</v>
      </c>
      <c r="AG82" s="655" t="e">
        <f ca="1">IFERROR(IF($Y82=0,30*(VLOOKUP($X82,Übungsübersicht!$E$7:$M$83,3,FALSE)),($Y82)+(1*(VLOOKUP($X82,Übungsübersicht!$E$7:$M$83,3,FALSE)))),30*(VLOOKUP($X82,Übungsübersicht!$E$7:$M$83,3,FALSE)))</f>
        <v>#N/A</v>
      </c>
      <c r="AH82" s="655" t="e">
        <f ca="1">IFERROR(IF($Y82=0,30*(VLOOKUP($X82,Übungsübersicht!$E$7:$M$83,3,FALSE)),($Y82)+(2*(VLOOKUP($X82,Übungsübersicht!$E$7:$M$83,3,FALSE)))),30*(VLOOKUP($X82,Übungsübersicht!$E$7:$M$83,3,FALSE)))</f>
        <v>#N/A</v>
      </c>
      <c r="AI82" s="655" t="e">
        <f ca="1">IFERROR(IF($Y82=0,30*(VLOOKUP($X82,Übungsübersicht!$E$7:$M$83,3,FALSE)),($Y82)+(3*(VLOOKUP($X82,Übungsübersicht!$E$7:$M$83,3,FALSE)))),30*(VLOOKUP($X82,Übungsübersicht!$E$7:$M$83,3,FALSE)))</f>
        <v>#N/A</v>
      </c>
      <c r="AJ82" s="655" t="e">
        <f ca="1">IFERROR(IF($Y82=0,40*(VLOOKUP($X82,Übungsübersicht!$E$7:$M$83,3,FALSE)),IF($Y82&gt;100,(MROUND(($Y82*1.7),(VLOOKUP($X82,Übungsübersicht!$E$7:$M$83,3,FALSE)))),IF($Y82&gt;80,(MROUND(($Y82*1.7),(VLOOKUP($X82,Übungsübersicht!$E$7:$M$83,3,FALSE)))),IF($Y82&gt;50,(MROUND(($Y82*1.6),(VLOOKUP($X82,Übungsübersicht!$E$7:$M$83,3,FALSE)))),IF($Y82&gt;25,(MROUND(($Y82*1.5),(VLOOKUP($X82,Übungsübersicht!$E$7:$M$83,3,FALSE)))),IF($Y82&gt;15,(MROUND(($Y82*1.4),(VLOOKUP($X82,Übungsübersicht!$E$7:$M$83,3,FALSE)))),IF($Y82&gt;(VLOOKUP($X82,Übungsübersicht!$E$7:$M$83,3,FALSE)),30*(VLOOKUP($X82,Übungsübersicht!$E$7:$M$83,3,FALSE)),""))))))),40*(VLOOKUP($X82,Übungsübersicht!$E$7:$M$83,3,FALSE)))</f>
        <v>#N/A</v>
      </c>
      <c r="AK82" s="656" t="e">
        <f ca="1">IFERROR(IF($Y82=0,50*(VLOOKUP($X82,Übungsübersicht!$E$7:$M$83,3,FALSE)),IF($Y82&gt;100,(MROUND(($Y82*1.9),(VLOOKUP($X82,Übungsübersicht!$E$7:$M$83,3,FALSE)))),IF($Y82&gt;80,(MROUND(($Y82*1.9),(VLOOKUP($X82,Übungsübersicht!$E$7:$M$83,3,FALSE)))),IF($Y82&gt;50,(MROUND(($Y82*1.8),(VLOOKUP($X82,Übungsübersicht!$E$7:$M$83,3,FALSE)))),IF($Y82&gt;25,(MROUND(($Y82*1.7),(VLOOKUP($X82,Übungsübersicht!$E$7:$M$83,3,FALSE)))),IF($Y82&gt;15,(MROUND(($Y82*1.6),(VLOOKUP($X82,Übungsübersicht!$E$7:$M$83,3,FALSE)))),IF($Y82&gt;(VLOOKUP($X82,Übungsübersicht!$E$7:$M$83,3,FALSE)),40*(VLOOKUP($X82,Übungsübersicht!$E$7:$M$83,3,FALSE)),""))))))),50*(VLOOKUP($X82,Übungsübersicht!$E$7:$M$83,3,FALSE)))</f>
        <v>#N/A</v>
      </c>
      <c r="AN82" s="655" t="e">
        <f ca="1">MROUND(INDEX(OFFSET(Zyklus!$M$13,79,0),1),(IF(VLOOKUP($X82,Übungsübersicht!$E$7:$K$80,3)=0,0.1,(VLOOKUP($X82,Übungsübersicht!$E$7:$K$80,3)))))</f>
        <v>#N/A</v>
      </c>
      <c r="AP82" s="652" t="str">
        <f ca="1">IFERROR(IF(IF(VLOOKUP($X82,Zyklus!$A$14:$U$68,9,FALSE)=0,"RPE 8",IF(VLOOKUP($X82,Übungsübersicht!$E$7:$M$83,3,FALSE)&lt;0.5,($AN82)-(3*0.5),(($AN82)-(3*(VLOOKUP($X82,Übungsübersicht!$E$7:$M$83,3,FALSE))))))&lt;1,0,(IF(VLOOKUP($X82,Zyklus!$A$14:$U$68,9,FALSE)=0,"RPE 8",IF(VLOOKUP($X82,Übungsübersicht!$E$7:$M$83,3,FALSE)&lt;0.5,($AN82)-(3*0.5),(($AN82)-(3*(VLOOKUP($X82,Übungsübersicht!$E$7:$M$83,3,FALSE)))))))),"RPE 8")</f>
        <v>RPE 8</v>
      </c>
      <c r="AQ82" s="652" t="str">
        <f ca="1">IFERROR(IF(IF(VLOOKUP($X82,Zyklus!$A$14:$U$68,9,FALSE)=0,"RPE 8",IF(VLOOKUP($X82,Übungsübersicht!$E$7:$M$83,3,FALSE)&lt;0.5,($AN82)-(2*0.5),(($AN82)-(2*(VLOOKUP($X82,Übungsübersicht!$E$7:$M$83,3,FALSE))))))&lt;1,0,(IF(VLOOKUP($X82,Zyklus!$A$14:$U$68,9,FALSE)=0,"RPE 8",IF(VLOOKUP($X82,Übungsübersicht!$E$7:$M$83,3,FALSE)&lt;0.5,($AN82)-(2*0.5),(($AN82)-(2*(VLOOKUP($X82,Übungsübersicht!$E$7:$M$83,3,FALSE)))))))),"RPE 8")</f>
        <v>RPE 8</v>
      </c>
      <c r="AR82" s="652" t="str">
        <f ca="1">IFERROR(IF(IF(VLOOKUP($X82,Zyklus!$A$14:$U$68,9,FALSE)=0,"RPE 8",IF(VLOOKUP($X82,Übungsübersicht!$E$7:$M$83,3,FALSE)&lt;0.5,($AN82)-(1*0.5),(($Y82)-(1*(VLOOKUP($X82,Übungsübersicht!$E$7:$M$83,3,FALSE))))))&lt;1,0,(IF(VLOOKUP($X82,Zyklus!$A$14:$U$68,9,FALSE)=0,"RPE 8",IF(VLOOKUP($X82,Übungsübersicht!$E$7:$M$83,3,FALSE)&lt;0.5,($AN82)-(1*0.5),(($Y82)-(1*(VLOOKUP($X82,Übungsübersicht!$E$7:$M$83,3,FALSE)))))))),"RPE 8")</f>
        <v>RPE 8</v>
      </c>
      <c r="AS82" s="652" t="str">
        <f t="shared" ca="1" si="6"/>
        <v>RPE 8</v>
      </c>
      <c r="AT82" s="652" t="str">
        <f ca="1">IFERROR(IF(VLOOKUP($X82,Zyklus!$A$14:$U$68,9,FALSE)=0,"RPE 8",IF(VLOOKUP($X82,Übungsübersicht!$E$7:$M$83,3,FALSE)&lt;0.5,($AN82)+(1*0.5),(($Y82)+(1*(VLOOKUP($X82,Übungsübersicht!$E$7:$M$83,3,FALSE)))))),"RPE 8")</f>
        <v>RPE 8</v>
      </c>
      <c r="AU82" s="652" t="str">
        <f ca="1">IFERROR(IF(VLOOKUP($X82,Zyklus!$A$14:$U$68,9,FALSE)=0,"RPE 8",IF(VLOOKUP($X82,Übungsübersicht!$E$7:$M$83,3,FALSE)&lt;0.5,($AN82)+(2*0.5),(($AN82)+(2*(VLOOKUP($X82,Übungsübersicht!$E$7:$M$83,3,FALSE)))))),"RPE 8")</f>
        <v>RPE 8</v>
      </c>
      <c r="AV82" s="652" t="str">
        <f ca="1">IFERROR(IF(VLOOKUP($X82,Zyklus!$A$14:$U$68,9,FALSE)=0,"RPE 8",IF(VLOOKUP($X82,Übungsübersicht!$E$7:$M$83,3,FALSE)&lt;0.5,($AN82)+(3*0.5),(($AN82)+(3*(VLOOKUP($X82,Übungsübersicht!$E$7:$M$83,3,FALSE)))))),"RPE 8")</f>
        <v>RPE 8</v>
      </c>
      <c r="AY82" s="655" t="e">
        <f ca="1">MROUND(INDEX(OFFSET(Zyklus!$M$13,79,0),1),(IF(VLOOKUP($X82,Übungsübersicht!$E$7:$K$80,3)=0,0.1,(VLOOKUP($X82,Übungsübersicht!$E$7:$K$80,3)))))</f>
        <v>#N/A</v>
      </c>
      <c r="BA82" s="652" t="e">
        <f ca="1">MROUND(INDEX(OFFSET(Zyklus!$Q$13,79,0),1),(IF(VLOOKUP($X82,Übungsübersicht!$E$7:$K$80,3)=0,0.1,(VLOOKUP($X82,Übungsübersicht!$E$7:$K$80,3)))))</f>
        <v>#N/A</v>
      </c>
      <c r="BC82" s="652" t="str">
        <f ca="1">IFERROR(IF(IF(VLOOKUP($X82,Zyklus!$A$14:$U$68,9,FALSE)=0,"RPE 9",IF(VLOOKUP($X82,Übungsübersicht!$E$7:$M$83,3,FALSE)&lt;0.5,($BA82)-(3*0.5),(($BA82)-(3*(VLOOKUP($X82,Übungsübersicht!$E$7:$M$83,3,FALSE))))))&lt;1,0,(IF(VLOOKUP($X82,Zyklus!$A$14:$U$68,9,FALSE)=0,"RPE 9",IF(VLOOKUP($X82,Übungsübersicht!$E$7:$M$83,3,FALSE)&lt;0.5,($BA82)-(3*0.5),(($BA82)-(3*(VLOOKUP($X82,Übungsübersicht!$E$7:$M$83,3,FALSE)))))))),"RPE 9")</f>
        <v>RPE 9</v>
      </c>
      <c r="BD82" s="652" t="str">
        <f ca="1">IFERROR(IF(IF(VLOOKUP($X82,Zyklus!$A$14:$U$68,9,FALSE)=0,"RPE 9",IF(VLOOKUP($X82,Übungsübersicht!$E$7:$M$83,3,FALSE)&lt;0.5,($BA82)-(2*0.5),(($BA82)-(2*(VLOOKUP($X82,Übungsübersicht!$E$7:$M$83,3,FALSE))))))&lt;1,0,(IF(VLOOKUP($X82,Zyklus!$A$14:$U$68,9,FALSE)=0,"RPE 9",IF(VLOOKUP($X82,Übungsübersicht!$E$7:$M$83,3,FALSE)&lt;0.5,($BA82)-(2*0.5),(($BA82)-(2*(VLOOKUP($X82,Übungsübersicht!$E$7:$M$83,3,FALSE)))))))),"RPE 9")</f>
        <v>RPE 9</v>
      </c>
      <c r="BE82" s="652" t="str">
        <f ca="1">IFERROR(IF(IF(VLOOKUP($X82,Zyklus!$A$14:$U$68,9,FALSE)=0,"RPE 9",IF(VLOOKUP($X82,Übungsübersicht!$E$7:$M$83,3,FALSE)&lt;0.5,($BA82)-(1*0.5),(($Y82)-(1*(VLOOKUP($X82,Übungsübersicht!$E$7:$M$83,3,FALSE))))))&lt;1,0,(IF(VLOOKUP($X82,Zyklus!$A$14:$U$68,9,FALSE)=0,"RPE 9",IF(VLOOKUP($X82,Übungsübersicht!$E$7:$M$83,3,FALSE)&lt;0.5,($BA82)-(1*0.5),(($Y82)-(1*(VLOOKUP($X82,Übungsübersicht!$E$7:$M$83,3,FALSE)))))))),"RPE 9")</f>
        <v>RPE 9</v>
      </c>
      <c r="BF82" s="652" t="str">
        <f t="shared" ca="1" si="7"/>
        <v>RPE 9</v>
      </c>
      <c r="BG82" s="652" t="str">
        <f ca="1">IFERROR(IF(VLOOKUP($X82,Zyklus!$A$14:$U$68,9,FALSE)=0,"RPE 9",IF(VLOOKUP($X82,Übungsübersicht!$E$7:$M$83,3,FALSE)&lt;0.5,($AY82)+(1*0.5),(($AY82)+(1*(VLOOKUP($X82,Übungsübersicht!$E$7:$M$83,3,FALSE)))))),"RPE 9")</f>
        <v>RPE 9</v>
      </c>
      <c r="BH82" s="652" t="str">
        <f ca="1">IFERROR(IF(VLOOKUP($X82,Zyklus!$A$14:$U$68,9,FALSE)=0,"RPE 9",IF(VLOOKUP($X82,Übungsübersicht!$E$7:$M$83,3,FALSE)&lt;0.5,($BA82)+(2*0.5),(($BA82)+(2*(VLOOKUP($X82,Übungsübersicht!$E$7:$M$83,3,FALSE)))))),"RPE 9")</f>
        <v>RPE 9</v>
      </c>
      <c r="BI82" s="652" t="str">
        <f ca="1">IFERROR(IF(VLOOKUP($X82,Zyklus!$A$14:$U$68,9,FALSE)=0,"RPE 9",IF(VLOOKUP($X82,Übungsübersicht!$E$7:$M$83,3,FALSE)&lt;0.5,($BA82)+(3*0.5),(($BA82)+(3*(VLOOKUP($X82,Übungsübersicht!$E$7:$M$83,3,FALSE)))))),"RPE 9")</f>
        <v>RPE 9</v>
      </c>
    </row>
    <row r="83" spans="8:61" ht="30" customHeight="1">
      <c r="H83" s="326">
        <v>62</v>
      </c>
      <c r="I83" s="323">
        <f t="shared" si="5"/>
        <v>39.130434782608695</v>
      </c>
      <c r="J83" s="344">
        <f t="shared" si="4"/>
        <v>0.32608695652173914</v>
      </c>
      <c r="X83" s="651">
        <f ca="1">INDEX(OFFSET(Zyklus!$A$13,80,0),1)</f>
        <v>0</v>
      </c>
      <c r="Y83" s="652" t="e">
        <f ca="1">MROUND(INDEX(OFFSET(Zyklus!$I$13,80,0),1),(IF(VLOOKUP($X83,Übungsübersicht!$E$7:$K$80,3)=0,0.1,(VLOOKUP($X83,Übungsübersicht!$E$7:$K$80,3)))))</f>
        <v>#N/A</v>
      </c>
      <c r="Z83" s="652"/>
      <c r="AA83" s="652" t="e">
        <f ca="1">IFERROR(IF($Y83=0,2*(VLOOKUP($X83,Übungsübersicht!$E$7:$M$83,3,FALSE)),IF($Y83&gt;100,(MROUND(($Y83*0.1),(VLOOKUP($X83,Übungsübersicht!$E$7:$M$83,3,FALSE)))),IF($Y83&gt;80,(MROUND(($Y83*0.1),(VLOOKUP($X83,Übungsübersicht!$E$7:$M$83,3,FALSE)))),IF($Y83&gt;50,(MROUND(($Y83*0.2),(VLOOKUP($X83,Übungsübersicht!$E$7:$M$83,3,FALSE)))),IF($Y83&gt;25,(MROUND(($Y83*0.3),(VLOOKUP($X83,Übungsübersicht!$E$7:$M$83,3,FALSE)))),IF($Y83&gt;15,(MROUND(($Y83*0.4),(VLOOKUP($X83,Übungsübersicht!$E$7:$M$83,3,FALSE)))),IF($Y83&gt;(VLOOKUP($X83,Übungsübersicht!$E$7:$M$83,3,FALSE)),(VLOOKUP($X83,Übungsübersicht!$E$7:$M$83,3,FALSE)),""))))))),2*(VLOOKUP($X83,Übungsübersicht!$E$7:$M$83,3,FALSE)))</f>
        <v>#N/A</v>
      </c>
      <c r="AB83" s="652" t="e">
        <f ca="1">IFERROR(IF($Y83=0,4*(VLOOKUP($X83,Übungsübersicht!$E$7:$M$83,3,FALSE)),IF($Y83&gt;100,(MROUND(($Y83*0.3),(VLOOKUP($X83,Übungsübersicht!$E$7:$M$83,3,FALSE)))),IF($Y83&gt;80,(MROUND(($Y83*0.3),(VLOOKUP($X83,Übungsübersicht!$E$7:$M$83,3,FALSE)))),IF($Y83&gt;50,(MROUND(($Y83*0.4),(VLOOKUP($X83,Übungsübersicht!$E$7:$M$83,3,FALSE)))),IF($Y83&gt;25,(MROUND(($Y83*0.5),(VLOOKUP($X83,Übungsübersicht!$E$7:$M$83,3,FALSE)))),IF($Y83&gt;15,(MROUND(($Y83*0.6),(VLOOKUP($X83,Übungsübersicht!$E$7:$M$83,3,FALSE)))),IF($Y83&gt;(VLOOKUP($X83,Übungsübersicht!$E$7:$M$83,3,FALSE)),(VLOOKUP($X83,Übungsübersicht!$E$7:$M$83,3,FALSE)),""))))))),4*(VLOOKUP($X83,Übungsübersicht!$E$7:$M$83,3,FALSE)))</f>
        <v>#N/A</v>
      </c>
      <c r="AC83" s="652" t="e">
        <f ca="1">IFERROR((IF($Y83=0,8*(VLOOKUP($X83,Übungsübersicht!$E$7:$M$83,3,FALSE)),(($Y83)-(3*(VLOOKUP($X83,Übungsübersicht!$E$7:$M$83,3,FALSE)))))),8*(VLOOKUP($X83,Übungsübersicht!$E$7:$M$83,3,FALSE)))</f>
        <v>#N/A</v>
      </c>
      <c r="AD83" s="652" t="e">
        <f ca="1">IFERROR(((IF($Y83=0,10*(VLOOKUP($X83,Übungsübersicht!$E$7:$M$83,3,FALSE)),($Y83)-(2*(VLOOKUP($X83,Übungsübersicht!$E$7:$M$83,3,FALSE)))))),10*(VLOOKUP($X83,Übungsübersicht!$E$7:$M$83,3,FALSE)))</f>
        <v>#N/A</v>
      </c>
      <c r="AE83" s="652" t="e">
        <f ca="1">IFERROR(((IF($Y83=0,10*(VLOOKUP($X83,Übungsübersicht!$E$7:$M$83,3,FALSE)),($Y83)-(1*(VLOOKUP($X83,Übungsübersicht!$E$7:$M$83,3,FALSE)))))),10*(VLOOKUP($X83,Übungsübersicht!$E$7:$M$83,3,FALSE)))</f>
        <v>#N/A</v>
      </c>
      <c r="AF83" s="652" t="e">
        <f ca="1">IFERROR(IF($Y83=0,20*(VLOOKUP($X83,Übungsübersicht!$E$7:$M$83,3,FALSE)),($Y83)),20*(VLOOKUP($X83,Übungsübersicht!$E$7:$M$83,3,FALSE)))</f>
        <v>#N/A</v>
      </c>
      <c r="AG83" s="652" t="e">
        <f ca="1">IFERROR(IF($Y83=0,30*(VLOOKUP($X83,Übungsübersicht!$E$7:$M$83,3,FALSE)),($Y83)+(1*(VLOOKUP($X83,Übungsübersicht!$E$7:$M$83,3,FALSE)))),30*(VLOOKUP($X83,Übungsübersicht!$E$7:$M$83,3,FALSE)))</f>
        <v>#N/A</v>
      </c>
      <c r="AH83" s="652" t="e">
        <f ca="1">IFERROR(IF($Y83=0,30*(VLOOKUP($X83,Übungsübersicht!$E$7:$M$83,3,FALSE)),($Y83)+(2*(VLOOKUP($X83,Übungsübersicht!$E$7:$M$83,3,FALSE)))),30*(VLOOKUP($X83,Übungsübersicht!$E$7:$M$83,3,FALSE)))</f>
        <v>#N/A</v>
      </c>
      <c r="AI83" s="652" t="e">
        <f ca="1">IFERROR(IF($Y83=0,30*(VLOOKUP($X83,Übungsübersicht!$E$7:$M$83,3,FALSE)),($Y83)+(3*(VLOOKUP($X83,Übungsübersicht!$E$7:$M$83,3,FALSE)))),30*(VLOOKUP($X83,Übungsübersicht!$E$7:$M$83,3,FALSE)))</f>
        <v>#N/A</v>
      </c>
      <c r="AJ83" s="652" t="e">
        <f ca="1">IFERROR(IF($Y83=0,40*(VLOOKUP($X83,Übungsübersicht!$E$7:$M$83,3,FALSE)),IF($Y83&gt;100,(MROUND(($Y83*1.7),(VLOOKUP($X83,Übungsübersicht!$E$7:$M$83,3,FALSE)))),IF($Y83&gt;80,(MROUND(($Y83*1.7),(VLOOKUP($X83,Übungsübersicht!$E$7:$M$83,3,FALSE)))),IF($Y83&gt;50,(MROUND(($Y83*1.6),(VLOOKUP($X83,Übungsübersicht!$E$7:$M$83,3,FALSE)))),IF($Y83&gt;25,(MROUND(($Y83*1.5),(VLOOKUP($X83,Übungsübersicht!$E$7:$M$83,3,FALSE)))),IF($Y83&gt;15,(MROUND(($Y83*1.4),(VLOOKUP($X83,Übungsübersicht!$E$7:$M$83,3,FALSE)))),IF($Y83&gt;(VLOOKUP($X83,Übungsübersicht!$E$7:$M$83,3,FALSE)),30*(VLOOKUP($X83,Übungsübersicht!$E$7:$M$83,3,FALSE)),""))))))),40*(VLOOKUP($X83,Übungsübersicht!$E$7:$M$83,3,FALSE)))</f>
        <v>#N/A</v>
      </c>
      <c r="AK83" s="653" t="e">
        <f ca="1">IFERROR(IF($Y83=0,50*(VLOOKUP($X83,Übungsübersicht!$E$7:$M$83,3,FALSE)),IF($Y83&gt;100,(MROUND(($Y83*1.9),(VLOOKUP($X83,Übungsübersicht!$E$7:$M$83,3,FALSE)))),IF($Y83&gt;80,(MROUND(($Y83*1.9),(VLOOKUP($X83,Übungsübersicht!$E$7:$M$83,3,FALSE)))),IF($Y83&gt;50,(MROUND(($Y83*1.8),(VLOOKUP($X83,Übungsübersicht!$E$7:$M$83,3,FALSE)))),IF($Y83&gt;25,(MROUND(($Y83*1.7),(VLOOKUP($X83,Übungsübersicht!$E$7:$M$83,3,FALSE)))),IF($Y83&gt;15,(MROUND(($Y83*1.6),(VLOOKUP($X83,Übungsübersicht!$E$7:$M$83,3,FALSE)))),IF($Y83&gt;(VLOOKUP($X83,Übungsübersicht!$E$7:$M$83,3,FALSE)),40*(VLOOKUP($X83,Übungsübersicht!$E$7:$M$83,3,FALSE)),""))))))),50*(VLOOKUP($X83,Übungsübersicht!$E$7:$M$83,3,FALSE)))</f>
        <v>#N/A</v>
      </c>
      <c r="AN83" s="652" t="e">
        <f ca="1">MROUND(INDEX(OFFSET(Zyklus!$M$13,80,0),1),(IF(VLOOKUP($X83,Übungsübersicht!$E$7:$K$80,3)=0,0.1,(VLOOKUP($X83,Übungsübersicht!$E$7:$K$80,3)))))</f>
        <v>#N/A</v>
      </c>
      <c r="AP83" s="655" t="str">
        <f ca="1">IFERROR(IF(IF(VLOOKUP($X83,Zyklus!$A$14:$U$68,9,FALSE)=0,"RPE 8",IF(VLOOKUP($X83,Übungsübersicht!$E$7:$M$83,3,FALSE)&lt;0.5,($AN83)-(3*0.5),(($AN83)-(3*(VLOOKUP($X83,Übungsübersicht!$E$7:$M$83,3,FALSE))))))&lt;1,0,(IF(VLOOKUP($X83,Zyklus!$A$14:$U$68,9,FALSE)=0,"RPE 8",IF(VLOOKUP($X83,Übungsübersicht!$E$7:$M$83,3,FALSE)&lt;0.5,($AN83)-(3*0.5),(($AN83)-(3*(VLOOKUP($X83,Übungsübersicht!$E$7:$M$83,3,FALSE)))))))),"RPE 8")</f>
        <v>RPE 8</v>
      </c>
      <c r="AQ83" s="655" t="str">
        <f ca="1">IFERROR(IF(IF(VLOOKUP($X83,Zyklus!$A$14:$U$68,9,FALSE)=0,"RPE 8",IF(VLOOKUP($X83,Übungsübersicht!$E$7:$M$83,3,FALSE)&lt;0.5,($AN83)-(2*0.5),(($AN83)-(2*(VLOOKUP($X83,Übungsübersicht!$E$7:$M$83,3,FALSE))))))&lt;1,0,(IF(VLOOKUP($X83,Zyklus!$A$14:$U$68,9,FALSE)=0,"RPE 8",IF(VLOOKUP($X83,Übungsübersicht!$E$7:$M$83,3,FALSE)&lt;0.5,($AN83)-(2*0.5),(($AN83)-(2*(VLOOKUP($X83,Übungsübersicht!$E$7:$M$83,3,FALSE)))))))),"RPE 8")</f>
        <v>RPE 8</v>
      </c>
      <c r="AR83" s="655" t="str">
        <f ca="1">IFERROR(IF(IF(VLOOKUP($X83,Zyklus!$A$14:$U$68,9,FALSE)=0,"RPE 8",IF(VLOOKUP($X83,Übungsübersicht!$E$7:$M$83,3,FALSE)&lt;0.5,($AN83)-(1*0.5),(($Y83)-(1*(VLOOKUP($X83,Übungsübersicht!$E$7:$M$83,3,FALSE))))))&lt;1,0,(IF(VLOOKUP($X83,Zyklus!$A$14:$U$68,9,FALSE)=0,"RPE 8",IF(VLOOKUP($X83,Übungsübersicht!$E$7:$M$83,3,FALSE)&lt;0.5,($AN83)-(1*0.5),(($Y83)-(1*(VLOOKUP($X83,Übungsübersicht!$E$7:$M$83,3,FALSE)))))))),"RPE 8")</f>
        <v>RPE 8</v>
      </c>
      <c r="AS83" s="655" t="str">
        <f t="shared" ca="1" si="6"/>
        <v>RPE 8</v>
      </c>
      <c r="AT83" s="655" t="str">
        <f ca="1">IFERROR(IF(VLOOKUP($X83,Zyklus!$A$14:$U$68,9,FALSE)=0,"RPE 8",IF(VLOOKUP($X83,Übungsübersicht!$E$7:$M$83,3,FALSE)&lt;0.5,($AN83)+(1*0.5),(($Y83)+(1*(VLOOKUP($X83,Übungsübersicht!$E$7:$M$83,3,FALSE)))))),"RPE 8")</f>
        <v>RPE 8</v>
      </c>
      <c r="AU83" s="655" t="str">
        <f ca="1">IFERROR(IF(VLOOKUP($X83,Zyklus!$A$14:$U$68,9,FALSE)=0,"RPE 8",IF(VLOOKUP($X83,Übungsübersicht!$E$7:$M$83,3,FALSE)&lt;0.5,($AN83)+(2*0.5),(($AN83)+(2*(VLOOKUP($X83,Übungsübersicht!$E$7:$M$83,3,FALSE)))))),"RPE 8")</f>
        <v>RPE 8</v>
      </c>
      <c r="AV83" s="655" t="str">
        <f ca="1">IFERROR(IF(VLOOKUP($X83,Zyklus!$A$14:$U$68,9,FALSE)=0,"RPE 8",IF(VLOOKUP($X83,Übungsübersicht!$E$7:$M$83,3,FALSE)&lt;0.5,($AN83)+(3*0.5),(($AN83)+(3*(VLOOKUP($X83,Übungsübersicht!$E$7:$M$83,3,FALSE)))))),"RPE 8")</f>
        <v>RPE 8</v>
      </c>
      <c r="AY83" s="652" t="e">
        <f ca="1">MROUND(INDEX(OFFSET(Zyklus!$M$13,80,0),1),(IF(VLOOKUP($X83,Übungsübersicht!$E$7:$K$80,3)=0,0.1,(VLOOKUP($X83,Übungsübersicht!$E$7:$K$80,3)))))</f>
        <v>#N/A</v>
      </c>
      <c r="BA83" s="655" t="e">
        <f ca="1">MROUND(INDEX(OFFSET(Zyklus!$Q$13,80,0),1),(IF(VLOOKUP($X83,Übungsübersicht!$E$7:$K$80,3)=0,0.1,(VLOOKUP($X83,Übungsübersicht!$E$7:$K$80,3)))))</f>
        <v>#N/A</v>
      </c>
      <c r="BC83" s="655" t="str">
        <f ca="1">IFERROR(IF(IF(VLOOKUP($X83,Zyklus!$A$14:$U$68,9,FALSE)=0,"RPE 9",IF(VLOOKUP($X83,Übungsübersicht!$E$7:$M$83,3,FALSE)&lt;0.5,($BA83)-(3*0.5),(($BA83)-(3*(VLOOKUP($X83,Übungsübersicht!$E$7:$M$83,3,FALSE))))))&lt;1,0,(IF(VLOOKUP($X83,Zyklus!$A$14:$U$68,9,FALSE)=0,"RPE 9",IF(VLOOKUP($X83,Übungsübersicht!$E$7:$M$83,3,FALSE)&lt;0.5,($BA83)-(3*0.5),(($BA83)-(3*(VLOOKUP($X83,Übungsübersicht!$E$7:$M$83,3,FALSE)))))))),"RPE 9")</f>
        <v>RPE 9</v>
      </c>
      <c r="BD83" s="655" t="str">
        <f ca="1">IFERROR(IF(IF(VLOOKUP($X83,Zyklus!$A$14:$U$68,9,FALSE)=0,"RPE 9",IF(VLOOKUP($X83,Übungsübersicht!$E$7:$M$83,3,FALSE)&lt;0.5,($BA83)-(2*0.5),(($BA83)-(2*(VLOOKUP($X83,Übungsübersicht!$E$7:$M$83,3,FALSE))))))&lt;1,0,(IF(VLOOKUP($X83,Zyklus!$A$14:$U$68,9,FALSE)=0,"RPE 9",IF(VLOOKUP($X83,Übungsübersicht!$E$7:$M$83,3,FALSE)&lt;0.5,($BA83)-(2*0.5),(($BA83)-(2*(VLOOKUP($X83,Übungsübersicht!$E$7:$M$83,3,FALSE)))))))),"RPE 9")</f>
        <v>RPE 9</v>
      </c>
      <c r="BE83" s="655" t="str">
        <f ca="1">IFERROR(IF(IF(VLOOKUP($X83,Zyklus!$A$14:$U$68,9,FALSE)=0,"RPE 9",IF(VLOOKUP($X83,Übungsübersicht!$E$7:$M$83,3,FALSE)&lt;0.5,($BA83)-(1*0.5),(($Y83)-(1*(VLOOKUP($X83,Übungsübersicht!$E$7:$M$83,3,FALSE))))))&lt;1,0,(IF(VLOOKUP($X83,Zyklus!$A$14:$U$68,9,FALSE)=0,"RPE 9",IF(VLOOKUP($X83,Übungsübersicht!$E$7:$M$83,3,FALSE)&lt;0.5,($BA83)-(1*0.5),(($Y83)-(1*(VLOOKUP($X83,Übungsübersicht!$E$7:$M$83,3,FALSE)))))))),"RPE 9")</f>
        <v>RPE 9</v>
      </c>
      <c r="BF83" s="655" t="str">
        <f t="shared" ca="1" si="7"/>
        <v>RPE 9</v>
      </c>
      <c r="BG83" s="655" t="str">
        <f ca="1">IFERROR(IF(VLOOKUP($X83,Zyklus!$A$14:$U$68,9,FALSE)=0,"RPE 9",IF(VLOOKUP($X83,Übungsübersicht!$E$7:$M$83,3,FALSE)&lt;0.5,($AY83)+(1*0.5),(($AY83)+(1*(VLOOKUP($X83,Übungsübersicht!$E$7:$M$83,3,FALSE)))))),"RPE 9")</f>
        <v>RPE 9</v>
      </c>
      <c r="BH83" s="655" t="str">
        <f ca="1">IFERROR(IF(VLOOKUP($X83,Zyklus!$A$14:$U$68,9,FALSE)=0,"RPE 9",IF(VLOOKUP($X83,Übungsübersicht!$E$7:$M$83,3,FALSE)&lt;0.5,($BA83)+(2*0.5),(($BA83)+(2*(VLOOKUP($X83,Übungsübersicht!$E$7:$M$83,3,FALSE)))))),"RPE 9")</f>
        <v>RPE 9</v>
      </c>
      <c r="BI83" s="655" t="str">
        <f ca="1">IFERROR(IF(VLOOKUP($X83,Zyklus!$A$14:$U$68,9,FALSE)=0,"RPE 9",IF(VLOOKUP($X83,Übungsübersicht!$E$7:$M$83,3,FALSE)&lt;0.5,($BA83)+(3*0.5),(($BA83)+(3*(VLOOKUP($X83,Übungsübersicht!$E$7:$M$83,3,FALSE)))))),"RPE 9")</f>
        <v>RPE 9</v>
      </c>
    </row>
    <row r="84" spans="8:61" ht="30" customHeight="1">
      <c r="H84" s="326">
        <v>63</v>
      </c>
      <c r="I84" s="323">
        <f t="shared" si="5"/>
        <v>38.70967741935484</v>
      </c>
      <c r="J84" s="344">
        <f t="shared" si="4"/>
        <v>0.32258064516129031</v>
      </c>
      <c r="X84" s="654">
        <f ca="1">INDEX(OFFSET(Zyklus!$A$13,81,0),1)</f>
        <v>0</v>
      </c>
      <c r="Y84" s="655" t="e">
        <f ca="1">MROUND(INDEX(OFFSET(Zyklus!$I$13,81,0),1),(IF(VLOOKUP($X84,Übungsübersicht!$E$7:$K$80,3)=0,0.1,(VLOOKUP($X84,Übungsübersicht!$E$7:$K$80,3)))))</f>
        <v>#N/A</v>
      </c>
      <c r="Z84" s="655"/>
      <c r="AA84" s="655" t="e">
        <f ca="1">IFERROR(IF($Y84=0,2*(VLOOKUP($X84,Übungsübersicht!$E$7:$M$83,3,FALSE)),IF($Y84&gt;100,(MROUND(($Y84*0.1),(VLOOKUP($X84,Übungsübersicht!$E$7:$M$83,3,FALSE)))),IF($Y84&gt;80,(MROUND(($Y84*0.1),(VLOOKUP($X84,Übungsübersicht!$E$7:$M$83,3,FALSE)))),IF($Y84&gt;50,(MROUND(($Y84*0.2),(VLOOKUP($X84,Übungsübersicht!$E$7:$M$83,3,FALSE)))),IF($Y84&gt;25,(MROUND(($Y84*0.3),(VLOOKUP($X84,Übungsübersicht!$E$7:$M$83,3,FALSE)))),IF($Y84&gt;15,(MROUND(($Y84*0.4),(VLOOKUP($X84,Übungsübersicht!$E$7:$M$83,3,FALSE)))),IF($Y84&gt;(VLOOKUP($X84,Übungsübersicht!$E$7:$M$83,3,FALSE)),(VLOOKUP($X84,Übungsübersicht!$E$7:$M$83,3,FALSE)),""))))))),2*(VLOOKUP($X84,Übungsübersicht!$E$7:$M$83,3,FALSE)))</f>
        <v>#N/A</v>
      </c>
      <c r="AB84" s="655" t="e">
        <f ca="1">IFERROR(IF($Y84=0,4*(VLOOKUP($X84,Übungsübersicht!$E$7:$M$83,3,FALSE)),IF($Y84&gt;100,(MROUND(($Y84*0.3),(VLOOKUP($X84,Übungsübersicht!$E$7:$M$83,3,FALSE)))),IF($Y84&gt;80,(MROUND(($Y84*0.3),(VLOOKUP($X84,Übungsübersicht!$E$7:$M$83,3,FALSE)))),IF($Y84&gt;50,(MROUND(($Y84*0.4),(VLOOKUP($X84,Übungsübersicht!$E$7:$M$83,3,FALSE)))),IF($Y84&gt;25,(MROUND(($Y84*0.5),(VLOOKUP($X84,Übungsübersicht!$E$7:$M$83,3,FALSE)))),IF($Y84&gt;15,(MROUND(($Y84*0.6),(VLOOKUP($X84,Übungsübersicht!$E$7:$M$83,3,FALSE)))),IF($Y84&gt;(VLOOKUP($X84,Übungsübersicht!$E$7:$M$83,3,FALSE)),(VLOOKUP($X84,Übungsübersicht!$E$7:$M$83,3,FALSE)),""))))))),4*(VLOOKUP($X84,Übungsübersicht!$E$7:$M$83,3,FALSE)))</f>
        <v>#N/A</v>
      </c>
      <c r="AC84" s="655" t="e">
        <f ca="1">IFERROR((IF($Y84=0,8*(VLOOKUP($X84,Übungsübersicht!$E$7:$M$83,3,FALSE)),(($Y84)-(3*(VLOOKUP($X84,Übungsübersicht!$E$7:$M$83,3,FALSE)))))),8*(VLOOKUP($X84,Übungsübersicht!$E$7:$M$83,3,FALSE)))</f>
        <v>#N/A</v>
      </c>
      <c r="AD84" s="655" t="e">
        <f ca="1">IFERROR(((IF($Y84=0,10*(VLOOKUP($X84,Übungsübersicht!$E$7:$M$83,3,FALSE)),($Y84)-(2*(VLOOKUP($X84,Übungsübersicht!$E$7:$M$83,3,FALSE)))))),10*(VLOOKUP($X84,Übungsübersicht!$E$7:$M$83,3,FALSE)))</f>
        <v>#N/A</v>
      </c>
      <c r="AE84" s="655" t="e">
        <f ca="1">IFERROR(((IF($Y84=0,10*(VLOOKUP($X84,Übungsübersicht!$E$7:$M$83,3,FALSE)),($Y84)-(1*(VLOOKUP($X84,Übungsübersicht!$E$7:$M$83,3,FALSE)))))),10*(VLOOKUP($X84,Übungsübersicht!$E$7:$M$83,3,FALSE)))</f>
        <v>#N/A</v>
      </c>
      <c r="AF84" s="655" t="e">
        <f ca="1">IFERROR(IF($Y84=0,20*(VLOOKUP($X84,Übungsübersicht!$E$7:$M$83,3,FALSE)),($Y84)),20*(VLOOKUP($X84,Übungsübersicht!$E$7:$M$83,3,FALSE)))</f>
        <v>#N/A</v>
      </c>
      <c r="AG84" s="655" t="e">
        <f ca="1">IFERROR(IF($Y84=0,30*(VLOOKUP($X84,Übungsübersicht!$E$7:$M$83,3,FALSE)),($Y84)+(1*(VLOOKUP($X84,Übungsübersicht!$E$7:$M$83,3,FALSE)))),30*(VLOOKUP($X84,Übungsübersicht!$E$7:$M$83,3,FALSE)))</f>
        <v>#N/A</v>
      </c>
      <c r="AH84" s="655" t="e">
        <f ca="1">IFERROR(IF($Y84=0,30*(VLOOKUP($X84,Übungsübersicht!$E$7:$M$83,3,FALSE)),($Y84)+(2*(VLOOKUP($X84,Übungsübersicht!$E$7:$M$83,3,FALSE)))),30*(VLOOKUP($X84,Übungsübersicht!$E$7:$M$83,3,FALSE)))</f>
        <v>#N/A</v>
      </c>
      <c r="AI84" s="655" t="e">
        <f ca="1">IFERROR(IF($Y84=0,30*(VLOOKUP($X84,Übungsübersicht!$E$7:$M$83,3,FALSE)),($Y84)+(3*(VLOOKUP($X84,Übungsübersicht!$E$7:$M$83,3,FALSE)))),30*(VLOOKUP($X84,Übungsübersicht!$E$7:$M$83,3,FALSE)))</f>
        <v>#N/A</v>
      </c>
      <c r="AJ84" s="655" t="e">
        <f ca="1">IFERROR(IF($Y84=0,40*(VLOOKUP($X84,Übungsübersicht!$E$7:$M$83,3,FALSE)),IF($Y84&gt;100,(MROUND(($Y84*1.7),(VLOOKUP($X84,Übungsübersicht!$E$7:$M$83,3,FALSE)))),IF($Y84&gt;80,(MROUND(($Y84*1.7),(VLOOKUP($X84,Übungsübersicht!$E$7:$M$83,3,FALSE)))),IF($Y84&gt;50,(MROUND(($Y84*1.6),(VLOOKUP($X84,Übungsübersicht!$E$7:$M$83,3,FALSE)))),IF($Y84&gt;25,(MROUND(($Y84*1.5),(VLOOKUP($X84,Übungsübersicht!$E$7:$M$83,3,FALSE)))),IF($Y84&gt;15,(MROUND(($Y84*1.4),(VLOOKUP($X84,Übungsübersicht!$E$7:$M$83,3,FALSE)))),IF($Y84&gt;(VLOOKUP($X84,Übungsübersicht!$E$7:$M$83,3,FALSE)),30*(VLOOKUP($X84,Übungsübersicht!$E$7:$M$83,3,FALSE)),""))))))),40*(VLOOKUP($X84,Übungsübersicht!$E$7:$M$83,3,FALSE)))</f>
        <v>#N/A</v>
      </c>
      <c r="AK84" s="656" t="e">
        <f ca="1">IFERROR(IF($Y84=0,50*(VLOOKUP($X84,Übungsübersicht!$E$7:$M$83,3,FALSE)),IF($Y84&gt;100,(MROUND(($Y84*1.9),(VLOOKUP($X84,Übungsübersicht!$E$7:$M$83,3,FALSE)))),IF($Y84&gt;80,(MROUND(($Y84*1.9),(VLOOKUP($X84,Übungsübersicht!$E$7:$M$83,3,FALSE)))),IF($Y84&gt;50,(MROUND(($Y84*1.8),(VLOOKUP($X84,Übungsübersicht!$E$7:$M$83,3,FALSE)))),IF($Y84&gt;25,(MROUND(($Y84*1.7),(VLOOKUP($X84,Übungsübersicht!$E$7:$M$83,3,FALSE)))),IF($Y84&gt;15,(MROUND(($Y84*1.6),(VLOOKUP($X84,Übungsübersicht!$E$7:$M$83,3,FALSE)))),IF($Y84&gt;(VLOOKUP($X84,Übungsübersicht!$E$7:$M$83,3,FALSE)),40*(VLOOKUP($X84,Übungsübersicht!$E$7:$M$83,3,FALSE)),""))))))),50*(VLOOKUP($X84,Übungsübersicht!$E$7:$M$83,3,FALSE)))</f>
        <v>#N/A</v>
      </c>
      <c r="AN84" s="655" t="e">
        <f ca="1">MROUND(INDEX(OFFSET(Zyklus!$M$13,81,0),1),(IF(VLOOKUP($X84,Übungsübersicht!$E$7:$K$80,3)=0,0.1,(VLOOKUP($X84,Übungsübersicht!$E$7:$K$80,3)))))</f>
        <v>#N/A</v>
      </c>
      <c r="AP84" s="652" t="str">
        <f ca="1">IFERROR(IF(IF(VLOOKUP($X84,Zyklus!$A$14:$U$68,9,FALSE)=0,"RPE 8",IF(VLOOKUP($X84,Übungsübersicht!$E$7:$M$83,3,FALSE)&lt;0.5,($AN84)-(3*0.5),(($AN84)-(3*(VLOOKUP($X84,Übungsübersicht!$E$7:$M$83,3,FALSE))))))&lt;1,0,(IF(VLOOKUP($X84,Zyklus!$A$14:$U$68,9,FALSE)=0,"RPE 8",IF(VLOOKUP($X84,Übungsübersicht!$E$7:$M$83,3,FALSE)&lt;0.5,($AN84)-(3*0.5),(($AN84)-(3*(VLOOKUP($X84,Übungsübersicht!$E$7:$M$83,3,FALSE)))))))),"RPE 8")</f>
        <v>RPE 8</v>
      </c>
      <c r="AQ84" s="652" t="str">
        <f ca="1">IFERROR(IF(IF(VLOOKUP($X84,Zyklus!$A$14:$U$68,9,FALSE)=0,"RPE 8",IF(VLOOKUP($X84,Übungsübersicht!$E$7:$M$83,3,FALSE)&lt;0.5,($AN84)-(2*0.5),(($AN84)-(2*(VLOOKUP($X84,Übungsübersicht!$E$7:$M$83,3,FALSE))))))&lt;1,0,(IF(VLOOKUP($X84,Zyklus!$A$14:$U$68,9,FALSE)=0,"RPE 8",IF(VLOOKUP($X84,Übungsübersicht!$E$7:$M$83,3,FALSE)&lt;0.5,($AN84)-(2*0.5),(($AN84)-(2*(VLOOKUP($X84,Übungsübersicht!$E$7:$M$83,3,FALSE)))))))),"RPE 8")</f>
        <v>RPE 8</v>
      </c>
      <c r="AR84" s="652" t="str">
        <f ca="1">IFERROR(IF(IF(VLOOKUP($X84,Zyklus!$A$14:$U$68,9,FALSE)=0,"RPE 8",IF(VLOOKUP($X84,Übungsübersicht!$E$7:$M$83,3,FALSE)&lt;0.5,($AN84)-(1*0.5),(($Y84)-(1*(VLOOKUP($X84,Übungsübersicht!$E$7:$M$83,3,FALSE))))))&lt;1,0,(IF(VLOOKUP($X84,Zyklus!$A$14:$U$68,9,FALSE)=0,"RPE 8",IF(VLOOKUP($X84,Übungsübersicht!$E$7:$M$83,3,FALSE)&lt;0.5,($AN84)-(1*0.5),(($Y84)-(1*(VLOOKUP($X84,Übungsübersicht!$E$7:$M$83,3,FALSE)))))))),"RPE 8")</f>
        <v>RPE 8</v>
      </c>
      <c r="AS84" s="652" t="str">
        <f t="shared" ca="1" si="6"/>
        <v>RPE 8</v>
      </c>
      <c r="AT84" s="652" t="str">
        <f ca="1">IFERROR(IF(VLOOKUP($X84,Zyklus!$A$14:$U$68,9,FALSE)=0,"RPE 8",IF(VLOOKUP($X84,Übungsübersicht!$E$7:$M$83,3,FALSE)&lt;0.5,($AN84)+(1*0.5),(($Y84)+(1*(VLOOKUP($X84,Übungsübersicht!$E$7:$M$83,3,FALSE)))))),"RPE 8")</f>
        <v>RPE 8</v>
      </c>
      <c r="AU84" s="652" t="str">
        <f ca="1">IFERROR(IF(VLOOKUP($X84,Zyklus!$A$14:$U$68,9,FALSE)=0,"RPE 8",IF(VLOOKUP($X84,Übungsübersicht!$E$7:$M$83,3,FALSE)&lt;0.5,($AN84)+(2*0.5),(($AN84)+(2*(VLOOKUP($X84,Übungsübersicht!$E$7:$M$83,3,FALSE)))))),"RPE 8")</f>
        <v>RPE 8</v>
      </c>
      <c r="AV84" s="652" t="str">
        <f ca="1">IFERROR(IF(VLOOKUP($X84,Zyklus!$A$14:$U$68,9,FALSE)=0,"RPE 8",IF(VLOOKUP($X84,Übungsübersicht!$E$7:$M$83,3,FALSE)&lt;0.5,($AN84)+(3*0.5),(($AN84)+(3*(VLOOKUP($X84,Übungsübersicht!$E$7:$M$83,3,FALSE)))))),"RPE 8")</f>
        <v>RPE 8</v>
      </c>
      <c r="AY84" s="655" t="e">
        <f ca="1">MROUND(INDEX(OFFSET(Zyklus!$M$13,81,0),1),(IF(VLOOKUP($X84,Übungsübersicht!$E$7:$K$80,3)=0,0.1,(VLOOKUP($X84,Übungsübersicht!$E$7:$K$80,3)))))</f>
        <v>#N/A</v>
      </c>
      <c r="BA84" s="652" t="e">
        <f ca="1">MROUND(INDEX(OFFSET(Zyklus!$Q$13,81,0),1),(IF(VLOOKUP($X84,Übungsübersicht!$E$7:$K$80,3)=0,0.1,(VLOOKUP($X84,Übungsübersicht!$E$7:$K$80,3)))))</f>
        <v>#N/A</v>
      </c>
      <c r="BC84" s="652" t="str">
        <f ca="1">IFERROR(IF(IF(VLOOKUP($X84,Zyklus!$A$14:$U$68,9,FALSE)=0,"RPE 9",IF(VLOOKUP($X84,Übungsübersicht!$E$7:$M$83,3,FALSE)&lt;0.5,($BA84)-(3*0.5),(($BA84)-(3*(VLOOKUP($X84,Übungsübersicht!$E$7:$M$83,3,FALSE))))))&lt;1,0,(IF(VLOOKUP($X84,Zyklus!$A$14:$U$68,9,FALSE)=0,"RPE 9",IF(VLOOKUP($X84,Übungsübersicht!$E$7:$M$83,3,FALSE)&lt;0.5,($BA84)-(3*0.5),(($BA84)-(3*(VLOOKUP($X84,Übungsübersicht!$E$7:$M$83,3,FALSE)))))))),"RPE 9")</f>
        <v>RPE 9</v>
      </c>
      <c r="BD84" s="652" t="str">
        <f ca="1">IFERROR(IF(IF(VLOOKUP($X84,Zyklus!$A$14:$U$68,9,FALSE)=0,"RPE 9",IF(VLOOKUP($X84,Übungsübersicht!$E$7:$M$83,3,FALSE)&lt;0.5,($BA84)-(2*0.5),(($BA84)-(2*(VLOOKUP($X84,Übungsübersicht!$E$7:$M$83,3,FALSE))))))&lt;1,0,(IF(VLOOKUP($X84,Zyklus!$A$14:$U$68,9,FALSE)=0,"RPE 9",IF(VLOOKUP($X84,Übungsübersicht!$E$7:$M$83,3,FALSE)&lt;0.5,($BA84)-(2*0.5),(($BA84)-(2*(VLOOKUP($X84,Übungsübersicht!$E$7:$M$83,3,FALSE)))))))),"RPE 9")</f>
        <v>RPE 9</v>
      </c>
      <c r="BE84" s="652" t="str">
        <f ca="1">IFERROR(IF(IF(VLOOKUP($X84,Zyklus!$A$14:$U$68,9,FALSE)=0,"RPE 9",IF(VLOOKUP($X84,Übungsübersicht!$E$7:$M$83,3,FALSE)&lt;0.5,($BA84)-(1*0.5),(($Y84)-(1*(VLOOKUP($X84,Übungsübersicht!$E$7:$M$83,3,FALSE))))))&lt;1,0,(IF(VLOOKUP($X84,Zyklus!$A$14:$U$68,9,FALSE)=0,"RPE 9",IF(VLOOKUP($X84,Übungsübersicht!$E$7:$M$83,3,FALSE)&lt;0.5,($BA84)-(1*0.5),(($Y84)-(1*(VLOOKUP($X84,Übungsübersicht!$E$7:$M$83,3,FALSE)))))))),"RPE 9")</f>
        <v>RPE 9</v>
      </c>
      <c r="BF84" s="652" t="str">
        <f t="shared" ca="1" si="7"/>
        <v>RPE 9</v>
      </c>
      <c r="BG84" s="652" t="str">
        <f ca="1">IFERROR(IF(VLOOKUP($X84,Zyklus!$A$14:$U$68,9,FALSE)=0,"RPE 9",IF(VLOOKUP($X84,Übungsübersicht!$E$7:$M$83,3,FALSE)&lt;0.5,($AY84)+(1*0.5),(($AY84)+(1*(VLOOKUP($X84,Übungsübersicht!$E$7:$M$83,3,FALSE)))))),"RPE 9")</f>
        <v>RPE 9</v>
      </c>
      <c r="BH84" s="652" t="str">
        <f ca="1">IFERROR(IF(VLOOKUP($X84,Zyklus!$A$14:$U$68,9,FALSE)=0,"RPE 9",IF(VLOOKUP($X84,Übungsübersicht!$E$7:$M$83,3,FALSE)&lt;0.5,($BA84)+(2*0.5),(($BA84)+(2*(VLOOKUP($X84,Übungsübersicht!$E$7:$M$83,3,FALSE)))))),"RPE 9")</f>
        <v>RPE 9</v>
      </c>
      <c r="BI84" s="652" t="str">
        <f ca="1">IFERROR(IF(VLOOKUP($X84,Zyklus!$A$14:$U$68,9,FALSE)=0,"RPE 9",IF(VLOOKUP($X84,Übungsübersicht!$E$7:$M$83,3,FALSE)&lt;0.5,($BA84)+(3*0.5),(($BA84)+(3*(VLOOKUP($X84,Übungsübersicht!$E$7:$M$83,3,FALSE)))))),"RPE 9")</f>
        <v>RPE 9</v>
      </c>
    </row>
    <row r="85" spans="8:61" ht="30" customHeight="1">
      <c r="H85" s="326">
        <v>64</v>
      </c>
      <c r="I85" s="323">
        <f t="shared" si="5"/>
        <v>38.297872340425535</v>
      </c>
      <c r="J85" s="344">
        <f t="shared" si="4"/>
        <v>0.31914893617021278</v>
      </c>
      <c r="X85" s="651">
        <f ca="1">INDEX(OFFSET(Zyklus!$A$13,82,0),1)</f>
        <v>0</v>
      </c>
      <c r="Y85" s="652" t="e">
        <f ca="1">MROUND(INDEX(OFFSET(Zyklus!$I$13,82,0),1),(IF(VLOOKUP($X85,Übungsübersicht!$E$7:$K$80,3)=0,0.1,(VLOOKUP($X85,Übungsübersicht!$E$7:$K$80,3)))))</f>
        <v>#N/A</v>
      </c>
      <c r="Z85" s="652"/>
      <c r="AA85" s="652" t="e">
        <f ca="1">IFERROR(IF($Y85=0,2*(VLOOKUP($X85,Übungsübersicht!$E$7:$M$83,3,FALSE)),IF($Y85&gt;100,(MROUND(($Y85*0.1),(VLOOKUP($X85,Übungsübersicht!$E$7:$M$83,3,FALSE)))),IF($Y85&gt;80,(MROUND(($Y85*0.1),(VLOOKUP($X85,Übungsübersicht!$E$7:$M$83,3,FALSE)))),IF($Y85&gt;50,(MROUND(($Y85*0.2),(VLOOKUP($X85,Übungsübersicht!$E$7:$M$83,3,FALSE)))),IF($Y85&gt;25,(MROUND(($Y85*0.3),(VLOOKUP($X85,Übungsübersicht!$E$7:$M$83,3,FALSE)))),IF($Y85&gt;15,(MROUND(($Y85*0.4),(VLOOKUP($X85,Übungsübersicht!$E$7:$M$83,3,FALSE)))),IF($Y85&gt;(VLOOKUP($X85,Übungsübersicht!$E$7:$M$83,3,FALSE)),(VLOOKUP($X85,Übungsübersicht!$E$7:$M$83,3,FALSE)),""))))))),2*(VLOOKUP($X85,Übungsübersicht!$E$7:$M$83,3,FALSE)))</f>
        <v>#N/A</v>
      </c>
      <c r="AB85" s="652" t="e">
        <f ca="1">IFERROR(IF($Y85=0,4*(VLOOKUP($X85,Übungsübersicht!$E$7:$M$83,3,FALSE)),IF($Y85&gt;100,(MROUND(($Y85*0.3),(VLOOKUP($X85,Übungsübersicht!$E$7:$M$83,3,FALSE)))),IF($Y85&gt;80,(MROUND(($Y85*0.3),(VLOOKUP($X85,Übungsübersicht!$E$7:$M$83,3,FALSE)))),IF($Y85&gt;50,(MROUND(($Y85*0.4),(VLOOKUP($X85,Übungsübersicht!$E$7:$M$83,3,FALSE)))),IF($Y85&gt;25,(MROUND(($Y85*0.5),(VLOOKUP($X85,Übungsübersicht!$E$7:$M$83,3,FALSE)))),IF($Y85&gt;15,(MROUND(($Y85*0.6),(VLOOKUP($X85,Übungsübersicht!$E$7:$M$83,3,FALSE)))),IF($Y85&gt;(VLOOKUP($X85,Übungsübersicht!$E$7:$M$83,3,FALSE)),(VLOOKUP($X85,Übungsübersicht!$E$7:$M$83,3,FALSE)),""))))))),4*(VLOOKUP($X85,Übungsübersicht!$E$7:$M$83,3,FALSE)))</f>
        <v>#N/A</v>
      </c>
      <c r="AC85" s="652" t="e">
        <f ca="1">IFERROR((IF($Y85=0,8*(VLOOKUP($X85,Übungsübersicht!$E$7:$M$83,3,FALSE)),(($Y85)-(3*(VLOOKUP($X85,Übungsübersicht!$E$7:$M$83,3,FALSE)))))),8*(VLOOKUP($X85,Übungsübersicht!$E$7:$M$83,3,FALSE)))</f>
        <v>#N/A</v>
      </c>
      <c r="AD85" s="652" t="e">
        <f ca="1">IFERROR(((IF($Y85=0,10*(VLOOKUP($X85,Übungsübersicht!$E$7:$M$83,3,FALSE)),($Y85)-(2*(VLOOKUP($X85,Übungsübersicht!$E$7:$M$83,3,FALSE)))))),10*(VLOOKUP($X85,Übungsübersicht!$E$7:$M$83,3,FALSE)))</f>
        <v>#N/A</v>
      </c>
      <c r="AE85" s="652" t="e">
        <f ca="1">IFERROR(((IF($Y85=0,10*(VLOOKUP($X85,Übungsübersicht!$E$7:$M$83,3,FALSE)),($Y85)-(1*(VLOOKUP($X85,Übungsübersicht!$E$7:$M$83,3,FALSE)))))),10*(VLOOKUP($X85,Übungsübersicht!$E$7:$M$83,3,FALSE)))</f>
        <v>#N/A</v>
      </c>
      <c r="AF85" s="652" t="e">
        <f ca="1">IFERROR(IF($Y85=0,20*(VLOOKUP($X85,Übungsübersicht!$E$7:$M$83,3,FALSE)),($Y85)),20*(VLOOKUP($X85,Übungsübersicht!$E$7:$M$83,3,FALSE)))</f>
        <v>#N/A</v>
      </c>
      <c r="AG85" s="652" t="e">
        <f ca="1">IFERROR(IF($Y85=0,30*(VLOOKUP($X85,Übungsübersicht!$E$7:$M$83,3,FALSE)),($Y85)+(1*(VLOOKUP($X85,Übungsübersicht!$E$7:$M$83,3,FALSE)))),30*(VLOOKUP($X85,Übungsübersicht!$E$7:$M$83,3,FALSE)))</f>
        <v>#N/A</v>
      </c>
      <c r="AH85" s="652" t="e">
        <f ca="1">IFERROR(IF($Y85=0,30*(VLOOKUP($X85,Übungsübersicht!$E$7:$M$83,3,FALSE)),($Y85)+(2*(VLOOKUP($X85,Übungsübersicht!$E$7:$M$83,3,FALSE)))),30*(VLOOKUP($X85,Übungsübersicht!$E$7:$M$83,3,FALSE)))</f>
        <v>#N/A</v>
      </c>
      <c r="AI85" s="652" t="e">
        <f ca="1">IFERROR(IF($Y85=0,30*(VLOOKUP($X85,Übungsübersicht!$E$7:$M$83,3,FALSE)),($Y85)+(3*(VLOOKUP($X85,Übungsübersicht!$E$7:$M$83,3,FALSE)))),30*(VLOOKUP($X85,Übungsübersicht!$E$7:$M$83,3,FALSE)))</f>
        <v>#N/A</v>
      </c>
      <c r="AJ85" s="652" t="e">
        <f ca="1">IFERROR(IF($Y85=0,40*(VLOOKUP($X85,Übungsübersicht!$E$7:$M$83,3,FALSE)),IF($Y85&gt;100,(MROUND(($Y85*1.7),(VLOOKUP($X85,Übungsübersicht!$E$7:$M$83,3,FALSE)))),IF($Y85&gt;80,(MROUND(($Y85*1.7),(VLOOKUP($X85,Übungsübersicht!$E$7:$M$83,3,FALSE)))),IF($Y85&gt;50,(MROUND(($Y85*1.6),(VLOOKUP($X85,Übungsübersicht!$E$7:$M$83,3,FALSE)))),IF($Y85&gt;25,(MROUND(($Y85*1.5),(VLOOKUP($X85,Übungsübersicht!$E$7:$M$83,3,FALSE)))),IF($Y85&gt;15,(MROUND(($Y85*1.4),(VLOOKUP($X85,Übungsübersicht!$E$7:$M$83,3,FALSE)))),IF($Y85&gt;(VLOOKUP($X85,Übungsübersicht!$E$7:$M$83,3,FALSE)),30*(VLOOKUP($X85,Übungsübersicht!$E$7:$M$83,3,FALSE)),""))))))),40*(VLOOKUP($X85,Übungsübersicht!$E$7:$M$83,3,FALSE)))</f>
        <v>#N/A</v>
      </c>
      <c r="AK85" s="653" t="e">
        <f ca="1">IFERROR(IF($Y85=0,50*(VLOOKUP($X85,Übungsübersicht!$E$7:$M$83,3,FALSE)),IF($Y85&gt;100,(MROUND(($Y85*1.9),(VLOOKUP($X85,Übungsübersicht!$E$7:$M$83,3,FALSE)))),IF($Y85&gt;80,(MROUND(($Y85*1.9),(VLOOKUP($X85,Übungsübersicht!$E$7:$M$83,3,FALSE)))),IF($Y85&gt;50,(MROUND(($Y85*1.8),(VLOOKUP($X85,Übungsübersicht!$E$7:$M$83,3,FALSE)))),IF($Y85&gt;25,(MROUND(($Y85*1.7),(VLOOKUP($X85,Übungsübersicht!$E$7:$M$83,3,FALSE)))),IF($Y85&gt;15,(MROUND(($Y85*1.6),(VLOOKUP($X85,Übungsübersicht!$E$7:$M$83,3,FALSE)))),IF($Y85&gt;(VLOOKUP($X85,Übungsübersicht!$E$7:$M$83,3,FALSE)),40*(VLOOKUP($X85,Übungsübersicht!$E$7:$M$83,3,FALSE)),""))))))),50*(VLOOKUP($X85,Übungsübersicht!$E$7:$M$83,3,FALSE)))</f>
        <v>#N/A</v>
      </c>
      <c r="AN85" s="652" t="e">
        <f ca="1">MROUND(INDEX(OFFSET(Zyklus!$M$13,82,0),1),(IF(VLOOKUP($X85,Übungsübersicht!$E$7:$K$80,3)=0,0.1,(VLOOKUP($X85,Übungsübersicht!$E$7:$K$80,3)))))</f>
        <v>#N/A</v>
      </c>
      <c r="AP85" s="655" t="str">
        <f ca="1">IFERROR(IF(IF(VLOOKUP($X85,Zyklus!$A$14:$U$68,9,FALSE)=0,"RPE 8",IF(VLOOKUP($X85,Übungsübersicht!$E$7:$M$83,3,FALSE)&lt;0.5,($AN85)-(3*0.5),(($AN85)-(3*(VLOOKUP($X85,Übungsübersicht!$E$7:$M$83,3,FALSE))))))&lt;1,0,(IF(VLOOKUP($X85,Zyklus!$A$14:$U$68,9,FALSE)=0,"RPE 8",IF(VLOOKUP($X85,Übungsübersicht!$E$7:$M$83,3,FALSE)&lt;0.5,($AN85)-(3*0.5),(($AN85)-(3*(VLOOKUP($X85,Übungsübersicht!$E$7:$M$83,3,FALSE)))))))),"RPE 8")</f>
        <v>RPE 8</v>
      </c>
      <c r="AQ85" s="655" t="str">
        <f ca="1">IFERROR(IF(IF(VLOOKUP($X85,Zyklus!$A$14:$U$68,9,FALSE)=0,"RPE 8",IF(VLOOKUP($X85,Übungsübersicht!$E$7:$M$83,3,FALSE)&lt;0.5,($AN85)-(2*0.5),(($AN85)-(2*(VLOOKUP($X85,Übungsübersicht!$E$7:$M$83,3,FALSE))))))&lt;1,0,(IF(VLOOKUP($X85,Zyklus!$A$14:$U$68,9,FALSE)=0,"RPE 8",IF(VLOOKUP($X85,Übungsübersicht!$E$7:$M$83,3,FALSE)&lt;0.5,($AN85)-(2*0.5),(($AN85)-(2*(VLOOKUP($X85,Übungsübersicht!$E$7:$M$83,3,FALSE)))))))),"RPE 8")</f>
        <v>RPE 8</v>
      </c>
      <c r="AR85" s="655" t="str">
        <f ca="1">IFERROR(IF(IF(VLOOKUP($X85,Zyklus!$A$14:$U$68,9,FALSE)=0,"RPE 8",IF(VLOOKUP($X85,Übungsübersicht!$E$7:$M$83,3,FALSE)&lt;0.5,($AN85)-(1*0.5),(($Y85)-(1*(VLOOKUP($X85,Übungsübersicht!$E$7:$M$83,3,FALSE))))))&lt;1,0,(IF(VLOOKUP($X85,Zyklus!$A$14:$U$68,9,FALSE)=0,"RPE 8",IF(VLOOKUP($X85,Übungsübersicht!$E$7:$M$83,3,FALSE)&lt;0.5,($AN85)-(1*0.5),(($Y85)-(1*(VLOOKUP($X85,Übungsübersicht!$E$7:$M$83,3,FALSE)))))))),"RPE 8")</f>
        <v>RPE 8</v>
      </c>
      <c r="AS85" s="655" t="str">
        <f t="shared" ca="1" si="6"/>
        <v>RPE 8</v>
      </c>
      <c r="AT85" s="655" t="str">
        <f ca="1">IFERROR(IF(VLOOKUP($X85,Zyklus!$A$14:$U$68,9,FALSE)=0,"RPE 8",IF(VLOOKUP($X85,Übungsübersicht!$E$7:$M$83,3,FALSE)&lt;0.5,($AN85)+(1*0.5),(($Y85)+(1*(VLOOKUP($X85,Übungsübersicht!$E$7:$M$83,3,FALSE)))))),"RPE 8")</f>
        <v>RPE 8</v>
      </c>
      <c r="AU85" s="655" t="str">
        <f ca="1">IFERROR(IF(VLOOKUP($X85,Zyklus!$A$14:$U$68,9,FALSE)=0,"RPE 8",IF(VLOOKUP($X85,Übungsübersicht!$E$7:$M$83,3,FALSE)&lt;0.5,($AN85)+(2*0.5),(($AN85)+(2*(VLOOKUP($X85,Übungsübersicht!$E$7:$M$83,3,FALSE)))))),"RPE 8")</f>
        <v>RPE 8</v>
      </c>
      <c r="AV85" s="655" t="str">
        <f ca="1">IFERROR(IF(VLOOKUP($X85,Zyklus!$A$14:$U$68,9,FALSE)=0,"RPE 8",IF(VLOOKUP($X85,Übungsübersicht!$E$7:$M$83,3,FALSE)&lt;0.5,($AN85)+(3*0.5),(($AN85)+(3*(VLOOKUP($X85,Übungsübersicht!$E$7:$M$83,3,FALSE)))))),"RPE 8")</f>
        <v>RPE 8</v>
      </c>
      <c r="AY85" s="652" t="e">
        <f ca="1">MROUND(INDEX(OFFSET(Zyklus!$M$13,82,0),1),(IF(VLOOKUP($X85,Übungsübersicht!$E$7:$K$80,3)=0,0.1,(VLOOKUP($X85,Übungsübersicht!$E$7:$K$80,3)))))</f>
        <v>#N/A</v>
      </c>
      <c r="BA85" s="655" t="e">
        <f ca="1">MROUND(INDEX(OFFSET(Zyklus!$Q$13,82,0),1),(IF(VLOOKUP($X85,Übungsübersicht!$E$7:$K$80,3)=0,0.1,(VLOOKUP($X85,Übungsübersicht!$E$7:$K$80,3)))))</f>
        <v>#VALUE!</v>
      </c>
      <c r="BC85" s="655" t="str">
        <f ca="1">IFERROR(IF(IF(VLOOKUP($X85,Zyklus!$A$14:$U$68,9,FALSE)=0,"RPE 9",IF(VLOOKUP($X85,Übungsübersicht!$E$7:$M$83,3,FALSE)&lt;0.5,($BA85)-(3*0.5),(($BA85)-(3*(VLOOKUP($X85,Übungsübersicht!$E$7:$M$83,3,FALSE))))))&lt;1,0,(IF(VLOOKUP($X85,Zyklus!$A$14:$U$68,9,FALSE)=0,"RPE 9",IF(VLOOKUP($X85,Übungsübersicht!$E$7:$M$83,3,FALSE)&lt;0.5,($BA85)-(3*0.5),(($BA85)-(3*(VLOOKUP($X85,Übungsübersicht!$E$7:$M$83,3,FALSE)))))))),"RPE 9")</f>
        <v>RPE 9</v>
      </c>
      <c r="BD85" s="655" t="str">
        <f ca="1">IFERROR(IF(IF(VLOOKUP($X85,Zyklus!$A$14:$U$68,9,FALSE)=0,"RPE 9",IF(VLOOKUP($X85,Übungsübersicht!$E$7:$M$83,3,FALSE)&lt;0.5,($BA85)-(2*0.5),(($BA85)-(2*(VLOOKUP($X85,Übungsübersicht!$E$7:$M$83,3,FALSE))))))&lt;1,0,(IF(VLOOKUP($X85,Zyklus!$A$14:$U$68,9,FALSE)=0,"RPE 9",IF(VLOOKUP($X85,Übungsübersicht!$E$7:$M$83,3,FALSE)&lt;0.5,($BA85)-(2*0.5),(($BA85)-(2*(VLOOKUP($X85,Übungsübersicht!$E$7:$M$83,3,FALSE)))))))),"RPE 9")</f>
        <v>RPE 9</v>
      </c>
      <c r="BE85" s="655" t="str">
        <f ca="1">IFERROR(IF(IF(VLOOKUP($X85,Zyklus!$A$14:$U$68,9,FALSE)=0,"RPE 9",IF(VLOOKUP($X85,Übungsübersicht!$E$7:$M$83,3,FALSE)&lt;0.5,($BA85)-(1*0.5),(($Y85)-(1*(VLOOKUP($X85,Übungsübersicht!$E$7:$M$83,3,FALSE))))))&lt;1,0,(IF(VLOOKUP($X85,Zyklus!$A$14:$U$68,9,FALSE)=0,"RPE 9",IF(VLOOKUP($X85,Übungsübersicht!$E$7:$M$83,3,FALSE)&lt;0.5,($BA85)-(1*0.5),(($Y85)-(1*(VLOOKUP($X85,Übungsübersicht!$E$7:$M$83,3,FALSE)))))))),"RPE 9")</f>
        <v>RPE 9</v>
      </c>
      <c r="BF85" s="655" t="str">
        <f t="shared" ca="1" si="7"/>
        <v>RPE 9</v>
      </c>
      <c r="BG85" s="655" t="str">
        <f ca="1">IFERROR(IF(VLOOKUP($X85,Zyklus!$A$14:$U$68,9,FALSE)=0,"RPE 9",IF(VLOOKUP($X85,Übungsübersicht!$E$7:$M$83,3,FALSE)&lt;0.5,($AY85)+(1*0.5),(($AY85)+(1*(VLOOKUP($X85,Übungsübersicht!$E$7:$M$83,3,FALSE)))))),"RPE 9")</f>
        <v>RPE 9</v>
      </c>
      <c r="BH85" s="655" t="str">
        <f ca="1">IFERROR(IF(VLOOKUP($X85,Zyklus!$A$14:$U$68,9,FALSE)=0,"RPE 9",IF(VLOOKUP($X85,Übungsübersicht!$E$7:$M$83,3,FALSE)&lt;0.5,($BA85)+(2*0.5),(($BA85)+(2*(VLOOKUP($X85,Übungsübersicht!$E$7:$M$83,3,FALSE)))))),"RPE 9")</f>
        <v>RPE 9</v>
      </c>
      <c r="BI85" s="655" t="str">
        <f ca="1">IFERROR(IF(VLOOKUP($X85,Zyklus!$A$14:$U$68,9,FALSE)=0,"RPE 9",IF(VLOOKUP($X85,Übungsübersicht!$E$7:$M$83,3,FALSE)&lt;0.5,($BA85)+(3*0.5),(($BA85)+(3*(VLOOKUP($X85,Übungsübersicht!$E$7:$M$83,3,FALSE)))))),"RPE 9")</f>
        <v>RPE 9</v>
      </c>
    </row>
    <row r="86" spans="8:61" ht="30" customHeight="1">
      <c r="H86" s="326">
        <v>65</v>
      </c>
      <c r="I86" s="323">
        <f t="shared" si="5"/>
        <v>37.894736842105267</v>
      </c>
      <c r="J86" s="344">
        <f t="shared" si="4"/>
        <v>0.31578947368421056</v>
      </c>
      <c r="X86" s="654">
        <f ca="1">INDEX(OFFSET(Zyklus!$A$13,83,0),1)</f>
        <v>0</v>
      </c>
      <c r="Y86" s="655" t="e">
        <f ca="1">MROUND(INDEX(OFFSET(Zyklus!$I$13,83,0),1),(IF(VLOOKUP($X86,Übungsübersicht!$E$7:$K$80,3)=0,0.1,(VLOOKUP($X86,Übungsübersicht!$E$7:$K$80,3)))))</f>
        <v>#N/A</v>
      </c>
      <c r="Z86" s="655"/>
      <c r="AA86" s="655" t="e">
        <f ca="1">IFERROR(IF($Y86=0,2*(VLOOKUP($X86,Übungsübersicht!$E$7:$M$83,3,FALSE)),IF($Y86&gt;100,(MROUND(($Y86*0.1),(VLOOKUP($X86,Übungsübersicht!$E$7:$M$83,3,FALSE)))),IF($Y86&gt;80,(MROUND(($Y86*0.1),(VLOOKUP($X86,Übungsübersicht!$E$7:$M$83,3,FALSE)))),IF($Y86&gt;50,(MROUND(($Y86*0.2),(VLOOKUP($X86,Übungsübersicht!$E$7:$M$83,3,FALSE)))),IF($Y86&gt;25,(MROUND(($Y86*0.3),(VLOOKUP($X86,Übungsübersicht!$E$7:$M$83,3,FALSE)))),IF($Y86&gt;15,(MROUND(($Y86*0.4),(VLOOKUP($X86,Übungsübersicht!$E$7:$M$83,3,FALSE)))),IF($Y86&gt;(VLOOKUP($X86,Übungsübersicht!$E$7:$M$83,3,FALSE)),(VLOOKUP($X86,Übungsübersicht!$E$7:$M$83,3,FALSE)),""))))))),2*(VLOOKUP($X86,Übungsübersicht!$E$7:$M$83,3,FALSE)))</f>
        <v>#N/A</v>
      </c>
      <c r="AB86" s="655" t="e">
        <f ca="1">IFERROR(IF($Y86=0,4*(VLOOKUP($X86,Übungsübersicht!$E$7:$M$83,3,FALSE)),IF($Y86&gt;100,(MROUND(($Y86*0.3),(VLOOKUP($X86,Übungsübersicht!$E$7:$M$83,3,FALSE)))),IF($Y86&gt;80,(MROUND(($Y86*0.3),(VLOOKUP($X86,Übungsübersicht!$E$7:$M$83,3,FALSE)))),IF($Y86&gt;50,(MROUND(($Y86*0.4),(VLOOKUP($X86,Übungsübersicht!$E$7:$M$83,3,FALSE)))),IF($Y86&gt;25,(MROUND(($Y86*0.5),(VLOOKUP($X86,Übungsübersicht!$E$7:$M$83,3,FALSE)))),IF($Y86&gt;15,(MROUND(($Y86*0.6),(VLOOKUP($X86,Übungsübersicht!$E$7:$M$83,3,FALSE)))),IF($Y86&gt;(VLOOKUP($X86,Übungsübersicht!$E$7:$M$83,3,FALSE)),(VLOOKUP($X86,Übungsübersicht!$E$7:$M$83,3,FALSE)),""))))))),4*(VLOOKUP($X86,Übungsübersicht!$E$7:$M$83,3,FALSE)))</f>
        <v>#N/A</v>
      </c>
      <c r="AC86" s="655" t="e">
        <f ca="1">IFERROR((IF($Y86=0,8*(VLOOKUP($X86,Übungsübersicht!$E$7:$M$83,3,FALSE)),(($Y86)-(3*(VLOOKUP($X86,Übungsübersicht!$E$7:$M$83,3,FALSE)))))),8*(VLOOKUP($X86,Übungsübersicht!$E$7:$M$83,3,FALSE)))</f>
        <v>#N/A</v>
      </c>
      <c r="AD86" s="655" t="e">
        <f ca="1">IFERROR(((IF($Y86=0,10*(VLOOKUP($X86,Übungsübersicht!$E$7:$M$83,3,FALSE)),($Y86)-(2*(VLOOKUP($X86,Übungsübersicht!$E$7:$M$83,3,FALSE)))))),10*(VLOOKUP($X86,Übungsübersicht!$E$7:$M$83,3,FALSE)))</f>
        <v>#N/A</v>
      </c>
      <c r="AE86" s="655" t="e">
        <f ca="1">IFERROR(((IF($Y86=0,10*(VLOOKUP($X86,Übungsübersicht!$E$7:$M$83,3,FALSE)),($Y86)-(1*(VLOOKUP($X86,Übungsübersicht!$E$7:$M$83,3,FALSE)))))),10*(VLOOKUP($X86,Übungsübersicht!$E$7:$M$83,3,FALSE)))</f>
        <v>#N/A</v>
      </c>
      <c r="AF86" s="655" t="e">
        <f ca="1">IFERROR(IF($Y86=0,20*(VLOOKUP($X86,Übungsübersicht!$E$7:$M$83,3,FALSE)),($Y86)),20*(VLOOKUP($X86,Übungsübersicht!$E$7:$M$83,3,FALSE)))</f>
        <v>#N/A</v>
      </c>
      <c r="AG86" s="655" t="e">
        <f ca="1">IFERROR(IF($Y86=0,30*(VLOOKUP($X86,Übungsübersicht!$E$7:$M$83,3,FALSE)),($Y86)+(1*(VLOOKUP($X86,Übungsübersicht!$E$7:$M$83,3,FALSE)))),30*(VLOOKUP($X86,Übungsübersicht!$E$7:$M$83,3,FALSE)))</f>
        <v>#N/A</v>
      </c>
      <c r="AH86" s="655" t="e">
        <f ca="1">IFERROR(IF($Y86=0,30*(VLOOKUP($X86,Übungsübersicht!$E$7:$M$83,3,FALSE)),($Y86)+(2*(VLOOKUP($X86,Übungsübersicht!$E$7:$M$83,3,FALSE)))),30*(VLOOKUP($X86,Übungsübersicht!$E$7:$M$83,3,FALSE)))</f>
        <v>#N/A</v>
      </c>
      <c r="AI86" s="655" t="e">
        <f ca="1">IFERROR(IF($Y86=0,30*(VLOOKUP($X86,Übungsübersicht!$E$7:$M$83,3,FALSE)),($Y86)+(3*(VLOOKUP($X86,Übungsübersicht!$E$7:$M$83,3,FALSE)))),30*(VLOOKUP($X86,Übungsübersicht!$E$7:$M$83,3,FALSE)))</f>
        <v>#N/A</v>
      </c>
      <c r="AJ86" s="655" t="e">
        <f ca="1">IFERROR(IF($Y86=0,40*(VLOOKUP($X86,Übungsübersicht!$E$7:$M$83,3,FALSE)),IF($Y86&gt;100,(MROUND(($Y86*1.7),(VLOOKUP($X86,Übungsübersicht!$E$7:$M$83,3,FALSE)))),IF($Y86&gt;80,(MROUND(($Y86*1.7),(VLOOKUP($X86,Übungsübersicht!$E$7:$M$83,3,FALSE)))),IF($Y86&gt;50,(MROUND(($Y86*1.6),(VLOOKUP($X86,Übungsübersicht!$E$7:$M$83,3,FALSE)))),IF($Y86&gt;25,(MROUND(($Y86*1.5),(VLOOKUP($X86,Übungsübersicht!$E$7:$M$83,3,FALSE)))),IF($Y86&gt;15,(MROUND(($Y86*1.4),(VLOOKUP($X86,Übungsübersicht!$E$7:$M$83,3,FALSE)))),IF($Y86&gt;(VLOOKUP($X86,Übungsübersicht!$E$7:$M$83,3,FALSE)),30*(VLOOKUP($X86,Übungsübersicht!$E$7:$M$83,3,FALSE)),""))))))),40*(VLOOKUP($X86,Übungsübersicht!$E$7:$M$83,3,FALSE)))</f>
        <v>#N/A</v>
      </c>
      <c r="AK86" s="656" t="e">
        <f ca="1">IFERROR(IF($Y86=0,50*(VLOOKUP($X86,Übungsübersicht!$E$7:$M$83,3,FALSE)),IF($Y86&gt;100,(MROUND(($Y86*1.9),(VLOOKUP($X86,Übungsübersicht!$E$7:$M$83,3,FALSE)))),IF($Y86&gt;80,(MROUND(($Y86*1.9),(VLOOKUP($X86,Übungsübersicht!$E$7:$M$83,3,FALSE)))),IF($Y86&gt;50,(MROUND(($Y86*1.8),(VLOOKUP($X86,Übungsübersicht!$E$7:$M$83,3,FALSE)))),IF($Y86&gt;25,(MROUND(($Y86*1.7),(VLOOKUP($X86,Übungsübersicht!$E$7:$M$83,3,FALSE)))),IF($Y86&gt;15,(MROUND(($Y86*1.6),(VLOOKUP($X86,Übungsübersicht!$E$7:$M$83,3,FALSE)))),IF($Y86&gt;(VLOOKUP($X86,Übungsübersicht!$E$7:$M$83,3,FALSE)),40*(VLOOKUP($X86,Übungsübersicht!$E$7:$M$83,3,FALSE)),""))))))),50*(VLOOKUP($X86,Übungsübersicht!$E$7:$M$83,3,FALSE)))</f>
        <v>#N/A</v>
      </c>
      <c r="AN86" s="655" t="e">
        <f ca="1">MROUND(INDEX(OFFSET(Zyklus!$M$13,83,0),1),(IF(VLOOKUP($X86,Übungsübersicht!$E$7:$K$80,3)=0,0.1,(VLOOKUP($X86,Übungsübersicht!$E$7:$K$80,3)))))</f>
        <v>#N/A</v>
      </c>
      <c r="AP86" s="652" t="str">
        <f ca="1">IFERROR(IF(IF(VLOOKUP($X86,Zyklus!$A$14:$U$68,9,FALSE)=0,"RPE 8",IF(VLOOKUP($X86,Übungsübersicht!$E$7:$M$83,3,FALSE)&lt;0.5,($AN86)-(3*0.5),(($AN86)-(3*(VLOOKUP($X86,Übungsübersicht!$E$7:$M$83,3,FALSE))))))&lt;1,0,(IF(VLOOKUP($X86,Zyklus!$A$14:$U$68,9,FALSE)=0,"RPE 8",IF(VLOOKUP($X86,Übungsübersicht!$E$7:$M$83,3,FALSE)&lt;0.5,($AN86)-(3*0.5),(($AN86)-(3*(VLOOKUP($X86,Übungsübersicht!$E$7:$M$83,3,FALSE)))))))),"RPE 8")</f>
        <v>RPE 8</v>
      </c>
      <c r="AQ86" s="652" t="str">
        <f ca="1">IFERROR(IF(IF(VLOOKUP($X86,Zyklus!$A$14:$U$68,9,FALSE)=0,"RPE 8",IF(VLOOKUP($X86,Übungsübersicht!$E$7:$M$83,3,FALSE)&lt;0.5,($AN86)-(2*0.5),(($AN86)-(2*(VLOOKUP($X86,Übungsübersicht!$E$7:$M$83,3,FALSE))))))&lt;1,0,(IF(VLOOKUP($X86,Zyklus!$A$14:$U$68,9,FALSE)=0,"RPE 8",IF(VLOOKUP($X86,Übungsübersicht!$E$7:$M$83,3,FALSE)&lt;0.5,($AN86)-(2*0.5),(($AN86)-(2*(VLOOKUP($X86,Übungsübersicht!$E$7:$M$83,3,FALSE)))))))),"RPE 8")</f>
        <v>RPE 8</v>
      </c>
      <c r="AR86" s="652" t="str">
        <f ca="1">IFERROR(IF(IF(VLOOKUP($X86,Zyklus!$A$14:$U$68,9,FALSE)=0,"RPE 8",IF(VLOOKUP($X86,Übungsübersicht!$E$7:$M$83,3,FALSE)&lt;0.5,($AN86)-(1*0.5),(($Y86)-(1*(VLOOKUP($X86,Übungsübersicht!$E$7:$M$83,3,FALSE))))))&lt;1,0,(IF(VLOOKUP($X86,Zyklus!$A$14:$U$68,9,FALSE)=0,"RPE 8",IF(VLOOKUP($X86,Übungsübersicht!$E$7:$M$83,3,FALSE)&lt;0.5,($AN86)-(1*0.5),(($Y86)-(1*(VLOOKUP($X86,Übungsübersicht!$E$7:$M$83,3,FALSE)))))))),"RPE 8")</f>
        <v>RPE 8</v>
      </c>
      <c r="AS86" s="652" t="str">
        <f t="shared" ca="1" si="6"/>
        <v>RPE 8</v>
      </c>
      <c r="AT86" s="652" t="str">
        <f ca="1">IFERROR(IF(VLOOKUP($X86,Zyklus!$A$14:$U$68,9,FALSE)=0,"RPE 8",IF(VLOOKUP($X86,Übungsübersicht!$E$7:$M$83,3,FALSE)&lt;0.5,($AN86)+(1*0.5),(($Y86)+(1*(VLOOKUP($X86,Übungsübersicht!$E$7:$M$83,3,FALSE)))))),"RPE 8")</f>
        <v>RPE 8</v>
      </c>
      <c r="AU86" s="652" t="str">
        <f ca="1">IFERROR(IF(VLOOKUP($X86,Zyklus!$A$14:$U$68,9,FALSE)=0,"RPE 8",IF(VLOOKUP($X86,Übungsübersicht!$E$7:$M$83,3,FALSE)&lt;0.5,($AN86)+(2*0.5),(($AN86)+(2*(VLOOKUP($X86,Übungsübersicht!$E$7:$M$83,3,FALSE)))))),"RPE 8")</f>
        <v>RPE 8</v>
      </c>
      <c r="AV86" s="652" t="str">
        <f ca="1">IFERROR(IF(VLOOKUP($X86,Zyklus!$A$14:$U$68,9,FALSE)=0,"RPE 8",IF(VLOOKUP($X86,Übungsübersicht!$E$7:$M$83,3,FALSE)&lt;0.5,($AN86)+(3*0.5),(($AN86)+(3*(VLOOKUP($X86,Übungsübersicht!$E$7:$M$83,3,FALSE)))))),"RPE 8")</f>
        <v>RPE 8</v>
      </c>
      <c r="AY86" s="655" t="e">
        <f ca="1">MROUND(INDEX(OFFSET(Zyklus!$M$13,83,0),1),(IF(VLOOKUP($X86,Übungsübersicht!$E$7:$K$80,3)=0,0.1,(VLOOKUP($X86,Übungsübersicht!$E$7:$K$80,3)))))</f>
        <v>#N/A</v>
      </c>
      <c r="BA86" s="652" t="e">
        <f ca="1">MROUND(INDEX(OFFSET(Zyklus!$Q$13,83,0),1),(IF(VLOOKUP($X86,Übungsübersicht!$E$7:$K$80,3)=0,0.1,(VLOOKUP($X86,Übungsübersicht!$E$7:$K$80,3)))))</f>
        <v>#VALUE!</v>
      </c>
      <c r="BC86" s="652" t="str">
        <f ca="1">IFERROR(IF(IF(VLOOKUP($X86,Zyklus!$A$14:$U$68,9,FALSE)=0,"RPE 9",IF(VLOOKUP($X86,Übungsübersicht!$E$7:$M$83,3,FALSE)&lt;0.5,($BA86)-(3*0.5),(($BA86)-(3*(VLOOKUP($X86,Übungsübersicht!$E$7:$M$83,3,FALSE))))))&lt;1,0,(IF(VLOOKUP($X86,Zyklus!$A$14:$U$68,9,FALSE)=0,"RPE 9",IF(VLOOKUP($X86,Übungsübersicht!$E$7:$M$83,3,FALSE)&lt;0.5,($BA86)-(3*0.5),(($BA86)-(3*(VLOOKUP($X86,Übungsübersicht!$E$7:$M$83,3,FALSE)))))))),"RPE 9")</f>
        <v>RPE 9</v>
      </c>
      <c r="BD86" s="652" t="str">
        <f ca="1">IFERROR(IF(IF(VLOOKUP($X86,Zyklus!$A$14:$U$68,9,FALSE)=0,"RPE 9",IF(VLOOKUP($X86,Übungsübersicht!$E$7:$M$83,3,FALSE)&lt;0.5,($BA86)-(2*0.5),(($BA86)-(2*(VLOOKUP($X86,Übungsübersicht!$E$7:$M$83,3,FALSE))))))&lt;1,0,(IF(VLOOKUP($X86,Zyklus!$A$14:$U$68,9,FALSE)=0,"RPE 9",IF(VLOOKUP($X86,Übungsübersicht!$E$7:$M$83,3,FALSE)&lt;0.5,($BA86)-(2*0.5),(($BA86)-(2*(VLOOKUP($X86,Übungsübersicht!$E$7:$M$83,3,FALSE)))))))),"RPE 9")</f>
        <v>RPE 9</v>
      </c>
      <c r="BE86" s="652" t="str">
        <f ca="1">IFERROR(IF(IF(VLOOKUP($X86,Zyklus!$A$14:$U$68,9,FALSE)=0,"RPE 9",IF(VLOOKUP($X86,Übungsübersicht!$E$7:$M$83,3,FALSE)&lt;0.5,($BA86)-(1*0.5),(($Y86)-(1*(VLOOKUP($X86,Übungsübersicht!$E$7:$M$83,3,FALSE))))))&lt;1,0,(IF(VLOOKUP($X86,Zyklus!$A$14:$U$68,9,FALSE)=0,"RPE 9",IF(VLOOKUP($X86,Übungsübersicht!$E$7:$M$83,3,FALSE)&lt;0.5,($BA86)-(1*0.5),(($Y86)-(1*(VLOOKUP($X86,Übungsübersicht!$E$7:$M$83,3,FALSE)))))))),"RPE 9")</f>
        <v>RPE 9</v>
      </c>
      <c r="BF86" s="652" t="str">
        <f t="shared" ca="1" si="7"/>
        <v>RPE 9</v>
      </c>
      <c r="BG86" s="652" t="str">
        <f ca="1">IFERROR(IF(VLOOKUP($X86,Zyklus!$A$14:$U$68,9,FALSE)=0,"RPE 9",IF(VLOOKUP($X86,Übungsübersicht!$E$7:$M$83,3,FALSE)&lt;0.5,($AY86)+(1*0.5),(($AY86)+(1*(VLOOKUP($X86,Übungsübersicht!$E$7:$M$83,3,FALSE)))))),"RPE 9")</f>
        <v>RPE 9</v>
      </c>
      <c r="BH86" s="652" t="str">
        <f ca="1">IFERROR(IF(VLOOKUP($X86,Zyklus!$A$14:$U$68,9,FALSE)=0,"RPE 9",IF(VLOOKUP($X86,Übungsübersicht!$E$7:$M$83,3,FALSE)&lt;0.5,($BA86)+(2*0.5),(($BA86)+(2*(VLOOKUP($X86,Übungsübersicht!$E$7:$M$83,3,FALSE)))))),"RPE 9")</f>
        <v>RPE 9</v>
      </c>
      <c r="BI86" s="652" t="str">
        <f ca="1">IFERROR(IF(VLOOKUP($X86,Zyklus!$A$14:$U$68,9,FALSE)=0,"RPE 9",IF(VLOOKUP($X86,Übungsübersicht!$E$7:$M$83,3,FALSE)&lt;0.5,($BA86)+(3*0.5),(($BA86)+(3*(VLOOKUP($X86,Übungsübersicht!$E$7:$M$83,3,FALSE)))))),"RPE 9")</f>
        <v>RPE 9</v>
      </c>
    </row>
    <row r="87" spans="8:61" ht="30" customHeight="1">
      <c r="H87" s="326">
        <v>66</v>
      </c>
      <c r="I87" s="323">
        <f t="shared" si="5"/>
        <v>37.5</v>
      </c>
      <c r="J87" s="344">
        <f t="shared" ref="J87:J120" si="8">IFERROR((PRODUCT($I87/$K$22)),"")</f>
        <v>0.3125</v>
      </c>
      <c r="X87" s="651">
        <f ca="1">INDEX(OFFSET(Zyklus!$A$13,84,0),1)</f>
        <v>0</v>
      </c>
      <c r="Y87" s="652" t="e">
        <f ca="1">MROUND(INDEX(OFFSET(Zyklus!$I$13,84,0),1),(IF(VLOOKUP($X87,Übungsübersicht!$E$7:$K$80,3)=0,0.1,(VLOOKUP($X87,Übungsübersicht!$E$7:$K$80,3)))))</f>
        <v>#N/A</v>
      </c>
      <c r="Z87" s="652"/>
      <c r="AA87" s="652" t="e">
        <f ca="1">IFERROR(IF($Y87=0,2*(VLOOKUP($X87,Übungsübersicht!$E$7:$M$83,3,FALSE)),IF($Y87&gt;100,(MROUND(($Y87*0.1),(VLOOKUP($X87,Übungsübersicht!$E$7:$M$83,3,FALSE)))),IF($Y87&gt;80,(MROUND(($Y87*0.1),(VLOOKUP($X87,Übungsübersicht!$E$7:$M$83,3,FALSE)))),IF($Y87&gt;50,(MROUND(($Y87*0.2),(VLOOKUP($X87,Übungsübersicht!$E$7:$M$83,3,FALSE)))),IF($Y87&gt;25,(MROUND(($Y87*0.3),(VLOOKUP($X87,Übungsübersicht!$E$7:$M$83,3,FALSE)))),IF($Y87&gt;15,(MROUND(($Y87*0.4),(VLOOKUP($X87,Übungsübersicht!$E$7:$M$83,3,FALSE)))),IF($Y87&gt;(VLOOKUP($X87,Übungsübersicht!$E$7:$M$83,3,FALSE)),(VLOOKUP($X87,Übungsübersicht!$E$7:$M$83,3,FALSE)),""))))))),2*(VLOOKUP($X87,Übungsübersicht!$E$7:$M$83,3,FALSE)))</f>
        <v>#N/A</v>
      </c>
      <c r="AB87" s="652" t="e">
        <f ca="1">IFERROR(IF($Y87=0,4*(VLOOKUP($X87,Übungsübersicht!$E$7:$M$83,3,FALSE)),IF($Y87&gt;100,(MROUND(($Y87*0.3),(VLOOKUP($X87,Übungsübersicht!$E$7:$M$83,3,FALSE)))),IF($Y87&gt;80,(MROUND(($Y87*0.3),(VLOOKUP($X87,Übungsübersicht!$E$7:$M$83,3,FALSE)))),IF($Y87&gt;50,(MROUND(($Y87*0.4),(VLOOKUP($X87,Übungsübersicht!$E$7:$M$83,3,FALSE)))),IF($Y87&gt;25,(MROUND(($Y87*0.5),(VLOOKUP($X87,Übungsübersicht!$E$7:$M$83,3,FALSE)))),IF($Y87&gt;15,(MROUND(($Y87*0.6),(VLOOKUP($X87,Übungsübersicht!$E$7:$M$83,3,FALSE)))),IF($Y87&gt;(VLOOKUP($X87,Übungsübersicht!$E$7:$M$83,3,FALSE)),(VLOOKUP($X87,Übungsübersicht!$E$7:$M$83,3,FALSE)),""))))))),4*(VLOOKUP($X87,Übungsübersicht!$E$7:$M$83,3,FALSE)))</f>
        <v>#N/A</v>
      </c>
      <c r="AC87" s="652" t="e">
        <f ca="1">IFERROR((IF($Y87=0,8*(VLOOKUP($X87,Übungsübersicht!$E$7:$M$83,3,FALSE)),(($Y87)-(3*(VLOOKUP($X87,Übungsübersicht!$E$7:$M$83,3,FALSE)))))),8*(VLOOKUP($X87,Übungsübersicht!$E$7:$M$83,3,FALSE)))</f>
        <v>#N/A</v>
      </c>
      <c r="AD87" s="652" t="e">
        <f ca="1">IFERROR(((IF($Y87=0,10*(VLOOKUP($X87,Übungsübersicht!$E$7:$M$83,3,FALSE)),($Y87)-(2*(VLOOKUP($X87,Übungsübersicht!$E$7:$M$83,3,FALSE)))))),10*(VLOOKUP($X87,Übungsübersicht!$E$7:$M$83,3,FALSE)))</f>
        <v>#N/A</v>
      </c>
      <c r="AE87" s="652" t="e">
        <f ca="1">IFERROR(((IF($Y87=0,10*(VLOOKUP($X87,Übungsübersicht!$E$7:$M$83,3,FALSE)),($Y87)-(1*(VLOOKUP($X87,Übungsübersicht!$E$7:$M$83,3,FALSE)))))),10*(VLOOKUP($X87,Übungsübersicht!$E$7:$M$83,3,FALSE)))</f>
        <v>#N/A</v>
      </c>
      <c r="AF87" s="652" t="e">
        <f ca="1">IFERROR(IF($Y87=0,20*(VLOOKUP($X87,Übungsübersicht!$E$7:$M$83,3,FALSE)),($Y87)),20*(VLOOKUP($X87,Übungsübersicht!$E$7:$M$83,3,FALSE)))</f>
        <v>#N/A</v>
      </c>
      <c r="AG87" s="652" t="e">
        <f ca="1">IFERROR(IF($Y87=0,30*(VLOOKUP($X87,Übungsübersicht!$E$7:$M$83,3,FALSE)),($Y87)+(1*(VLOOKUP($X87,Übungsübersicht!$E$7:$M$83,3,FALSE)))),30*(VLOOKUP($X87,Übungsübersicht!$E$7:$M$83,3,FALSE)))</f>
        <v>#N/A</v>
      </c>
      <c r="AH87" s="652" t="e">
        <f ca="1">IFERROR(IF($Y87=0,30*(VLOOKUP($X87,Übungsübersicht!$E$7:$M$83,3,FALSE)),($Y87)+(2*(VLOOKUP($X87,Übungsübersicht!$E$7:$M$83,3,FALSE)))),30*(VLOOKUP($X87,Übungsübersicht!$E$7:$M$83,3,FALSE)))</f>
        <v>#N/A</v>
      </c>
      <c r="AI87" s="652" t="e">
        <f ca="1">IFERROR(IF($Y87=0,30*(VLOOKUP($X87,Übungsübersicht!$E$7:$M$83,3,FALSE)),($Y87)+(3*(VLOOKUP($X87,Übungsübersicht!$E$7:$M$83,3,FALSE)))),30*(VLOOKUP($X87,Übungsübersicht!$E$7:$M$83,3,FALSE)))</f>
        <v>#N/A</v>
      </c>
      <c r="AJ87" s="652" t="e">
        <f ca="1">IFERROR(IF($Y87=0,40*(VLOOKUP($X87,Übungsübersicht!$E$7:$M$83,3,FALSE)),IF($Y87&gt;100,(MROUND(($Y87*1.7),(VLOOKUP($X87,Übungsübersicht!$E$7:$M$83,3,FALSE)))),IF($Y87&gt;80,(MROUND(($Y87*1.7),(VLOOKUP($X87,Übungsübersicht!$E$7:$M$83,3,FALSE)))),IF($Y87&gt;50,(MROUND(($Y87*1.6),(VLOOKUP($X87,Übungsübersicht!$E$7:$M$83,3,FALSE)))),IF($Y87&gt;25,(MROUND(($Y87*1.5),(VLOOKUP($X87,Übungsübersicht!$E$7:$M$83,3,FALSE)))),IF($Y87&gt;15,(MROUND(($Y87*1.4),(VLOOKUP($X87,Übungsübersicht!$E$7:$M$83,3,FALSE)))),IF($Y87&gt;(VLOOKUP($X87,Übungsübersicht!$E$7:$M$83,3,FALSE)),30*(VLOOKUP($X87,Übungsübersicht!$E$7:$M$83,3,FALSE)),""))))))),40*(VLOOKUP($X87,Übungsübersicht!$E$7:$M$83,3,FALSE)))</f>
        <v>#N/A</v>
      </c>
      <c r="AK87" s="653" t="e">
        <f ca="1">IFERROR(IF($Y87=0,50*(VLOOKUP($X87,Übungsübersicht!$E$7:$M$83,3,FALSE)),IF($Y87&gt;100,(MROUND(($Y87*1.9),(VLOOKUP($X87,Übungsübersicht!$E$7:$M$83,3,FALSE)))),IF($Y87&gt;80,(MROUND(($Y87*1.9),(VLOOKUP($X87,Übungsübersicht!$E$7:$M$83,3,FALSE)))),IF($Y87&gt;50,(MROUND(($Y87*1.8),(VLOOKUP($X87,Übungsübersicht!$E$7:$M$83,3,FALSE)))),IF($Y87&gt;25,(MROUND(($Y87*1.7),(VLOOKUP($X87,Übungsübersicht!$E$7:$M$83,3,FALSE)))),IF($Y87&gt;15,(MROUND(($Y87*1.6),(VLOOKUP($X87,Übungsübersicht!$E$7:$M$83,3,FALSE)))),IF($Y87&gt;(VLOOKUP($X87,Übungsübersicht!$E$7:$M$83,3,FALSE)),40*(VLOOKUP($X87,Übungsübersicht!$E$7:$M$83,3,FALSE)),""))))))),50*(VLOOKUP($X87,Übungsübersicht!$E$7:$M$83,3,FALSE)))</f>
        <v>#N/A</v>
      </c>
      <c r="AN87" s="652" t="e">
        <f ca="1">MROUND(INDEX(OFFSET(Zyklus!$M$13,84,0),1),(IF(VLOOKUP($X87,Übungsübersicht!$E$7:$K$80,3)=0,0.1,(VLOOKUP($X87,Übungsübersicht!$E$7:$K$80,3)))))</f>
        <v>#N/A</v>
      </c>
      <c r="AP87" s="655" t="str">
        <f ca="1">IFERROR(IF(IF(VLOOKUP($X87,Zyklus!$A$14:$U$68,9,FALSE)=0,"RPE 8",IF(VLOOKUP($X87,Übungsübersicht!$E$7:$M$83,3,FALSE)&lt;0.5,($AN87)-(3*0.5),(($AN87)-(3*(VLOOKUP($X87,Übungsübersicht!$E$7:$M$83,3,FALSE))))))&lt;1,0,(IF(VLOOKUP($X87,Zyklus!$A$14:$U$68,9,FALSE)=0,"RPE 8",IF(VLOOKUP($X87,Übungsübersicht!$E$7:$M$83,3,FALSE)&lt;0.5,($AN87)-(3*0.5),(($AN87)-(3*(VLOOKUP($X87,Übungsübersicht!$E$7:$M$83,3,FALSE)))))))),"RPE 8")</f>
        <v>RPE 8</v>
      </c>
      <c r="AQ87" s="655" t="str">
        <f ca="1">IFERROR(IF(IF(VLOOKUP($X87,Zyklus!$A$14:$U$68,9,FALSE)=0,"RPE 8",IF(VLOOKUP($X87,Übungsübersicht!$E$7:$M$83,3,FALSE)&lt;0.5,($AN87)-(2*0.5),(($AN87)-(2*(VLOOKUP($X87,Übungsübersicht!$E$7:$M$83,3,FALSE))))))&lt;1,0,(IF(VLOOKUP($X87,Zyklus!$A$14:$U$68,9,FALSE)=0,"RPE 8",IF(VLOOKUP($X87,Übungsübersicht!$E$7:$M$83,3,FALSE)&lt;0.5,($AN87)-(2*0.5),(($AN87)-(2*(VLOOKUP($X87,Übungsübersicht!$E$7:$M$83,3,FALSE)))))))),"RPE 8")</f>
        <v>RPE 8</v>
      </c>
      <c r="AR87" s="655" t="str">
        <f ca="1">IFERROR(IF(IF(VLOOKUP($X87,Zyklus!$A$14:$U$68,9,FALSE)=0,"RPE 8",IF(VLOOKUP($X87,Übungsübersicht!$E$7:$M$83,3,FALSE)&lt;0.5,($AN87)-(1*0.5),(($Y87)-(1*(VLOOKUP($X87,Übungsübersicht!$E$7:$M$83,3,FALSE))))))&lt;1,0,(IF(VLOOKUP($X87,Zyklus!$A$14:$U$68,9,FALSE)=0,"RPE 8",IF(VLOOKUP($X87,Übungsübersicht!$E$7:$M$83,3,FALSE)&lt;0.5,($AN87)-(1*0.5),(($Y87)-(1*(VLOOKUP($X87,Übungsübersicht!$E$7:$M$83,3,FALSE)))))))),"RPE 8")</f>
        <v>RPE 8</v>
      </c>
      <c r="AS87" s="655" t="str">
        <f t="shared" ca="1" si="6"/>
        <v>RPE 8</v>
      </c>
      <c r="AT87" s="655" t="str">
        <f ca="1">IFERROR(IF(VLOOKUP($X87,Zyklus!$A$14:$U$68,9,FALSE)=0,"RPE 8",IF(VLOOKUP($X87,Übungsübersicht!$E$7:$M$83,3,FALSE)&lt;0.5,($AN87)+(1*0.5),(($Y87)+(1*(VLOOKUP($X87,Übungsübersicht!$E$7:$M$83,3,FALSE)))))),"RPE 8")</f>
        <v>RPE 8</v>
      </c>
      <c r="AU87" s="655" t="str">
        <f ca="1">IFERROR(IF(VLOOKUP($X87,Zyklus!$A$14:$U$68,9,FALSE)=0,"RPE 8",IF(VLOOKUP($X87,Übungsübersicht!$E$7:$M$83,3,FALSE)&lt;0.5,($AN87)+(2*0.5),(($AN87)+(2*(VLOOKUP($X87,Übungsübersicht!$E$7:$M$83,3,FALSE)))))),"RPE 8")</f>
        <v>RPE 8</v>
      </c>
      <c r="AV87" s="655" t="str">
        <f ca="1">IFERROR(IF(VLOOKUP($X87,Zyklus!$A$14:$U$68,9,FALSE)=0,"RPE 8",IF(VLOOKUP($X87,Übungsübersicht!$E$7:$M$83,3,FALSE)&lt;0.5,($AN87)+(3*0.5),(($AN87)+(3*(VLOOKUP($X87,Übungsübersicht!$E$7:$M$83,3,FALSE)))))),"RPE 8")</f>
        <v>RPE 8</v>
      </c>
      <c r="AY87" s="652" t="e">
        <f ca="1">MROUND(INDEX(OFFSET(Zyklus!$M$13,84,0),1),(IF(VLOOKUP($X87,Übungsübersicht!$E$7:$K$80,3)=0,0.1,(VLOOKUP($X87,Übungsübersicht!$E$7:$K$80,3)))))</f>
        <v>#N/A</v>
      </c>
      <c r="BA87" s="655" t="e">
        <f ca="1">MROUND(INDEX(OFFSET(Zyklus!$Q$13,84,0),1),(IF(VLOOKUP($X87,Übungsübersicht!$E$7:$K$80,3)=0,0.1,(VLOOKUP($X87,Übungsübersicht!$E$7:$K$80,3)))))</f>
        <v>#N/A</v>
      </c>
      <c r="BC87" s="655" t="str">
        <f ca="1">IFERROR(IF(IF(VLOOKUP($X87,Zyklus!$A$14:$U$68,9,FALSE)=0,"RPE 9",IF(VLOOKUP($X87,Übungsübersicht!$E$7:$M$83,3,FALSE)&lt;0.5,($BA87)-(3*0.5),(($BA87)-(3*(VLOOKUP($X87,Übungsübersicht!$E$7:$M$83,3,FALSE))))))&lt;1,0,(IF(VLOOKUP($X87,Zyklus!$A$14:$U$68,9,FALSE)=0,"RPE 9",IF(VLOOKUP($X87,Übungsübersicht!$E$7:$M$83,3,FALSE)&lt;0.5,($BA87)-(3*0.5),(($BA87)-(3*(VLOOKUP($X87,Übungsübersicht!$E$7:$M$83,3,FALSE)))))))),"RPE 9")</f>
        <v>RPE 9</v>
      </c>
      <c r="BD87" s="655" t="str">
        <f ca="1">IFERROR(IF(IF(VLOOKUP($X87,Zyklus!$A$14:$U$68,9,FALSE)=0,"RPE 9",IF(VLOOKUP($X87,Übungsübersicht!$E$7:$M$83,3,FALSE)&lt;0.5,($BA87)-(2*0.5),(($BA87)-(2*(VLOOKUP($X87,Übungsübersicht!$E$7:$M$83,3,FALSE))))))&lt;1,0,(IF(VLOOKUP($X87,Zyklus!$A$14:$U$68,9,FALSE)=0,"RPE 9",IF(VLOOKUP($X87,Übungsübersicht!$E$7:$M$83,3,FALSE)&lt;0.5,($BA87)-(2*0.5),(($BA87)-(2*(VLOOKUP($X87,Übungsübersicht!$E$7:$M$83,3,FALSE)))))))),"RPE 9")</f>
        <v>RPE 9</v>
      </c>
      <c r="BE87" s="655" t="str">
        <f ca="1">IFERROR(IF(IF(VLOOKUP($X87,Zyklus!$A$14:$U$68,9,FALSE)=0,"RPE 9",IF(VLOOKUP($X87,Übungsübersicht!$E$7:$M$83,3,FALSE)&lt;0.5,($BA87)-(1*0.5),(($Y87)-(1*(VLOOKUP($X87,Übungsübersicht!$E$7:$M$83,3,FALSE))))))&lt;1,0,(IF(VLOOKUP($X87,Zyklus!$A$14:$U$68,9,FALSE)=0,"RPE 9",IF(VLOOKUP($X87,Übungsübersicht!$E$7:$M$83,3,FALSE)&lt;0.5,($BA87)-(1*0.5),(($Y87)-(1*(VLOOKUP($X87,Übungsübersicht!$E$7:$M$83,3,FALSE)))))))),"RPE 9")</f>
        <v>RPE 9</v>
      </c>
      <c r="BF87" s="655" t="str">
        <f t="shared" ca="1" si="7"/>
        <v>RPE 9</v>
      </c>
      <c r="BG87" s="655" t="str">
        <f ca="1">IFERROR(IF(VLOOKUP($X87,Zyklus!$A$14:$U$68,9,FALSE)=0,"RPE 9",IF(VLOOKUP($X87,Übungsübersicht!$E$7:$M$83,3,FALSE)&lt;0.5,($AY87)+(1*0.5),(($AY87)+(1*(VLOOKUP($X87,Übungsübersicht!$E$7:$M$83,3,FALSE)))))),"RPE 9")</f>
        <v>RPE 9</v>
      </c>
      <c r="BH87" s="655" t="str">
        <f ca="1">IFERROR(IF(VLOOKUP($X87,Zyklus!$A$14:$U$68,9,FALSE)=0,"RPE 9",IF(VLOOKUP($X87,Übungsübersicht!$E$7:$M$83,3,FALSE)&lt;0.5,($BA87)+(2*0.5),(($BA87)+(2*(VLOOKUP($X87,Übungsübersicht!$E$7:$M$83,3,FALSE)))))),"RPE 9")</f>
        <v>RPE 9</v>
      </c>
      <c r="BI87" s="655" t="str">
        <f ca="1">IFERROR(IF(VLOOKUP($X87,Zyklus!$A$14:$U$68,9,FALSE)=0,"RPE 9",IF(VLOOKUP($X87,Übungsübersicht!$E$7:$M$83,3,FALSE)&lt;0.5,($BA87)+(3*0.5),(($BA87)+(3*(VLOOKUP($X87,Übungsübersicht!$E$7:$M$83,3,FALSE)))))),"RPE 9")</f>
        <v>RPE 9</v>
      </c>
    </row>
    <row r="88" spans="8:61" ht="30" customHeight="1">
      <c r="H88" s="326">
        <v>67</v>
      </c>
      <c r="I88" s="323">
        <f t="shared" ref="I88:I120" si="9">IFERROR($K$22/(1+($H88/30)),"")</f>
        <v>37.113402061855666</v>
      </c>
      <c r="J88" s="344">
        <f t="shared" si="8"/>
        <v>0.30927835051546387</v>
      </c>
      <c r="X88" s="654">
        <f ca="1">INDEX(OFFSET(Zyklus!$A$13,85,0),1)</f>
        <v>0</v>
      </c>
      <c r="Y88" s="655" t="e">
        <f ca="1">MROUND(INDEX(OFFSET(Zyklus!$I$13,85,0),1),(IF(VLOOKUP($X88,Übungsübersicht!$E$7:$K$80,3)=0,0.1,(VLOOKUP($X88,Übungsübersicht!$E$7:$K$80,3)))))</f>
        <v>#N/A</v>
      </c>
      <c r="Z88" s="655"/>
      <c r="AA88" s="655" t="e">
        <f ca="1">IFERROR(IF($Y88=0,2*(VLOOKUP($X88,Übungsübersicht!$E$7:$M$83,3,FALSE)),IF($Y88&gt;100,(MROUND(($Y88*0.1),(VLOOKUP($X88,Übungsübersicht!$E$7:$M$83,3,FALSE)))),IF($Y88&gt;80,(MROUND(($Y88*0.1),(VLOOKUP($X88,Übungsübersicht!$E$7:$M$83,3,FALSE)))),IF($Y88&gt;50,(MROUND(($Y88*0.2),(VLOOKUP($X88,Übungsübersicht!$E$7:$M$83,3,FALSE)))),IF($Y88&gt;25,(MROUND(($Y88*0.3),(VLOOKUP($X88,Übungsübersicht!$E$7:$M$83,3,FALSE)))),IF($Y88&gt;15,(MROUND(($Y88*0.4),(VLOOKUP($X88,Übungsübersicht!$E$7:$M$83,3,FALSE)))),IF($Y88&gt;(VLOOKUP($X88,Übungsübersicht!$E$7:$M$83,3,FALSE)),(VLOOKUP($X88,Übungsübersicht!$E$7:$M$83,3,FALSE)),""))))))),2*(VLOOKUP($X88,Übungsübersicht!$E$7:$M$83,3,FALSE)))</f>
        <v>#N/A</v>
      </c>
      <c r="AB88" s="655" t="e">
        <f ca="1">IFERROR(IF($Y88=0,4*(VLOOKUP($X88,Übungsübersicht!$E$7:$M$83,3,FALSE)),IF($Y88&gt;100,(MROUND(($Y88*0.3),(VLOOKUP($X88,Übungsübersicht!$E$7:$M$83,3,FALSE)))),IF($Y88&gt;80,(MROUND(($Y88*0.3),(VLOOKUP($X88,Übungsübersicht!$E$7:$M$83,3,FALSE)))),IF($Y88&gt;50,(MROUND(($Y88*0.4),(VLOOKUP($X88,Übungsübersicht!$E$7:$M$83,3,FALSE)))),IF($Y88&gt;25,(MROUND(($Y88*0.5),(VLOOKUP($X88,Übungsübersicht!$E$7:$M$83,3,FALSE)))),IF($Y88&gt;15,(MROUND(($Y88*0.6),(VLOOKUP($X88,Übungsübersicht!$E$7:$M$83,3,FALSE)))),IF($Y88&gt;(VLOOKUP($X88,Übungsübersicht!$E$7:$M$83,3,FALSE)),(VLOOKUP($X88,Übungsübersicht!$E$7:$M$83,3,FALSE)),""))))))),4*(VLOOKUP($X88,Übungsübersicht!$E$7:$M$83,3,FALSE)))</f>
        <v>#N/A</v>
      </c>
      <c r="AC88" s="655" t="e">
        <f ca="1">IFERROR((IF($Y88=0,8*(VLOOKUP($X88,Übungsübersicht!$E$7:$M$83,3,FALSE)),(($Y88)-(3*(VLOOKUP($X88,Übungsübersicht!$E$7:$M$83,3,FALSE)))))),8*(VLOOKUP($X88,Übungsübersicht!$E$7:$M$83,3,FALSE)))</f>
        <v>#N/A</v>
      </c>
      <c r="AD88" s="655" t="e">
        <f ca="1">IFERROR(((IF($Y88=0,10*(VLOOKUP($X88,Übungsübersicht!$E$7:$M$83,3,FALSE)),($Y88)-(2*(VLOOKUP($X88,Übungsübersicht!$E$7:$M$83,3,FALSE)))))),10*(VLOOKUP($X88,Übungsübersicht!$E$7:$M$83,3,FALSE)))</f>
        <v>#N/A</v>
      </c>
      <c r="AE88" s="655" t="e">
        <f ca="1">IFERROR(((IF($Y88=0,10*(VLOOKUP($X88,Übungsübersicht!$E$7:$M$83,3,FALSE)),($Y88)-(1*(VLOOKUP($X88,Übungsübersicht!$E$7:$M$83,3,FALSE)))))),10*(VLOOKUP($X88,Übungsübersicht!$E$7:$M$83,3,FALSE)))</f>
        <v>#N/A</v>
      </c>
      <c r="AF88" s="655" t="e">
        <f ca="1">IFERROR(IF($Y88=0,20*(VLOOKUP($X88,Übungsübersicht!$E$7:$M$83,3,FALSE)),($Y88)),20*(VLOOKUP($X88,Übungsübersicht!$E$7:$M$83,3,FALSE)))</f>
        <v>#N/A</v>
      </c>
      <c r="AG88" s="655" t="e">
        <f ca="1">IFERROR(IF($Y88=0,30*(VLOOKUP($X88,Übungsübersicht!$E$7:$M$83,3,FALSE)),($Y88)+(1*(VLOOKUP($X88,Übungsübersicht!$E$7:$M$83,3,FALSE)))),30*(VLOOKUP($X88,Übungsübersicht!$E$7:$M$83,3,FALSE)))</f>
        <v>#N/A</v>
      </c>
      <c r="AH88" s="655" t="e">
        <f ca="1">IFERROR(IF($Y88=0,30*(VLOOKUP($X88,Übungsübersicht!$E$7:$M$83,3,FALSE)),($Y88)+(2*(VLOOKUP($X88,Übungsübersicht!$E$7:$M$83,3,FALSE)))),30*(VLOOKUP($X88,Übungsübersicht!$E$7:$M$83,3,FALSE)))</f>
        <v>#N/A</v>
      </c>
      <c r="AI88" s="655" t="e">
        <f ca="1">IFERROR(IF($Y88=0,30*(VLOOKUP($X88,Übungsübersicht!$E$7:$M$83,3,FALSE)),($Y88)+(3*(VLOOKUP($X88,Übungsübersicht!$E$7:$M$83,3,FALSE)))),30*(VLOOKUP($X88,Übungsübersicht!$E$7:$M$83,3,FALSE)))</f>
        <v>#N/A</v>
      </c>
      <c r="AJ88" s="655" t="e">
        <f ca="1">IFERROR(IF($Y88=0,40*(VLOOKUP($X88,Übungsübersicht!$E$7:$M$83,3,FALSE)),IF($Y88&gt;100,(MROUND(($Y88*1.7),(VLOOKUP($X88,Übungsübersicht!$E$7:$M$83,3,FALSE)))),IF($Y88&gt;80,(MROUND(($Y88*1.7),(VLOOKUP($X88,Übungsübersicht!$E$7:$M$83,3,FALSE)))),IF($Y88&gt;50,(MROUND(($Y88*1.6),(VLOOKUP($X88,Übungsübersicht!$E$7:$M$83,3,FALSE)))),IF($Y88&gt;25,(MROUND(($Y88*1.5),(VLOOKUP($X88,Übungsübersicht!$E$7:$M$83,3,FALSE)))),IF($Y88&gt;15,(MROUND(($Y88*1.4),(VLOOKUP($X88,Übungsübersicht!$E$7:$M$83,3,FALSE)))),IF($Y88&gt;(VLOOKUP($X88,Übungsübersicht!$E$7:$M$83,3,FALSE)),30*(VLOOKUP($X88,Übungsübersicht!$E$7:$M$83,3,FALSE)),""))))))),40*(VLOOKUP($X88,Übungsübersicht!$E$7:$M$83,3,FALSE)))</f>
        <v>#N/A</v>
      </c>
      <c r="AK88" s="656" t="e">
        <f ca="1">IFERROR(IF($Y88=0,50*(VLOOKUP($X88,Übungsübersicht!$E$7:$M$83,3,FALSE)),IF($Y88&gt;100,(MROUND(($Y88*1.9),(VLOOKUP($X88,Übungsübersicht!$E$7:$M$83,3,FALSE)))),IF($Y88&gt;80,(MROUND(($Y88*1.9),(VLOOKUP($X88,Übungsübersicht!$E$7:$M$83,3,FALSE)))),IF($Y88&gt;50,(MROUND(($Y88*1.8),(VLOOKUP($X88,Übungsübersicht!$E$7:$M$83,3,FALSE)))),IF($Y88&gt;25,(MROUND(($Y88*1.7),(VLOOKUP($X88,Übungsübersicht!$E$7:$M$83,3,FALSE)))),IF($Y88&gt;15,(MROUND(($Y88*1.6),(VLOOKUP($X88,Übungsübersicht!$E$7:$M$83,3,FALSE)))),IF($Y88&gt;(VLOOKUP($X88,Übungsübersicht!$E$7:$M$83,3,FALSE)),40*(VLOOKUP($X88,Übungsübersicht!$E$7:$M$83,3,FALSE)),""))))))),50*(VLOOKUP($X88,Übungsübersicht!$E$7:$M$83,3,FALSE)))</f>
        <v>#N/A</v>
      </c>
      <c r="AN88" s="655" t="e">
        <f ca="1">MROUND(INDEX(OFFSET(Zyklus!$M$13,85,0),1),(IF(VLOOKUP($X88,Übungsübersicht!$E$7:$K$80,3)=0,0.1,(VLOOKUP($X88,Übungsübersicht!$E$7:$K$80,3)))))</f>
        <v>#N/A</v>
      </c>
      <c r="AP88" s="652" t="str">
        <f ca="1">IFERROR(IF(IF(VLOOKUP($X88,Zyklus!$A$14:$U$68,9,FALSE)=0,"RPE 8",IF(VLOOKUP($X88,Übungsübersicht!$E$7:$M$83,3,FALSE)&lt;0.5,($AN88)-(3*0.5),(($AN88)-(3*(VLOOKUP($X88,Übungsübersicht!$E$7:$M$83,3,FALSE))))))&lt;1,0,(IF(VLOOKUP($X88,Zyklus!$A$14:$U$68,9,FALSE)=0,"RPE 8",IF(VLOOKUP($X88,Übungsübersicht!$E$7:$M$83,3,FALSE)&lt;0.5,($AN88)-(3*0.5),(($AN88)-(3*(VLOOKUP($X88,Übungsübersicht!$E$7:$M$83,3,FALSE)))))))),"RPE 8")</f>
        <v>RPE 8</v>
      </c>
      <c r="AQ88" s="652" t="str">
        <f ca="1">IFERROR(IF(IF(VLOOKUP($X88,Zyklus!$A$14:$U$68,9,FALSE)=0,"RPE 8",IF(VLOOKUP($X88,Übungsübersicht!$E$7:$M$83,3,FALSE)&lt;0.5,($AN88)-(2*0.5),(($AN88)-(2*(VLOOKUP($X88,Übungsübersicht!$E$7:$M$83,3,FALSE))))))&lt;1,0,(IF(VLOOKUP($X88,Zyklus!$A$14:$U$68,9,FALSE)=0,"RPE 8",IF(VLOOKUP($X88,Übungsübersicht!$E$7:$M$83,3,FALSE)&lt;0.5,($AN88)-(2*0.5),(($AN88)-(2*(VLOOKUP($X88,Übungsübersicht!$E$7:$M$83,3,FALSE)))))))),"RPE 8")</f>
        <v>RPE 8</v>
      </c>
      <c r="AR88" s="652" t="str">
        <f ca="1">IFERROR(IF(IF(VLOOKUP($X88,Zyklus!$A$14:$U$68,9,FALSE)=0,"RPE 8",IF(VLOOKUP($X88,Übungsübersicht!$E$7:$M$83,3,FALSE)&lt;0.5,($AN88)-(1*0.5),(($Y88)-(1*(VLOOKUP($X88,Übungsübersicht!$E$7:$M$83,3,FALSE))))))&lt;1,0,(IF(VLOOKUP($X88,Zyklus!$A$14:$U$68,9,FALSE)=0,"RPE 8",IF(VLOOKUP($X88,Übungsübersicht!$E$7:$M$83,3,FALSE)&lt;0.5,($AN88)-(1*0.5),(($Y88)-(1*(VLOOKUP($X88,Übungsübersicht!$E$7:$M$83,3,FALSE)))))))),"RPE 8")</f>
        <v>RPE 8</v>
      </c>
      <c r="AS88" s="652" t="str">
        <f t="shared" ca="1" si="6"/>
        <v>RPE 8</v>
      </c>
      <c r="AT88" s="652" t="str">
        <f ca="1">IFERROR(IF(VLOOKUP($X88,Zyklus!$A$14:$U$68,9,FALSE)=0,"RPE 8",IF(VLOOKUP($X88,Übungsübersicht!$E$7:$M$83,3,FALSE)&lt;0.5,($AN88)+(1*0.5),(($Y88)+(1*(VLOOKUP($X88,Übungsübersicht!$E$7:$M$83,3,FALSE)))))),"RPE 8")</f>
        <v>RPE 8</v>
      </c>
      <c r="AU88" s="652" t="str">
        <f ca="1">IFERROR(IF(VLOOKUP($X88,Zyklus!$A$14:$U$68,9,FALSE)=0,"RPE 8",IF(VLOOKUP($X88,Übungsübersicht!$E$7:$M$83,3,FALSE)&lt;0.5,($AN88)+(2*0.5),(($AN88)+(2*(VLOOKUP($X88,Übungsübersicht!$E$7:$M$83,3,FALSE)))))),"RPE 8")</f>
        <v>RPE 8</v>
      </c>
      <c r="AV88" s="652" t="str">
        <f ca="1">IFERROR(IF(VLOOKUP($X88,Zyklus!$A$14:$U$68,9,FALSE)=0,"RPE 8",IF(VLOOKUP($X88,Übungsübersicht!$E$7:$M$83,3,FALSE)&lt;0.5,($AN88)+(3*0.5),(($AN88)+(3*(VLOOKUP($X88,Übungsübersicht!$E$7:$M$83,3,FALSE)))))),"RPE 8")</f>
        <v>RPE 8</v>
      </c>
      <c r="AY88" s="655" t="e">
        <f ca="1">MROUND(INDEX(OFFSET(Zyklus!$M$13,85,0),1),(IF(VLOOKUP($X88,Übungsübersicht!$E$7:$K$80,3)=0,0.1,(VLOOKUP($X88,Übungsübersicht!$E$7:$K$80,3)))))</f>
        <v>#N/A</v>
      </c>
      <c r="BA88" s="652" t="e">
        <f ca="1">MROUND(INDEX(OFFSET(Zyklus!$Q$13,85,0),1),(IF(VLOOKUP($X88,Übungsübersicht!$E$7:$K$80,3)=0,0.1,(VLOOKUP($X88,Übungsübersicht!$E$7:$K$80,3)))))</f>
        <v>#N/A</v>
      </c>
      <c r="BC88" s="652" t="str">
        <f ca="1">IFERROR(IF(IF(VLOOKUP($X88,Zyklus!$A$14:$U$68,9,FALSE)=0,"RPE 9",IF(VLOOKUP($X88,Übungsübersicht!$E$7:$M$83,3,FALSE)&lt;0.5,($BA88)-(3*0.5),(($BA88)-(3*(VLOOKUP($X88,Übungsübersicht!$E$7:$M$83,3,FALSE))))))&lt;1,0,(IF(VLOOKUP($X88,Zyklus!$A$14:$U$68,9,FALSE)=0,"RPE 9",IF(VLOOKUP($X88,Übungsübersicht!$E$7:$M$83,3,FALSE)&lt;0.5,($BA88)-(3*0.5),(($BA88)-(3*(VLOOKUP($X88,Übungsübersicht!$E$7:$M$83,3,FALSE)))))))),"RPE 9")</f>
        <v>RPE 9</v>
      </c>
      <c r="BD88" s="652" t="str">
        <f ca="1">IFERROR(IF(IF(VLOOKUP($X88,Zyklus!$A$14:$U$68,9,FALSE)=0,"RPE 9",IF(VLOOKUP($X88,Übungsübersicht!$E$7:$M$83,3,FALSE)&lt;0.5,($BA88)-(2*0.5),(($BA88)-(2*(VLOOKUP($X88,Übungsübersicht!$E$7:$M$83,3,FALSE))))))&lt;1,0,(IF(VLOOKUP($X88,Zyklus!$A$14:$U$68,9,FALSE)=0,"RPE 9",IF(VLOOKUP($X88,Übungsübersicht!$E$7:$M$83,3,FALSE)&lt;0.5,($BA88)-(2*0.5),(($BA88)-(2*(VLOOKUP($X88,Übungsübersicht!$E$7:$M$83,3,FALSE)))))))),"RPE 9")</f>
        <v>RPE 9</v>
      </c>
      <c r="BE88" s="652" t="str">
        <f ca="1">IFERROR(IF(IF(VLOOKUP($X88,Zyklus!$A$14:$U$68,9,FALSE)=0,"RPE 9",IF(VLOOKUP($X88,Übungsübersicht!$E$7:$M$83,3,FALSE)&lt;0.5,($BA88)-(1*0.5),(($Y88)-(1*(VLOOKUP($X88,Übungsübersicht!$E$7:$M$83,3,FALSE))))))&lt;1,0,(IF(VLOOKUP($X88,Zyklus!$A$14:$U$68,9,FALSE)=0,"RPE 9",IF(VLOOKUP($X88,Übungsübersicht!$E$7:$M$83,3,FALSE)&lt;0.5,($BA88)-(1*0.5),(($Y88)-(1*(VLOOKUP($X88,Übungsübersicht!$E$7:$M$83,3,FALSE)))))))),"RPE 9")</f>
        <v>RPE 9</v>
      </c>
      <c r="BF88" s="652" t="str">
        <f t="shared" ca="1" si="7"/>
        <v>RPE 9</v>
      </c>
      <c r="BG88" s="652" t="str">
        <f ca="1">IFERROR(IF(VLOOKUP($X88,Zyklus!$A$14:$U$68,9,FALSE)=0,"RPE 9",IF(VLOOKUP($X88,Übungsübersicht!$E$7:$M$83,3,FALSE)&lt;0.5,($AY88)+(1*0.5),(($AY88)+(1*(VLOOKUP($X88,Übungsübersicht!$E$7:$M$83,3,FALSE)))))),"RPE 9")</f>
        <v>RPE 9</v>
      </c>
      <c r="BH88" s="652" t="str">
        <f ca="1">IFERROR(IF(VLOOKUP($X88,Zyklus!$A$14:$U$68,9,FALSE)=0,"RPE 9",IF(VLOOKUP($X88,Übungsübersicht!$E$7:$M$83,3,FALSE)&lt;0.5,($BA88)+(2*0.5),(($BA88)+(2*(VLOOKUP($X88,Übungsübersicht!$E$7:$M$83,3,FALSE)))))),"RPE 9")</f>
        <v>RPE 9</v>
      </c>
      <c r="BI88" s="652" t="str">
        <f ca="1">IFERROR(IF(VLOOKUP($X88,Zyklus!$A$14:$U$68,9,FALSE)=0,"RPE 9",IF(VLOOKUP($X88,Übungsübersicht!$E$7:$M$83,3,FALSE)&lt;0.5,($BA88)+(3*0.5),(($BA88)+(3*(VLOOKUP($X88,Übungsübersicht!$E$7:$M$83,3,FALSE)))))),"RPE 9")</f>
        <v>RPE 9</v>
      </c>
    </row>
    <row r="89" spans="8:61" ht="30" customHeight="1">
      <c r="H89" s="326">
        <v>68</v>
      </c>
      <c r="I89" s="323">
        <f t="shared" si="9"/>
        <v>36.734693877551024</v>
      </c>
      <c r="J89" s="344">
        <f t="shared" si="8"/>
        <v>0.30612244897959184</v>
      </c>
      <c r="X89" s="651">
        <f ca="1">INDEX(OFFSET(Zyklus!$A$13,86,0),1)</f>
        <v>0</v>
      </c>
      <c r="Y89" s="652" t="e">
        <f ca="1">MROUND(INDEX(OFFSET(Zyklus!$I$13,86,0),1),(IF(VLOOKUP($X89,Übungsübersicht!$E$7:$K$80,3)=0,0.1,(VLOOKUP($X89,Übungsübersicht!$E$7:$K$80,3)))))</f>
        <v>#N/A</v>
      </c>
      <c r="Z89" s="652"/>
      <c r="AA89" s="652" t="e">
        <f ca="1">IFERROR(IF($Y89=0,2*(VLOOKUP($X89,Übungsübersicht!$E$7:$M$83,3,FALSE)),IF($Y89&gt;100,(MROUND(($Y89*0.1),(VLOOKUP($X89,Übungsübersicht!$E$7:$M$83,3,FALSE)))),IF($Y89&gt;80,(MROUND(($Y89*0.1),(VLOOKUP($X89,Übungsübersicht!$E$7:$M$83,3,FALSE)))),IF($Y89&gt;50,(MROUND(($Y89*0.2),(VLOOKUP($X89,Übungsübersicht!$E$7:$M$83,3,FALSE)))),IF($Y89&gt;25,(MROUND(($Y89*0.3),(VLOOKUP($X89,Übungsübersicht!$E$7:$M$83,3,FALSE)))),IF($Y89&gt;15,(MROUND(($Y89*0.4),(VLOOKUP($X89,Übungsübersicht!$E$7:$M$83,3,FALSE)))),IF($Y89&gt;(VLOOKUP($X89,Übungsübersicht!$E$7:$M$83,3,FALSE)),(VLOOKUP($X89,Übungsübersicht!$E$7:$M$83,3,FALSE)),""))))))),2*(VLOOKUP($X89,Übungsübersicht!$E$7:$M$83,3,FALSE)))</f>
        <v>#N/A</v>
      </c>
      <c r="AB89" s="652" t="e">
        <f ca="1">IFERROR(IF($Y89=0,4*(VLOOKUP($X89,Übungsübersicht!$E$7:$M$83,3,FALSE)),IF($Y89&gt;100,(MROUND(($Y89*0.3),(VLOOKUP($X89,Übungsübersicht!$E$7:$M$83,3,FALSE)))),IF($Y89&gt;80,(MROUND(($Y89*0.3),(VLOOKUP($X89,Übungsübersicht!$E$7:$M$83,3,FALSE)))),IF($Y89&gt;50,(MROUND(($Y89*0.4),(VLOOKUP($X89,Übungsübersicht!$E$7:$M$83,3,FALSE)))),IF($Y89&gt;25,(MROUND(($Y89*0.5),(VLOOKUP($X89,Übungsübersicht!$E$7:$M$83,3,FALSE)))),IF($Y89&gt;15,(MROUND(($Y89*0.6),(VLOOKUP($X89,Übungsübersicht!$E$7:$M$83,3,FALSE)))),IF($Y89&gt;(VLOOKUP($X89,Übungsübersicht!$E$7:$M$83,3,FALSE)),(VLOOKUP($X89,Übungsübersicht!$E$7:$M$83,3,FALSE)),""))))))),4*(VLOOKUP($X89,Übungsübersicht!$E$7:$M$83,3,FALSE)))</f>
        <v>#N/A</v>
      </c>
      <c r="AC89" s="652" t="e">
        <f ca="1">IFERROR((IF($Y89=0,8*(VLOOKUP($X89,Übungsübersicht!$E$7:$M$83,3,FALSE)),(($Y89)-(3*(VLOOKUP($X89,Übungsübersicht!$E$7:$M$83,3,FALSE)))))),8*(VLOOKUP($X89,Übungsübersicht!$E$7:$M$83,3,FALSE)))</f>
        <v>#N/A</v>
      </c>
      <c r="AD89" s="652" t="e">
        <f ca="1">IFERROR(((IF($Y89=0,10*(VLOOKUP($X89,Übungsübersicht!$E$7:$M$83,3,FALSE)),($Y89)-(2*(VLOOKUP($X89,Übungsübersicht!$E$7:$M$83,3,FALSE)))))),10*(VLOOKUP($X89,Übungsübersicht!$E$7:$M$83,3,FALSE)))</f>
        <v>#N/A</v>
      </c>
      <c r="AE89" s="652" t="e">
        <f ca="1">IFERROR(((IF($Y89=0,10*(VLOOKUP($X89,Übungsübersicht!$E$7:$M$83,3,FALSE)),($Y89)-(1*(VLOOKUP($X89,Übungsübersicht!$E$7:$M$83,3,FALSE)))))),10*(VLOOKUP($X89,Übungsübersicht!$E$7:$M$83,3,FALSE)))</f>
        <v>#N/A</v>
      </c>
      <c r="AF89" s="652" t="e">
        <f ca="1">IFERROR(IF($Y89=0,20*(VLOOKUP($X89,Übungsübersicht!$E$7:$M$83,3,FALSE)),($Y89)),20*(VLOOKUP($X89,Übungsübersicht!$E$7:$M$83,3,FALSE)))</f>
        <v>#N/A</v>
      </c>
      <c r="AG89" s="652" t="e">
        <f ca="1">IFERROR(IF($Y89=0,30*(VLOOKUP($X89,Übungsübersicht!$E$7:$M$83,3,FALSE)),($Y89)+(1*(VLOOKUP($X89,Übungsübersicht!$E$7:$M$83,3,FALSE)))),30*(VLOOKUP($X89,Übungsübersicht!$E$7:$M$83,3,FALSE)))</f>
        <v>#N/A</v>
      </c>
      <c r="AH89" s="652" t="e">
        <f ca="1">IFERROR(IF($Y89=0,30*(VLOOKUP($X89,Übungsübersicht!$E$7:$M$83,3,FALSE)),($Y89)+(2*(VLOOKUP($X89,Übungsübersicht!$E$7:$M$83,3,FALSE)))),30*(VLOOKUP($X89,Übungsübersicht!$E$7:$M$83,3,FALSE)))</f>
        <v>#N/A</v>
      </c>
      <c r="AI89" s="652" t="e">
        <f ca="1">IFERROR(IF($Y89=0,30*(VLOOKUP($X89,Übungsübersicht!$E$7:$M$83,3,FALSE)),($Y89)+(3*(VLOOKUP($X89,Übungsübersicht!$E$7:$M$83,3,FALSE)))),30*(VLOOKUP($X89,Übungsübersicht!$E$7:$M$83,3,FALSE)))</f>
        <v>#N/A</v>
      </c>
      <c r="AJ89" s="652" t="e">
        <f ca="1">IFERROR(IF($Y89=0,40*(VLOOKUP($X89,Übungsübersicht!$E$7:$M$83,3,FALSE)),IF($Y89&gt;100,(MROUND(($Y89*1.7),(VLOOKUP($X89,Übungsübersicht!$E$7:$M$83,3,FALSE)))),IF($Y89&gt;80,(MROUND(($Y89*1.7),(VLOOKUP($X89,Übungsübersicht!$E$7:$M$83,3,FALSE)))),IF($Y89&gt;50,(MROUND(($Y89*1.6),(VLOOKUP($X89,Übungsübersicht!$E$7:$M$83,3,FALSE)))),IF($Y89&gt;25,(MROUND(($Y89*1.5),(VLOOKUP($X89,Übungsübersicht!$E$7:$M$83,3,FALSE)))),IF($Y89&gt;15,(MROUND(($Y89*1.4),(VLOOKUP($X89,Übungsübersicht!$E$7:$M$83,3,FALSE)))),IF($Y89&gt;(VLOOKUP($X89,Übungsübersicht!$E$7:$M$83,3,FALSE)),30*(VLOOKUP($X89,Übungsübersicht!$E$7:$M$83,3,FALSE)),""))))))),40*(VLOOKUP($X89,Übungsübersicht!$E$7:$M$83,3,FALSE)))</f>
        <v>#N/A</v>
      </c>
      <c r="AK89" s="653" t="e">
        <f ca="1">IFERROR(IF($Y89=0,50*(VLOOKUP($X89,Übungsübersicht!$E$7:$M$83,3,FALSE)),IF($Y89&gt;100,(MROUND(($Y89*1.9),(VLOOKUP($X89,Übungsübersicht!$E$7:$M$83,3,FALSE)))),IF($Y89&gt;80,(MROUND(($Y89*1.9),(VLOOKUP($X89,Übungsübersicht!$E$7:$M$83,3,FALSE)))),IF($Y89&gt;50,(MROUND(($Y89*1.8),(VLOOKUP($X89,Übungsübersicht!$E$7:$M$83,3,FALSE)))),IF($Y89&gt;25,(MROUND(($Y89*1.7),(VLOOKUP($X89,Übungsübersicht!$E$7:$M$83,3,FALSE)))),IF($Y89&gt;15,(MROUND(($Y89*1.6),(VLOOKUP($X89,Übungsübersicht!$E$7:$M$83,3,FALSE)))),IF($Y89&gt;(VLOOKUP($X89,Übungsübersicht!$E$7:$M$83,3,FALSE)),40*(VLOOKUP($X89,Übungsübersicht!$E$7:$M$83,3,FALSE)),""))))))),50*(VLOOKUP($X89,Übungsübersicht!$E$7:$M$83,3,FALSE)))</f>
        <v>#N/A</v>
      </c>
      <c r="AN89" s="652" t="e">
        <f ca="1">MROUND(INDEX(OFFSET(Zyklus!$M$13,86,0),1),(IF(VLOOKUP($X89,Übungsübersicht!$E$7:$K$80,3)=0,0.1,(VLOOKUP($X89,Übungsübersicht!$E$7:$K$80,3)))))</f>
        <v>#N/A</v>
      </c>
      <c r="AP89" s="655" t="str">
        <f ca="1">IFERROR(IF(IF(VLOOKUP($X89,Zyklus!$A$14:$U$68,9,FALSE)=0,"RPE 8",IF(VLOOKUP($X89,Übungsübersicht!$E$7:$M$83,3,FALSE)&lt;0.5,($AN89)-(3*0.5),(($AN89)-(3*(VLOOKUP($X89,Übungsübersicht!$E$7:$M$83,3,FALSE))))))&lt;1,0,(IF(VLOOKUP($X89,Zyklus!$A$14:$U$68,9,FALSE)=0,"RPE 8",IF(VLOOKUP($X89,Übungsübersicht!$E$7:$M$83,3,FALSE)&lt;0.5,($AN89)-(3*0.5),(($AN89)-(3*(VLOOKUP($X89,Übungsübersicht!$E$7:$M$83,3,FALSE)))))))),"RPE 8")</f>
        <v>RPE 8</v>
      </c>
      <c r="AQ89" s="655" t="str">
        <f ca="1">IFERROR(IF(IF(VLOOKUP($X89,Zyklus!$A$14:$U$68,9,FALSE)=0,"RPE 8",IF(VLOOKUP($X89,Übungsübersicht!$E$7:$M$83,3,FALSE)&lt;0.5,($AN89)-(2*0.5),(($AN89)-(2*(VLOOKUP($X89,Übungsübersicht!$E$7:$M$83,3,FALSE))))))&lt;1,0,(IF(VLOOKUP($X89,Zyklus!$A$14:$U$68,9,FALSE)=0,"RPE 8",IF(VLOOKUP($X89,Übungsübersicht!$E$7:$M$83,3,FALSE)&lt;0.5,($AN89)-(2*0.5),(($AN89)-(2*(VLOOKUP($X89,Übungsübersicht!$E$7:$M$83,3,FALSE)))))))),"RPE 8")</f>
        <v>RPE 8</v>
      </c>
      <c r="AR89" s="655" t="str">
        <f ca="1">IFERROR(IF(IF(VLOOKUP($X89,Zyklus!$A$14:$U$68,9,FALSE)=0,"RPE 8",IF(VLOOKUP($X89,Übungsübersicht!$E$7:$M$83,3,FALSE)&lt;0.5,($AN89)-(1*0.5),(($Y89)-(1*(VLOOKUP($X89,Übungsübersicht!$E$7:$M$83,3,FALSE))))))&lt;1,0,(IF(VLOOKUP($X89,Zyklus!$A$14:$U$68,9,FALSE)=0,"RPE 8",IF(VLOOKUP($X89,Übungsübersicht!$E$7:$M$83,3,FALSE)&lt;0.5,($AN89)-(1*0.5),(($Y89)-(1*(VLOOKUP($X89,Übungsübersicht!$E$7:$M$83,3,FALSE)))))))),"RPE 8")</f>
        <v>RPE 8</v>
      </c>
      <c r="AS89" s="655" t="str">
        <f t="shared" ca="1" si="6"/>
        <v>RPE 8</v>
      </c>
      <c r="AT89" s="655" t="str">
        <f ca="1">IFERROR(IF(VLOOKUP($X89,Zyklus!$A$14:$U$68,9,FALSE)=0,"RPE 8",IF(VLOOKUP($X89,Übungsübersicht!$E$7:$M$83,3,FALSE)&lt;0.5,($AN89)+(1*0.5),(($Y89)+(1*(VLOOKUP($X89,Übungsübersicht!$E$7:$M$83,3,FALSE)))))),"RPE 8")</f>
        <v>RPE 8</v>
      </c>
      <c r="AU89" s="655" t="str">
        <f ca="1">IFERROR(IF(VLOOKUP($X89,Zyklus!$A$14:$U$68,9,FALSE)=0,"RPE 8",IF(VLOOKUP($X89,Übungsübersicht!$E$7:$M$83,3,FALSE)&lt;0.5,($AN89)+(2*0.5),(($AN89)+(2*(VLOOKUP($X89,Übungsübersicht!$E$7:$M$83,3,FALSE)))))),"RPE 8")</f>
        <v>RPE 8</v>
      </c>
      <c r="AV89" s="655" t="str">
        <f ca="1">IFERROR(IF(VLOOKUP($X89,Zyklus!$A$14:$U$68,9,FALSE)=0,"RPE 8",IF(VLOOKUP($X89,Übungsübersicht!$E$7:$M$83,3,FALSE)&lt;0.5,($AN89)+(3*0.5),(($AN89)+(3*(VLOOKUP($X89,Übungsübersicht!$E$7:$M$83,3,FALSE)))))),"RPE 8")</f>
        <v>RPE 8</v>
      </c>
      <c r="AY89" s="652" t="e">
        <f ca="1">MROUND(INDEX(OFFSET(Zyklus!$M$13,86,0),1),(IF(VLOOKUP($X89,Übungsübersicht!$E$7:$K$80,3)=0,0.1,(VLOOKUP($X89,Übungsübersicht!$E$7:$K$80,3)))))</f>
        <v>#N/A</v>
      </c>
      <c r="BA89" s="655" t="e">
        <f ca="1">MROUND(INDEX(OFFSET(Zyklus!$Q$13,86,0),1),(IF(VLOOKUP($X89,Übungsübersicht!$E$7:$K$80,3)=0,0.1,(VLOOKUP($X89,Übungsübersicht!$E$7:$K$80,3)))))</f>
        <v>#N/A</v>
      </c>
      <c r="BC89" s="655" t="str">
        <f ca="1">IFERROR(IF(IF(VLOOKUP($X89,Zyklus!$A$14:$U$68,9,FALSE)=0,"RPE 9",IF(VLOOKUP($X89,Übungsübersicht!$E$7:$M$83,3,FALSE)&lt;0.5,($BA89)-(3*0.5),(($BA89)-(3*(VLOOKUP($X89,Übungsübersicht!$E$7:$M$83,3,FALSE))))))&lt;1,0,(IF(VLOOKUP($X89,Zyklus!$A$14:$U$68,9,FALSE)=0,"RPE 9",IF(VLOOKUP($X89,Übungsübersicht!$E$7:$M$83,3,FALSE)&lt;0.5,($BA89)-(3*0.5),(($BA89)-(3*(VLOOKUP($X89,Übungsübersicht!$E$7:$M$83,3,FALSE)))))))),"RPE 9")</f>
        <v>RPE 9</v>
      </c>
      <c r="BD89" s="655" t="str">
        <f ca="1">IFERROR(IF(IF(VLOOKUP($X89,Zyklus!$A$14:$U$68,9,FALSE)=0,"RPE 9",IF(VLOOKUP($X89,Übungsübersicht!$E$7:$M$83,3,FALSE)&lt;0.5,($BA89)-(2*0.5),(($BA89)-(2*(VLOOKUP($X89,Übungsübersicht!$E$7:$M$83,3,FALSE))))))&lt;1,0,(IF(VLOOKUP($X89,Zyklus!$A$14:$U$68,9,FALSE)=0,"RPE 9",IF(VLOOKUP($X89,Übungsübersicht!$E$7:$M$83,3,FALSE)&lt;0.5,($BA89)-(2*0.5),(($BA89)-(2*(VLOOKUP($X89,Übungsübersicht!$E$7:$M$83,3,FALSE)))))))),"RPE 9")</f>
        <v>RPE 9</v>
      </c>
      <c r="BE89" s="655" t="str">
        <f ca="1">IFERROR(IF(IF(VLOOKUP($X89,Zyklus!$A$14:$U$68,9,FALSE)=0,"RPE 9",IF(VLOOKUP($X89,Übungsübersicht!$E$7:$M$83,3,FALSE)&lt;0.5,($BA89)-(1*0.5),(($Y89)-(1*(VLOOKUP($X89,Übungsübersicht!$E$7:$M$83,3,FALSE))))))&lt;1,0,(IF(VLOOKUP($X89,Zyklus!$A$14:$U$68,9,FALSE)=0,"RPE 9",IF(VLOOKUP($X89,Übungsübersicht!$E$7:$M$83,3,FALSE)&lt;0.5,($BA89)-(1*0.5),(($Y89)-(1*(VLOOKUP($X89,Übungsübersicht!$E$7:$M$83,3,FALSE)))))))),"RPE 9")</f>
        <v>RPE 9</v>
      </c>
      <c r="BF89" s="655" t="str">
        <f t="shared" ca="1" si="7"/>
        <v>RPE 9</v>
      </c>
      <c r="BG89" s="655" t="str">
        <f ca="1">IFERROR(IF(VLOOKUP($X89,Zyklus!$A$14:$U$68,9,FALSE)=0,"RPE 9",IF(VLOOKUP($X89,Übungsübersicht!$E$7:$M$83,3,FALSE)&lt;0.5,($AY89)+(1*0.5),(($AY89)+(1*(VLOOKUP($X89,Übungsübersicht!$E$7:$M$83,3,FALSE)))))),"RPE 9")</f>
        <v>RPE 9</v>
      </c>
      <c r="BH89" s="655" t="str">
        <f ca="1">IFERROR(IF(VLOOKUP($X89,Zyklus!$A$14:$U$68,9,FALSE)=0,"RPE 9",IF(VLOOKUP($X89,Übungsübersicht!$E$7:$M$83,3,FALSE)&lt;0.5,($BA89)+(2*0.5),(($BA89)+(2*(VLOOKUP($X89,Übungsübersicht!$E$7:$M$83,3,FALSE)))))),"RPE 9")</f>
        <v>RPE 9</v>
      </c>
      <c r="BI89" s="655" t="str">
        <f ca="1">IFERROR(IF(VLOOKUP($X89,Zyklus!$A$14:$U$68,9,FALSE)=0,"RPE 9",IF(VLOOKUP($X89,Übungsübersicht!$E$7:$M$83,3,FALSE)&lt;0.5,($BA89)+(3*0.5),(($BA89)+(3*(VLOOKUP($X89,Übungsübersicht!$E$7:$M$83,3,FALSE)))))),"RPE 9")</f>
        <v>RPE 9</v>
      </c>
    </row>
    <row r="90" spans="8:61" ht="30" customHeight="1">
      <c r="H90" s="326">
        <v>69</v>
      </c>
      <c r="I90" s="323">
        <f t="shared" si="9"/>
        <v>36.363636363636367</v>
      </c>
      <c r="J90" s="344">
        <f t="shared" si="8"/>
        <v>0.30303030303030304</v>
      </c>
      <c r="X90" s="654">
        <f ca="1">INDEX(OFFSET(Zyklus!$A$13,87,0),1)</f>
        <v>0</v>
      </c>
      <c r="Y90" s="655" t="e">
        <f ca="1">MROUND(INDEX(OFFSET(Zyklus!$I$13,87,0),1),(IF(VLOOKUP($X90,Übungsübersicht!$E$7:$K$80,3)=0,0.1,(VLOOKUP($X90,Übungsübersicht!$E$7:$K$80,3)))))</f>
        <v>#N/A</v>
      </c>
      <c r="Z90" s="655"/>
      <c r="AA90" s="655" t="e">
        <f ca="1">IFERROR(IF($Y90=0,2*(VLOOKUP($X90,Übungsübersicht!$E$7:$M$83,3,FALSE)),IF($Y90&gt;100,(MROUND(($Y90*0.1),(VLOOKUP($X90,Übungsübersicht!$E$7:$M$83,3,FALSE)))),IF($Y90&gt;80,(MROUND(($Y90*0.1),(VLOOKUP($X90,Übungsübersicht!$E$7:$M$83,3,FALSE)))),IF($Y90&gt;50,(MROUND(($Y90*0.2),(VLOOKUP($X90,Übungsübersicht!$E$7:$M$83,3,FALSE)))),IF($Y90&gt;25,(MROUND(($Y90*0.3),(VLOOKUP($X90,Übungsübersicht!$E$7:$M$83,3,FALSE)))),IF($Y90&gt;15,(MROUND(($Y90*0.4),(VLOOKUP($X90,Übungsübersicht!$E$7:$M$83,3,FALSE)))),IF($Y90&gt;(VLOOKUP($X90,Übungsübersicht!$E$7:$M$83,3,FALSE)),(VLOOKUP($X90,Übungsübersicht!$E$7:$M$83,3,FALSE)),""))))))),2*(VLOOKUP($X90,Übungsübersicht!$E$7:$M$83,3,FALSE)))</f>
        <v>#N/A</v>
      </c>
      <c r="AB90" s="655" t="e">
        <f ca="1">IFERROR(IF($Y90=0,4*(VLOOKUP($X90,Übungsübersicht!$E$7:$M$83,3,FALSE)),IF($Y90&gt;100,(MROUND(($Y90*0.3),(VLOOKUP($X90,Übungsübersicht!$E$7:$M$83,3,FALSE)))),IF($Y90&gt;80,(MROUND(($Y90*0.3),(VLOOKUP($X90,Übungsübersicht!$E$7:$M$83,3,FALSE)))),IF($Y90&gt;50,(MROUND(($Y90*0.4),(VLOOKUP($X90,Übungsübersicht!$E$7:$M$83,3,FALSE)))),IF($Y90&gt;25,(MROUND(($Y90*0.5),(VLOOKUP($X90,Übungsübersicht!$E$7:$M$83,3,FALSE)))),IF($Y90&gt;15,(MROUND(($Y90*0.6),(VLOOKUP($X90,Übungsübersicht!$E$7:$M$83,3,FALSE)))),IF($Y90&gt;(VLOOKUP($X90,Übungsübersicht!$E$7:$M$83,3,FALSE)),(VLOOKUP($X90,Übungsübersicht!$E$7:$M$83,3,FALSE)),""))))))),4*(VLOOKUP($X90,Übungsübersicht!$E$7:$M$83,3,FALSE)))</f>
        <v>#N/A</v>
      </c>
      <c r="AC90" s="655" t="e">
        <f ca="1">IFERROR((IF($Y90=0,8*(VLOOKUP($X90,Übungsübersicht!$E$7:$M$83,3,FALSE)),(($Y90)-(3*(VLOOKUP($X90,Übungsübersicht!$E$7:$M$83,3,FALSE)))))),8*(VLOOKUP($X90,Übungsübersicht!$E$7:$M$83,3,FALSE)))</f>
        <v>#N/A</v>
      </c>
      <c r="AD90" s="655" t="e">
        <f ca="1">IFERROR(((IF($Y90=0,10*(VLOOKUP($X90,Übungsübersicht!$E$7:$M$83,3,FALSE)),($Y90)-(2*(VLOOKUP($X90,Übungsübersicht!$E$7:$M$83,3,FALSE)))))),10*(VLOOKUP($X90,Übungsübersicht!$E$7:$M$83,3,FALSE)))</f>
        <v>#N/A</v>
      </c>
      <c r="AE90" s="655" t="e">
        <f ca="1">IFERROR(((IF($Y90=0,10*(VLOOKUP($X90,Übungsübersicht!$E$7:$M$83,3,FALSE)),($Y90)-(1*(VLOOKUP($X90,Übungsübersicht!$E$7:$M$83,3,FALSE)))))),10*(VLOOKUP($X90,Übungsübersicht!$E$7:$M$83,3,FALSE)))</f>
        <v>#N/A</v>
      </c>
      <c r="AF90" s="655" t="e">
        <f ca="1">IFERROR(IF($Y90=0,20*(VLOOKUP($X90,Übungsübersicht!$E$7:$M$83,3,FALSE)),($Y90)),20*(VLOOKUP($X90,Übungsübersicht!$E$7:$M$83,3,FALSE)))</f>
        <v>#N/A</v>
      </c>
      <c r="AG90" s="655" t="e">
        <f ca="1">IFERROR(IF($Y90=0,30*(VLOOKUP($X90,Übungsübersicht!$E$7:$M$83,3,FALSE)),($Y90)+(1*(VLOOKUP($X90,Übungsübersicht!$E$7:$M$83,3,FALSE)))),30*(VLOOKUP($X90,Übungsübersicht!$E$7:$M$83,3,FALSE)))</f>
        <v>#N/A</v>
      </c>
      <c r="AH90" s="655" t="e">
        <f ca="1">IFERROR(IF($Y90=0,30*(VLOOKUP($X90,Übungsübersicht!$E$7:$M$83,3,FALSE)),($Y90)+(2*(VLOOKUP($X90,Übungsübersicht!$E$7:$M$83,3,FALSE)))),30*(VLOOKUP($X90,Übungsübersicht!$E$7:$M$83,3,FALSE)))</f>
        <v>#N/A</v>
      </c>
      <c r="AI90" s="655" t="e">
        <f ca="1">IFERROR(IF($Y90=0,30*(VLOOKUP($X90,Übungsübersicht!$E$7:$M$83,3,FALSE)),($Y90)+(3*(VLOOKUP($X90,Übungsübersicht!$E$7:$M$83,3,FALSE)))),30*(VLOOKUP($X90,Übungsübersicht!$E$7:$M$83,3,FALSE)))</f>
        <v>#N/A</v>
      </c>
      <c r="AJ90" s="655" t="e">
        <f ca="1">IFERROR(IF($Y90=0,40*(VLOOKUP($X90,Übungsübersicht!$E$7:$M$83,3,FALSE)),IF($Y90&gt;100,(MROUND(($Y90*1.7),(VLOOKUP($X90,Übungsübersicht!$E$7:$M$83,3,FALSE)))),IF($Y90&gt;80,(MROUND(($Y90*1.7),(VLOOKUP($X90,Übungsübersicht!$E$7:$M$83,3,FALSE)))),IF($Y90&gt;50,(MROUND(($Y90*1.6),(VLOOKUP($X90,Übungsübersicht!$E$7:$M$83,3,FALSE)))),IF($Y90&gt;25,(MROUND(($Y90*1.5),(VLOOKUP($X90,Übungsübersicht!$E$7:$M$83,3,FALSE)))),IF($Y90&gt;15,(MROUND(($Y90*1.4),(VLOOKUP($X90,Übungsübersicht!$E$7:$M$83,3,FALSE)))),IF($Y90&gt;(VLOOKUP($X90,Übungsübersicht!$E$7:$M$83,3,FALSE)),30*(VLOOKUP($X90,Übungsübersicht!$E$7:$M$83,3,FALSE)),""))))))),40*(VLOOKUP($X90,Übungsübersicht!$E$7:$M$83,3,FALSE)))</f>
        <v>#N/A</v>
      </c>
      <c r="AK90" s="656" t="e">
        <f ca="1">IFERROR(IF($Y90=0,50*(VLOOKUP($X90,Übungsübersicht!$E$7:$M$83,3,FALSE)),IF($Y90&gt;100,(MROUND(($Y90*1.9),(VLOOKUP($X90,Übungsübersicht!$E$7:$M$83,3,FALSE)))),IF($Y90&gt;80,(MROUND(($Y90*1.9),(VLOOKUP($X90,Übungsübersicht!$E$7:$M$83,3,FALSE)))),IF($Y90&gt;50,(MROUND(($Y90*1.8),(VLOOKUP($X90,Übungsübersicht!$E$7:$M$83,3,FALSE)))),IF($Y90&gt;25,(MROUND(($Y90*1.7),(VLOOKUP($X90,Übungsübersicht!$E$7:$M$83,3,FALSE)))),IF($Y90&gt;15,(MROUND(($Y90*1.6),(VLOOKUP($X90,Übungsübersicht!$E$7:$M$83,3,FALSE)))),IF($Y90&gt;(VLOOKUP($X90,Übungsübersicht!$E$7:$M$83,3,FALSE)),40*(VLOOKUP($X90,Übungsübersicht!$E$7:$M$83,3,FALSE)),""))))))),50*(VLOOKUP($X90,Übungsübersicht!$E$7:$M$83,3,FALSE)))</f>
        <v>#N/A</v>
      </c>
      <c r="AN90" s="655" t="e">
        <f ca="1">MROUND(INDEX(OFFSET(Zyklus!$M$13,87,0),1),(IF(VLOOKUP($X90,Übungsübersicht!$E$7:$K$80,3)=0,0.1,(VLOOKUP($X90,Übungsübersicht!$E$7:$K$80,3)))))</f>
        <v>#N/A</v>
      </c>
      <c r="AP90" s="652" t="str">
        <f ca="1">IFERROR(IF(IF(VLOOKUP($X90,Zyklus!$A$14:$U$68,9,FALSE)=0,"RPE 8",IF(VLOOKUP($X90,Übungsübersicht!$E$7:$M$83,3,FALSE)&lt;0.5,($AN90)-(3*0.5),(($AN90)-(3*(VLOOKUP($X90,Übungsübersicht!$E$7:$M$83,3,FALSE))))))&lt;1,0,(IF(VLOOKUP($X90,Zyklus!$A$14:$U$68,9,FALSE)=0,"RPE 8",IF(VLOOKUP($X90,Übungsübersicht!$E$7:$M$83,3,FALSE)&lt;0.5,($AN90)-(3*0.5),(($AN90)-(3*(VLOOKUP($X90,Übungsübersicht!$E$7:$M$83,3,FALSE)))))))),"RPE 8")</f>
        <v>RPE 8</v>
      </c>
      <c r="AQ90" s="652" t="str">
        <f ca="1">IFERROR(IF(IF(VLOOKUP($X90,Zyklus!$A$14:$U$68,9,FALSE)=0,"RPE 8",IF(VLOOKUP($X90,Übungsübersicht!$E$7:$M$83,3,FALSE)&lt;0.5,($AN90)-(2*0.5),(($AN90)-(2*(VLOOKUP($X90,Übungsübersicht!$E$7:$M$83,3,FALSE))))))&lt;1,0,(IF(VLOOKUP($X90,Zyklus!$A$14:$U$68,9,FALSE)=0,"RPE 8",IF(VLOOKUP($X90,Übungsübersicht!$E$7:$M$83,3,FALSE)&lt;0.5,($AN90)-(2*0.5),(($AN90)-(2*(VLOOKUP($X90,Übungsübersicht!$E$7:$M$83,3,FALSE)))))))),"RPE 8")</f>
        <v>RPE 8</v>
      </c>
      <c r="AR90" s="652" t="str">
        <f ca="1">IFERROR(IF(IF(VLOOKUP($X90,Zyklus!$A$14:$U$68,9,FALSE)=0,"RPE 8",IF(VLOOKUP($X90,Übungsübersicht!$E$7:$M$83,3,FALSE)&lt;0.5,($AN90)-(1*0.5),(($Y90)-(1*(VLOOKUP($X90,Übungsübersicht!$E$7:$M$83,3,FALSE))))))&lt;1,0,(IF(VLOOKUP($X90,Zyklus!$A$14:$U$68,9,FALSE)=0,"RPE 8",IF(VLOOKUP($X90,Übungsübersicht!$E$7:$M$83,3,FALSE)&lt;0.5,($AN90)-(1*0.5),(($Y90)-(1*(VLOOKUP($X90,Übungsübersicht!$E$7:$M$83,3,FALSE)))))))),"RPE 8")</f>
        <v>RPE 8</v>
      </c>
      <c r="AS90" s="652" t="str">
        <f t="shared" ca="1" si="6"/>
        <v>RPE 8</v>
      </c>
      <c r="AT90" s="652" t="str">
        <f ca="1">IFERROR(IF(VLOOKUP($X90,Zyklus!$A$14:$U$68,9,FALSE)=0,"RPE 8",IF(VLOOKUP($X90,Übungsübersicht!$E$7:$M$83,3,FALSE)&lt;0.5,($AN90)+(1*0.5),(($Y90)+(1*(VLOOKUP($X90,Übungsübersicht!$E$7:$M$83,3,FALSE)))))),"RPE 8")</f>
        <v>RPE 8</v>
      </c>
      <c r="AU90" s="652" t="str">
        <f ca="1">IFERROR(IF(VLOOKUP($X90,Zyklus!$A$14:$U$68,9,FALSE)=0,"RPE 8",IF(VLOOKUP($X90,Übungsübersicht!$E$7:$M$83,3,FALSE)&lt;0.5,($AN90)+(2*0.5),(($AN90)+(2*(VLOOKUP($X90,Übungsübersicht!$E$7:$M$83,3,FALSE)))))),"RPE 8")</f>
        <v>RPE 8</v>
      </c>
      <c r="AV90" s="652" t="str">
        <f ca="1">IFERROR(IF(VLOOKUP($X90,Zyklus!$A$14:$U$68,9,FALSE)=0,"RPE 8",IF(VLOOKUP($X90,Übungsübersicht!$E$7:$M$83,3,FALSE)&lt;0.5,($AN90)+(3*0.5),(($AN90)+(3*(VLOOKUP($X90,Übungsübersicht!$E$7:$M$83,3,FALSE)))))),"RPE 8")</f>
        <v>RPE 8</v>
      </c>
      <c r="AY90" s="655" t="e">
        <f ca="1">MROUND(INDEX(OFFSET(Zyklus!$M$13,87,0),1),(IF(VLOOKUP($X90,Übungsübersicht!$E$7:$K$80,3)=0,0.1,(VLOOKUP($X90,Übungsübersicht!$E$7:$K$80,3)))))</f>
        <v>#N/A</v>
      </c>
      <c r="BA90" s="652" t="e">
        <f ca="1">MROUND(INDEX(OFFSET(Zyklus!$Q$13,87,0),1),(IF(VLOOKUP($X90,Übungsübersicht!$E$7:$K$80,3)=0,0.1,(VLOOKUP($X90,Übungsübersicht!$E$7:$K$80,3)))))</f>
        <v>#N/A</v>
      </c>
      <c r="BC90" s="652" t="str">
        <f ca="1">IFERROR(IF(IF(VLOOKUP($X90,Zyklus!$A$14:$U$68,9,FALSE)=0,"RPE 9",IF(VLOOKUP($X90,Übungsübersicht!$E$7:$M$83,3,FALSE)&lt;0.5,($BA90)-(3*0.5),(($BA90)-(3*(VLOOKUP($X90,Übungsübersicht!$E$7:$M$83,3,FALSE))))))&lt;1,0,(IF(VLOOKUP($X90,Zyklus!$A$14:$U$68,9,FALSE)=0,"RPE 9",IF(VLOOKUP($X90,Übungsübersicht!$E$7:$M$83,3,FALSE)&lt;0.5,($BA90)-(3*0.5),(($BA90)-(3*(VLOOKUP($X90,Übungsübersicht!$E$7:$M$83,3,FALSE)))))))),"RPE 9")</f>
        <v>RPE 9</v>
      </c>
      <c r="BD90" s="652" t="str">
        <f ca="1">IFERROR(IF(IF(VLOOKUP($X90,Zyklus!$A$14:$U$68,9,FALSE)=0,"RPE 9",IF(VLOOKUP($X90,Übungsübersicht!$E$7:$M$83,3,FALSE)&lt;0.5,($BA90)-(2*0.5),(($BA90)-(2*(VLOOKUP($X90,Übungsübersicht!$E$7:$M$83,3,FALSE))))))&lt;1,0,(IF(VLOOKUP($X90,Zyklus!$A$14:$U$68,9,FALSE)=0,"RPE 9",IF(VLOOKUP($X90,Übungsübersicht!$E$7:$M$83,3,FALSE)&lt;0.5,($BA90)-(2*0.5),(($BA90)-(2*(VLOOKUP($X90,Übungsübersicht!$E$7:$M$83,3,FALSE)))))))),"RPE 9")</f>
        <v>RPE 9</v>
      </c>
      <c r="BE90" s="652" t="str">
        <f ca="1">IFERROR(IF(IF(VLOOKUP($X90,Zyklus!$A$14:$U$68,9,FALSE)=0,"RPE 9",IF(VLOOKUP($X90,Übungsübersicht!$E$7:$M$83,3,FALSE)&lt;0.5,($BA90)-(1*0.5),(($Y90)-(1*(VLOOKUP($X90,Übungsübersicht!$E$7:$M$83,3,FALSE))))))&lt;1,0,(IF(VLOOKUP($X90,Zyklus!$A$14:$U$68,9,FALSE)=0,"RPE 9",IF(VLOOKUP($X90,Übungsübersicht!$E$7:$M$83,3,FALSE)&lt;0.5,($BA90)-(1*0.5),(($Y90)-(1*(VLOOKUP($X90,Übungsübersicht!$E$7:$M$83,3,FALSE)))))))),"RPE 9")</f>
        <v>RPE 9</v>
      </c>
      <c r="BF90" s="652" t="str">
        <f t="shared" ca="1" si="7"/>
        <v>RPE 9</v>
      </c>
      <c r="BG90" s="652" t="str">
        <f ca="1">IFERROR(IF(VLOOKUP($X90,Zyklus!$A$14:$U$68,9,FALSE)=0,"RPE 9",IF(VLOOKUP($X90,Übungsübersicht!$E$7:$M$83,3,FALSE)&lt;0.5,($AY90)+(1*0.5),(($AY90)+(1*(VLOOKUP($X90,Übungsübersicht!$E$7:$M$83,3,FALSE)))))),"RPE 9")</f>
        <v>RPE 9</v>
      </c>
      <c r="BH90" s="652" t="str">
        <f ca="1">IFERROR(IF(VLOOKUP($X90,Zyklus!$A$14:$U$68,9,FALSE)=0,"RPE 9",IF(VLOOKUP($X90,Übungsübersicht!$E$7:$M$83,3,FALSE)&lt;0.5,($BA90)+(2*0.5),(($BA90)+(2*(VLOOKUP($X90,Übungsübersicht!$E$7:$M$83,3,FALSE)))))),"RPE 9")</f>
        <v>RPE 9</v>
      </c>
      <c r="BI90" s="652" t="str">
        <f ca="1">IFERROR(IF(VLOOKUP($X90,Zyklus!$A$14:$U$68,9,FALSE)=0,"RPE 9",IF(VLOOKUP($X90,Übungsübersicht!$E$7:$M$83,3,FALSE)&lt;0.5,($BA90)+(3*0.5),(($BA90)+(3*(VLOOKUP($X90,Übungsübersicht!$E$7:$M$83,3,FALSE)))))),"RPE 9")</f>
        <v>RPE 9</v>
      </c>
    </row>
    <row r="91" spans="8:61" ht="30" customHeight="1">
      <c r="H91" s="326">
        <v>70</v>
      </c>
      <c r="I91" s="323">
        <f t="shared" si="9"/>
        <v>36</v>
      </c>
      <c r="J91" s="344">
        <f t="shared" si="8"/>
        <v>0.3</v>
      </c>
      <c r="X91" s="651">
        <f ca="1">INDEX(OFFSET(Zyklus!$A$13,88,0),1)</f>
        <v>0</v>
      </c>
      <c r="Y91" s="652" t="e">
        <f ca="1">MROUND(INDEX(OFFSET(Zyklus!$I$13,88,0),1),(IF(VLOOKUP($X91,Übungsübersicht!$E$7:$K$80,3)=0,0.1,(VLOOKUP($X91,Übungsübersicht!$E$7:$K$80,3)))))</f>
        <v>#N/A</v>
      </c>
      <c r="Z91" s="652"/>
      <c r="AA91" s="652" t="e">
        <f ca="1">IFERROR(IF($Y91=0,2*(VLOOKUP($X91,Übungsübersicht!$E$7:$M$83,3,FALSE)),IF($Y91&gt;100,(MROUND(($Y91*0.1),(VLOOKUP($X91,Übungsübersicht!$E$7:$M$83,3,FALSE)))),IF($Y91&gt;80,(MROUND(($Y91*0.1),(VLOOKUP($X91,Übungsübersicht!$E$7:$M$83,3,FALSE)))),IF($Y91&gt;50,(MROUND(($Y91*0.2),(VLOOKUP($X91,Übungsübersicht!$E$7:$M$83,3,FALSE)))),IF($Y91&gt;25,(MROUND(($Y91*0.3),(VLOOKUP($X91,Übungsübersicht!$E$7:$M$83,3,FALSE)))),IF($Y91&gt;15,(MROUND(($Y91*0.4),(VLOOKUP($X91,Übungsübersicht!$E$7:$M$83,3,FALSE)))),IF($Y91&gt;(VLOOKUP($X91,Übungsübersicht!$E$7:$M$83,3,FALSE)),(VLOOKUP($X91,Übungsübersicht!$E$7:$M$83,3,FALSE)),""))))))),2*(VLOOKUP($X91,Übungsübersicht!$E$7:$M$83,3,FALSE)))</f>
        <v>#N/A</v>
      </c>
      <c r="AB91" s="652" t="e">
        <f ca="1">IFERROR(IF($Y91=0,4*(VLOOKUP($X91,Übungsübersicht!$E$7:$M$83,3,FALSE)),IF($Y91&gt;100,(MROUND(($Y91*0.3),(VLOOKUP($X91,Übungsübersicht!$E$7:$M$83,3,FALSE)))),IF($Y91&gt;80,(MROUND(($Y91*0.3),(VLOOKUP($X91,Übungsübersicht!$E$7:$M$83,3,FALSE)))),IF($Y91&gt;50,(MROUND(($Y91*0.4),(VLOOKUP($X91,Übungsübersicht!$E$7:$M$83,3,FALSE)))),IF($Y91&gt;25,(MROUND(($Y91*0.5),(VLOOKUP($X91,Übungsübersicht!$E$7:$M$83,3,FALSE)))),IF($Y91&gt;15,(MROUND(($Y91*0.6),(VLOOKUP($X91,Übungsübersicht!$E$7:$M$83,3,FALSE)))),IF($Y91&gt;(VLOOKUP($X91,Übungsübersicht!$E$7:$M$83,3,FALSE)),(VLOOKUP($X91,Übungsübersicht!$E$7:$M$83,3,FALSE)),""))))))),4*(VLOOKUP($X91,Übungsübersicht!$E$7:$M$83,3,FALSE)))</f>
        <v>#N/A</v>
      </c>
      <c r="AC91" s="652" t="e">
        <f ca="1">IFERROR((IF($Y91=0,8*(VLOOKUP($X91,Übungsübersicht!$E$7:$M$83,3,FALSE)),(($Y91)-(3*(VLOOKUP($X91,Übungsübersicht!$E$7:$M$83,3,FALSE)))))),8*(VLOOKUP($X91,Übungsübersicht!$E$7:$M$83,3,FALSE)))</f>
        <v>#N/A</v>
      </c>
      <c r="AD91" s="652" t="e">
        <f ca="1">IFERROR(((IF($Y91=0,10*(VLOOKUP($X91,Übungsübersicht!$E$7:$M$83,3,FALSE)),($Y91)-(2*(VLOOKUP($X91,Übungsübersicht!$E$7:$M$83,3,FALSE)))))),10*(VLOOKUP($X91,Übungsübersicht!$E$7:$M$83,3,FALSE)))</f>
        <v>#N/A</v>
      </c>
      <c r="AE91" s="652" t="e">
        <f ca="1">IFERROR(((IF($Y91=0,10*(VLOOKUP($X91,Übungsübersicht!$E$7:$M$83,3,FALSE)),($Y91)-(1*(VLOOKUP($X91,Übungsübersicht!$E$7:$M$83,3,FALSE)))))),10*(VLOOKUP($X91,Übungsübersicht!$E$7:$M$83,3,FALSE)))</f>
        <v>#N/A</v>
      </c>
      <c r="AF91" s="652" t="e">
        <f ca="1">IFERROR(IF($Y91=0,20*(VLOOKUP($X91,Übungsübersicht!$E$7:$M$83,3,FALSE)),($Y91)),20*(VLOOKUP($X91,Übungsübersicht!$E$7:$M$83,3,FALSE)))</f>
        <v>#N/A</v>
      </c>
      <c r="AG91" s="652" t="e">
        <f ca="1">IFERROR(IF($Y91=0,30*(VLOOKUP($X91,Übungsübersicht!$E$7:$M$83,3,FALSE)),($Y91)+(1*(VLOOKUP($X91,Übungsübersicht!$E$7:$M$83,3,FALSE)))),30*(VLOOKUP($X91,Übungsübersicht!$E$7:$M$83,3,FALSE)))</f>
        <v>#N/A</v>
      </c>
      <c r="AH91" s="652" t="e">
        <f ca="1">IFERROR(IF($Y91=0,30*(VLOOKUP($X91,Übungsübersicht!$E$7:$M$83,3,FALSE)),($Y91)+(2*(VLOOKUP($X91,Übungsübersicht!$E$7:$M$83,3,FALSE)))),30*(VLOOKUP($X91,Übungsübersicht!$E$7:$M$83,3,FALSE)))</f>
        <v>#N/A</v>
      </c>
      <c r="AI91" s="652" t="e">
        <f ca="1">IFERROR(IF($Y91=0,30*(VLOOKUP($X91,Übungsübersicht!$E$7:$M$83,3,FALSE)),($Y91)+(3*(VLOOKUP($X91,Übungsübersicht!$E$7:$M$83,3,FALSE)))),30*(VLOOKUP($X91,Übungsübersicht!$E$7:$M$83,3,FALSE)))</f>
        <v>#N/A</v>
      </c>
      <c r="AJ91" s="652" t="e">
        <f ca="1">IFERROR(IF($Y91=0,40*(VLOOKUP($X91,Übungsübersicht!$E$7:$M$83,3,FALSE)),IF($Y91&gt;100,(MROUND(($Y91*1.7),(VLOOKUP($X91,Übungsübersicht!$E$7:$M$83,3,FALSE)))),IF($Y91&gt;80,(MROUND(($Y91*1.7),(VLOOKUP($X91,Übungsübersicht!$E$7:$M$83,3,FALSE)))),IF($Y91&gt;50,(MROUND(($Y91*1.6),(VLOOKUP($X91,Übungsübersicht!$E$7:$M$83,3,FALSE)))),IF($Y91&gt;25,(MROUND(($Y91*1.5),(VLOOKUP($X91,Übungsübersicht!$E$7:$M$83,3,FALSE)))),IF($Y91&gt;15,(MROUND(($Y91*1.4),(VLOOKUP($X91,Übungsübersicht!$E$7:$M$83,3,FALSE)))),IF($Y91&gt;(VLOOKUP($X91,Übungsübersicht!$E$7:$M$83,3,FALSE)),30*(VLOOKUP($X91,Übungsübersicht!$E$7:$M$83,3,FALSE)),""))))))),40*(VLOOKUP($X91,Übungsübersicht!$E$7:$M$83,3,FALSE)))</f>
        <v>#N/A</v>
      </c>
      <c r="AK91" s="653" t="e">
        <f ca="1">IFERROR(IF($Y91=0,50*(VLOOKUP($X91,Übungsübersicht!$E$7:$M$83,3,FALSE)),IF($Y91&gt;100,(MROUND(($Y91*1.9),(VLOOKUP($X91,Übungsübersicht!$E$7:$M$83,3,FALSE)))),IF($Y91&gt;80,(MROUND(($Y91*1.9),(VLOOKUP($X91,Übungsübersicht!$E$7:$M$83,3,FALSE)))),IF($Y91&gt;50,(MROUND(($Y91*1.8),(VLOOKUP($X91,Übungsübersicht!$E$7:$M$83,3,FALSE)))),IF($Y91&gt;25,(MROUND(($Y91*1.7),(VLOOKUP($X91,Übungsübersicht!$E$7:$M$83,3,FALSE)))),IF($Y91&gt;15,(MROUND(($Y91*1.6),(VLOOKUP($X91,Übungsübersicht!$E$7:$M$83,3,FALSE)))),IF($Y91&gt;(VLOOKUP($X91,Übungsübersicht!$E$7:$M$83,3,FALSE)),40*(VLOOKUP($X91,Übungsübersicht!$E$7:$M$83,3,FALSE)),""))))))),50*(VLOOKUP($X91,Übungsübersicht!$E$7:$M$83,3,FALSE)))</f>
        <v>#N/A</v>
      </c>
      <c r="AN91" s="652" t="e">
        <f ca="1">MROUND(INDEX(OFFSET(Zyklus!$M$13,88,0),1),(IF(VLOOKUP($X91,Übungsübersicht!$E$7:$K$80,3)=0,0.1,(VLOOKUP($X91,Übungsübersicht!$E$7:$K$80,3)))))</f>
        <v>#N/A</v>
      </c>
      <c r="AP91" s="655" t="str">
        <f ca="1">IFERROR(IF(IF(VLOOKUP($X91,Zyklus!$A$14:$U$68,9,FALSE)=0,"RPE 8",IF(VLOOKUP($X91,Übungsübersicht!$E$7:$M$83,3,FALSE)&lt;0.5,($AN91)-(3*0.5),(($AN91)-(3*(VLOOKUP($X91,Übungsübersicht!$E$7:$M$83,3,FALSE))))))&lt;1,0,(IF(VLOOKUP($X91,Zyklus!$A$14:$U$68,9,FALSE)=0,"RPE 8",IF(VLOOKUP($X91,Übungsübersicht!$E$7:$M$83,3,FALSE)&lt;0.5,($AN91)-(3*0.5),(($AN91)-(3*(VLOOKUP($X91,Übungsübersicht!$E$7:$M$83,3,FALSE)))))))),"RPE 8")</f>
        <v>RPE 8</v>
      </c>
      <c r="AQ91" s="655" t="str">
        <f ca="1">IFERROR(IF(IF(VLOOKUP($X91,Zyklus!$A$14:$U$68,9,FALSE)=0,"RPE 8",IF(VLOOKUP($X91,Übungsübersicht!$E$7:$M$83,3,FALSE)&lt;0.5,($AN91)-(2*0.5),(($AN91)-(2*(VLOOKUP($X91,Übungsübersicht!$E$7:$M$83,3,FALSE))))))&lt;1,0,(IF(VLOOKUP($X91,Zyklus!$A$14:$U$68,9,FALSE)=0,"RPE 8",IF(VLOOKUP($X91,Übungsübersicht!$E$7:$M$83,3,FALSE)&lt;0.5,($AN91)-(2*0.5),(($AN91)-(2*(VLOOKUP($X91,Übungsübersicht!$E$7:$M$83,3,FALSE)))))))),"RPE 8")</f>
        <v>RPE 8</v>
      </c>
      <c r="AR91" s="655" t="str">
        <f ca="1">IFERROR(IF(IF(VLOOKUP($X91,Zyklus!$A$14:$U$68,9,FALSE)=0,"RPE 8",IF(VLOOKUP($X91,Übungsübersicht!$E$7:$M$83,3,FALSE)&lt;0.5,($AN91)-(1*0.5),(($Y91)-(1*(VLOOKUP($X91,Übungsübersicht!$E$7:$M$83,3,FALSE))))))&lt;1,0,(IF(VLOOKUP($X91,Zyklus!$A$14:$U$68,9,FALSE)=0,"RPE 8",IF(VLOOKUP($X91,Übungsübersicht!$E$7:$M$83,3,FALSE)&lt;0.5,($AN91)-(1*0.5),(($Y91)-(1*(VLOOKUP($X91,Übungsübersicht!$E$7:$M$83,3,FALSE)))))))),"RPE 8")</f>
        <v>RPE 8</v>
      </c>
      <c r="AS91" s="655" t="str">
        <f t="shared" ca="1" si="6"/>
        <v>RPE 8</v>
      </c>
      <c r="AT91" s="655" t="str">
        <f ca="1">IFERROR(IF(VLOOKUP($X91,Zyklus!$A$14:$U$68,9,FALSE)=0,"RPE 8",IF(VLOOKUP($X91,Übungsübersicht!$E$7:$M$83,3,FALSE)&lt;0.5,($AN91)+(1*0.5),(($Y91)+(1*(VLOOKUP($X91,Übungsübersicht!$E$7:$M$83,3,FALSE)))))),"RPE 8")</f>
        <v>RPE 8</v>
      </c>
      <c r="AU91" s="655" t="str">
        <f ca="1">IFERROR(IF(VLOOKUP($X91,Zyklus!$A$14:$U$68,9,FALSE)=0,"RPE 8",IF(VLOOKUP($X91,Übungsübersicht!$E$7:$M$83,3,FALSE)&lt;0.5,($AN91)+(2*0.5),(($AN91)+(2*(VLOOKUP($X91,Übungsübersicht!$E$7:$M$83,3,FALSE)))))),"RPE 8")</f>
        <v>RPE 8</v>
      </c>
      <c r="AV91" s="655" t="str">
        <f ca="1">IFERROR(IF(VLOOKUP($X91,Zyklus!$A$14:$U$68,9,FALSE)=0,"RPE 8",IF(VLOOKUP($X91,Übungsübersicht!$E$7:$M$83,3,FALSE)&lt;0.5,($AN91)+(3*0.5),(($AN91)+(3*(VLOOKUP($X91,Übungsübersicht!$E$7:$M$83,3,FALSE)))))),"RPE 8")</f>
        <v>RPE 8</v>
      </c>
      <c r="AY91" s="652" t="e">
        <f ca="1">MROUND(INDEX(OFFSET(Zyklus!$M$13,88,0),1),(IF(VLOOKUP($X91,Übungsübersicht!$E$7:$K$80,3)=0,0.1,(VLOOKUP($X91,Übungsübersicht!$E$7:$K$80,3)))))</f>
        <v>#N/A</v>
      </c>
      <c r="BA91" s="655" t="e">
        <f ca="1">MROUND(INDEX(OFFSET(Zyklus!$Q$13,88,0),1),(IF(VLOOKUP($X91,Übungsübersicht!$E$7:$K$80,3)=0,0.1,(VLOOKUP($X91,Übungsübersicht!$E$7:$K$80,3)))))</f>
        <v>#VALUE!</v>
      </c>
      <c r="BC91" s="655" t="str">
        <f ca="1">IFERROR(IF(IF(VLOOKUP($X91,Zyklus!$A$14:$U$68,9,FALSE)=0,"RPE 9",IF(VLOOKUP($X91,Übungsübersicht!$E$7:$M$83,3,FALSE)&lt;0.5,($BA91)-(3*0.5),(($BA91)-(3*(VLOOKUP($X91,Übungsübersicht!$E$7:$M$83,3,FALSE))))))&lt;1,0,(IF(VLOOKUP($X91,Zyklus!$A$14:$U$68,9,FALSE)=0,"RPE 9",IF(VLOOKUP($X91,Übungsübersicht!$E$7:$M$83,3,FALSE)&lt;0.5,($BA91)-(3*0.5),(($BA91)-(3*(VLOOKUP($X91,Übungsübersicht!$E$7:$M$83,3,FALSE)))))))),"RPE 9")</f>
        <v>RPE 9</v>
      </c>
      <c r="BD91" s="655" t="str">
        <f ca="1">IFERROR(IF(IF(VLOOKUP($X91,Zyklus!$A$14:$U$68,9,FALSE)=0,"RPE 9",IF(VLOOKUP($X91,Übungsübersicht!$E$7:$M$83,3,FALSE)&lt;0.5,($BA91)-(2*0.5),(($BA91)-(2*(VLOOKUP($X91,Übungsübersicht!$E$7:$M$83,3,FALSE))))))&lt;1,0,(IF(VLOOKUP($X91,Zyklus!$A$14:$U$68,9,FALSE)=0,"RPE 9",IF(VLOOKUP($X91,Übungsübersicht!$E$7:$M$83,3,FALSE)&lt;0.5,($BA91)-(2*0.5),(($BA91)-(2*(VLOOKUP($X91,Übungsübersicht!$E$7:$M$83,3,FALSE)))))))),"RPE 9")</f>
        <v>RPE 9</v>
      </c>
      <c r="BE91" s="655" t="str">
        <f ca="1">IFERROR(IF(IF(VLOOKUP($X91,Zyklus!$A$14:$U$68,9,FALSE)=0,"RPE 9",IF(VLOOKUP($X91,Übungsübersicht!$E$7:$M$83,3,FALSE)&lt;0.5,($BA91)-(1*0.5),(($Y91)-(1*(VLOOKUP($X91,Übungsübersicht!$E$7:$M$83,3,FALSE))))))&lt;1,0,(IF(VLOOKUP($X91,Zyklus!$A$14:$U$68,9,FALSE)=0,"RPE 9",IF(VLOOKUP($X91,Übungsübersicht!$E$7:$M$83,3,FALSE)&lt;0.5,($BA91)-(1*0.5),(($Y91)-(1*(VLOOKUP($X91,Übungsübersicht!$E$7:$M$83,3,FALSE)))))))),"RPE 9")</f>
        <v>RPE 9</v>
      </c>
      <c r="BF91" s="655" t="str">
        <f t="shared" ca="1" si="7"/>
        <v>RPE 9</v>
      </c>
      <c r="BG91" s="655" t="str">
        <f ca="1">IFERROR(IF(VLOOKUP($X91,Zyklus!$A$14:$U$68,9,FALSE)=0,"RPE 9",IF(VLOOKUP($X91,Übungsübersicht!$E$7:$M$83,3,FALSE)&lt;0.5,($AY91)+(1*0.5),(($AY91)+(1*(VLOOKUP($X91,Übungsübersicht!$E$7:$M$83,3,FALSE)))))),"RPE 9")</f>
        <v>RPE 9</v>
      </c>
      <c r="BH91" s="655" t="str">
        <f ca="1">IFERROR(IF(VLOOKUP($X91,Zyklus!$A$14:$U$68,9,FALSE)=0,"RPE 9",IF(VLOOKUP($X91,Übungsübersicht!$E$7:$M$83,3,FALSE)&lt;0.5,($BA91)+(2*0.5),(($BA91)+(2*(VLOOKUP($X91,Übungsübersicht!$E$7:$M$83,3,FALSE)))))),"RPE 9")</f>
        <v>RPE 9</v>
      </c>
      <c r="BI91" s="655" t="str">
        <f ca="1">IFERROR(IF(VLOOKUP($X91,Zyklus!$A$14:$U$68,9,FALSE)=0,"RPE 9",IF(VLOOKUP($X91,Übungsübersicht!$E$7:$M$83,3,FALSE)&lt;0.5,($BA91)+(3*0.5),(($BA91)+(3*(VLOOKUP($X91,Übungsübersicht!$E$7:$M$83,3,FALSE)))))),"RPE 9")</f>
        <v>RPE 9</v>
      </c>
    </row>
    <row r="92" spans="8:61" ht="30" customHeight="1">
      <c r="H92" s="326">
        <v>71</v>
      </c>
      <c r="I92" s="323">
        <f t="shared" si="9"/>
        <v>35.643564356435647</v>
      </c>
      <c r="J92" s="344">
        <f t="shared" si="8"/>
        <v>0.29702970297029707</v>
      </c>
      <c r="X92" s="654">
        <f ca="1">INDEX(OFFSET(Zyklus!$A$13,89,0),1)</f>
        <v>0</v>
      </c>
      <c r="Y92" s="655" t="e">
        <f ca="1">MROUND(INDEX(OFFSET(Zyklus!$I$13,89,0),1),(IF(VLOOKUP($X92,Übungsübersicht!$E$7:$K$80,3)=0,0.1,(VLOOKUP($X92,Übungsübersicht!$E$7:$K$80,3)))))</f>
        <v>#N/A</v>
      </c>
      <c r="Z92" s="655"/>
      <c r="AA92" s="655" t="e">
        <f ca="1">IFERROR(IF($Y92=0,2*(VLOOKUP($X92,Übungsübersicht!$E$7:$M$83,3,FALSE)),IF($Y92&gt;100,(MROUND(($Y92*0.1),(VLOOKUP($X92,Übungsübersicht!$E$7:$M$83,3,FALSE)))),IF($Y92&gt;80,(MROUND(($Y92*0.1),(VLOOKUP($X92,Übungsübersicht!$E$7:$M$83,3,FALSE)))),IF($Y92&gt;50,(MROUND(($Y92*0.2),(VLOOKUP($X92,Übungsübersicht!$E$7:$M$83,3,FALSE)))),IF($Y92&gt;25,(MROUND(($Y92*0.3),(VLOOKUP($X92,Übungsübersicht!$E$7:$M$83,3,FALSE)))),IF($Y92&gt;15,(MROUND(($Y92*0.4),(VLOOKUP($X92,Übungsübersicht!$E$7:$M$83,3,FALSE)))),IF($Y92&gt;(VLOOKUP($X92,Übungsübersicht!$E$7:$M$83,3,FALSE)),(VLOOKUP($X92,Übungsübersicht!$E$7:$M$83,3,FALSE)),""))))))),2*(VLOOKUP($X92,Übungsübersicht!$E$7:$M$83,3,FALSE)))</f>
        <v>#N/A</v>
      </c>
      <c r="AB92" s="655" t="e">
        <f ca="1">IFERROR(IF($Y92=0,4*(VLOOKUP($X92,Übungsübersicht!$E$7:$M$83,3,FALSE)),IF($Y92&gt;100,(MROUND(($Y92*0.3),(VLOOKUP($X92,Übungsübersicht!$E$7:$M$83,3,FALSE)))),IF($Y92&gt;80,(MROUND(($Y92*0.3),(VLOOKUP($X92,Übungsübersicht!$E$7:$M$83,3,FALSE)))),IF($Y92&gt;50,(MROUND(($Y92*0.4),(VLOOKUP($X92,Übungsübersicht!$E$7:$M$83,3,FALSE)))),IF($Y92&gt;25,(MROUND(($Y92*0.5),(VLOOKUP($X92,Übungsübersicht!$E$7:$M$83,3,FALSE)))),IF($Y92&gt;15,(MROUND(($Y92*0.6),(VLOOKUP($X92,Übungsübersicht!$E$7:$M$83,3,FALSE)))),IF($Y92&gt;(VLOOKUP($X92,Übungsübersicht!$E$7:$M$83,3,FALSE)),(VLOOKUP($X92,Übungsübersicht!$E$7:$M$83,3,FALSE)),""))))))),4*(VLOOKUP($X92,Übungsübersicht!$E$7:$M$83,3,FALSE)))</f>
        <v>#N/A</v>
      </c>
      <c r="AC92" s="655" t="e">
        <f ca="1">IFERROR((IF($Y92=0,8*(VLOOKUP($X92,Übungsübersicht!$E$7:$M$83,3,FALSE)),(($Y92)-(3*(VLOOKUP($X92,Übungsübersicht!$E$7:$M$83,3,FALSE)))))),8*(VLOOKUP($X92,Übungsübersicht!$E$7:$M$83,3,FALSE)))</f>
        <v>#N/A</v>
      </c>
      <c r="AD92" s="655" t="e">
        <f ca="1">IFERROR(((IF($Y92=0,10*(VLOOKUP($X92,Übungsübersicht!$E$7:$M$83,3,FALSE)),($Y92)-(2*(VLOOKUP($X92,Übungsübersicht!$E$7:$M$83,3,FALSE)))))),10*(VLOOKUP($X92,Übungsübersicht!$E$7:$M$83,3,FALSE)))</f>
        <v>#N/A</v>
      </c>
      <c r="AE92" s="655" t="e">
        <f ca="1">IFERROR(((IF($Y92=0,10*(VLOOKUP($X92,Übungsübersicht!$E$7:$M$83,3,FALSE)),($Y92)-(1*(VLOOKUP($X92,Übungsübersicht!$E$7:$M$83,3,FALSE)))))),10*(VLOOKUP($X92,Übungsübersicht!$E$7:$M$83,3,FALSE)))</f>
        <v>#N/A</v>
      </c>
      <c r="AF92" s="655" t="e">
        <f ca="1">IFERROR(IF($Y92=0,20*(VLOOKUP($X92,Übungsübersicht!$E$7:$M$83,3,FALSE)),($Y92)),20*(VLOOKUP($X92,Übungsübersicht!$E$7:$M$83,3,FALSE)))</f>
        <v>#N/A</v>
      </c>
      <c r="AG92" s="655" t="e">
        <f ca="1">IFERROR(IF($Y92=0,30*(VLOOKUP($X92,Übungsübersicht!$E$7:$M$83,3,FALSE)),($Y92)+(1*(VLOOKUP($X92,Übungsübersicht!$E$7:$M$83,3,FALSE)))),30*(VLOOKUP($X92,Übungsübersicht!$E$7:$M$83,3,FALSE)))</f>
        <v>#N/A</v>
      </c>
      <c r="AH92" s="655" t="e">
        <f ca="1">IFERROR(IF($Y92=0,30*(VLOOKUP($X92,Übungsübersicht!$E$7:$M$83,3,FALSE)),($Y92)+(2*(VLOOKUP($X92,Übungsübersicht!$E$7:$M$83,3,FALSE)))),30*(VLOOKUP($X92,Übungsübersicht!$E$7:$M$83,3,FALSE)))</f>
        <v>#N/A</v>
      </c>
      <c r="AI92" s="655" t="e">
        <f ca="1">IFERROR(IF($Y92=0,30*(VLOOKUP($X92,Übungsübersicht!$E$7:$M$83,3,FALSE)),($Y92)+(3*(VLOOKUP($X92,Übungsübersicht!$E$7:$M$83,3,FALSE)))),30*(VLOOKUP($X92,Übungsübersicht!$E$7:$M$83,3,FALSE)))</f>
        <v>#N/A</v>
      </c>
      <c r="AJ92" s="655" t="e">
        <f ca="1">IFERROR(IF($Y92=0,40*(VLOOKUP($X92,Übungsübersicht!$E$7:$M$83,3,FALSE)),IF($Y92&gt;100,(MROUND(($Y92*1.7),(VLOOKUP($X92,Übungsübersicht!$E$7:$M$83,3,FALSE)))),IF($Y92&gt;80,(MROUND(($Y92*1.7),(VLOOKUP($X92,Übungsübersicht!$E$7:$M$83,3,FALSE)))),IF($Y92&gt;50,(MROUND(($Y92*1.6),(VLOOKUP($X92,Übungsübersicht!$E$7:$M$83,3,FALSE)))),IF($Y92&gt;25,(MROUND(($Y92*1.5),(VLOOKUP($X92,Übungsübersicht!$E$7:$M$83,3,FALSE)))),IF($Y92&gt;15,(MROUND(($Y92*1.4),(VLOOKUP($X92,Übungsübersicht!$E$7:$M$83,3,FALSE)))),IF($Y92&gt;(VLOOKUP($X92,Übungsübersicht!$E$7:$M$83,3,FALSE)),30*(VLOOKUP($X92,Übungsübersicht!$E$7:$M$83,3,FALSE)),""))))))),40*(VLOOKUP($X92,Übungsübersicht!$E$7:$M$83,3,FALSE)))</f>
        <v>#N/A</v>
      </c>
      <c r="AK92" s="656" t="e">
        <f ca="1">IFERROR(IF($Y92=0,50*(VLOOKUP($X92,Übungsübersicht!$E$7:$M$83,3,FALSE)),IF($Y92&gt;100,(MROUND(($Y92*1.9),(VLOOKUP($X92,Übungsübersicht!$E$7:$M$83,3,FALSE)))),IF($Y92&gt;80,(MROUND(($Y92*1.9),(VLOOKUP($X92,Übungsübersicht!$E$7:$M$83,3,FALSE)))),IF($Y92&gt;50,(MROUND(($Y92*1.8),(VLOOKUP($X92,Übungsübersicht!$E$7:$M$83,3,FALSE)))),IF($Y92&gt;25,(MROUND(($Y92*1.7),(VLOOKUP($X92,Übungsübersicht!$E$7:$M$83,3,FALSE)))),IF($Y92&gt;15,(MROUND(($Y92*1.6),(VLOOKUP($X92,Übungsübersicht!$E$7:$M$83,3,FALSE)))),IF($Y92&gt;(VLOOKUP($X92,Übungsübersicht!$E$7:$M$83,3,FALSE)),40*(VLOOKUP($X92,Übungsübersicht!$E$7:$M$83,3,FALSE)),""))))))),50*(VLOOKUP($X92,Übungsübersicht!$E$7:$M$83,3,FALSE)))</f>
        <v>#N/A</v>
      </c>
      <c r="AN92" s="655" t="e">
        <f ca="1">MROUND(INDEX(OFFSET(Zyklus!$M$13,89,0),1),(IF(VLOOKUP($X92,Übungsübersicht!$E$7:$K$80,3)=0,0.1,(VLOOKUP($X92,Übungsübersicht!$E$7:$K$80,3)))))</f>
        <v>#N/A</v>
      </c>
      <c r="AP92" s="652" t="str">
        <f ca="1">IFERROR(IF(IF(VLOOKUP($X92,Zyklus!$A$14:$U$68,9,FALSE)=0,"RPE 8",IF(VLOOKUP($X92,Übungsübersicht!$E$7:$M$83,3,FALSE)&lt;0.5,($AN92)-(3*0.5),(($AN92)-(3*(VLOOKUP($X92,Übungsübersicht!$E$7:$M$83,3,FALSE))))))&lt;1,0,(IF(VLOOKUP($X92,Zyklus!$A$14:$U$68,9,FALSE)=0,"RPE 8",IF(VLOOKUP($X92,Übungsübersicht!$E$7:$M$83,3,FALSE)&lt;0.5,($AN92)-(3*0.5),(($AN92)-(3*(VLOOKUP($X92,Übungsübersicht!$E$7:$M$83,3,FALSE)))))))),"RPE 8")</f>
        <v>RPE 8</v>
      </c>
      <c r="AQ92" s="652" t="str">
        <f ca="1">IFERROR(IF(IF(VLOOKUP($X92,Zyklus!$A$14:$U$68,9,FALSE)=0,"RPE 8",IF(VLOOKUP($X92,Übungsübersicht!$E$7:$M$83,3,FALSE)&lt;0.5,($AN92)-(2*0.5),(($AN92)-(2*(VLOOKUP($X92,Übungsübersicht!$E$7:$M$83,3,FALSE))))))&lt;1,0,(IF(VLOOKUP($X92,Zyklus!$A$14:$U$68,9,FALSE)=0,"RPE 8",IF(VLOOKUP($X92,Übungsübersicht!$E$7:$M$83,3,FALSE)&lt;0.5,($AN92)-(2*0.5),(($AN92)-(2*(VLOOKUP($X92,Übungsübersicht!$E$7:$M$83,3,FALSE)))))))),"RPE 8")</f>
        <v>RPE 8</v>
      </c>
      <c r="AR92" s="652" t="str">
        <f ca="1">IFERROR(IF(IF(VLOOKUP($X92,Zyklus!$A$14:$U$68,9,FALSE)=0,"RPE 8",IF(VLOOKUP($X92,Übungsübersicht!$E$7:$M$83,3,FALSE)&lt;0.5,($AN92)-(1*0.5),(($Y92)-(1*(VLOOKUP($X92,Übungsübersicht!$E$7:$M$83,3,FALSE))))))&lt;1,0,(IF(VLOOKUP($X92,Zyklus!$A$14:$U$68,9,FALSE)=0,"RPE 8",IF(VLOOKUP($X92,Übungsübersicht!$E$7:$M$83,3,FALSE)&lt;0.5,($AN92)-(1*0.5),(($Y92)-(1*(VLOOKUP($X92,Übungsübersicht!$E$7:$M$83,3,FALSE)))))))),"RPE 8")</f>
        <v>RPE 8</v>
      </c>
      <c r="AS92" s="652" t="str">
        <f t="shared" ca="1" si="6"/>
        <v>RPE 8</v>
      </c>
      <c r="AT92" s="652" t="str">
        <f ca="1">IFERROR(IF(VLOOKUP($X92,Zyklus!$A$14:$U$68,9,FALSE)=0,"RPE 8",IF(VLOOKUP($X92,Übungsübersicht!$E$7:$M$83,3,FALSE)&lt;0.5,($AN92)+(1*0.5),(($Y92)+(1*(VLOOKUP($X92,Übungsübersicht!$E$7:$M$83,3,FALSE)))))),"RPE 8")</f>
        <v>RPE 8</v>
      </c>
      <c r="AU92" s="652" t="str">
        <f ca="1">IFERROR(IF(VLOOKUP($X92,Zyklus!$A$14:$U$68,9,FALSE)=0,"RPE 8",IF(VLOOKUP($X92,Übungsübersicht!$E$7:$M$83,3,FALSE)&lt;0.5,($AN92)+(2*0.5),(($AN92)+(2*(VLOOKUP($X92,Übungsübersicht!$E$7:$M$83,3,FALSE)))))),"RPE 8")</f>
        <v>RPE 8</v>
      </c>
      <c r="AV92" s="652" t="str">
        <f ca="1">IFERROR(IF(VLOOKUP($X92,Zyklus!$A$14:$U$68,9,FALSE)=0,"RPE 8",IF(VLOOKUP($X92,Übungsübersicht!$E$7:$M$83,3,FALSE)&lt;0.5,($AN92)+(3*0.5),(($AN92)+(3*(VLOOKUP($X92,Übungsübersicht!$E$7:$M$83,3,FALSE)))))),"RPE 8")</f>
        <v>RPE 8</v>
      </c>
      <c r="AY92" s="655" t="e">
        <f ca="1">MROUND(INDEX(OFFSET(Zyklus!$M$13,89,0),1),(IF(VLOOKUP($X92,Übungsübersicht!$E$7:$K$80,3)=0,0.1,(VLOOKUP($X92,Übungsübersicht!$E$7:$K$80,3)))))</f>
        <v>#N/A</v>
      </c>
      <c r="BA92" s="652" t="e">
        <f ca="1">MROUND(INDEX(OFFSET(Zyklus!$Q$13,89,0),1),(IF(VLOOKUP($X92,Übungsübersicht!$E$7:$K$80,3)=0,0.1,(VLOOKUP($X92,Übungsübersicht!$E$7:$K$80,3)))))</f>
        <v>#N/A</v>
      </c>
      <c r="BC92" s="652" t="str">
        <f ca="1">IFERROR(IF(IF(VLOOKUP($X92,Zyklus!$A$14:$U$68,9,FALSE)=0,"RPE 9",IF(VLOOKUP($X92,Übungsübersicht!$E$7:$M$83,3,FALSE)&lt;0.5,($BA92)-(3*0.5),(($BA92)-(3*(VLOOKUP($X92,Übungsübersicht!$E$7:$M$83,3,FALSE))))))&lt;1,0,(IF(VLOOKUP($X92,Zyklus!$A$14:$U$68,9,FALSE)=0,"RPE 9",IF(VLOOKUP($X92,Übungsübersicht!$E$7:$M$83,3,FALSE)&lt;0.5,($BA92)-(3*0.5),(($BA92)-(3*(VLOOKUP($X92,Übungsübersicht!$E$7:$M$83,3,FALSE)))))))),"RPE 9")</f>
        <v>RPE 9</v>
      </c>
      <c r="BD92" s="652" t="str">
        <f ca="1">IFERROR(IF(IF(VLOOKUP($X92,Zyklus!$A$14:$U$68,9,FALSE)=0,"RPE 9",IF(VLOOKUP($X92,Übungsübersicht!$E$7:$M$83,3,FALSE)&lt;0.5,($BA92)-(2*0.5),(($BA92)-(2*(VLOOKUP($X92,Übungsübersicht!$E$7:$M$83,3,FALSE))))))&lt;1,0,(IF(VLOOKUP($X92,Zyklus!$A$14:$U$68,9,FALSE)=0,"RPE 9",IF(VLOOKUP($X92,Übungsübersicht!$E$7:$M$83,3,FALSE)&lt;0.5,($BA92)-(2*0.5),(($BA92)-(2*(VLOOKUP($X92,Übungsübersicht!$E$7:$M$83,3,FALSE)))))))),"RPE 9")</f>
        <v>RPE 9</v>
      </c>
      <c r="BE92" s="652" t="str">
        <f ca="1">IFERROR(IF(IF(VLOOKUP($X92,Zyklus!$A$14:$U$68,9,FALSE)=0,"RPE 9",IF(VLOOKUP($X92,Übungsübersicht!$E$7:$M$83,3,FALSE)&lt;0.5,($BA92)-(1*0.5),(($Y92)-(1*(VLOOKUP($X92,Übungsübersicht!$E$7:$M$83,3,FALSE))))))&lt;1,0,(IF(VLOOKUP($X92,Zyklus!$A$14:$U$68,9,FALSE)=0,"RPE 9",IF(VLOOKUP($X92,Übungsübersicht!$E$7:$M$83,3,FALSE)&lt;0.5,($BA92)-(1*0.5),(($Y92)-(1*(VLOOKUP($X92,Übungsübersicht!$E$7:$M$83,3,FALSE)))))))),"RPE 9")</f>
        <v>RPE 9</v>
      </c>
      <c r="BF92" s="652" t="str">
        <f t="shared" ca="1" si="7"/>
        <v>RPE 9</v>
      </c>
      <c r="BG92" s="652" t="str">
        <f ca="1">IFERROR(IF(VLOOKUP($X92,Zyklus!$A$14:$U$68,9,FALSE)=0,"RPE 9",IF(VLOOKUP($X92,Übungsübersicht!$E$7:$M$83,3,FALSE)&lt;0.5,($AY92)+(1*0.5),(($AY92)+(1*(VLOOKUP($X92,Übungsübersicht!$E$7:$M$83,3,FALSE)))))),"RPE 9")</f>
        <v>RPE 9</v>
      </c>
      <c r="BH92" s="652" t="str">
        <f ca="1">IFERROR(IF(VLOOKUP($X92,Zyklus!$A$14:$U$68,9,FALSE)=0,"RPE 9",IF(VLOOKUP($X92,Übungsübersicht!$E$7:$M$83,3,FALSE)&lt;0.5,($BA92)+(2*0.5),(($BA92)+(2*(VLOOKUP($X92,Übungsübersicht!$E$7:$M$83,3,FALSE)))))),"RPE 9")</f>
        <v>RPE 9</v>
      </c>
      <c r="BI92" s="652" t="str">
        <f ca="1">IFERROR(IF(VLOOKUP($X92,Zyklus!$A$14:$U$68,9,FALSE)=0,"RPE 9",IF(VLOOKUP($X92,Übungsübersicht!$E$7:$M$83,3,FALSE)&lt;0.5,($BA92)+(3*0.5),(($BA92)+(3*(VLOOKUP($X92,Übungsübersicht!$E$7:$M$83,3,FALSE)))))),"RPE 9")</f>
        <v>RPE 9</v>
      </c>
    </row>
    <row r="93" spans="8:61" ht="30" customHeight="1">
      <c r="H93" s="326">
        <v>72</v>
      </c>
      <c r="I93" s="323">
        <f t="shared" si="9"/>
        <v>35.294117647058826</v>
      </c>
      <c r="J93" s="344">
        <f t="shared" si="8"/>
        <v>0.29411764705882354</v>
      </c>
      <c r="X93" s="658"/>
      <c r="Y93" s="659"/>
      <c r="Z93" s="659"/>
      <c r="AA93" s="659"/>
      <c r="AB93" s="659"/>
      <c r="AC93" s="659"/>
      <c r="AD93" s="659"/>
      <c r="AE93" s="659"/>
      <c r="AF93" s="659"/>
      <c r="AG93" s="659"/>
      <c r="AH93" s="659"/>
      <c r="AI93" s="659"/>
      <c r="AJ93" s="659"/>
      <c r="AK93" s="659"/>
    </row>
    <row r="94" spans="8:61" ht="30" customHeight="1">
      <c r="H94" s="326">
        <v>73</v>
      </c>
      <c r="I94" s="323">
        <f t="shared" si="9"/>
        <v>34.95145631067961</v>
      </c>
      <c r="J94" s="344">
        <f t="shared" si="8"/>
        <v>0.29126213592233008</v>
      </c>
      <c r="X94" s="658"/>
      <c r="Y94" s="659"/>
      <c r="Z94" s="659"/>
      <c r="AA94" s="659"/>
      <c r="AB94" s="659"/>
      <c r="AC94" s="659"/>
      <c r="AD94" s="659"/>
      <c r="AE94" s="659"/>
      <c r="AF94" s="659"/>
      <c r="AG94" s="659"/>
      <c r="AH94" s="659"/>
      <c r="AI94" s="659"/>
      <c r="AJ94" s="659"/>
      <c r="AK94" s="659"/>
    </row>
    <row r="95" spans="8:61" ht="30" customHeight="1">
      <c r="H95" s="326">
        <v>74</v>
      </c>
      <c r="I95" s="323">
        <f t="shared" si="9"/>
        <v>34.615384615384613</v>
      </c>
      <c r="J95" s="344">
        <f t="shared" si="8"/>
        <v>0.28846153846153844</v>
      </c>
      <c r="X95" s="658"/>
      <c r="Y95" s="659"/>
      <c r="Z95" s="659"/>
      <c r="AA95" s="659"/>
      <c r="AB95" s="659"/>
      <c r="AC95" s="659"/>
      <c r="AD95" s="659"/>
      <c r="AE95" s="659"/>
      <c r="AF95" s="659"/>
      <c r="AG95" s="659"/>
      <c r="AH95" s="659"/>
      <c r="AI95" s="659"/>
      <c r="AJ95" s="659"/>
      <c r="AK95" s="659"/>
    </row>
    <row r="96" spans="8:61" ht="30" customHeight="1">
      <c r="H96" s="326">
        <v>75</v>
      </c>
      <c r="I96" s="323">
        <f t="shared" si="9"/>
        <v>34.285714285714285</v>
      </c>
      <c r="J96" s="344">
        <f t="shared" si="8"/>
        <v>0.2857142857142857</v>
      </c>
      <c r="X96" s="658"/>
      <c r="Y96" s="659"/>
      <c r="Z96" s="659"/>
      <c r="AA96" s="659"/>
      <c r="AB96" s="659"/>
      <c r="AC96" s="659"/>
      <c r="AD96" s="659"/>
      <c r="AE96" s="659"/>
      <c r="AF96" s="659"/>
      <c r="AG96" s="659"/>
      <c r="AH96" s="659"/>
      <c r="AI96" s="659"/>
      <c r="AJ96" s="659"/>
      <c r="AK96" s="659"/>
    </row>
    <row r="97" spans="8:37" ht="30" customHeight="1">
      <c r="H97" s="326">
        <v>76</v>
      </c>
      <c r="I97" s="323">
        <f t="shared" si="9"/>
        <v>33.962264150943398</v>
      </c>
      <c r="J97" s="344">
        <f t="shared" si="8"/>
        <v>0.28301886792452829</v>
      </c>
      <c r="X97" s="658"/>
      <c r="Y97" s="659"/>
      <c r="Z97" s="659"/>
      <c r="AA97" s="659"/>
      <c r="AB97" s="659"/>
      <c r="AC97" s="659"/>
      <c r="AD97" s="659"/>
      <c r="AE97" s="659"/>
      <c r="AF97" s="659"/>
      <c r="AG97" s="659"/>
      <c r="AH97" s="659"/>
      <c r="AI97" s="659"/>
      <c r="AJ97" s="659"/>
      <c r="AK97" s="659"/>
    </row>
    <row r="98" spans="8:37" ht="30" customHeight="1">
      <c r="H98" s="326">
        <v>77</v>
      </c>
      <c r="I98" s="323">
        <f t="shared" si="9"/>
        <v>33.644859813084111</v>
      </c>
      <c r="J98" s="344">
        <f t="shared" si="8"/>
        <v>0.28037383177570091</v>
      </c>
      <c r="X98" s="658"/>
      <c r="Y98" s="659"/>
      <c r="Z98" s="659"/>
      <c r="AA98" s="659"/>
      <c r="AB98" s="659"/>
      <c r="AC98" s="659"/>
      <c r="AD98" s="659"/>
      <c r="AE98" s="659"/>
      <c r="AF98" s="659"/>
      <c r="AG98" s="659"/>
      <c r="AH98" s="659"/>
      <c r="AI98" s="659"/>
      <c r="AJ98" s="659"/>
      <c r="AK98" s="659"/>
    </row>
    <row r="99" spans="8:37" ht="30" customHeight="1">
      <c r="H99" s="326">
        <v>78</v>
      </c>
      <c r="I99" s="323">
        <f t="shared" si="9"/>
        <v>33.333333333333336</v>
      </c>
      <c r="J99" s="344">
        <f t="shared" si="8"/>
        <v>0.27777777777777779</v>
      </c>
      <c r="X99" s="658"/>
      <c r="Y99" s="659"/>
      <c r="Z99" s="659"/>
      <c r="AA99" s="659"/>
      <c r="AB99" s="659"/>
      <c r="AC99" s="659"/>
      <c r="AD99" s="659"/>
      <c r="AE99" s="659"/>
      <c r="AF99" s="659"/>
      <c r="AG99" s="659"/>
      <c r="AH99" s="659"/>
      <c r="AI99" s="659"/>
      <c r="AJ99" s="659"/>
      <c r="AK99" s="659"/>
    </row>
    <row r="100" spans="8:37" ht="30" customHeight="1">
      <c r="H100" s="326">
        <v>79</v>
      </c>
      <c r="I100" s="323">
        <f t="shared" si="9"/>
        <v>33.027522935779814</v>
      </c>
      <c r="J100" s="344">
        <f t="shared" si="8"/>
        <v>0.2752293577981651</v>
      </c>
      <c r="X100" s="658"/>
      <c r="Y100" s="659"/>
      <c r="Z100" s="659"/>
      <c r="AA100" s="659"/>
      <c r="AB100" s="659"/>
      <c r="AC100" s="659"/>
      <c r="AD100" s="659"/>
      <c r="AE100" s="659"/>
      <c r="AF100" s="659"/>
      <c r="AG100" s="659"/>
      <c r="AH100" s="659"/>
      <c r="AI100" s="659"/>
      <c r="AJ100" s="659"/>
      <c r="AK100" s="659"/>
    </row>
    <row r="101" spans="8:37" ht="30" customHeight="1">
      <c r="H101" s="326">
        <v>80</v>
      </c>
      <c r="I101" s="323">
        <f t="shared" si="9"/>
        <v>32.727272727272727</v>
      </c>
      <c r="J101" s="344">
        <f t="shared" si="8"/>
        <v>0.27272727272727271</v>
      </c>
      <c r="X101" s="658"/>
      <c r="Y101" s="659"/>
      <c r="Z101" s="659"/>
      <c r="AA101" s="659"/>
      <c r="AB101" s="659"/>
      <c r="AC101" s="659"/>
      <c r="AD101" s="659"/>
      <c r="AE101" s="659"/>
      <c r="AF101" s="659"/>
      <c r="AG101" s="659"/>
      <c r="AH101" s="659"/>
      <c r="AI101" s="659"/>
      <c r="AJ101" s="659"/>
      <c r="AK101" s="659"/>
    </row>
    <row r="102" spans="8:37" ht="30" customHeight="1">
      <c r="H102" s="326">
        <v>81</v>
      </c>
      <c r="I102" s="323">
        <f t="shared" si="9"/>
        <v>32.432432432432428</v>
      </c>
      <c r="J102" s="344">
        <f t="shared" si="8"/>
        <v>0.27027027027027023</v>
      </c>
      <c r="X102" s="658"/>
      <c r="Y102" s="659"/>
      <c r="Z102" s="659"/>
      <c r="AA102" s="659"/>
      <c r="AB102" s="659"/>
      <c r="AC102" s="659"/>
      <c r="AD102" s="659"/>
      <c r="AE102" s="659"/>
      <c r="AF102" s="659"/>
      <c r="AG102" s="659"/>
      <c r="AH102" s="659"/>
      <c r="AI102" s="659"/>
      <c r="AJ102" s="659"/>
      <c r="AK102" s="659"/>
    </row>
    <row r="103" spans="8:37" ht="30" customHeight="1">
      <c r="H103" s="326">
        <v>82</v>
      </c>
      <c r="I103" s="323">
        <f t="shared" si="9"/>
        <v>32.142857142857139</v>
      </c>
      <c r="J103" s="344">
        <f t="shared" si="8"/>
        <v>0.26785714285714285</v>
      </c>
      <c r="X103" s="658"/>
      <c r="Y103" s="659"/>
      <c r="Z103" s="659"/>
      <c r="AA103" s="659"/>
      <c r="AB103" s="659"/>
      <c r="AC103" s="659"/>
      <c r="AD103" s="659"/>
      <c r="AE103" s="659"/>
      <c r="AF103" s="659"/>
      <c r="AG103" s="659"/>
      <c r="AH103" s="659"/>
      <c r="AI103" s="659"/>
      <c r="AJ103" s="659"/>
      <c r="AK103" s="659"/>
    </row>
    <row r="104" spans="8:37" ht="30" customHeight="1">
      <c r="H104" s="326">
        <v>83</v>
      </c>
      <c r="I104" s="323">
        <f t="shared" si="9"/>
        <v>31.858407079646017</v>
      </c>
      <c r="J104" s="344">
        <f t="shared" si="8"/>
        <v>0.26548672566371684</v>
      </c>
    </row>
    <row r="105" spans="8:37" ht="30" customHeight="1">
      <c r="H105" s="326">
        <v>84</v>
      </c>
      <c r="I105" s="323">
        <f t="shared" si="9"/>
        <v>31.578947368421055</v>
      </c>
      <c r="J105" s="344">
        <f t="shared" si="8"/>
        <v>0.26315789473684215</v>
      </c>
    </row>
    <row r="106" spans="8:37" ht="30" customHeight="1">
      <c r="H106" s="326">
        <v>85</v>
      </c>
      <c r="I106" s="323">
        <f t="shared" si="9"/>
        <v>31.304347826086957</v>
      </c>
      <c r="J106" s="344">
        <f t="shared" si="8"/>
        <v>0.2608695652173913</v>
      </c>
    </row>
    <row r="107" spans="8:37" ht="30" customHeight="1">
      <c r="H107" s="326">
        <v>86</v>
      </c>
      <c r="I107" s="323">
        <f t="shared" si="9"/>
        <v>31.03448275862069</v>
      </c>
      <c r="J107" s="344">
        <f t="shared" si="8"/>
        <v>0.25862068965517243</v>
      </c>
    </row>
    <row r="108" spans="8:37" ht="30" customHeight="1">
      <c r="H108" s="326">
        <v>87</v>
      </c>
      <c r="I108" s="323">
        <f t="shared" si="9"/>
        <v>30.76923076923077</v>
      </c>
      <c r="J108" s="344">
        <f t="shared" si="8"/>
        <v>0.25641025641025644</v>
      </c>
    </row>
    <row r="109" spans="8:37" ht="30" customHeight="1">
      <c r="H109" s="326">
        <v>89</v>
      </c>
      <c r="I109" s="323">
        <f t="shared" si="9"/>
        <v>30.252100840336134</v>
      </c>
      <c r="J109" s="344">
        <f t="shared" si="8"/>
        <v>0.25210084033613445</v>
      </c>
    </row>
    <row r="110" spans="8:37" ht="30" customHeight="1">
      <c r="H110" s="326">
        <v>90</v>
      </c>
      <c r="I110" s="323">
        <f t="shared" si="9"/>
        <v>30</v>
      </c>
      <c r="J110" s="344">
        <f t="shared" si="8"/>
        <v>0.25</v>
      </c>
    </row>
    <row r="111" spans="8:37" ht="30" customHeight="1">
      <c r="H111" s="326">
        <v>91</v>
      </c>
      <c r="I111" s="323">
        <f t="shared" si="9"/>
        <v>29.75206611570248</v>
      </c>
      <c r="J111" s="344">
        <f t="shared" si="8"/>
        <v>0.24793388429752067</v>
      </c>
    </row>
    <row r="112" spans="8:37" ht="30" customHeight="1">
      <c r="H112" s="326">
        <v>92</v>
      </c>
      <c r="I112" s="323">
        <f t="shared" si="9"/>
        <v>29.508196721311478</v>
      </c>
      <c r="J112" s="344">
        <f t="shared" si="8"/>
        <v>0.24590163934426232</v>
      </c>
    </row>
    <row r="113" spans="8:10" ht="30" customHeight="1">
      <c r="H113" s="326">
        <v>93</v>
      </c>
      <c r="I113" s="323">
        <f t="shared" si="9"/>
        <v>29.26829268292683</v>
      </c>
      <c r="J113" s="344">
        <f t="shared" si="8"/>
        <v>0.24390243902439027</v>
      </c>
    </row>
    <row r="114" spans="8:10" ht="30" customHeight="1">
      <c r="H114" s="326">
        <v>94</v>
      </c>
      <c r="I114" s="323">
        <f t="shared" si="9"/>
        <v>29.032258064516132</v>
      </c>
      <c r="J114" s="344">
        <f t="shared" si="8"/>
        <v>0.24193548387096778</v>
      </c>
    </row>
    <row r="115" spans="8:10" ht="30" customHeight="1">
      <c r="H115" s="326">
        <v>95</v>
      </c>
      <c r="I115" s="323">
        <f t="shared" si="9"/>
        <v>28.800000000000004</v>
      </c>
      <c r="J115" s="344">
        <f t="shared" si="8"/>
        <v>0.24000000000000005</v>
      </c>
    </row>
    <row r="116" spans="8:10" ht="30" customHeight="1">
      <c r="H116" s="326">
        <v>96</v>
      </c>
      <c r="I116" s="323">
        <f t="shared" si="9"/>
        <v>28.571428571428569</v>
      </c>
      <c r="J116" s="344">
        <f t="shared" si="8"/>
        <v>0.23809523809523808</v>
      </c>
    </row>
    <row r="117" spans="8:10" ht="30" customHeight="1">
      <c r="H117" s="326">
        <v>97</v>
      </c>
      <c r="I117" s="323">
        <f t="shared" si="9"/>
        <v>28.346456692913385</v>
      </c>
      <c r="J117" s="344">
        <f t="shared" si="8"/>
        <v>0.23622047244094488</v>
      </c>
    </row>
    <row r="118" spans="8:10" ht="30" customHeight="1">
      <c r="H118" s="326">
        <v>98</v>
      </c>
      <c r="I118" s="323">
        <f t="shared" si="9"/>
        <v>28.125</v>
      </c>
      <c r="J118" s="344">
        <f t="shared" si="8"/>
        <v>0.234375</v>
      </c>
    </row>
    <row r="119" spans="8:10" ht="30" customHeight="1">
      <c r="H119" s="326">
        <v>99</v>
      </c>
      <c r="I119" s="323">
        <f t="shared" si="9"/>
        <v>27.906976744186046</v>
      </c>
      <c r="J119" s="344">
        <f t="shared" si="8"/>
        <v>0.23255813953488372</v>
      </c>
    </row>
    <row r="120" spans="8:10" ht="30" customHeight="1">
      <c r="H120" s="326">
        <v>100</v>
      </c>
      <c r="I120" s="323">
        <f t="shared" si="9"/>
        <v>27.69230769230769</v>
      </c>
      <c r="J120" s="344">
        <f t="shared" si="8"/>
        <v>0.23076923076923075</v>
      </c>
    </row>
    <row r="121" spans="8:10" ht="30" customHeight="1"/>
    <row r="122" spans="8:10" ht="30" customHeight="1"/>
    <row r="123" spans="8:10" ht="30" customHeight="1"/>
    <row r="124" spans="8:10" ht="30" customHeight="1"/>
    <row r="125" spans="8:10" ht="30" customHeight="1"/>
    <row r="126" spans="8:10" ht="30" customHeight="1"/>
    <row r="127" spans="8:10" ht="30" customHeight="1"/>
    <row r="128" spans="8:10" ht="30" customHeight="1"/>
    <row r="129" ht="30" customHeight="1"/>
    <row r="130" ht="30" customHeight="1"/>
    <row r="131" ht="30" customHeight="1"/>
    <row r="132" ht="30" customHeight="1"/>
    <row r="133" ht="30" customHeight="1"/>
    <row r="134" ht="30" customHeight="1"/>
    <row r="135" ht="30" customHeight="1"/>
    <row r="136" ht="30" customHeight="1"/>
    <row r="137" ht="30" customHeight="1"/>
    <row r="138" ht="30" customHeight="1"/>
    <row r="139" ht="30" customHeight="1"/>
    <row r="140" ht="30" customHeight="1"/>
    <row r="141" ht="30" customHeight="1"/>
    <row r="142" ht="30" customHeight="1"/>
    <row r="143" ht="30" customHeight="1"/>
    <row r="144" ht="30" customHeight="1"/>
    <row r="145" ht="30" customHeight="1"/>
    <row r="146" ht="30" customHeight="1"/>
    <row r="147" ht="30" customHeight="1"/>
    <row r="148" ht="30" customHeight="1"/>
    <row r="149" ht="30" customHeight="1"/>
    <row r="150" ht="30" customHeight="1"/>
    <row r="151" ht="30" customHeight="1"/>
    <row r="152" ht="30" customHeight="1"/>
    <row r="153" ht="30" customHeight="1"/>
    <row r="154" ht="30" customHeight="1"/>
    <row r="155" ht="30" customHeight="1"/>
    <row r="156" ht="30" customHeight="1"/>
    <row r="157" ht="30" customHeight="1"/>
    <row r="158" ht="30" customHeight="1"/>
    <row r="159" ht="30" customHeight="1"/>
    <row r="160" ht="30" customHeight="1"/>
    <row r="161" ht="30" customHeight="1"/>
    <row r="162" ht="30" customHeight="1"/>
    <row r="163" ht="30" customHeight="1"/>
    <row r="164" ht="30" customHeight="1"/>
    <row r="165" ht="30" customHeight="1"/>
    <row r="166" ht="30" customHeight="1"/>
  </sheetData>
  <mergeCells count="30">
    <mergeCell ref="BC2:BI2"/>
    <mergeCell ref="A2:B2"/>
    <mergeCell ref="D2:F2"/>
    <mergeCell ref="G2:J2"/>
    <mergeCell ref="L4:M4"/>
    <mergeCell ref="K2:N2"/>
    <mergeCell ref="AA2:AK2"/>
    <mergeCell ref="AP2:AV2"/>
    <mergeCell ref="R17:V17"/>
    <mergeCell ref="C19:K20"/>
    <mergeCell ref="O2:U2"/>
    <mergeCell ref="R16:V16"/>
    <mergeCell ref="R4:S4"/>
    <mergeCell ref="T4:U4"/>
    <mergeCell ref="P4:Q4"/>
    <mergeCell ref="R13:S13"/>
    <mergeCell ref="R14:S14"/>
    <mergeCell ref="P20:Q20"/>
    <mergeCell ref="R20:S20"/>
    <mergeCell ref="T20:U20"/>
    <mergeCell ref="B24:B25"/>
    <mergeCell ref="Q58:S58"/>
    <mergeCell ref="Q57:S57"/>
    <mergeCell ref="Q21:R21"/>
    <mergeCell ref="T21:U21"/>
    <mergeCell ref="R45:V45"/>
    <mergeCell ref="O30:U30"/>
    <mergeCell ref="P32:Q32"/>
    <mergeCell ref="R32:S32"/>
    <mergeCell ref="T32:U32"/>
  </mergeCells>
  <phoneticPr fontId="126" type="noConversion"/>
  <hyperlinks>
    <hyperlink ref="D24" r:id="rId1" display="5 Wdh" xr:uid="{AD16EBCF-C23C-4A3A-86C8-879C8261E5B2}"/>
    <hyperlink ref="H24" r:id="rId2" display="5 Wdh" xr:uid="{A98AB566-AB04-479D-AA4F-CFB00CE2D945}"/>
  </hyperlinks>
  <pageMargins left="0.7" right="0.7" top="0.78740157499999996" bottom="0.78740157499999996" header="0.3" footer="0.3"/>
  <pageSetup paperSize="9" orientation="portrait" horizontalDpi="300" verticalDpi="300" r:id="rId3"/>
  <tableParts count="2">
    <tablePart r:id="rId4"/>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811"/>
  <sheetViews>
    <sheetView showGridLines="0" zoomScale="71" zoomScaleNormal="71" workbookViewId="0"/>
  </sheetViews>
  <sheetFormatPr baseColWidth="10" defaultColWidth="9" defaultRowHeight="15" customHeight="1"/>
  <cols>
    <col min="1" max="1" width="27.28515625" style="16" customWidth="1"/>
    <col min="2" max="2" width="18" style="16" customWidth="1"/>
    <col min="3" max="3" width="17.42578125" style="16" customWidth="1"/>
    <col min="4" max="4" width="17.140625" style="16" customWidth="1"/>
    <col min="5" max="5" width="22.7109375" style="16" customWidth="1"/>
    <col min="6" max="7" width="19.85546875" style="16" customWidth="1"/>
    <col min="8" max="8" width="17.28515625" style="16" customWidth="1"/>
    <col min="9" max="9" width="16.28515625" style="16" customWidth="1"/>
    <col min="10" max="10" width="17.42578125" style="61" customWidth="1"/>
    <col min="11" max="11" width="17.85546875" style="61" customWidth="1"/>
    <col min="12" max="12" width="17.85546875" style="62" customWidth="1"/>
    <col min="13" max="13" width="14.140625" style="16" customWidth="1"/>
    <col min="14" max="18" width="16.28515625" style="16" customWidth="1"/>
    <col min="19" max="19" width="15.5703125" style="16" customWidth="1"/>
    <col min="20" max="236" width="14" style="16" customWidth="1"/>
    <col min="237" max="256" width="9" style="16" customWidth="1"/>
  </cols>
  <sheetData>
    <row r="1" spans="1:33" ht="32.1" customHeight="1">
      <c r="B1" s="7"/>
      <c r="C1" s="7"/>
      <c r="D1" s="1204" t="s">
        <v>155</v>
      </c>
      <c r="E1" s="1204"/>
      <c r="F1" s="1204"/>
      <c r="G1" s="63"/>
      <c r="H1" s="1206" t="s">
        <v>159</v>
      </c>
      <c r="I1" s="1206"/>
      <c r="J1" s="1206"/>
      <c r="K1" s="1206"/>
      <c r="L1" s="64"/>
      <c r="M1" s="1199" t="s">
        <v>298</v>
      </c>
      <c r="N1" s="1199"/>
      <c r="O1" s="1199"/>
      <c r="P1" s="1199"/>
      <c r="Q1" s="7"/>
      <c r="R1" s="1197" t="s">
        <v>160</v>
      </c>
      <c r="S1" s="1197"/>
      <c r="T1" s="1197"/>
      <c r="W1" s="296"/>
      <c r="X1" s="1197" t="s">
        <v>299</v>
      </c>
      <c r="Y1" s="1197"/>
      <c r="Z1" s="1197"/>
      <c r="AA1" s="1197"/>
    </row>
    <row r="2" spans="1:33" ht="32.1" customHeight="1">
      <c r="B2" s="7"/>
      <c r="C2" s="8"/>
      <c r="D2" s="8"/>
      <c r="E2" s="8"/>
      <c r="F2" s="8"/>
      <c r="G2" s="8"/>
      <c r="H2" s="7"/>
      <c r="I2" s="7"/>
      <c r="J2" s="67"/>
      <c r="K2" s="67"/>
      <c r="L2" s="64"/>
      <c r="M2" s="7"/>
      <c r="Q2" s="7"/>
    </row>
    <row r="3" spans="1:33" ht="32.1" customHeight="1">
      <c r="A3" s="68" t="s">
        <v>176</v>
      </c>
      <c r="B3" s="1202" t="s">
        <v>174</v>
      </c>
      <c r="C3" s="1203"/>
      <c r="D3" s="69" t="s">
        <v>57</v>
      </c>
      <c r="E3" s="69" t="s">
        <v>48</v>
      </c>
      <c r="F3" s="68" t="s">
        <v>154</v>
      </c>
      <c r="G3" s="70"/>
      <c r="H3" s="71" t="s">
        <v>56</v>
      </c>
      <c r="I3" s="72" t="s">
        <v>138</v>
      </c>
      <c r="J3" s="73" t="s">
        <v>57</v>
      </c>
      <c r="K3" s="73" t="s">
        <v>188</v>
      </c>
      <c r="L3" s="74"/>
      <c r="M3" s="75" t="s">
        <v>154</v>
      </c>
      <c r="N3" s="69" t="s">
        <v>138</v>
      </c>
      <c r="O3" s="69" t="s">
        <v>57</v>
      </c>
      <c r="P3" s="69" t="s">
        <v>56</v>
      </c>
      <c r="R3" s="72" t="s">
        <v>138</v>
      </c>
      <c r="S3" s="72" t="s">
        <v>57</v>
      </c>
      <c r="T3" s="72" t="s">
        <v>56</v>
      </c>
      <c r="V3" s="1208" t="s">
        <v>166</v>
      </c>
      <c r="W3" s="1208"/>
      <c r="X3" s="76" t="s">
        <v>163</v>
      </c>
      <c r="Y3" s="76" t="s">
        <v>189</v>
      </c>
      <c r="Z3" s="77" t="s">
        <v>56</v>
      </c>
      <c r="AA3" s="77" t="s">
        <v>162</v>
      </c>
      <c r="AB3" s="69" t="s">
        <v>165</v>
      </c>
      <c r="AD3" s="78" t="s">
        <v>168</v>
      </c>
      <c r="AE3" s="79">
        <v>6</v>
      </c>
      <c r="AG3" s="80" t="s">
        <v>175</v>
      </c>
    </row>
    <row r="4" spans="1:33" ht="32.1" customHeight="1">
      <c r="A4" s="345">
        <v>2.5</v>
      </c>
      <c r="B4" s="1202"/>
      <c r="C4" s="1203"/>
      <c r="D4" s="81">
        <v>100</v>
      </c>
      <c r="E4" s="82">
        <v>6</v>
      </c>
      <c r="F4" s="83">
        <f>IF($A$7="Epley",D16*(1+(E16/30)),D4*36/(37-E4))</f>
        <v>116.12903225806451</v>
      </c>
      <c r="G4" s="70"/>
      <c r="H4" s="346">
        <v>2</v>
      </c>
      <c r="I4" s="84">
        <f>J4/$F$4</f>
        <v>0.97222222222222232</v>
      </c>
      <c r="J4" s="85">
        <f>IF($A$7="Epley",$F$4/(1+(H4/30)),$F$4/(36/(37-H4)))</f>
        <v>112.90322580645162</v>
      </c>
      <c r="K4" s="85">
        <f>IF(MROUND(J4,$A$4)&gt;J4,MROUND(J4-($A$4/2),$A$4),MROUND(J4,$A$4))</f>
        <v>112.5</v>
      </c>
      <c r="L4" s="86"/>
      <c r="M4" s="87">
        <f>$F$4</f>
        <v>116.12903225806451</v>
      </c>
      <c r="N4" s="356">
        <v>0.84</v>
      </c>
      <c r="O4" s="88">
        <f>PRODUCT(M4,N4)</f>
        <v>97.548387096774192</v>
      </c>
      <c r="P4" s="89">
        <f>IF($A$7="Epley",ROUNDDOWN((((30*$F$4)/$O$4)-30),0),ROUNDDOWN(((((($O$4*36)/$F$4)-37)*-1)),0))</f>
        <v>6</v>
      </c>
      <c r="R4" s="90">
        <v>0.95</v>
      </c>
      <c r="S4" s="85">
        <f>PRODUCT($F$4,R4)</f>
        <v>110.32258064516128</v>
      </c>
      <c r="T4" s="91">
        <f>IF($A$7="Epley",ROUNDDOWN((((30*$F$4)/S4)-30),0),ROUNDDOWN((((((S4*36)/$F$4)-37)*-1)),0))</f>
        <v>2</v>
      </c>
      <c r="V4" s="1209" t="s">
        <v>164</v>
      </c>
      <c r="W4" s="1209"/>
      <c r="X4" s="92">
        <f>IF($A$7="Epley",$F$4/(1+($AE$3/30)),($F$4/(36/(37-($AE$3)))))</f>
        <v>99.999999999999986</v>
      </c>
      <c r="Y4" s="93">
        <f>IF(MROUND(X4,$A$4)&gt;X4,MROUND(X4-($A$4/2),$A$4),MROUND(X4,$A$4))</f>
        <v>100</v>
      </c>
      <c r="Z4" s="94">
        <f>$AE$3</f>
        <v>6</v>
      </c>
      <c r="AA4" s="354">
        <v>0</v>
      </c>
      <c r="AB4" s="95">
        <f>X4/$AE$5</f>
        <v>0.86111111111111105</v>
      </c>
      <c r="AD4" s="96" t="s">
        <v>163</v>
      </c>
      <c r="AE4" s="97">
        <f>IF(MROUND($AG$4,$A$4)&gt;$AG$4,MROUND($AG$4-($A$4/2),$A$4),MROUND($AG$4,$A$4))</f>
        <v>95</v>
      </c>
      <c r="AG4" s="88">
        <f>IF($A$7="Epley",$F$4/(1+(($AE$3+1)/30)),$F$4/(36/(37-($AE$3+1))))</f>
        <v>96.774193548387103</v>
      </c>
    </row>
    <row r="5" spans="1:33" ht="32.1" customHeight="1">
      <c r="B5" s="8"/>
      <c r="C5" s="8"/>
      <c r="G5" s="98"/>
      <c r="H5" s="347">
        <v>3</v>
      </c>
      <c r="I5" s="99">
        <f t="shared" ref="I5:I9" si="0">J5/$F$4</f>
        <v>0.94444444444444442</v>
      </c>
      <c r="J5" s="351">
        <f t="shared" ref="J5:J9" si="1">IF($A$7="Epley",$F$4/(1+(H5/30)),$F$4/(36/(37-H5)))</f>
        <v>109.6774193548387</v>
      </c>
      <c r="K5" s="100">
        <f t="shared" ref="K5:K9" si="2">IF(MROUND(J5,$A$4)&gt;J5,MROUND(J5-($A$4/2),$A$4),MROUND(J5,$A$4))</f>
        <v>107.5</v>
      </c>
      <c r="L5" s="101"/>
      <c r="N5" s="353" t="s">
        <v>169</v>
      </c>
      <c r="O5" s="126">
        <f>IF($A$7="Epley",(((30*$M$4)/$O$4)-30),((((($O$4*36)/$M$4)-37)*-1)))</f>
        <v>6.7600000000000016</v>
      </c>
      <c r="R5" s="102">
        <v>0.9</v>
      </c>
      <c r="S5" s="351">
        <f t="shared" ref="S5:S10" si="3">PRODUCT($F$4,R5)</f>
        <v>104.51612903225806</v>
      </c>
      <c r="T5" s="352">
        <f t="shared" ref="T5:T10" si="4">IF($A$7="Epley",ROUNDDOWN((((30*$F$4)/S5)-30),0),ROUNDDOWN((((((S5*36)/$F$4)-37)*-1)),0))</f>
        <v>4</v>
      </c>
      <c r="V5" s="1205" t="s">
        <v>199</v>
      </c>
      <c r="W5" s="1205"/>
      <c r="X5" s="92">
        <f>IF($A$7="Epley",$F$4/(1+(($AE$3+2)/30)),$AE$5/(36/(37-($AE$3+2)))-$A$49)</f>
        <v>93.548387096774192</v>
      </c>
      <c r="Y5" s="103">
        <f t="shared" ref="Y5:Y8" si="5">IF(MROUND(X5,$A$4)&gt;X5,MROUND(X5-($A$4/2),$A$4),MROUND(X5,$A$4))</f>
        <v>92.5</v>
      </c>
      <c r="Z5" s="104">
        <f>$AE$3-1</f>
        <v>5</v>
      </c>
      <c r="AA5" s="355">
        <v>3</v>
      </c>
      <c r="AB5" s="105">
        <f>X5/$AE$5</f>
        <v>0.80555555555555558</v>
      </c>
      <c r="AD5" s="78" t="s">
        <v>167</v>
      </c>
      <c r="AE5" s="106">
        <f>PRODUCT($F$4)</f>
        <v>116.12903225806451</v>
      </c>
    </row>
    <row r="6" spans="1:33" ht="32.1" customHeight="1" thickBot="1">
      <c r="A6" s="68" t="s">
        <v>292</v>
      </c>
      <c r="B6" s="8"/>
      <c r="C6" s="8"/>
      <c r="D6" s="1199" t="s">
        <v>297</v>
      </c>
      <c r="E6" s="1199"/>
      <c r="F6" s="1199"/>
      <c r="G6" s="107"/>
      <c r="H6" s="346">
        <v>5</v>
      </c>
      <c r="I6" s="84">
        <f t="shared" si="0"/>
        <v>0.88888888888888884</v>
      </c>
      <c r="J6" s="85">
        <f t="shared" si="1"/>
        <v>103.2258064516129</v>
      </c>
      <c r="K6" s="85">
        <f t="shared" si="2"/>
        <v>102.5</v>
      </c>
      <c r="L6" s="101"/>
      <c r="M6" s="7"/>
      <c r="R6" s="90">
        <v>0.85</v>
      </c>
      <c r="S6" s="85">
        <f t="shared" si="3"/>
        <v>98.709677419354833</v>
      </c>
      <c r="T6" s="91">
        <f t="shared" si="4"/>
        <v>6</v>
      </c>
      <c r="V6" s="1210" t="s">
        <v>200</v>
      </c>
      <c r="W6" s="1210"/>
      <c r="X6" s="92">
        <f>IF($A$7="Epley",$F$4/(1+(($AE$3+1)/30)),$AE$5/(36/(37-($AE$3+1))))</f>
        <v>96.774193548387103</v>
      </c>
      <c r="Y6" s="103">
        <f t="shared" si="5"/>
        <v>95</v>
      </c>
      <c r="Z6" s="104">
        <f>$AE$3-1</f>
        <v>5</v>
      </c>
      <c r="AA6" s="354">
        <v>2</v>
      </c>
      <c r="AB6" s="105">
        <f>X6/$AE$5</f>
        <v>0.83333333333333337</v>
      </c>
    </row>
    <row r="7" spans="1:33" ht="32.1" customHeight="1" thickBot="1">
      <c r="A7" s="345" t="s">
        <v>296</v>
      </c>
      <c r="D7" s="7"/>
      <c r="G7" s="70"/>
      <c r="H7" s="348">
        <v>8</v>
      </c>
      <c r="I7" s="108">
        <f t="shared" si="0"/>
        <v>0.80555555555555558</v>
      </c>
      <c r="J7" s="351">
        <f t="shared" si="1"/>
        <v>93.548387096774192</v>
      </c>
      <c r="K7" s="100">
        <f t="shared" si="2"/>
        <v>92.5</v>
      </c>
      <c r="L7" s="86"/>
      <c r="M7" s="75" t="s">
        <v>154</v>
      </c>
      <c r="N7" s="69" t="s">
        <v>57</v>
      </c>
      <c r="O7" s="69" t="s">
        <v>56</v>
      </c>
      <c r="P7" s="69" t="s">
        <v>138</v>
      </c>
      <c r="R7" s="109">
        <v>0.8</v>
      </c>
      <c r="S7" s="110">
        <f t="shared" si="3"/>
        <v>92.903225806451616</v>
      </c>
      <c r="T7" s="352">
        <f t="shared" si="4"/>
        <v>8</v>
      </c>
      <c r="V7" s="1205" t="s">
        <v>201</v>
      </c>
      <c r="W7" s="1205"/>
      <c r="X7" s="92">
        <f>IF($A$7="Epley",$F$4/(1+(($AE$3+1)/30)),$AE$5/(36/(37-($AE$3+1))))</f>
        <v>96.774193548387103</v>
      </c>
      <c r="Y7" s="103">
        <f t="shared" si="5"/>
        <v>95</v>
      </c>
      <c r="Z7" s="104">
        <f>$AE$3</f>
        <v>6</v>
      </c>
      <c r="AA7" s="354">
        <v>1</v>
      </c>
      <c r="AB7" s="105">
        <f>X7/$AE$5</f>
        <v>0.83333333333333337</v>
      </c>
      <c r="AD7" s="111" t="s">
        <v>162</v>
      </c>
      <c r="AE7" s="112">
        <v>0</v>
      </c>
      <c r="AG7" s="80" t="s">
        <v>175</v>
      </c>
    </row>
    <row r="8" spans="1:33" ht="32.1" customHeight="1">
      <c r="B8" s="1200" t="s">
        <v>172</v>
      </c>
      <c r="C8" s="1201"/>
      <c r="D8" s="69" t="s">
        <v>154</v>
      </c>
      <c r="E8" s="69" t="s">
        <v>48</v>
      </c>
      <c r="F8" s="69" t="s">
        <v>57</v>
      </c>
      <c r="G8" s="70"/>
      <c r="H8" s="349">
        <v>10</v>
      </c>
      <c r="I8" s="113">
        <f t="shared" si="0"/>
        <v>0.75</v>
      </c>
      <c r="J8" s="85">
        <f t="shared" si="1"/>
        <v>87.096774193548384</v>
      </c>
      <c r="K8" s="85">
        <f>IF(MROUND(J8,$A$4)&gt;J8,MROUND(J8-($A$4/2),$A$4),MROUND(J8,$A$4))</f>
        <v>85</v>
      </c>
      <c r="L8" s="86"/>
      <c r="M8" s="87">
        <f>$F$4</f>
        <v>116.12903225806451</v>
      </c>
      <c r="N8" s="81">
        <v>98.7</v>
      </c>
      <c r="O8" s="89">
        <f>IF($A$7="Epley",ROUNDDOWN((((30*$M$8)/$N$8)-30),0),ROUNDDOWN(((((($N$8*36)/$M$8)-37)*-1)),0))</f>
        <v>6</v>
      </c>
      <c r="P8" s="114">
        <f>N8/M8</f>
        <v>0.84991666666666676</v>
      </c>
      <c r="R8" s="115">
        <v>0.75</v>
      </c>
      <c r="S8" s="116">
        <f t="shared" si="3"/>
        <v>87.096774193548384</v>
      </c>
      <c r="T8" s="91">
        <f t="shared" si="4"/>
        <v>10</v>
      </c>
      <c r="V8" s="1207" t="s">
        <v>202</v>
      </c>
      <c r="W8" s="1207"/>
      <c r="X8" s="92">
        <f>IF($A$7="Epley",$F$4/(1+(($AE$3+1)/30)),$AE$5/(36/(37-($AE$3+1))))</f>
        <v>96.774193548387103</v>
      </c>
      <c r="Y8" s="103">
        <f t="shared" si="5"/>
        <v>95</v>
      </c>
      <c r="Z8" s="104">
        <f>$AE$3+1</f>
        <v>7</v>
      </c>
      <c r="AA8" s="354">
        <v>0</v>
      </c>
      <c r="AB8" s="105">
        <f>X8/$AE$5</f>
        <v>0.83333333333333337</v>
      </c>
      <c r="AD8" s="117" t="s">
        <v>173</v>
      </c>
      <c r="AE8" s="118">
        <f>IF(MROUND($AG$8,$A$4)&gt;$AG$8,MROUND($AG$8-($A$4/2),$A$4),MROUND($AG$8,$A$4))</f>
        <v>100</v>
      </c>
      <c r="AG8" s="97">
        <f>IF($A$7="Epley",$F$4/(1+(($AE$3+$AE$7)/30)),$F$4/(36/(37-($AE$3+$AE$7))))</f>
        <v>99.999999999999986</v>
      </c>
    </row>
    <row r="9" spans="1:33" ht="32.1" customHeight="1">
      <c r="B9" s="1200"/>
      <c r="C9" s="1201"/>
      <c r="D9" s="106">
        <f>$F$4</f>
        <v>116.12903225806451</v>
      </c>
      <c r="E9" s="81">
        <v>9</v>
      </c>
      <c r="F9" s="88">
        <f>IF($A$7="Epley",D9/(1+(E9/30)),D9/(36/(37-E9)))</f>
        <v>90.322580645161281</v>
      </c>
      <c r="G9" s="70"/>
      <c r="H9" s="350">
        <v>12</v>
      </c>
      <c r="I9" s="99">
        <f t="shared" si="0"/>
        <v>0.69444444444444442</v>
      </c>
      <c r="J9" s="351">
        <f t="shared" si="1"/>
        <v>80.645161290322577</v>
      </c>
      <c r="K9" s="100">
        <f t="shared" si="2"/>
        <v>80</v>
      </c>
      <c r="L9" s="101"/>
      <c r="N9" s="119"/>
      <c r="R9" s="120">
        <v>0.7</v>
      </c>
      <c r="S9" s="100">
        <f t="shared" si="3"/>
        <v>81.290322580645153</v>
      </c>
      <c r="T9" s="352">
        <f t="shared" si="4"/>
        <v>11</v>
      </c>
      <c r="V9" s="121"/>
      <c r="W9" s="121"/>
      <c r="X9" s="121"/>
      <c r="Y9" s="121"/>
      <c r="Z9" s="121"/>
      <c r="AD9" s="122"/>
      <c r="AE9" s="123"/>
      <c r="AG9" s="124"/>
    </row>
    <row r="10" spans="1:33" ht="32.1" customHeight="1">
      <c r="B10" s="7"/>
      <c r="D10" s="7"/>
      <c r="E10" s="125"/>
      <c r="F10" s="8"/>
      <c r="G10" s="8"/>
      <c r="H10" s="8"/>
      <c r="I10" s="8"/>
      <c r="J10" s="67"/>
      <c r="K10" s="67"/>
      <c r="L10" s="64"/>
      <c r="M10" s="119"/>
      <c r="N10" s="353" t="s">
        <v>169</v>
      </c>
      <c r="O10" s="126">
        <f>IF($A$7="Epley",(((30*$M$8)/$N$8)-30),((((($N$8*36)/$M$8)-37)*-1)))</f>
        <v>6.4029999999999951</v>
      </c>
      <c r="R10" s="115">
        <v>0.65</v>
      </c>
      <c r="S10" s="116">
        <f t="shared" si="3"/>
        <v>75.483870967741936</v>
      </c>
      <c r="T10" s="91">
        <f t="shared" si="4"/>
        <v>13</v>
      </c>
      <c r="V10" s="121" t="s">
        <v>203</v>
      </c>
      <c r="W10" s="121"/>
      <c r="X10" s="121"/>
      <c r="Y10" s="121"/>
      <c r="Z10" s="121"/>
    </row>
    <row r="11" spans="1:33" ht="32.1" customHeight="1">
      <c r="B11" s="51"/>
      <c r="C11" s="7"/>
      <c r="D11" s="7"/>
      <c r="H11" s="246"/>
      <c r="I11" s="246"/>
      <c r="J11" s="331"/>
      <c r="K11" s="332"/>
      <c r="L11" s="333"/>
      <c r="M11" s="7"/>
    </row>
    <row r="12" spans="1:33" ht="32.1" customHeight="1">
      <c r="B12" s="7"/>
      <c r="D12" s="127"/>
      <c r="H12" s="246"/>
      <c r="I12" s="246"/>
      <c r="J12" s="331"/>
      <c r="K12" s="334"/>
      <c r="L12" s="335"/>
      <c r="M12" s="7"/>
    </row>
    <row r="13" spans="1:33" ht="32.1" customHeight="1">
      <c r="B13" s="8"/>
      <c r="C13" s="8"/>
      <c r="D13" s="1199" t="s">
        <v>219</v>
      </c>
      <c r="E13" s="1199" t="s">
        <v>219</v>
      </c>
      <c r="F13" s="1199"/>
      <c r="G13" s="8"/>
      <c r="H13" s="242"/>
      <c r="I13" s="242"/>
      <c r="J13" s="336"/>
      <c r="K13" s="337"/>
      <c r="L13" s="335"/>
      <c r="M13" s="7"/>
    </row>
    <row r="14" spans="1:33" ht="32.1" customHeight="1">
      <c r="B14" s="210"/>
      <c r="C14" s="210"/>
      <c r="D14" s="65"/>
      <c r="E14" s="65"/>
      <c r="F14" s="65"/>
      <c r="G14" s="210"/>
      <c r="H14" s="242"/>
      <c r="I14" s="242"/>
      <c r="J14" s="336"/>
      <c r="K14" s="336"/>
      <c r="L14" s="336"/>
      <c r="M14" s="7"/>
    </row>
    <row r="15" spans="1:33" ht="32.1" customHeight="1">
      <c r="B15" s="7"/>
      <c r="C15" s="7"/>
      <c r="D15" s="69" t="s">
        <v>57</v>
      </c>
      <c r="E15" s="69" t="s">
        <v>48</v>
      </c>
      <c r="F15" s="68" t="s">
        <v>154</v>
      </c>
      <c r="H15" s="239"/>
      <c r="I15" s="338"/>
      <c r="J15" s="339"/>
      <c r="K15" s="340"/>
      <c r="L15" s="341"/>
      <c r="P15" s="129"/>
    </row>
    <row r="16" spans="1:33" ht="32.1" customHeight="1">
      <c r="B16" s="7"/>
      <c r="C16" s="7"/>
      <c r="D16" s="81">
        <v>100</v>
      </c>
      <c r="E16" s="82">
        <v>6</v>
      </c>
      <c r="F16" s="83">
        <f>D16*(1+(E16/30))</f>
        <v>120</v>
      </c>
      <c r="H16" s="239"/>
      <c r="I16" s="242"/>
      <c r="J16" s="339"/>
      <c r="K16" s="342"/>
      <c r="L16" s="341"/>
    </row>
    <row r="17" spans="2:18" ht="32.1" customHeight="1">
      <c r="B17" s="8"/>
      <c r="C17" s="8"/>
      <c r="H17" s="239"/>
      <c r="I17" s="239"/>
      <c r="J17" s="339"/>
      <c r="K17" s="339"/>
      <c r="L17" s="341"/>
    </row>
    <row r="18" spans="2:18" ht="32.1" customHeight="1">
      <c r="B18" s="7"/>
      <c r="C18" s="7"/>
      <c r="D18" s="7"/>
      <c r="E18" s="7"/>
      <c r="F18" s="7"/>
      <c r="G18" s="7"/>
      <c r="H18" s="64"/>
      <c r="I18" s="7"/>
      <c r="J18" s="7"/>
      <c r="K18" s="7"/>
      <c r="L18" s="7"/>
      <c r="M18" s="7"/>
      <c r="N18" s="7"/>
    </row>
    <row r="19" spans="2:18" ht="32.1" customHeight="1">
      <c r="B19" s="7"/>
      <c r="C19" s="7"/>
      <c r="D19" s="69" t="s">
        <v>154</v>
      </c>
      <c r="E19" s="69" t="s">
        <v>48</v>
      </c>
      <c r="F19" s="69" t="s">
        <v>57</v>
      </c>
      <c r="G19" s="7"/>
      <c r="H19" s="64"/>
      <c r="I19" s="7"/>
      <c r="J19" s="7"/>
      <c r="K19" s="7"/>
      <c r="L19" s="7"/>
      <c r="M19" s="7"/>
      <c r="N19" s="7"/>
    </row>
    <row r="20" spans="2:18" ht="32.1" customHeight="1">
      <c r="B20" s="7"/>
      <c r="C20" s="7"/>
      <c r="D20" s="106">
        <f>F16</f>
        <v>120</v>
      </c>
      <c r="E20" s="81">
        <v>7.5</v>
      </c>
      <c r="F20" s="88">
        <f>D20/(1+(E20/30))</f>
        <v>96</v>
      </c>
      <c r="G20" s="7"/>
      <c r="H20" s="64"/>
      <c r="I20" s="7"/>
      <c r="J20" s="7"/>
      <c r="K20" s="7"/>
      <c r="L20" s="7"/>
      <c r="M20" s="7"/>
      <c r="N20" s="7"/>
    </row>
    <row r="21" spans="2:18" ht="32.1" customHeight="1">
      <c r="B21" s="7"/>
      <c r="C21" s="7"/>
      <c r="D21" s="7"/>
      <c r="E21" s="7"/>
      <c r="F21" s="7"/>
      <c r="G21" s="7"/>
      <c r="H21" s="64"/>
      <c r="I21" s="7"/>
      <c r="J21" s="7"/>
      <c r="K21" s="7"/>
      <c r="L21" s="7"/>
      <c r="M21" s="7"/>
      <c r="N21" s="7"/>
    </row>
    <row r="22" spans="2:18" ht="32.1" customHeight="1">
      <c r="B22" s="7"/>
      <c r="C22" s="7"/>
      <c r="D22" s="7"/>
      <c r="E22" s="7"/>
      <c r="F22" s="7"/>
      <c r="G22" s="7"/>
      <c r="H22" s="64"/>
      <c r="I22" s="7"/>
      <c r="J22" s="7"/>
      <c r="K22" s="7"/>
      <c r="L22" s="7"/>
      <c r="M22" s="7"/>
      <c r="N22" s="7"/>
    </row>
    <row r="23" spans="2:18" ht="32.1" customHeight="1">
      <c r="B23" s="7"/>
      <c r="C23" s="7"/>
      <c r="D23" s="7"/>
      <c r="E23" s="7"/>
      <c r="F23" s="7"/>
      <c r="G23" s="7"/>
      <c r="H23" s="1199"/>
      <c r="I23" s="1199"/>
      <c r="J23" s="1199"/>
      <c r="K23" s="7"/>
      <c r="L23" s="7"/>
      <c r="M23" s="7"/>
      <c r="N23" s="7"/>
    </row>
    <row r="24" spans="2:18" ht="32.1" customHeight="1">
      <c r="B24" s="7"/>
      <c r="C24" s="7"/>
      <c r="D24" s="7"/>
      <c r="E24" s="7"/>
      <c r="F24" s="7"/>
      <c r="G24" s="7"/>
      <c r="H24" s="64"/>
      <c r="I24" s="7"/>
      <c r="J24" s="7"/>
      <c r="K24" s="7"/>
      <c r="L24" s="7"/>
      <c r="M24" s="7"/>
      <c r="N24" s="7"/>
    </row>
    <row r="25" spans="2:18" ht="32.1" customHeight="1">
      <c r="B25" s="7"/>
      <c r="C25" s="7"/>
      <c r="D25" s="7"/>
      <c r="E25" s="7"/>
      <c r="F25" s="7"/>
      <c r="G25" s="7"/>
      <c r="H25" s="7"/>
      <c r="I25" s="7"/>
      <c r="J25" s="67"/>
      <c r="K25" s="67"/>
      <c r="L25" s="64"/>
      <c r="M25" s="7"/>
      <c r="N25" s="7"/>
      <c r="O25" s="7"/>
      <c r="P25" s="7"/>
      <c r="Q25" s="7"/>
      <c r="R25" s="7"/>
    </row>
    <row r="26" spans="2:18" ht="32.1" customHeight="1">
      <c r="B26" s="7"/>
      <c r="C26" s="7"/>
      <c r="D26" s="7"/>
      <c r="E26" s="7"/>
      <c r="F26" s="7"/>
      <c r="G26" s="7"/>
      <c r="H26" s="7"/>
      <c r="I26" s="7"/>
      <c r="J26" s="67"/>
      <c r="K26" s="67"/>
      <c r="L26" s="64"/>
      <c r="M26" s="7"/>
      <c r="N26" s="7"/>
      <c r="O26" s="7"/>
      <c r="P26" s="7"/>
      <c r="Q26" s="7"/>
      <c r="R26" s="7"/>
    </row>
    <row r="27" spans="2:18" ht="32.1" customHeight="1">
      <c r="B27" s="7"/>
      <c r="C27" s="7"/>
      <c r="D27" s="7"/>
      <c r="E27" s="7"/>
      <c r="F27" s="7"/>
      <c r="G27" s="7"/>
      <c r="H27" s="7"/>
      <c r="I27" s="7"/>
      <c r="J27" s="67"/>
      <c r="K27" s="67"/>
      <c r="L27" s="64"/>
      <c r="M27" s="7"/>
      <c r="N27" s="7"/>
      <c r="O27" s="7"/>
      <c r="P27" s="7"/>
      <c r="Q27" s="7"/>
      <c r="R27" s="7"/>
    </row>
    <row r="28" spans="2:18" ht="32.1" customHeight="1">
      <c r="B28" s="7"/>
      <c r="C28" s="7"/>
      <c r="D28" s="7"/>
      <c r="E28" s="7"/>
      <c r="F28" s="7"/>
      <c r="G28" s="7"/>
      <c r="H28" s="7"/>
      <c r="I28" s="7"/>
      <c r="J28" s="67"/>
      <c r="K28" s="67"/>
      <c r="L28" s="64"/>
      <c r="M28" s="7"/>
      <c r="N28" s="7"/>
      <c r="O28" s="7"/>
      <c r="P28" s="7"/>
      <c r="Q28" s="7"/>
      <c r="R28" s="7"/>
    </row>
    <row r="29" spans="2:18" ht="32.1" customHeight="1">
      <c r="B29" s="7"/>
      <c r="C29" s="7"/>
      <c r="D29" s="7"/>
      <c r="E29" s="7"/>
      <c r="F29" s="7"/>
      <c r="G29" s="7"/>
      <c r="H29" s="7"/>
      <c r="I29" s="7"/>
      <c r="J29" s="67"/>
      <c r="K29" s="67"/>
      <c r="L29" s="64"/>
      <c r="M29" s="7"/>
      <c r="N29" s="7"/>
      <c r="O29" s="7"/>
      <c r="P29" s="7"/>
      <c r="Q29" s="7"/>
      <c r="R29" s="7"/>
    </row>
    <row r="30" spans="2:18" ht="32.1" customHeight="1">
      <c r="B30" s="7"/>
      <c r="C30" s="7"/>
      <c r="D30" s="7"/>
      <c r="E30" s="7"/>
      <c r="F30" s="7"/>
      <c r="G30" s="7"/>
      <c r="H30" s="7"/>
      <c r="I30" s="7"/>
      <c r="J30" s="67"/>
      <c r="K30" s="67"/>
      <c r="L30" s="64"/>
      <c r="M30" s="7"/>
      <c r="N30" s="7"/>
      <c r="O30" s="7"/>
      <c r="P30" s="7"/>
      <c r="Q30" s="7"/>
      <c r="R30" s="7"/>
    </row>
    <row r="31" spans="2:18" ht="32.1" customHeight="1">
      <c r="B31" s="7"/>
      <c r="C31" s="7"/>
      <c r="D31" s="7"/>
      <c r="E31" s="7"/>
      <c r="F31" s="7"/>
      <c r="G31" s="7"/>
      <c r="H31" s="7"/>
      <c r="I31" s="7"/>
      <c r="J31" s="67"/>
      <c r="K31" s="67"/>
      <c r="L31" s="64"/>
      <c r="M31" s="7"/>
      <c r="N31" s="7"/>
      <c r="O31" s="7"/>
      <c r="P31" s="7"/>
      <c r="Q31" s="7"/>
      <c r="R31" s="7"/>
    </row>
    <row r="32" spans="2:18" ht="32.1" customHeight="1">
      <c r="B32" s="7"/>
      <c r="C32" s="7"/>
      <c r="D32" s="7"/>
      <c r="E32" s="7"/>
      <c r="F32" s="7"/>
      <c r="G32" s="7"/>
      <c r="H32" s="7"/>
      <c r="I32" s="7"/>
      <c r="J32" s="67"/>
      <c r="K32" s="67"/>
      <c r="L32" s="64"/>
      <c r="M32" s="7"/>
      <c r="N32" s="7"/>
      <c r="O32" s="7"/>
      <c r="P32" s="7"/>
      <c r="Q32" s="7"/>
      <c r="R32" s="7"/>
    </row>
    <row r="33" spans="2:18" ht="19.5" customHeight="1">
      <c r="B33" s="7"/>
      <c r="C33" s="7"/>
      <c r="D33" s="7"/>
      <c r="E33" s="7"/>
      <c r="F33" s="7"/>
      <c r="G33" s="7"/>
      <c r="H33" s="7"/>
      <c r="I33" s="7"/>
      <c r="J33" s="67"/>
      <c r="K33" s="67"/>
      <c r="L33" s="64"/>
      <c r="M33" s="7"/>
      <c r="N33" s="7"/>
      <c r="O33" s="7"/>
      <c r="P33" s="7"/>
      <c r="Q33" s="7"/>
      <c r="R33" s="7"/>
    </row>
    <row r="34" spans="2:18" ht="19.5" customHeight="1">
      <c r="B34" s="7"/>
      <c r="C34" s="7"/>
      <c r="D34" s="7"/>
      <c r="E34" s="7"/>
      <c r="F34" s="7"/>
      <c r="G34" s="7"/>
      <c r="H34" s="7"/>
      <c r="I34" s="7"/>
      <c r="J34" s="67"/>
      <c r="K34" s="67"/>
      <c r="L34" s="64"/>
      <c r="M34" s="7"/>
      <c r="N34" s="7"/>
      <c r="O34" s="7"/>
      <c r="P34" s="7"/>
      <c r="Q34" s="7"/>
      <c r="R34" s="7"/>
    </row>
    <row r="35" spans="2:18" ht="19.5" customHeight="1">
      <c r="B35" s="7"/>
      <c r="C35" s="7"/>
      <c r="D35" s="7"/>
      <c r="E35" s="7"/>
      <c r="F35" s="7"/>
      <c r="G35" s="7"/>
      <c r="H35" s="7"/>
      <c r="I35" s="7"/>
      <c r="J35" s="67"/>
      <c r="K35" s="67"/>
      <c r="L35" s="64"/>
      <c r="M35" s="7"/>
      <c r="N35" s="7"/>
      <c r="O35" s="7"/>
      <c r="P35" s="7"/>
      <c r="Q35" s="7"/>
      <c r="R35" s="7"/>
    </row>
    <row r="36" spans="2:18" ht="19.5" customHeight="1">
      <c r="B36" s="7"/>
      <c r="C36" s="7"/>
      <c r="D36" s="7"/>
      <c r="E36" s="7"/>
      <c r="F36" s="7"/>
      <c r="G36" s="7"/>
      <c r="H36" s="7"/>
      <c r="I36" s="7"/>
      <c r="J36" s="67"/>
      <c r="K36" s="67"/>
      <c r="L36" s="64"/>
      <c r="M36" s="7"/>
      <c r="N36" s="7"/>
      <c r="O36" s="7"/>
      <c r="P36" s="7"/>
      <c r="Q36" s="7"/>
      <c r="R36" s="7"/>
    </row>
    <row r="37" spans="2:18" ht="19.5" customHeight="1">
      <c r="B37" s="7"/>
      <c r="C37" s="7"/>
      <c r="D37" s="7"/>
      <c r="E37" s="7"/>
      <c r="F37" s="7"/>
      <c r="G37" s="7"/>
      <c r="H37" s="7"/>
      <c r="I37" s="7"/>
      <c r="J37" s="67"/>
      <c r="K37" s="67"/>
      <c r="L37" s="64"/>
      <c r="M37" s="7"/>
      <c r="N37" s="7"/>
      <c r="O37" s="7"/>
      <c r="P37" s="7"/>
      <c r="Q37" s="7"/>
      <c r="R37" s="7"/>
    </row>
    <row r="38" spans="2:18" ht="19.5" customHeight="1">
      <c r="B38" s="7"/>
      <c r="C38" s="7"/>
      <c r="D38" s="7"/>
      <c r="E38" s="7"/>
      <c r="F38" s="7"/>
      <c r="G38" s="7"/>
      <c r="H38" s="7"/>
      <c r="I38" s="7"/>
      <c r="J38" s="67"/>
      <c r="K38" s="67"/>
      <c r="L38" s="64"/>
      <c r="M38" s="7"/>
      <c r="N38" s="7"/>
      <c r="O38" s="7"/>
      <c r="P38" s="7"/>
      <c r="Q38" s="7"/>
      <c r="R38" s="7"/>
    </row>
    <row r="39" spans="2:18" ht="19.5" customHeight="1">
      <c r="B39" s="7"/>
      <c r="C39" s="7"/>
      <c r="D39" s="7"/>
      <c r="E39" s="7"/>
      <c r="F39" s="7"/>
      <c r="G39" s="7"/>
      <c r="H39" s="7"/>
      <c r="I39" s="7"/>
      <c r="J39" s="67"/>
      <c r="K39" s="67"/>
      <c r="L39" s="64"/>
      <c r="M39" s="7"/>
      <c r="N39" s="7"/>
      <c r="O39" s="7"/>
      <c r="P39" s="7"/>
      <c r="Q39" s="7"/>
      <c r="R39" s="7"/>
    </row>
    <row r="40" spans="2:18" ht="19.5" customHeight="1">
      <c r="B40" s="7"/>
      <c r="C40" s="7"/>
      <c r="D40" s="7"/>
      <c r="E40" s="7"/>
      <c r="F40" s="7"/>
      <c r="G40" s="7"/>
      <c r="H40" s="7"/>
      <c r="I40" s="7"/>
      <c r="J40" s="67"/>
      <c r="K40" s="67"/>
      <c r="L40" s="64"/>
      <c r="M40" s="7"/>
      <c r="N40" s="7"/>
      <c r="O40" s="7"/>
      <c r="P40" s="7"/>
      <c r="Q40" s="7"/>
      <c r="R40" s="7"/>
    </row>
    <row r="41" spans="2:18" ht="19.5" customHeight="1">
      <c r="B41" s="7"/>
      <c r="C41" s="7"/>
      <c r="D41" s="7"/>
      <c r="E41" s="7"/>
      <c r="F41" s="7"/>
      <c r="G41" s="7"/>
      <c r="H41" s="7"/>
      <c r="I41" s="7"/>
      <c r="J41" s="67"/>
      <c r="K41" s="67"/>
      <c r="L41" s="64"/>
      <c r="M41" s="7"/>
      <c r="N41" s="7"/>
      <c r="O41" s="7"/>
      <c r="P41" s="7"/>
      <c r="Q41" s="7"/>
      <c r="R41" s="7"/>
    </row>
    <row r="42" spans="2:18" ht="19.5" customHeight="1">
      <c r="B42" s="7"/>
      <c r="C42" s="7"/>
      <c r="D42" s="7"/>
      <c r="E42" s="7"/>
      <c r="F42" s="7"/>
      <c r="G42" s="7"/>
      <c r="H42" s="7"/>
      <c r="I42" s="7"/>
      <c r="J42" s="67"/>
      <c r="K42" s="67"/>
      <c r="L42" s="64"/>
      <c r="M42" s="7"/>
      <c r="N42" s="7"/>
      <c r="O42" s="7"/>
      <c r="P42" s="7"/>
      <c r="Q42" s="7"/>
      <c r="R42" s="7"/>
    </row>
    <row r="43" spans="2:18" ht="19.5" customHeight="1">
      <c r="B43" s="7"/>
      <c r="C43" s="7"/>
      <c r="D43" s="7"/>
      <c r="E43" s="7"/>
      <c r="F43" s="7"/>
      <c r="G43" s="7"/>
      <c r="H43" s="7"/>
      <c r="I43" s="7"/>
      <c r="J43" s="67"/>
      <c r="K43" s="67"/>
      <c r="L43" s="64"/>
      <c r="M43" s="7"/>
      <c r="N43" s="7"/>
      <c r="O43" s="7"/>
      <c r="P43" s="7"/>
      <c r="Q43" s="7"/>
      <c r="R43" s="7"/>
    </row>
    <row r="44" spans="2:18" ht="19.5" customHeight="1">
      <c r="B44" s="7"/>
      <c r="C44" s="7"/>
      <c r="D44" s="7"/>
      <c r="E44" s="7"/>
      <c r="F44" s="7"/>
      <c r="G44" s="7"/>
      <c r="H44" s="7"/>
      <c r="I44" s="7"/>
      <c r="J44" s="67"/>
      <c r="K44" s="67"/>
      <c r="L44" s="64"/>
      <c r="M44" s="7"/>
      <c r="N44" s="7"/>
      <c r="O44" s="7"/>
      <c r="P44" s="7"/>
      <c r="Q44" s="7"/>
      <c r="R44" s="7"/>
    </row>
    <row r="45" spans="2:18" ht="19.5" customHeight="1">
      <c r="B45" s="7"/>
      <c r="C45" s="7"/>
      <c r="D45" s="7"/>
      <c r="E45" s="7"/>
      <c r="F45" s="7"/>
      <c r="G45" s="7"/>
      <c r="H45" s="7"/>
      <c r="I45" s="7"/>
      <c r="J45" s="67"/>
      <c r="K45" s="67"/>
      <c r="L45" s="64"/>
      <c r="M45" s="7"/>
      <c r="N45" s="7"/>
      <c r="O45" s="7"/>
      <c r="P45" s="7"/>
      <c r="Q45" s="7"/>
      <c r="R45" s="7"/>
    </row>
    <row r="46" spans="2:18" ht="19.5" customHeight="1">
      <c r="B46" s="7"/>
      <c r="C46" s="7"/>
      <c r="D46" s="7"/>
      <c r="E46" s="7"/>
      <c r="F46" s="7"/>
      <c r="G46" s="7"/>
      <c r="H46" s="7"/>
      <c r="I46" s="7"/>
      <c r="J46" s="67"/>
      <c r="K46" s="67"/>
      <c r="L46" s="64"/>
      <c r="M46" s="7"/>
      <c r="N46" s="7"/>
      <c r="O46" s="7"/>
      <c r="P46" s="7"/>
      <c r="Q46" s="7"/>
      <c r="R46" s="7"/>
    </row>
    <row r="47" spans="2:18" ht="19.5" customHeight="1">
      <c r="B47" s="7"/>
      <c r="C47" s="7"/>
      <c r="D47" s="7"/>
      <c r="E47" s="7"/>
      <c r="F47" s="7"/>
      <c r="G47" s="7"/>
      <c r="H47" s="7"/>
      <c r="I47" s="7"/>
      <c r="J47" s="67"/>
      <c r="K47" s="67"/>
      <c r="L47" s="64"/>
      <c r="M47" s="7"/>
      <c r="N47" s="7"/>
      <c r="O47" s="7"/>
      <c r="P47" s="7"/>
      <c r="Q47" s="7"/>
      <c r="R47" s="7"/>
    </row>
    <row r="48" spans="2:18" ht="19.5" customHeight="1">
      <c r="B48" s="7"/>
      <c r="C48" s="7"/>
      <c r="D48" s="7"/>
      <c r="E48" s="7"/>
      <c r="F48" s="7"/>
      <c r="G48" s="7"/>
      <c r="H48" s="7"/>
      <c r="I48" s="7"/>
      <c r="J48" s="67"/>
      <c r="K48" s="67"/>
      <c r="L48" s="64"/>
      <c r="M48" s="7"/>
      <c r="N48" s="7"/>
      <c r="O48" s="7"/>
      <c r="P48" s="7"/>
      <c r="Q48" s="7"/>
      <c r="R48" s="7"/>
    </row>
    <row r="49" spans="2:18" ht="19.5" customHeight="1">
      <c r="B49" s="7"/>
      <c r="C49" s="7"/>
      <c r="D49" s="7"/>
      <c r="E49" s="7"/>
      <c r="F49" s="7"/>
      <c r="G49" s="7"/>
      <c r="H49" s="7"/>
      <c r="I49" s="7"/>
      <c r="J49" s="67"/>
      <c r="K49" s="67"/>
      <c r="L49" s="64"/>
      <c r="M49" s="7"/>
      <c r="N49" s="7"/>
      <c r="O49" s="7"/>
      <c r="P49" s="7"/>
      <c r="Q49" s="7"/>
      <c r="R49" s="7"/>
    </row>
    <row r="50" spans="2:18" ht="19.5" customHeight="1">
      <c r="B50" s="7"/>
      <c r="C50" s="7"/>
      <c r="D50" s="7"/>
      <c r="E50" s="7"/>
      <c r="F50" s="7"/>
      <c r="G50" s="7"/>
      <c r="H50" s="7"/>
      <c r="I50" s="7"/>
      <c r="J50" s="67"/>
      <c r="K50" s="67"/>
      <c r="L50" s="64"/>
      <c r="M50" s="7"/>
      <c r="N50" s="7"/>
      <c r="O50" s="7"/>
      <c r="P50" s="7"/>
      <c r="Q50" s="7"/>
      <c r="R50" s="7"/>
    </row>
    <row r="51" spans="2:18" ht="19.5" customHeight="1">
      <c r="B51" s="7"/>
      <c r="C51" s="7"/>
      <c r="D51" s="7"/>
      <c r="E51" s="7"/>
      <c r="F51" s="7"/>
      <c r="G51" s="7"/>
      <c r="H51" s="7"/>
      <c r="I51" s="7"/>
      <c r="J51" s="67"/>
      <c r="K51" s="67"/>
      <c r="L51" s="64"/>
      <c r="M51" s="7"/>
      <c r="N51" s="7"/>
      <c r="O51" s="7"/>
      <c r="P51" s="7"/>
      <c r="Q51" s="7"/>
      <c r="R51" s="7"/>
    </row>
    <row r="52" spans="2:18" ht="19.5" customHeight="1">
      <c r="B52" s="7"/>
      <c r="C52" s="7"/>
      <c r="D52" s="7"/>
      <c r="E52" s="7"/>
      <c r="F52" s="7"/>
      <c r="G52" s="7"/>
      <c r="H52" s="7"/>
      <c r="I52" s="7"/>
      <c r="J52" s="67"/>
      <c r="K52" s="67"/>
      <c r="L52" s="64"/>
      <c r="M52" s="7"/>
      <c r="N52" s="7"/>
      <c r="O52" s="7"/>
      <c r="P52" s="7"/>
      <c r="Q52" s="7"/>
      <c r="R52" s="7"/>
    </row>
    <row r="53" spans="2:18" ht="19.5" customHeight="1">
      <c r="B53" s="7"/>
      <c r="C53" s="7"/>
      <c r="D53" s="7"/>
      <c r="E53" s="7"/>
      <c r="F53" s="7"/>
      <c r="G53" s="7"/>
      <c r="H53" s="7"/>
      <c r="I53" s="7"/>
      <c r="J53" s="67"/>
      <c r="K53" s="67"/>
      <c r="L53" s="64"/>
      <c r="M53" s="7"/>
      <c r="N53" s="7"/>
      <c r="O53" s="7"/>
      <c r="P53" s="7"/>
      <c r="Q53" s="7"/>
      <c r="R53" s="7"/>
    </row>
    <row r="54" spans="2:18" ht="19.5" customHeight="1">
      <c r="B54" s="7"/>
      <c r="C54" s="7"/>
      <c r="D54" s="7"/>
      <c r="E54" s="7"/>
      <c r="F54" s="7"/>
      <c r="G54" s="7"/>
      <c r="H54" s="7"/>
      <c r="I54" s="7"/>
      <c r="J54" s="67"/>
      <c r="K54" s="67"/>
      <c r="L54" s="64"/>
      <c r="M54" s="7"/>
      <c r="N54" s="7"/>
      <c r="O54" s="7"/>
      <c r="P54" s="7"/>
      <c r="Q54" s="7"/>
      <c r="R54" s="7"/>
    </row>
    <row r="55" spans="2:18" ht="19.5" customHeight="1">
      <c r="B55" s="7"/>
      <c r="C55" s="7"/>
      <c r="D55" s="7"/>
      <c r="E55" s="7"/>
      <c r="F55" s="7"/>
      <c r="G55" s="7"/>
      <c r="H55" s="7"/>
      <c r="I55" s="7"/>
      <c r="J55" s="67"/>
      <c r="K55" s="67"/>
      <c r="L55" s="64"/>
      <c r="M55" s="7"/>
      <c r="N55" s="7"/>
      <c r="O55" s="7"/>
      <c r="P55" s="7"/>
      <c r="Q55" s="7"/>
      <c r="R55" s="7"/>
    </row>
    <row r="56" spans="2:18" ht="19.5" customHeight="1">
      <c r="B56" s="7"/>
      <c r="C56" s="7"/>
      <c r="D56" s="7"/>
      <c r="E56" s="7"/>
      <c r="F56" s="7"/>
      <c r="G56" s="7"/>
      <c r="H56" s="7"/>
      <c r="I56" s="7"/>
      <c r="J56" s="67"/>
      <c r="K56" s="67"/>
      <c r="L56" s="64"/>
      <c r="M56" s="7"/>
      <c r="N56" s="7"/>
      <c r="O56" s="7"/>
      <c r="P56" s="7"/>
      <c r="Q56" s="7"/>
      <c r="R56" s="7"/>
    </row>
    <row r="57" spans="2:18" ht="19.5" customHeight="1">
      <c r="B57" s="7"/>
      <c r="C57" s="7"/>
      <c r="D57" s="7"/>
      <c r="E57" s="7"/>
      <c r="F57" s="7"/>
      <c r="G57" s="7"/>
      <c r="H57" s="7"/>
      <c r="I57" s="7"/>
      <c r="J57" s="67"/>
      <c r="K57" s="67"/>
      <c r="L57" s="64"/>
      <c r="M57" s="7"/>
      <c r="N57" s="7"/>
      <c r="O57" s="7"/>
      <c r="P57" s="7"/>
      <c r="Q57" s="7"/>
      <c r="R57" s="7"/>
    </row>
    <row r="58" spans="2:18" ht="19.5" customHeight="1">
      <c r="B58" s="7"/>
      <c r="C58" s="7"/>
      <c r="D58" s="7"/>
      <c r="E58" s="7"/>
      <c r="F58" s="7"/>
      <c r="G58" s="7"/>
      <c r="H58" s="7"/>
      <c r="I58" s="7"/>
      <c r="J58" s="67"/>
      <c r="K58" s="67"/>
      <c r="L58" s="64"/>
      <c r="M58" s="7"/>
      <c r="N58" s="7"/>
      <c r="O58" s="7"/>
      <c r="P58" s="7"/>
      <c r="Q58" s="7"/>
      <c r="R58" s="7"/>
    </row>
    <row r="59" spans="2:18" ht="19.5" customHeight="1">
      <c r="B59" s="7"/>
      <c r="C59" s="7"/>
      <c r="D59" s="7"/>
      <c r="E59" s="7"/>
      <c r="F59" s="7"/>
      <c r="G59" s="7"/>
      <c r="H59" s="7"/>
      <c r="I59" s="7"/>
      <c r="J59" s="67"/>
      <c r="K59" s="67"/>
      <c r="L59" s="64"/>
      <c r="M59" s="7"/>
      <c r="N59" s="7"/>
      <c r="O59" s="7"/>
      <c r="P59" s="7"/>
      <c r="Q59" s="7"/>
      <c r="R59" s="7"/>
    </row>
    <row r="60" spans="2:18" ht="19.5" customHeight="1">
      <c r="B60" s="7"/>
      <c r="C60" s="7"/>
      <c r="D60" s="7"/>
      <c r="E60" s="7"/>
      <c r="F60" s="7"/>
      <c r="G60" s="7"/>
      <c r="H60" s="7"/>
      <c r="I60" s="7"/>
      <c r="J60" s="67"/>
      <c r="K60" s="67"/>
      <c r="L60" s="64"/>
      <c r="M60" s="7"/>
      <c r="N60" s="7"/>
      <c r="O60" s="7"/>
      <c r="P60" s="7"/>
      <c r="Q60" s="7"/>
      <c r="R60" s="7"/>
    </row>
    <row r="61" spans="2:18" ht="19.5" customHeight="1">
      <c r="B61" s="7"/>
      <c r="C61" s="7"/>
      <c r="D61" s="7"/>
      <c r="E61" s="7"/>
      <c r="F61" s="7"/>
      <c r="G61" s="7"/>
      <c r="H61" s="7"/>
      <c r="I61" s="7"/>
      <c r="J61" s="67"/>
      <c r="K61" s="67"/>
      <c r="L61" s="64"/>
      <c r="M61" s="7"/>
      <c r="N61" s="7"/>
      <c r="O61" s="7"/>
      <c r="P61" s="7"/>
      <c r="Q61" s="7"/>
      <c r="R61" s="7"/>
    </row>
    <row r="62" spans="2:18" ht="19.5" customHeight="1">
      <c r="B62" s="7"/>
      <c r="C62" s="7"/>
      <c r="D62" s="7"/>
      <c r="E62" s="7"/>
      <c r="F62" s="7"/>
      <c r="G62" s="7"/>
      <c r="H62" s="7"/>
      <c r="I62" s="7"/>
      <c r="J62" s="67"/>
      <c r="K62" s="67"/>
      <c r="L62" s="64"/>
      <c r="M62" s="7"/>
      <c r="N62" s="7"/>
      <c r="O62" s="7"/>
      <c r="P62" s="7"/>
      <c r="Q62" s="7"/>
      <c r="R62" s="7"/>
    </row>
    <row r="63" spans="2:18" ht="19.5" customHeight="1">
      <c r="B63" s="7"/>
      <c r="C63" s="7"/>
      <c r="D63" s="7"/>
      <c r="E63" s="7"/>
      <c r="F63" s="7"/>
      <c r="G63" s="7"/>
      <c r="H63" s="7"/>
      <c r="I63" s="7"/>
      <c r="J63" s="67"/>
      <c r="K63" s="67"/>
      <c r="L63" s="64"/>
      <c r="M63" s="7"/>
      <c r="N63" s="7"/>
      <c r="O63" s="7"/>
      <c r="P63" s="7"/>
      <c r="Q63" s="7"/>
      <c r="R63" s="7"/>
    </row>
    <row r="64" spans="2:18" ht="19.5" customHeight="1">
      <c r="B64" s="7"/>
      <c r="C64" s="7"/>
      <c r="D64" s="7"/>
      <c r="E64" s="7"/>
      <c r="F64" s="7"/>
      <c r="G64" s="7"/>
      <c r="H64" s="7"/>
      <c r="I64" s="7"/>
      <c r="J64" s="67"/>
      <c r="K64" s="67"/>
      <c r="L64" s="64"/>
      <c r="M64" s="7"/>
      <c r="N64" s="7"/>
      <c r="O64" s="7"/>
      <c r="P64" s="7"/>
      <c r="Q64" s="7"/>
      <c r="R64" s="7"/>
    </row>
    <row r="65" spans="2:18" ht="19.5" customHeight="1">
      <c r="B65" s="7"/>
      <c r="C65" s="7"/>
      <c r="D65" s="7"/>
      <c r="E65" s="7"/>
      <c r="F65" s="7"/>
      <c r="G65" s="7"/>
      <c r="H65" s="7"/>
      <c r="I65" s="7"/>
      <c r="J65" s="67"/>
      <c r="K65" s="67"/>
      <c r="L65" s="64"/>
      <c r="M65" s="7"/>
      <c r="N65" s="7"/>
      <c r="O65" s="7"/>
      <c r="P65" s="7"/>
      <c r="Q65" s="7"/>
      <c r="R65" s="7"/>
    </row>
    <row r="66" spans="2:18" ht="19.5" customHeight="1">
      <c r="B66" s="7"/>
      <c r="C66" s="7"/>
      <c r="D66" s="7"/>
      <c r="E66" s="7"/>
      <c r="F66" s="7"/>
      <c r="G66" s="7"/>
      <c r="H66" s="7"/>
      <c r="I66" s="7"/>
      <c r="J66" s="67"/>
      <c r="K66" s="67"/>
      <c r="L66" s="64"/>
      <c r="M66" s="7"/>
      <c r="N66" s="7"/>
      <c r="O66" s="7"/>
      <c r="P66" s="7"/>
      <c r="Q66" s="7"/>
      <c r="R66" s="7"/>
    </row>
    <row r="67" spans="2:18" ht="19.5" customHeight="1">
      <c r="B67" s="7"/>
      <c r="C67" s="7"/>
      <c r="D67" s="7"/>
      <c r="E67" s="7"/>
      <c r="F67" s="7"/>
      <c r="G67" s="7"/>
      <c r="H67" s="7"/>
      <c r="I67" s="7"/>
      <c r="J67" s="67"/>
      <c r="K67" s="67"/>
      <c r="L67" s="64"/>
      <c r="M67" s="7"/>
      <c r="N67" s="7"/>
      <c r="O67" s="7"/>
      <c r="P67" s="7"/>
      <c r="Q67" s="7"/>
      <c r="R67" s="7"/>
    </row>
    <row r="68" spans="2:18" ht="19.5" customHeight="1">
      <c r="B68" s="7"/>
      <c r="C68" s="7"/>
      <c r="D68" s="7"/>
      <c r="E68" s="7"/>
      <c r="F68" s="7"/>
      <c r="G68" s="7"/>
      <c r="H68" s="7"/>
      <c r="I68" s="7"/>
      <c r="J68" s="67"/>
      <c r="K68" s="67"/>
      <c r="L68" s="64"/>
      <c r="M68" s="7"/>
      <c r="N68" s="7"/>
      <c r="O68" s="7"/>
      <c r="P68" s="7"/>
      <c r="Q68" s="7"/>
      <c r="R68" s="7"/>
    </row>
    <row r="69" spans="2:18" ht="19.5" customHeight="1">
      <c r="B69" s="7"/>
      <c r="C69" s="7"/>
      <c r="D69" s="7"/>
      <c r="E69" s="7"/>
      <c r="F69" s="7"/>
      <c r="G69" s="7"/>
      <c r="H69" s="7"/>
      <c r="I69" s="7"/>
      <c r="J69" s="67"/>
      <c r="K69" s="67"/>
      <c r="L69" s="64"/>
      <c r="M69" s="7"/>
      <c r="N69" s="7"/>
      <c r="O69" s="7"/>
      <c r="P69" s="7"/>
      <c r="Q69" s="7"/>
      <c r="R69" s="7"/>
    </row>
    <row r="70" spans="2:18" ht="19.5" customHeight="1">
      <c r="B70" s="7"/>
      <c r="C70" s="7"/>
      <c r="D70" s="7"/>
      <c r="E70" s="7"/>
      <c r="F70" s="7"/>
      <c r="G70" s="7"/>
      <c r="H70" s="7"/>
      <c r="I70" s="7"/>
      <c r="J70" s="67"/>
      <c r="K70" s="67"/>
      <c r="L70" s="64"/>
      <c r="M70" s="7"/>
      <c r="N70" s="7"/>
      <c r="O70" s="7"/>
      <c r="P70" s="7"/>
      <c r="Q70" s="7"/>
      <c r="R70" s="7"/>
    </row>
    <row r="71" spans="2:18" ht="19.5" customHeight="1">
      <c r="B71" s="7"/>
      <c r="C71" s="7"/>
      <c r="D71" s="7"/>
      <c r="E71" s="7"/>
      <c r="F71" s="7"/>
      <c r="G71" s="7"/>
      <c r="H71" s="7"/>
      <c r="I71" s="7"/>
      <c r="J71" s="67"/>
      <c r="K71" s="67"/>
      <c r="L71" s="64"/>
      <c r="M71" s="7"/>
      <c r="N71" s="7"/>
      <c r="O71" s="7"/>
      <c r="P71" s="7"/>
      <c r="Q71" s="7"/>
      <c r="R71" s="7"/>
    </row>
    <row r="72" spans="2:18" ht="19.5" customHeight="1">
      <c r="B72" s="7"/>
      <c r="C72" s="7"/>
      <c r="D72" s="7"/>
      <c r="E72" s="7"/>
      <c r="F72" s="7"/>
      <c r="G72" s="7"/>
      <c r="H72" s="7"/>
      <c r="I72" s="7"/>
      <c r="J72" s="67"/>
      <c r="K72" s="67"/>
      <c r="L72" s="64"/>
      <c r="M72" s="7"/>
      <c r="N72" s="7"/>
      <c r="O72" s="7"/>
      <c r="P72" s="7"/>
      <c r="Q72" s="7"/>
      <c r="R72" s="7"/>
    </row>
    <row r="73" spans="2:18" ht="19.5" customHeight="1">
      <c r="B73" s="7"/>
      <c r="C73" s="7"/>
      <c r="D73" s="7"/>
      <c r="E73" s="7"/>
      <c r="F73" s="7"/>
      <c r="G73" s="7"/>
      <c r="H73" s="7"/>
      <c r="I73" s="7"/>
      <c r="J73" s="67"/>
      <c r="K73" s="67"/>
      <c r="L73" s="64"/>
      <c r="M73" s="7"/>
      <c r="N73" s="7"/>
      <c r="O73" s="7"/>
      <c r="P73" s="7"/>
      <c r="Q73" s="7"/>
      <c r="R73" s="7"/>
    </row>
    <row r="74" spans="2:18" ht="19.5" customHeight="1">
      <c r="B74" s="7"/>
      <c r="C74" s="7"/>
      <c r="D74" s="7"/>
      <c r="E74" s="7"/>
      <c r="F74" s="7"/>
      <c r="G74" s="7"/>
      <c r="H74" s="7"/>
      <c r="I74" s="7"/>
      <c r="J74" s="67"/>
      <c r="K74" s="67"/>
      <c r="L74" s="64"/>
      <c r="M74" s="7"/>
      <c r="N74" s="7"/>
      <c r="O74" s="7"/>
      <c r="P74" s="7"/>
      <c r="Q74" s="7"/>
      <c r="R74" s="7"/>
    </row>
    <row r="75" spans="2:18" ht="19.5" customHeight="1">
      <c r="B75" s="7"/>
      <c r="C75" s="7"/>
      <c r="D75" s="7"/>
      <c r="E75" s="7"/>
      <c r="F75" s="7"/>
      <c r="G75" s="7"/>
      <c r="H75" s="7"/>
      <c r="I75" s="7"/>
      <c r="J75" s="67"/>
      <c r="K75" s="67"/>
      <c r="L75" s="64"/>
      <c r="M75" s="7"/>
      <c r="N75" s="7"/>
      <c r="O75" s="7"/>
      <c r="P75" s="7"/>
      <c r="Q75" s="7"/>
      <c r="R75" s="7"/>
    </row>
    <row r="76" spans="2:18" ht="19.5" customHeight="1">
      <c r="B76" s="7"/>
      <c r="C76" s="7"/>
      <c r="D76" s="7"/>
      <c r="E76" s="7"/>
      <c r="F76" s="7"/>
      <c r="G76" s="7"/>
      <c r="H76" s="7"/>
      <c r="I76" s="7"/>
      <c r="J76" s="67"/>
      <c r="K76" s="67"/>
      <c r="L76" s="64"/>
      <c r="M76" s="7"/>
      <c r="N76" s="7"/>
      <c r="O76" s="7"/>
      <c r="P76" s="7"/>
      <c r="Q76" s="7"/>
      <c r="R76" s="7"/>
    </row>
    <row r="77" spans="2:18" ht="19.5" customHeight="1">
      <c r="B77" s="7"/>
      <c r="C77" s="7"/>
      <c r="D77" s="7"/>
      <c r="E77" s="7"/>
      <c r="F77" s="7"/>
      <c r="G77" s="7"/>
      <c r="H77" s="7"/>
      <c r="I77" s="7"/>
      <c r="J77" s="67"/>
      <c r="K77" s="67"/>
      <c r="L77" s="64"/>
      <c r="M77" s="7"/>
      <c r="N77" s="7"/>
      <c r="O77" s="7"/>
      <c r="P77" s="7"/>
      <c r="Q77" s="7"/>
      <c r="R77" s="7"/>
    </row>
    <row r="78" spans="2:18" ht="19.5" customHeight="1">
      <c r="B78" s="7"/>
      <c r="C78" s="7"/>
      <c r="D78" s="7"/>
      <c r="E78" s="7"/>
      <c r="F78" s="7"/>
      <c r="G78" s="7"/>
      <c r="H78" s="7"/>
      <c r="I78" s="7"/>
      <c r="J78" s="67"/>
      <c r="K78" s="67"/>
      <c r="L78" s="64"/>
      <c r="M78" s="7"/>
      <c r="N78" s="7"/>
      <c r="O78" s="7"/>
      <c r="P78" s="7"/>
      <c r="Q78" s="7"/>
      <c r="R78" s="7"/>
    </row>
    <row r="79" spans="2:18" ht="19.5" customHeight="1">
      <c r="B79" s="7"/>
      <c r="C79" s="7"/>
      <c r="D79" s="7"/>
      <c r="E79" s="7"/>
      <c r="F79" s="7"/>
      <c r="G79" s="7"/>
      <c r="H79" s="7"/>
      <c r="I79" s="7"/>
      <c r="J79" s="67"/>
      <c r="K79" s="67"/>
      <c r="L79" s="64"/>
      <c r="M79" s="7"/>
      <c r="N79" s="7"/>
      <c r="O79" s="7"/>
      <c r="P79" s="7"/>
      <c r="Q79" s="7"/>
      <c r="R79" s="7"/>
    </row>
    <row r="80" spans="2:18" ht="19.5" customHeight="1">
      <c r="B80" s="7"/>
      <c r="C80" s="7"/>
      <c r="D80" s="7"/>
      <c r="E80" s="7"/>
      <c r="F80" s="7"/>
      <c r="G80" s="7"/>
      <c r="H80" s="7"/>
      <c r="I80" s="7"/>
      <c r="J80" s="67"/>
      <c r="K80" s="67"/>
      <c r="L80" s="64"/>
      <c r="M80" s="7"/>
      <c r="N80" s="7"/>
      <c r="O80" s="7"/>
      <c r="P80" s="7"/>
      <c r="Q80" s="7"/>
      <c r="R80" s="7"/>
    </row>
    <row r="81" spans="2:18" ht="19.5" customHeight="1">
      <c r="B81" s="7"/>
      <c r="C81" s="7"/>
      <c r="D81" s="7"/>
      <c r="E81" s="7"/>
      <c r="F81" s="7"/>
      <c r="G81" s="7"/>
      <c r="H81" s="7"/>
      <c r="I81" s="7"/>
      <c r="J81" s="67"/>
      <c r="K81" s="67"/>
      <c r="L81" s="64"/>
      <c r="M81" s="7"/>
      <c r="N81" s="7"/>
      <c r="O81" s="7"/>
      <c r="P81" s="7"/>
      <c r="Q81" s="7"/>
      <c r="R81" s="7"/>
    </row>
    <row r="82" spans="2:18" ht="19.5" customHeight="1">
      <c r="B82" s="7"/>
      <c r="C82" s="7"/>
      <c r="D82" s="7"/>
      <c r="E82" s="7"/>
      <c r="F82" s="7"/>
      <c r="G82" s="7"/>
      <c r="H82" s="7"/>
      <c r="I82" s="7"/>
      <c r="J82" s="67"/>
      <c r="K82" s="67"/>
      <c r="L82" s="64"/>
      <c r="M82" s="7"/>
      <c r="N82" s="7"/>
      <c r="O82" s="7"/>
      <c r="P82" s="7"/>
      <c r="Q82" s="7"/>
      <c r="R82" s="7"/>
    </row>
    <row r="83" spans="2:18" ht="19.5" customHeight="1">
      <c r="B83" s="7"/>
      <c r="C83" s="7"/>
      <c r="D83" s="7"/>
      <c r="E83" s="7"/>
      <c r="F83" s="7"/>
      <c r="G83" s="7"/>
      <c r="H83" s="7"/>
      <c r="I83" s="7"/>
      <c r="J83" s="67"/>
      <c r="K83" s="67"/>
      <c r="L83" s="64"/>
      <c r="M83" s="7"/>
      <c r="N83" s="7"/>
      <c r="O83" s="7"/>
      <c r="P83" s="7"/>
      <c r="Q83" s="7"/>
      <c r="R83" s="7"/>
    </row>
    <row r="84" spans="2:18" ht="19.5" customHeight="1">
      <c r="B84" s="7"/>
      <c r="C84" s="7"/>
      <c r="D84" s="7"/>
      <c r="E84" s="7"/>
      <c r="F84" s="7"/>
      <c r="G84" s="7"/>
      <c r="H84" s="7"/>
      <c r="I84" s="7"/>
      <c r="J84" s="67"/>
      <c r="K84" s="67"/>
      <c r="L84" s="64"/>
      <c r="M84" s="7"/>
      <c r="N84" s="7"/>
      <c r="O84" s="7"/>
      <c r="P84" s="7"/>
      <c r="Q84" s="7"/>
      <c r="R84" s="7"/>
    </row>
    <row r="85" spans="2:18" ht="19.5" customHeight="1">
      <c r="B85" s="7"/>
      <c r="C85" s="7"/>
      <c r="D85" s="7"/>
      <c r="E85" s="7"/>
      <c r="F85" s="7"/>
      <c r="G85" s="7"/>
      <c r="H85" s="7"/>
      <c r="I85" s="7"/>
      <c r="J85" s="67"/>
      <c r="K85" s="67"/>
      <c r="L85" s="64"/>
      <c r="M85" s="7"/>
      <c r="N85" s="7"/>
      <c r="O85" s="7"/>
      <c r="P85" s="7"/>
      <c r="Q85" s="7"/>
      <c r="R85" s="7"/>
    </row>
    <row r="86" spans="2:18" ht="19.5" customHeight="1">
      <c r="B86" s="7"/>
      <c r="C86" s="7"/>
      <c r="D86" s="7"/>
      <c r="E86" s="7"/>
      <c r="F86" s="7"/>
      <c r="G86" s="7"/>
      <c r="H86" s="7"/>
      <c r="I86" s="7"/>
      <c r="J86" s="67"/>
      <c r="K86" s="67"/>
      <c r="L86" s="64"/>
      <c r="M86" s="7"/>
      <c r="N86" s="7"/>
      <c r="O86" s="7"/>
      <c r="P86" s="7"/>
      <c r="Q86" s="7"/>
      <c r="R86" s="7"/>
    </row>
    <row r="87" spans="2:18" ht="19.5" customHeight="1">
      <c r="B87" s="7"/>
      <c r="C87" s="7"/>
      <c r="D87" s="7"/>
      <c r="E87" s="7"/>
      <c r="F87" s="7"/>
      <c r="G87" s="7"/>
      <c r="H87" s="7"/>
      <c r="I87" s="7"/>
      <c r="J87" s="67"/>
      <c r="K87" s="67"/>
      <c r="L87" s="64"/>
      <c r="M87" s="7"/>
      <c r="N87" s="7"/>
      <c r="O87" s="7"/>
      <c r="P87" s="7"/>
      <c r="Q87" s="7"/>
      <c r="R87" s="7"/>
    </row>
    <row r="88" spans="2:18" ht="19.5" customHeight="1">
      <c r="B88" s="7"/>
      <c r="C88" s="7"/>
      <c r="D88" s="7"/>
      <c r="E88" s="7"/>
      <c r="F88" s="7"/>
      <c r="G88" s="7"/>
      <c r="H88" s="7"/>
      <c r="I88" s="7"/>
      <c r="J88" s="67"/>
      <c r="K88" s="67"/>
      <c r="L88" s="64"/>
      <c r="M88" s="7"/>
      <c r="N88" s="7"/>
      <c r="O88" s="7"/>
      <c r="P88" s="7"/>
      <c r="Q88" s="7"/>
      <c r="R88" s="7"/>
    </row>
    <row r="89" spans="2:18" ht="19.5" customHeight="1">
      <c r="B89" s="7"/>
      <c r="C89" s="7"/>
      <c r="D89" s="7"/>
      <c r="E89" s="7"/>
      <c r="F89" s="7"/>
      <c r="G89" s="7"/>
      <c r="H89" s="7"/>
      <c r="I89" s="7"/>
      <c r="J89" s="67"/>
      <c r="K89" s="67"/>
      <c r="L89" s="64"/>
      <c r="M89" s="7"/>
      <c r="N89" s="7"/>
      <c r="O89" s="7"/>
      <c r="P89" s="7"/>
      <c r="Q89" s="7"/>
      <c r="R89" s="7"/>
    </row>
    <row r="90" spans="2:18" ht="19.5" customHeight="1">
      <c r="B90" s="7"/>
      <c r="C90" s="7"/>
      <c r="D90" s="7"/>
      <c r="E90" s="7"/>
      <c r="F90" s="7"/>
      <c r="G90" s="7"/>
      <c r="H90" s="7"/>
      <c r="I90" s="7"/>
      <c r="J90" s="67"/>
      <c r="K90" s="67"/>
      <c r="L90" s="64"/>
      <c r="M90" s="7"/>
      <c r="N90" s="7"/>
      <c r="O90" s="7"/>
      <c r="P90" s="7"/>
      <c r="Q90" s="7"/>
      <c r="R90" s="7"/>
    </row>
    <row r="91" spans="2:18" ht="19.5" customHeight="1">
      <c r="B91" s="7"/>
      <c r="C91" s="7"/>
      <c r="D91" s="7"/>
      <c r="E91" s="7"/>
      <c r="F91" s="7"/>
      <c r="G91" s="7"/>
      <c r="H91" s="7"/>
      <c r="I91" s="7"/>
      <c r="J91" s="67"/>
      <c r="K91" s="67"/>
      <c r="L91" s="64"/>
      <c r="M91" s="7"/>
      <c r="N91" s="7"/>
      <c r="O91" s="7"/>
      <c r="P91" s="7"/>
      <c r="Q91" s="7"/>
      <c r="R91" s="7"/>
    </row>
    <row r="92" spans="2:18" ht="19.5" customHeight="1">
      <c r="B92" s="7"/>
      <c r="C92" s="7"/>
      <c r="D92" s="7"/>
      <c r="E92" s="7"/>
      <c r="F92" s="7"/>
      <c r="G92" s="7"/>
      <c r="H92" s="7"/>
      <c r="I92" s="7"/>
      <c r="J92" s="67"/>
      <c r="K92" s="67"/>
      <c r="L92" s="64"/>
      <c r="M92" s="7"/>
      <c r="N92" s="7"/>
      <c r="O92" s="7"/>
      <c r="P92" s="7"/>
      <c r="Q92" s="7"/>
      <c r="R92" s="7"/>
    </row>
    <row r="93" spans="2:18" ht="19.5" customHeight="1">
      <c r="B93" s="7"/>
      <c r="C93" s="7"/>
      <c r="D93" s="7"/>
      <c r="E93" s="7"/>
      <c r="F93" s="7"/>
      <c r="G93" s="7"/>
      <c r="H93" s="7"/>
      <c r="I93" s="7"/>
      <c r="J93" s="67"/>
      <c r="K93" s="67"/>
      <c r="L93" s="64"/>
      <c r="M93" s="7"/>
      <c r="N93" s="7"/>
      <c r="O93" s="7"/>
      <c r="P93" s="7"/>
      <c r="Q93" s="7"/>
      <c r="R93" s="7"/>
    </row>
    <row r="94" spans="2:18" ht="19.5" customHeight="1">
      <c r="B94" s="7"/>
      <c r="C94" s="7"/>
      <c r="D94" s="7"/>
      <c r="E94" s="7"/>
      <c r="F94" s="7"/>
      <c r="G94" s="7"/>
      <c r="H94" s="7"/>
      <c r="I94" s="7"/>
      <c r="J94" s="67"/>
      <c r="K94" s="67"/>
      <c r="L94" s="64"/>
      <c r="M94" s="7"/>
      <c r="N94" s="7"/>
      <c r="O94" s="7"/>
      <c r="P94" s="7"/>
      <c r="Q94" s="7"/>
      <c r="R94" s="7"/>
    </row>
    <row r="95" spans="2:18" ht="19.5" customHeight="1">
      <c r="B95" s="7"/>
      <c r="C95" s="7"/>
      <c r="D95" s="7"/>
      <c r="E95" s="7"/>
      <c r="F95" s="7"/>
      <c r="G95" s="7"/>
      <c r="H95" s="7"/>
      <c r="I95" s="7"/>
      <c r="J95" s="67"/>
      <c r="K95" s="67"/>
      <c r="L95" s="64"/>
      <c r="M95" s="7"/>
      <c r="N95" s="7"/>
      <c r="O95" s="7"/>
      <c r="P95" s="7"/>
      <c r="Q95" s="7"/>
      <c r="R95" s="7"/>
    </row>
    <row r="96" spans="2:18" ht="19.5" customHeight="1">
      <c r="B96" s="7"/>
      <c r="C96" s="7"/>
      <c r="D96" s="7"/>
      <c r="E96" s="7"/>
      <c r="F96" s="7"/>
      <c r="G96" s="7"/>
      <c r="H96" s="7"/>
      <c r="I96" s="7"/>
      <c r="J96" s="67"/>
      <c r="K96" s="67"/>
      <c r="L96" s="64"/>
      <c r="M96" s="7"/>
      <c r="N96" s="7"/>
      <c r="O96" s="7"/>
      <c r="P96" s="7"/>
      <c r="Q96" s="7"/>
      <c r="R96" s="7"/>
    </row>
    <row r="97" spans="2:18" ht="19.5" customHeight="1">
      <c r="B97" s="7"/>
      <c r="C97" s="7"/>
      <c r="D97" s="7"/>
      <c r="E97" s="7"/>
      <c r="F97" s="7"/>
      <c r="G97" s="7"/>
      <c r="H97" s="7"/>
      <c r="I97" s="7"/>
      <c r="J97" s="67"/>
      <c r="K97" s="67"/>
      <c r="L97" s="64"/>
      <c r="M97" s="7"/>
      <c r="N97" s="7"/>
      <c r="O97" s="7"/>
      <c r="P97" s="7"/>
      <c r="Q97" s="7"/>
      <c r="R97" s="7"/>
    </row>
    <row r="98" spans="2:18" ht="19.5" customHeight="1">
      <c r="B98" s="7"/>
      <c r="C98" s="7"/>
      <c r="D98" s="7"/>
      <c r="E98" s="7"/>
      <c r="F98" s="7"/>
      <c r="G98" s="7"/>
      <c r="H98" s="7"/>
      <c r="I98" s="7"/>
      <c r="J98" s="67"/>
      <c r="K98" s="67"/>
      <c r="L98" s="64"/>
      <c r="M98" s="7"/>
      <c r="N98" s="7"/>
      <c r="O98" s="7"/>
      <c r="P98" s="7"/>
      <c r="Q98" s="7"/>
      <c r="R98" s="7"/>
    </row>
    <row r="99" spans="2:18" ht="19.5" customHeight="1">
      <c r="B99" s="7"/>
      <c r="C99" s="7"/>
      <c r="D99" s="7"/>
      <c r="E99" s="7"/>
      <c r="F99" s="7"/>
      <c r="G99" s="7"/>
      <c r="H99" s="7"/>
      <c r="I99" s="7"/>
      <c r="J99" s="67"/>
      <c r="K99" s="67"/>
      <c r="L99" s="64"/>
      <c r="M99" s="7"/>
      <c r="N99" s="7"/>
      <c r="O99" s="7"/>
      <c r="P99" s="7"/>
      <c r="Q99" s="7"/>
      <c r="R99" s="7"/>
    </row>
    <row r="100" spans="2:18" ht="19.5" customHeight="1">
      <c r="B100" s="7"/>
      <c r="C100" s="7"/>
      <c r="D100" s="7"/>
      <c r="E100" s="7"/>
      <c r="F100" s="7"/>
      <c r="G100" s="7"/>
      <c r="H100" s="7"/>
      <c r="I100" s="7"/>
      <c r="J100" s="67"/>
      <c r="K100" s="67"/>
      <c r="L100" s="64"/>
      <c r="M100" s="7"/>
      <c r="N100" s="7"/>
      <c r="O100" s="7"/>
      <c r="P100" s="7"/>
      <c r="Q100" s="7"/>
      <c r="R100" s="7"/>
    </row>
    <row r="101" spans="2:18" ht="19.5" customHeight="1">
      <c r="B101" s="7"/>
      <c r="C101" s="7"/>
      <c r="D101" s="7"/>
      <c r="E101" s="7"/>
      <c r="F101" s="7"/>
      <c r="G101" s="7"/>
      <c r="H101" s="7"/>
      <c r="I101" s="7"/>
      <c r="J101" s="67"/>
      <c r="K101" s="67"/>
      <c r="L101" s="64"/>
      <c r="M101" s="7"/>
      <c r="N101" s="7"/>
      <c r="O101" s="7"/>
      <c r="P101" s="7"/>
      <c r="Q101" s="7"/>
      <c r="R101" s="7"/>
    </row>
    <row r="102" spans="2:18" ht="19.5" customHeight="1">
      <c r="B102" s="7"/>
      <c r="C102" s="7"/>
      <c r="D102" s="7"/>
      <c r="E102" s="7"/>
      <c r="F102" s="7"/>
      <c r="G102" s="7"/>
      <c r="H102" s="7"/>
      <c r="I102" s="7"/>
      <c r="J102" s="67"/>
      <c r="K102" s="67"/>
      <c r="L102" s="64"/>
      <c r="M102" s="7"/>
      <c r="N102" s="7"/>
      <c r="O102" s="7"/>
      <c r="P102" s="7"/>
      <c r="Q102" s="7"/>
      <c r="R102" s="7"/>
    </row>
    <row r="103" spans="2:18" ht="19.5" customHeight="1">
      <c r="B103" s="7"/>
      <c r="C103" s="7"/>
      <c r="D103" s="7"/>
      <c r="E103" s="7"/>
      <c r="F103" s="7"/>
      <c r="G103" s="7"/>
      <c r="H103" s="7"/>
      <c r="I103" s="7"/>
      <c r="J103" s="67"/>
      <c r="K103" s="67"/>
      <c r="L103" s="64"/>
      <c r="M103" s="7"/>
      <c r="N103" s="7"/>
      <c r="O103" s="7"/>
      <c r="P103" s="7"/>
      <c r="Q103" s="7"/>
      <c r="R103" s="7"/>
    </row>
    <row r="104" spans="2:18" ht="19.5" customHeight="1">
      <c r="B104" s="7"/>
      <c r="C104" s="7"/>
      <c r="D104" s="7"/>
      <c r="E104" s="7"/>
      <c r="F104" s="7"/>
      <c r="G104" s="7"/>
      <c r="H104" s="7"/>
      <c r="I104" s="7"/>
      <c r="J104" s="67"/>
      <c r="K104" s="67"/>
      <c r="L104" s="64"/>
      <c r="M104" s="7"/>
      <c r="N104" s="7"/>
      <c r="O104" s="7"/>
      <c r="P104" s="7"/>
      <c r="Q104" s="7"/>
      <c r="R104" s="7"/>
    </row>
    <row r="105" spans="2:18" ht="19.5" customHeight="1">
      <c r="B105" s="7"/>
      <c r="C105" s="7"/>
      <c r="D105" s="7"/>
      <c r="E105" s="7"/>
      <c r="F105" s="7"/>
      <c r="G105" s="7"/>
      <c r="H105" s="7"/>
      <c r="I105" s="7"/>
      <c r="J105" s="67"/>
      <c r="K105" s="67"/>
      <c r="L105" s="64"/>
      <c r="M105" s="7"/>
      <c r="N105" s="7"/>
      <c r="O105" s="7"/>
      <c r="P105" s="7"/>
      <c r="Q105" s="7"/>
      <c r="R105" s="7"/>
    </row>
    <row r="106" spans="2:18" ht="19.5" customHeight="1">
      <c r="B106" s="7"/>
      <c r="C106" s="7"/>
      <c r="D106" s="7"/>
      <c r="E106" s="7"/>
      <c r="F106" s="7"/>
      <c r="G106" s="7"/>
      <c r="H106" s="7"/>
      <c r="I106" s="7"/>
      <c r="J106" s="67"/>
      <c r="K106" s="67"/>
      <c r="L106" s="64"/>
      <c r="M106" s="7"/>
      <c r="N106" s="7"/>
      <c r="O106" s="7"/>
      <c r="P106" s="7"/>
      <c r="Q106" s="7"/>
      <c r="R106" s="7"/>
    </row>
    <row r="107" spans="2:18" ht="19.5" customHeight="1">
      <c r="B107" s="7"/>
      <c r="C107" s="7"/>
      <c r="D107" s="7"/>
      <c r="E107" s="7"/>
      <c r="F107" s="7"/>
      <c r="G107" s="7"/>
      <c r="H107" s="7"/>
      <c r="I107" s="7"/>
      <c r="J107" s="67"/>
      <c r="K107" s="67"/>
      <c r="L107" s="64"/>
      <c r="M107" s="7"/>
      <c r="N107" s="7"/>
      <c r="O107" s="7"/>
      <c r="P107" s="7"/>
      <c r="Q107" s="7"/>
      <c r="R107" s="7"/>
    </row>
    <row r="108" spans="2:18" ht="19.5" customHeight="1">
      <c r="B108" s="7"/>
      <c r="C108" s="7"/>
      <c r="D108" s="7"/>
      <c r="E108" s="7"/>
      <c r="F108" s="7"/>
      <c r="G108" s="7"/>
      <c r="H108" s="7"/>
      <c r="I108" s="7"/>
      <c r="J108" s="67"/>
      <c r="K108" s="67"/>
      <c r="L108" s="64"/>
      <c r="M108" s="7"/>
      <c r="N108" s="7"/>
      <c r="O108" s="7"/>
      <c r="P108" s="7"/>
      <c r="Q108" s="7"/>
      <c r="R108" s="7"/>
    </row>
    <row r="109" spans="2:18" ht="19.5" customHeight="1">
      <c r="B109" s="7"/>
      <c r="C109" s="7"/>
      <c r="D109" s="7"/>
      <c r="E109" s="7"/>
      <c r="F109" s="7"/>
      <c r="G109" s="7"/>
      <c r="H109" s="7"/>
      <c r="I109" s="7"/>
      <c r="J109" s="67"/>
      <c r="K109" s="67"/>
      <c r="L109" s="64"/>
      <c r="M109" s="7"/>
      <c r="N109" s="7"/>
      <c r="O109" s="7"/>
      <c r="P109" s="7"/>
      <c r="Q109" s="7"/>
      <c r="R109" s="7"/>
    </row>
    <row r="110" spans="2:18" ht="19.5" customHeight="1">
      <c r="B110" s="7"/>
      <c r="C110" s="7"/>
      <c r="D110" s="7"/>
      <c r="E110" s="7"/>
      <c r="F110" s="7"/>
      <c r="G110" s="7"/>
      <c r="H110" s="7"/>
      <c r="I110" s="7"/>
      <c r="J110" s="67"/>
      <c r="K110" s="67"/>
      <c r="L110" s="64"/>
      <c r="M110" s="7"/>
      <c r="N110" s="7"/>
      <c r="O110" s="7"/>
      <c r="P110" s="7"/>
      <c r="Q110" s="7"/>
      <c r="R110" s="7"/>
    </row>
    <row r="111" spans="2:18" ht="19.5" customHeight="1">
      <c r="B111" s="7"/>
      <c r="C111" s="7"/>
      <c r="D111" s="7"/>
      <c r="E111" s="7"/>
      <c r="F111" s="7"/>
      <c r="G111" s="7"/>
      <c r="H111" s="7"/>
      <c r="I111" s="7"/>
      <c r="J111" s="67"/>
      <c r="K111" s="67"/>
      <c r="L111" s="64"/>
      <c r="M111" s="7"/>
      <c r="N111" s="7"/>
      <c r="O111" s="7"/>
      <c r="P111" s="7"/>
      <c r="Q111" s="7"/>
      <c r="R111" s="7"/>
    </row>
    <row r="112" spans="2:18" ht="19.5" customHeight="1">
      <c r="B112" s="7"/>
      <c r="C112" s="7"/>
      <c r="D112" s="7"/>
      <c r="E112" s="7"/>
      <c r="F112" s="7"/>
      <c r="G112" s="7"/>
      <c r="H112" s="7"/>
      <c r="I112" s="7"/>
      <c r="J112" s="67"/>
      <c r="K112" s="67"/>
      <c r="L112" s="64"/>
      <c r="M112" s="7"/>
      <c r="N112" s="7"/>
      <c r="O112" s="7"/>
      <c r="P112" s="7"/>
      <c r="Q112" s="7"/>
      <c r="R112" s="7"/>
    </row>
    <row r="113" spans="2:18" ht="19.5" customHeight="1">
      <c r="B113" s="7"/>
      <c r="C113" s="7"/>
      <c r="D113" s="7"/>
      <c r="E113" s="7"/>
      <c r="F113" s="7"/>
      <c r="G113" s="7"/>
      <c r="H113" s="7"/>
      <c r="I113" s="7"/>
      <c r="J113" s="67"/>
      <c r="K113" s="67"/>
      <c r="L113" s="64"/>
      <c r="M113" s="7"/>
      <c r="N113" s="7"/>
      <c r="O113" s="7"/>
      <c r="P113" s="7"/>
      <c r="Q113" s="7"/>
      <c r="R113" s="7"/>
    </row>
    <row r="114" spans="2:18" ht="19.5" customHeight="1">
      <c r="B114" s="7"/>
      <c r="C114" s="7"/>
      <c r="D114" s="7"/>
      <c r="E114" s="7"/>
      <c r="F114" s="7"/>
      <c r="G114" s="7"/>
      <c r="H114" s="7"/>
      <c r="I114" s="7"/>
      <c r="J114" s="67"/>
      <c r="K114" s="67"/>
      <c r="L114" s="64"/>
      <c r="M114" s="7"/>
      <c r="N114" s="7"/>
      <c r="O114" s="7"/>
      <c r="P114" s="7"/>
      <c r="Q114" s="7"/>
      <c r="R114" s="7"/>
    </row>
    <row r="115" spans="2:18" ht="19.5" customHeight="1">
      <c r="B115" s="7"/>
      <c r="C115" s="7"/>
      <c r="D115" s="7"/>
      <c r="E115" s="7"/>
      <c r="F115" s="7"/>
      <c r="G115" s="7"/>
      <c r="H115" s="7"/>
      <c r="I115" s="7"/>
      <c r="J115" s="67"/>
      <c r="K115" s="67"/>
      <c r="L115" s="64"/>
      <c r="M115" s="7"/>
      <c r="N115" s="7"/>
      <c r="O115" s="7"/>
      <c r="P115" s="7"/>
      <c r="Q115" s="7"/>
      <c r="R115" s="7"/>
    </row>
    <row r="116" spans="2:18" ht="19.5" customHeight="1">
      <c r="B116" s="7"/>
      <c r="C116" s="7"/>
      <c r="D116" s="7"/>
      <c r="E116" s="7"/>
      <c r="F116" s="7"/>
      <c r="G116" s="7"/>
      <c r="H116" s="7"/>
      <c r="I116" s="7"/>
      <c r="J116" s="67"/>
      <c r="K116" s="67"/>
      <c r="L116" s="64"/>
      <c r="M116" s="7"/>
      <c r="N116" s="7"/>
      <c r="O116" s="7"/>
      <c r="P116" s="7"/>
      <c r="Q116" s="7"/>
      <c r="R116" s="7"/>
    </row>
    <row r="117" spans="2:18" ht="19.5" customHeight="1">
      <c r="B117" s="7"/>
      <c r="C117" s="7"/>
      <c r="D117" s="7"/>
      <c r="E117" s="7"/>
      <c r="F117" s="7"/>
      <c r="G117" s="7"/>
      <c r="H117" s="7"/>
      <c r="I117" s="7"/>
      <c r="J117" s="67"/>
      <c r="K117" s="67"/>
      <c r="L117" s="64"/>
      <c r="M117" s="7"/>
      <c r="N117" s="7"/>
      <c r="O117" s="7"/>
      <c r="P117" s="7"/>
      <c r="Q117" s="7"/>
      <c r="R117" s="7"/>
    </row>
    <row r="118" spans="2:18" ht="19.5" customHeight="1">
      <c r="B118" s="7"/>
      <c r="C118" s="7"/>
      <c r="D118" s="7"/>
      <c r="E118" s="7"/>
      <c r="F118" s="7"/>
      <c r="G118" s="7"/>
      <c r="H118" s="7"/>
      <c r="I118" s="7"/>
      <c r="J118" s="67"/>
      <c r="K118" s="67"/>
      <c r="L118" s="64"/>
      <c r="M118" s="7"/>
      <c r="N118" s="7"/>
      <c r="O118" s="7"/>
      <c r="P118" s="7"/>
      <c r="Q118" s="7"/>
      <c r="R118" s="7"/>
    </row>
    <row r="119" spans="2:18" ht="19.5" customHeight="1">
      <c r="B119" s="7"/>
      <c r="C119" s="7"/>
      <c r="D119" s="7"/>
      <c r="E119" s="7"/>
      <c r="F119" s="7"/>
      <c r="G119" s="7"/>
      <c r="H119" s="7"/>
      <c r="I119" s="7"/>
      <c r="J119" s="67"/>
      <c r="K119" s="67"/>
      <c r="L119" s="64"/>
      <c r="M119" s="7"/>
      <c r="N119" s="7"/>
      <c r="O119" s="7"/>
      <c r="P119" s="7"/>
      <c r="Q119" s="7"/>
      <c r="R119" s="7"/>
    </row>
    <row r="120" spans="2:18" ht="19.5" customHeight="1">
      <c r="B120" s="7"/>
      <c r="C120" s="7"/>
      <c r="D120" s="7"/>
      <c r="E120" s="7"/>
      <c r="F120" s="7"/>
      <c r="G120" s="7"/>
      <c r="H120" s="7"/>
      <c r="I120" s="7"/>
      <c r="J120" s="67"/>
      <c r="K120" s="67"/>
      <c r="L120" s="64"/>
      <c r="M120" s="7"/>
      <c r="N120" s="7"/>
      <c r="O120" s="7"/>
      <c r="P120" s="7"/>
      <c r="Q120" s="7"/>
      <c r="R120" s="7"/>
    </row>
    <row r="121" spans="2:18" ht="19.5" customHeight="1">
      <c r="B121" s="7"/>
      <c r="C121" s="7"/>
      <c r="D121" s="7"/>
      <c r="E121" s="7"/>
      <c r="F121" s="7"/>
      <c r="G121" s="7"/>
      <c r="H121" s="7"/>
      <c r="I121" s="7"/>
      <c r="J121" s="67"/>
      <c r="K121" s="67"/>
      <c r="L121" s="64"/>
      <c r="M121" s="7"/>
      <c r="N121" s="7"/>
      <c r="O121" s="7"/>
      <c r="P121" s="7"/>
      <c r="Q121" s="7"/>
      <c r="R121" s="7"/>
    </row>
    <row r="122" spans="2:18" ht="19.5" customHeight="1">
      <c r="B122" s="7"/>
      <c r="C122" s="7"/>
      <c r="D122" s="7"/>
      <c r="E122" s="7"/>
      <c r="F122" s="7"/>
      <c r="G122" s="7"/>
      <c r="H122" s="7"/>
      <c r="I122" s="7"/>
      <c r="J122" s="67"/>
      <c r="K122" s="67"/>
      <c r="L122" s="64"/>
      <c r="M122" s="7"/>
      <c r="N122" s="7"/>
      <c r="O122" s="7"/>
      <c r="P122" s="7"/>
      <c r="Q122" s="7"/>
      <c r="R122" s="7"/>
    </row>
    <row r="123" spans="2:18" ht="19.5" customHeight="1">
      <c r="B123" s="7"/>
      <c r="C123" s="7"/>
      <c r="D123" s="7"/>
      <c r="E123" s="7"/>
      <c r="F123" s="7"/>
      <c r="G123" s="7"/>
      <c r="H123" s="7"/>
      <c r="I123" s="7"/>
      <c r="J123" s="67"/>
      <c r="K123" s="67"/>
      <c r="L123" s="64"/>
      <c r="M123" s="7"/>
      <c r="N123" s="7"/>
      <c r="O123" s="7"/>
      <c r="P123" s="7"/>
      <c r="Q123" s="7"/>
      <c r="R123" s="7"/>
    </row>
    <row r="124" spans="2:18" ht="19.5" customHeight="1">
      <c r="B124" s="7"/>
      <c r="C124" s="7"/>
      <c r="D124" s="7"/>
      <c r="E124" s="7"/>
      <c r="F124" s="7"/>
      <c r="G124" s="7"/>
      <c r="H124" s="7"/>
      <c r="I124" s="7"/>
      <c r="J124" s="67"/>
      <c r="K124" s="67"/>
      <c r="L124" s="64"/>
      <c r="M124" s="7"/>
      <c r="N124" s="7"/>
      <c r="O124" s="7"/>
      <c r="P124" s="7"/>
      <c r="Q124" s="7"/>
      <c r="R124" s="7"/>
    </row>
    <row r="125" spans="2:18" ht="19.5" customHeight="1">
      <c r="B125" s="7"/>
      <c r="C125" s="7"/>
      <c r="D125" s="7"/>
      <c r="E125" s="7"/>
      <c r="F125" s="7"/>
      <c r="G125" s="7"/>
      <c r="H125" s="7"/>
      <c r="I125" s="7"/>
      <c r="J125" s="67"/>
      <c r="K125" s="67"/>
      <c r="L125" s="64"/>
      <c r="M125" s="7"/>
      <c r="N125" s="7"/>
      <c r="O125" s="7"/>
      <c r="P125" s="7"/>
      <c r="Q125" s="7"/>
      <c r="R125" s="7"/>
    </row>
    <row r="126" spans="2:18" ht="19.5" customHeight="1">
      <c r="B126" s="7"/>
      <c r="C126" s="7"/>
      <c r="D126" s="7"/>
      <c r="E126" s="7"/>
      <c r="F126" s="7"/>
      <c r="G126" s="7"/>
      <c r="H126" s="7"/>
      <c r="I126" s="7"/>
      <c r="J126" s="67"/>
      <c r="K126" s="67"/>
      <c r="L126" s="64"/>
      <c r="M126" s="7"/>
      <c r="N126" s="7"/>
      <c r="O126" s="7"/>
      <c r="P126" s="7"/>
      <c r="Q126" s="7"/>
      <c r="R126" s="7"/>
    </row>
    <row r="127" spans="2:18" ht="19.5" customHeight="1">
      <c r="B127" s="7"/>
      <c r="C127" s="7"/>
      <c r="D127" s="7"/>
      <c r="E127" s="7"/>
      <c r="F127" s="7"/>
      <c r="G127" s="7"/>
      <c r="H127" s="7"/>
      <c r="I127" s="7"/>
      <c r="J127" s="67"/>
      <c r="K127" s="67"/>
      <c r="L127" s="64"/>
      <c r="M127" s="7"/>
      <c r="N127" s="7"/>
      <c r="O127" s="7"/>
      <c r="P127" s="7"/>
      <c r="Q127" s="7"/>
      <c r="R127" s="7"/>
    </row>
    <row r="128" spans="2:18" ht="19.5" customHeight="1">
      <c r="B128" s="7"/>
      <c r="C128" s="7"/>
      <c r="D128" s="7"/>
      <c r="E128" s="7"/>
      <c r="F128" s="7"/>
      <c r="G128" s="7"/>
      <c r="H128" s="7"/>
      <c r="I128" s="7"/>
      <c r="J128" s="67"/>
      <c r="K128" s="67"/>
      <c r="L128" s="64"/>
      <c r="M128" s="7"/>
      <c r="N128" s="7"/>
      <c r="O128" s="7"/>
      <c r="P128" s="7"/>
      <c r="Q128" s="7"/>
      <c r="R128" s="7"/>
    </row>
    <row r="129" spans="2:18" ht="19.5" customHeight="1">
      <c r="B129" s="7"/>
      <c r="C129" s="7"/>
      <c r="D129" s="7"/>
      <c r="E129" s="7"/>
      <c r="F129" s="7"/>
      <c r="G129" s="7"/>
      <c r="H129" s="7"/>
      <c r="I129" s="7"/>
      <c r="J129" s="67"/>
      <c r="K129" s="67"/>
      <c r="L129" s="64"/>
      <c r="M129" s="7"/>
      <c r="N129" s="7"/>
      <c r="O129" s="7"/>
      <c r="P129" s="7"/>
      <c r="Q129" s="7"/>
      <c r="R129" s="7"/>
    </row>
    <row r="130" spans="2:18" ht="19.5" customHeight="1">
      <c r="B130" s="7"/>
      <c r="C130" s="7"/>
      <c r="D130" s="7"/>
      <c r="E130" s="7"/>
      <c r="F130" s="7"/>
      <c r="G130" s="7"/>
      <c r="H130" s="7"/>
      <c r="I130" s="7"/>
      <c r="J130" s="67"/>
      <c r="K130" s="67"/>
      <c r="L130" s="64"/>
      <c r="M130" s="7"/>
      <c r="N130" s="7"/>
      <c r="O130" s="7"/>
      <c r="P130" s="7"/>
      <c r="Q130" s="7"/>
      <c r="R130" s="7"/>
    </row>
    <row r="131" spans="2:18" ht="19.5" customHeight="1">
      <c r="B131" s="7"/>
      <c r="C131" s="7"/>
      <c r="D131" s="7"/>
      <c r="E131" s="7"/>
      <c r="F131" s="7"/>
      <c r="G131" s="7"/>
      <c r="H131" s="7"/>
      <c r="I131" s="7"/>
      <c r="J131" s="67"/>
      <c r="K131" s="67"/>
      <c r="L131" s="64"/>
      <c r="M131" s="7"/>
      <c r="N131" s="7"/>
      <c r="O131" s="7"/>
      <c r="P131" s="7"/>
      <c r="Q131" s="7"/>
      <c r="R131" s="7"/>
    </row>
    <row r="132" spans="2:18" ht="19.5" customHeight="1">
      <c r="B132" s="7"/>
      <c r="C132" s="7"/>
      <c r="D132" s="7"/>
      <c r="E132" s="7"/>
      <c r="F132" s="7"/>
      <c r="G132" s="7"/>
      <c r="H132" s="7"/>
      <c r="I132" s="7"/>
      <c r="J132" s="67"/>
      <c r="K132" s="67"/>
      <c r="L132" s="64"/>
      <c r="M132" s="7"/>
      <c r="N132" s="7"/>
      <c r="O132" s="7"/>
      <c r="P132" s="7"/>
      <c r="Q132" s="7"/>
      <c r="R132" s="7"/>
    </row>
    <row r="133" spans="2:18" ht="19.5" customHeight="1">
      <c r="B133" s="7"/>
      <c r="C133" s="7"/>
      <c r="D133" s="7"/>
      <c r="E133" s="7"/>
      <c r="F133" s="7"/>
      <c r="G133" s="7"/>
      <c r="H133" s="7"/>
      <c r="I133" s="7"/>
      <c r="J133" s="67"/>
      <c r="K133" s="67"/>
      <c r="L133" s="64"/>
      <c r="M133" s="7"/>
      <c r="N133" s="7"/>
      <c r="O133" s="7"/>
      <c r="P133" s="7"/>
      <c r="Q133" s="7"/>
      <c r="R133" s="7"/>
    </row>
    <row r="134" spans="2:18" ht="19.5" customHeight="1">
      <c r="B134" s="7"/>
      <c r="C134" s="7"/>
      <c r="D134" s="7"/>
      <c r="E134" s="7"/>
      <c r="F134" s="7"/>
      <c r="G134" s="7"/>
      <c r="H134" s="7"/>
      <c r="I134" s="7"/>
      <c r="J134" s="67"/>
      <c r="K134" s="67"/>
      <c r="L134" s="64"/>
      <c r="M134" s="7"/>
      <c r="N134" s="7"/>
      <c r="O134" s="7"/>
      <c r="P134" s="7"/>
      <c r="Q134" s="7"/>
      <c r="R134" s="7"/>
    </row>
    <row r="135" spans="2:18" ht="19.5" customHeight="1">
      <c r="B135" s="7"/>
      <c r="C135" s="7"/>
      <c r="D135" s="7"/>
      <c r="E135" s="7"/>
      <c r="F135" s="7"/>
      <c r="G135" s="7"/>
      <c r="H135" s="7"/>
      <c r="I135" s="7"/>
      <c r="J135" s="67"/>
      <c r="K135" s="67"/>
      <c r="L135" s="64"/>
      <c r="M135" s="7"/>
      <c r="N135" s="7"/>
      <c r="O135" s="7"/>
      <c r="P135" s="7"/>
      <c r="Q135" s="7"/>
      <c r="R135" s="7"/>
    </row>
    <row r="136" spans="2:18" ht="19.5" customHeight="1">
      <c r="B136" s="7"/>
      <c r="C136" s="7"/>
      <c r="D136" s="7"/>
      <c r="E136" s="7"/>
      <c r="F136" s="7"/>
      <c r="G136" s="7"/>
      <c r="H136" s="7"/>
      <c r="I136" s="7"/>
      <c r="J136" s="67"/>
      <c r="K136" s="67"/>
      <c r="L136" s="64"/>
      <c r="M136" s="7"/>
      <c r="N136" s="7"/>
      <c r="O136" s="7"/>
      <c r="P136" s="7"/>
      <c r="Q136" s="7"/>
      <c r="R136" s="7"/>
    </row>
    <row r="137" spans="2:18" ht="19.5" customHeight="1">
      <c r="B137" s="7"/>
      <c r="C137" s="7"/>
      <c r="D137" s="7"/>
      <c r="E137" s="7"/>
      <c r="F137" s="7"/>
      <c r="G137" s="7"/>
      <c r="H137" s="7"/>
      <c r="I137" s="7"/>
      <c r="J137" s="67"/>
      <c r="K137" s="67"/>
      <c r="L137" s="64"/>
      <c r="M137" s="7"/>
      <c r="N137" s="7"/>
      <c r="O137" s="7"/>
      <c r="P137" s="7"/>
      <c r="Q137" s="7"/>
      <c r="R137" s="7"/>
    </row>
    <row r="138" spans="2:18" ht="19.5" customHeight="1">
      <c r="B138" s="7"/>
      <c r="C138" s="7"/>
      <c r="D138" s="7"/>
      <c r="E138" s="7"/>
      <c r="F138" s="7"/>
      <c r="G138" s="7"/>
      <c r="H138" s="7"/>
      <c r="I138" s="7"/>
      <c r="J138" s="67"/>
      <c r="K138" s="67"/>
      <c r="L138" s="64"/>
      <c r="M138" s="7"/>
      <c r="N138" s="7"/>
      <c r="O138" s="7"/>
      <c r="P138" s="7"/>
      <c r="Q138" s="7"/>
      <c r="R138" s="7"/>
    </row>
    <row r="139" spans="2:18" ht="19.5" customHeight="1">
      <c r="B139" s="7"/>
      <c r="C139" s="7"/>
      <c r="D139" s="7"/>
      <c r="E139" s="7"/>
      <c r="F139" s="7"/>
      <c r="G139" s="7"/>
      <c r="H139" s="7"/>
      <c r="I139" s="7"/>
      <c r="J139" s="67"/>
      <c r="K139" s="67"/>
      <c r="L139" s="64"/>
      <c r="M139" s="7"/>
      <c r="N139" s="7"/>
      <c r="O139" s="7"/>
      <c r="P139" s="7"/>
      <c r="Q139" s="7"/>
      <c r="R139" s="7"/>
    </row>
    <row r="140" spans="2:18" ht="19.5" customHeight="1">
      <c r="B140" s="7"/>
      <c r="C140" s="7"/>
      <c r="D140" s="7"/>
      <c r="E140" s="7"/>
      <c r="F140" s="7"/>
      <c r="G140" s="7"/>
      <c r="H140" s="7"/>
      <c r="I140" s="7"/>
      <c r="J140" s="67"/>
      <c r="K140" s="67"/>
      <c r="L140" s="64"/>
      <c r="M140" s="7"/>
      <c r="N140" s="7"/>
      <c r="O140" s="7"/>
      <c r="P140" s="7"/>
      <c r="Q140" s="7"/>
      <c r="R140" s="7"/>
    </row>
    <row r="141" spans="2:18" ht="19.5" customHeight="1">
      <c r="B141" s="7"/>
      <c r="C141" s="7"/>
      <c r="D141" s="7"/>
      <c r="E141" s="7"/>
      <c r="F141" s="7"/>
      <c r="G141" s="7"/>
      <c r="H141" s="7"/>
      <c r="I141" s="7"/>
      <c r="J141" s="67"/>
      <c r="K141" s="67"/>
      <c r="L141" s="64"/>
      <c r="M141" s="7"/>
      <c r="N141" s="7"/>
      <c r="O141" s="7"/>
      <c r="P141" s="7"/>
      <c r="Q141" s="7"/>
      <c r="R141" s="7"/>
    </row>
    <row r="142" spans="2:18" ht="19.5" customHeight="1">
      <c r="B142" s="7"/>
      <c r="C142" s="7"/>
      <c r="D142" s="7"/>
      <c r="E142" s="7"/>
      <c r="F142" s="7"/>
      <c r="G142" s="7"/>
      <c r="H142" s="7"/>
      <c r="I142" s="7"/>
      <c r="J142" s="67"/>
      <c r="K142" s="67"/>
      <c r="L142" s="64"/>
      <c r="M142" s="7"/>
      <c r="N142" s="7"/>
      <c r="O142" s="7"/>
      <c r="P142" s="7"/>
      <c r="Q142" s="7"/>
      <c r="R142" s="7"/>
    </row>
    <row r="143" spans="2:18" ht="19.5" customHeight="1">
      <c r="B143" s="7"/>
      <c r="C143" s="7"/>
      <c r="D143" s="7"/>
      <c r="E143" s="7"/>
      <c r="F143" s="7"/>
      <c r="G143" s="7"/>
      <c r="H143" s="7"/>
      <c r="I143" s="7"/>
      <c r="J143" s="67"/>
      <c r="K143" s="67"/>
      <c r="L143" s="64"/>
      <c r="M143" s="7"/>
      <c r="N143" s="7"/>
      <c r="O143" s="7"/>
      <c r="P143" s="7"/>
      <c r="Q143" s="7"/>
      <c r="R143" s="7"/>
    </row>
    <row r="144" spans="2:18" ht="19.5" customHeight="1">
      <c r="B144" s="7"/>
      <c r="C144" s="7"/>
      <c r="D144" s="7"/>
      <c r="E144" s="7"/>
      <c r="F144" s="7"/>
      <c r="G144" s="7"/>
      <c r="H144" s="7"/>
      <c r="I144" s="7"/>
      <c r="J144" s="67"/>
      <c r="K144" s="67"/>
      <c r="L144" s="64"/>
      <c r="M144" s="7"/>
      <c r="N144" s="7"/>
      <c r="O144" s="7"/>
      <c r="P144" s="7"/>
      <c r="Q144" s="7"/>
      <c r="R144" s="7"/>
    </row>
    <row r="145" spans="2:18" ht="19.5" customHeight="1">
      <c r="B145" s="7"/>
      <c r="C145" s="7"/>
      <c r="D145" s="7"/>
      <c r="E145" s="7"/>
      <c r="F145" s="7"/>
      <c r="G145" s="7"/>
      <c r="H145" s="7"/>
      <c r="I145" s="7"/>
      <c r="J145" s="67"/>
      <c r="K145" s="67"/>
      <c r="L145" s="64"/>
      <c r="M145" s="7"/>
      <c r="N145" s="7"/>
      <c r="O145" s="7"/>
      <c r="P145" s="7"/>
      <c r="Q145" s="7"/>
      <c r="R145" s="7"/>
    </row>
    <row r="146" spans="2:18" ht="19.5" customHeight="1">
      <c r="B146" s="7"/>
      <c r="C146" s="7"/>
      <c r="D146" s="7"/>
      <c r="E146" s="7"/>
      <c r="F146" s="7"/>
      <c r="G146" s="7"/>
      <c r="H146" s="7"/>
      <c r="I146" s="7"/>
      <c r="J146" s="67"/>
      <c r="K146" s="67"/>
      <c r="L146" s="64"/>
      <c r="M146" s="7"/>
      <c r="N146" s="7"/>
      <c r="O146" s="7"/>
      <c r="P146" s="7"/>
      <c r="Q146" s="7"/>
      <c r="R146" s="7"/>
    </row>
    <row r="147" spans="2:18" ht="19.5" customHeight="1">
      <c r="B147" s="7"/>
      <c r="C147" s="7"/>
      <c r="D147" s="7"/>
      <c r="E147" s="7"/>
      <c r="F147" s="7"/>
      <c r="G147" s="7"/>
      <c r="H147" s="7"/>
      <c r="I147" s="7"/>
      <c r="J147" s="67"/>
      <c r="K147" s="67"/>
      <c r="L147" s="64"/>
      <c r="M147" s="7"/>
      <c r="N147" s="7"/>
      <c r="O147" s="7"/>
      <c r="P147" s="7"/>
      <c r="Q147" s="7"/>
      <c r="R147" s="7"/>
    </row>
    <row r="148" spans="2:18" ht="19.5" customHeight="1">
      <c r="B148" s="7"/>
      <c r="C148" s="7"/>
      <c r="D148" s="7"/>
      <c r="E148" s="7"/>
      <c r="F148" s="7"/>
      <c r="G148" s="7"/>
      <c r="H148" s="7"/>
      <c r="I148" s="7"/>
      <c r="J148" s="67"/>
      <c r="K148" s="67"/>
      <c r="L148" s="64"/>
      <c r="M148" s="7"/>
      <c r="N148" s="7"/>
      <c r="O148" s="7"/>
      <c r="P148" s="7"/>
      <c r="Q148" s="7"/>
      <c r="R148" s="7"/>
    </row>
    <row r="149" spans="2:18" ht="19.5" customHeight="1">
      <c r="B149" s="7"/>
      <c r="C149" s="7"/>
      <c r="D149" s="7"/>
      <c r="E149" s="7"/>
      <c r="F149" s="7"/>
      <c r="G149" s="7"/>
      <c r="H149" s="7"/>
      <c r="I149" s="7"/>
      <c r="J149" s="67"/>
      <c r="K149" s="67"/>
      <c r="L149" s="64"/>
      <c r="M149" s="7"/>
      <c r="N149" s="7"/>
      <c r="O149" s="7"/>
      <c r="P149" s="7"/>
      <c r="Q149" s="7"/>
      <c r="R149" s="7"/>
    </row>
    <row r="150" spans="2:18" ht="19.5" customHeight="1">
      <c r="B150" s="7"/>
      <c r="C150" s="7"/>
      <c r="D150" s="7"/>
      <c r="E150" s="7"/>
      <c r="F150" s="7"/>
      <c r="G150" s="7"/>
      <c r="H150" s="7"/>
      <c r="I150" s="7"/>
      <c r="J150" s="67"/>
      <c r="K150" s="67"/>
      <c r="L150" s="64"/>
      <c r="M150" s="7"/>
      <c r="N150" s="7"/>
      <c r="O150" s="7"/>
      <c r="P150" s="7"/>
      <c r="Q150" s="7"/>
      <c r="R150" s="7"/>
    </row>
    <row r="151" spans="2:18" ht="19.5" customHeight="1">
      <c r="B151" s="7"/>
      <c r="C151" s="7"/>
      <c r="D151" s="7"/>
      <c r="E151" s="7"/>
      <c r="F151" s="7"/>
      <c r="G151" s="7"/>
      <c r="H151" s="7"/>
      <c r="I151" s="7"/>
      <c r="J151" s="67"/>
      <c r="K151" s="67"/>
      <c r="L151" s="64"/>
      <c r="M151" s="7"/>
      <c r="N151" s="7"/>
      <c r="O151" s="7"/>
      <c r="P151" s="7"/>
      <c r="Q151" s="7"/>
      <c r="R151" s="7"/>
    </row>
    <row r="152" spans="2:18" ht="19.5" customHeight="1">
      <c r="B152" s="7"/>
      <c r="C152" s="7"/>
      <c r="D152" s="7"/>
      <c r="E152" s="7"/>
      <c r="F152" s="7"/>
      <c r="G152" s="7"/>
      <c r="H152" s="7"/>
      <c r="I152" s="7"/>
      <c r="J152" s="67"/>
      <c r="K152" s="67"/>
      <c r="L152" s="64"/>
      <c r="M152" s="7"/>
      <c r="N152" s="7"/>
      <c r="O152" s="7"/>
      <c r="P152" s="7"/>
      <c r="Q152" s="7"/>
      <c r="R152" s="7"/>
    </row>
    <row r="153" spans="2:18" ht="19.5" customHeight="1">
      <c r="B153" s="7"/>
      <c r="C153" s="7"/>
      <c r="D153" s="7"/>
      <c r="E153" s="7"/>
      <c r="F153" s="7"/>
      <c r="G153" s="7"/>
      <c r="H153" s="7"/>
      <c r="I153" s="7"/>
      <c r="J153" s="67"/>
      <c r="K153" s="67"/>
      <c r="L153" s="64"/>
      <c r="M153" s="7"/>
      <c r="N153" s="7"/>
      <c r="O153" s="7"/>
      <c r="P153" s="7"/>
      <c r="Q153" s="7"/>
      <c r="R153" s="7"/>
    </row>
    <row r="154" spans="2:18" ht="19.5" customHeight="1">
      <c r="B154" s="7"/>
      <c r="C154" s="7"/>
      <c r="D154" s="7"/>
      <c r="E154" s="7"/>
      <c r="F154" s="7"/>
      <c r="G154" s="7"/>
      <c r="H154" s="7"/>
      <c r="I154" s="7"/>
      <c r="J154" s="67"/>
      <c r="K154" s="67"/>
      <c r="L154" s="64"/>
      <c r="M154" s="7"/>
      <c r="N154" s="7"/>
      <c r="O154" s="7"/>
      <c r="P154" s="7"/>
      <c r="Q154" s="7"/>
      <c r="R154" s="7"/>
    </row>
    <row r="155" spans="2:18" ht="19.5" customHeight="1">
      <c r="B155" s="7"/>
      <c r="C155" s="7"/>
      <c r="D155" s="7"/>
      <c r="E155" s="7"/>
      <c r="F155" s="7"/>
      <c r="G155" s="7"/>
      <c r="H155" s="7"/>
      <c r="I155" s="7"/>
      <c r="J155" s="67"/>
      <c r="K155" s="67"/>
      <c r="L155" s="64"/>
      <c r="M155" s="7"/>
      <c r="N155" s="7"/>
      <c r="O155" s="7"/>
      <c r="P155" s="7"/>
      <c r="Q155" s="7"/>
      <c r="R155" s="7"/>
    </row>
    <row r="156" spans="2:18" ht="19.5" customHeight="1">
      <c r="B156" s="7"/>
      <c r="C156" s="7"/>
      <c r="D156" s="7"/>
      <c r="E156" s="7"/>
      <c r="F156" s="7"/>
      <c r="G156" s="7"/>
      <c r="H156" s="7"/>
      <c r="I156" s="7"/>
      <c r="J156" s="67"/>
      <c r="K156" s="67"/>
      <c r="L156" s="64"/>
      <c r="M156" s="7"/>
      <c r="N156" s="7"/>
      <c r="O156" s="7"/>
      <c r="P156" s="7"/>
      <c r="Q156" s="7"/>
      <c r="R156" s="7"/>
    </row>
    <row r="157" spans="2:18" ht="19.5" customHeight="1">
      <c r="B157" s="7"/>
      <c r="C157" s="7"/>
      <c r="D157" s="7"/>
      <c r="E157" s="7"/>
      <c r="F157" s="7"/>
      <c r="G157" s="7"/>
      <c r="H157" s="7"/>
      <c r="I157" s="7"/>
      <c r="J157" s="67"/>
      <c r="K157" s="67"/>
      <c r="L157" s="64"/>
      <c r="M157" s="7"/>
      <c r="N157" s="7"/>
      <c r="O157" s="7"/>
      <c r="P157" s="7"/>
      <c r="Q157" s="7"/>
      <c r="R157" s="7"/>
    </row>
    <row r="158" spans="2:18" ht="19.5" customHeight="1">
      <c r="B158" s="7"/>
      <c r="C158" s="7"/>
      <c r="D158" s="7"/>
      <c r="E158" s="7"/>
      <c r="F158" s="7"/>
      <c r="G158" s="7"/>
      <c r="H158" s="7"/>
      <c r="I158" s="7"/>
      <c r="J158" s="67"/>
      <c r="K158" s="67"/>
      <c r="L158" s="64"/>
      <c r="M158" s="7"/>
      <c r="N158" s="7"/>
      <c r="O158" s="7"/>
      <c r="P158" s="7"/>
      <c r="Q158" s="7"/>
      <c r="R158" s="7"/>
    </row>
    <row r="159" spans="2:18" ht="19.5" customHeight="1">
      <c r="B159" s="7"/>
      <c r="C159" s="7"/>
      <c r="D159" s="7"/>
      <c r="E159" s="7"/>
      <c r="F159" s="7"/>
      <c r="G159" s="7"/>
      <c r="H159" s="7"/>
      <c r="I159" s="7"/>
      <c r="J159" s="67"/>
      <c r="K159" s="67"/>
      <c r="L159" s="64"/>
      <c r="M159" s="7"/>
      <c r="N159" s="7"/>
      <c r="O159" s="7"/>
      <c r="P159" s="7"/>
      <c r="Q159" s="7"/>
      <c r="R159" s="7"/>
    </row>
    <row r="160" spans="2:18" ht="19.5" customHeight="1">
      <c r="B160" s="7"/>
      <c r="C160" s="7"/>
      <c r="D160" s="7"/>
      <c r="E160" s="7"/>
      <c r="F160" s="7"/>
      <c r="G160" s="7"/>
      <c r="H160" s="7"/>
      <c r="I160" s="7"/>
      <c r="J160" s="67"/>
      <c r="K160" s="67"/>
      <c r="L160" s="64"/>
      <c r="M160" s="7"/>
      <c r="N160" s="7"/>
      <c r="O160" s="7"/>
      <c r="P160" s="7"/>
      <c r="Q160" s="7"/>
      <c r="R160" s="7"/>
    </row>
    <row r="161" spans="2:18" ht="19.5" customHeight="1">
      <c r="B161" s="7"/>
      <c r="C161" s="7"/>
      <c r="D161" s="7"/>
      <c r="E161" s="7"/>
      <c r="F161" s="7"/>
      <c r="G161" s="7"/>
      <c r="H161" s="7"/>
      <c r="I161" s="7"/>
      <c r="J161" s="67"/>
      <c r="K161" s="67"/>
      <c r="L161" s="64"/>
      <c r="M161" s="7"/>
      <c r="N161" s="7"/>
      <c r="O161" s="7"/>
      <c r="P161" s="7"/>
      <c r="Q161" s="7"/>
      <c r="R161" s="7"/>
    </row>
    <row r="162" spans="2:18" ht="19.5" customHeight="1">
      <c r="B162" s="7"/>
      <c r="C162" s="7"/>
      <c r="D162" s="7"/>
      <c r="E162" s="7"/>
      <c r="F162" s="7"/>
      <c r="G162" s="7"/>
      <c r="H162" s="7"/>
      <c r="I162" s="7"/>
      <c r="J162" s="67"/>
      <c r="K162" s="67"/>
      <c r="L162" s="64"/>
      <c r="M162" s="7"/>
      <c r="N162" s="7"/>
      <c r="O162" s="7"/>
      <c r="P162" s="7"/>
      <c r="Q162" s="7"/>
      <c r="R162" s="7"/>
    </row>
    <row r="163" spans="2:18" ht="19.5" customHeight="1">
      <c r="B163" s="7"/>
      <c r="C163" s="7"/>
      <c r="D163" s="7"/>
      <c r="E163" s="7"/>
      <c r="F163" s="7"/>
      <c r="G163" s="7"/>
      <c r="H163" s="7"/>
      <c r="I163" s="7"/>
      <c r="J163" s="67"/>
      <c r="K163" s="67"/>
      <c r="L163" s="64"/>
      <c r="M163" s="7"/>
      <c r="N163" s="7"/>
      <c r="O163" s="7"/>
      <c r="P163" s="7"/>
      <c r="Q163" s="7"/>
      <c r="R163" s="7"/>
    </row>
    <row r="164" spans="2:18" ht="19.5" customHeight="1">
      <c r="B164" s="7"/>
      <c r="C164" s="7"/>
      <c r="D164" s="7"/>
      <c r="E164" s="7"/>
      <c r="F164" s="7"/>
      <c r="G164" s="7"/>
      <c r="H164" s="7"/>
      <c r="I164" s="7"/>
      <c r="J164" s="67"/>
      <c r="K164" s="67"/>
      <c r="L164" s="64"/>
      <c r="M164" s="7"/>
      <c r="N164" s="7"/>
      <c r="O164" s="7"/>
      <c r="P164" s="7"/>
      <c r="Q164" s="7"/>
      <c r="R164" s="7"/>
    </row>
    <row r="165" spans="2:18" ht="19.5" customHeight="1">
      <c r="B165" s="7"/>
      <c r="C165" s="7"/>
      <c r="D165" s="7"/>
      <c r="E165" s="7"/>
      <c r="F165" s="7"/>
      <c r="G165" s="7"/>
      <c r="H165" s="7"/>
      <c r="I165" s="7"/>
      <c r="J165" s="67"/>
      <c r="K165" s="67"/>
      <c r="L165" s="64"/>
      <c r="M165" s="7"/>
      <c r="N165" s="7"/>
      <c r="O165" s="7"/>
      <c r="P165" s="7"/>
      <c r="Q165" s="7"/>
      <c r="R165" s="7"/>
    </row>
    <row r="166" spans="2:18" ht="19.5" customHeight="1">
      <c r="B166" s="7"/>
      <c r="C166" s="7"/>
      <c r="D166" s="7"/>
      <c r="E166" s="7"/>
      <c r="F166" s="7"/>
      <c r="G166" s="7"/>
      <c r="H166" s="7"/>
      <c r="I166" s="7"/>
      <c r="J166" s="67"/>
      <c r="K166" s="67"/>
      <c r="L166" s="64"/>
      <c r="M166" s="7"/>
      <c r="N166" s="7"/>
      <c r="O166" s="7"/>
      <c r="P166" s="7"/>
      <c r="Q166" s="7"/>
      <c r="R166" s="7"/>
    </row>
    <row r="167" spans="2:18" ht="19.5" customHeight="1">
      <c r="B167" s="7"/>
      <c r="C167" s="7"/>
      <c r="D167" s="7"/>
      <c r="E167" s="7"/>
      <c r="F167" s="7"/>
      <c r="G167" s="7"/>
      <c r="H167" s="7"/>
      <c r="I167" s="7"/>
      <c r="J167" s="67"/>
      <c r="K167" s="67"/>
      <c r="L167" s="64"/>
      <c r="M167" s="7"/>
      <c r="N167" s="7"/>
      <c r="O167" s="7"/>
      <c r="P167" s="7"/>
      <c r="Q167" s="7"/>
      <c r="R167" s="7"/>
    </row>
    <row r="168" spans="2:18" ht="19.5" customHeight="1">
      <c r="B168" s="7"/>
      <c r="C168" s="7"/>
      <c r="D168" s="7"/>
      <c r="E168" s="7"/>
      <c r="F168" s="7"/>
      <c r="G168" s="7"/>
      <c r="H168" s="7"/>
      <c r="I168" s="7"/>
      <c r="J168" s="67"/>
      <c r="K168" s="67"/>
      <c r="L168" s="64"/>
      <c r="M168" s="7"/>
      <c r="N168" s="7"/>
      <c r="O168" s="7"/>
      <c r="P168" s="7"/>
      <c r="Q168" s="7"/>
      <c r="R168" s="7"/>
    </row>
    <row r="169" spans="2:18" ht="19.5" customHeight="1">
      <c r="B169" s="7"/>
      <c r="C169" s="7"/>
      <c r="D169" s="7"/>
      <c r="E169" s="7"/>
      <c r="F169" s="7"/>
      <c r="G169" s="7"/>
      <c r="H169" s="7"/>
      <c r="I169" s="7"/>
      <c r="J169" s="67"/>
      <c r="K169" s="67"/>
      <c r="L169" s="64"/>
      <c r="M169" s="7"/>
      <c r="N169" s="7"/>
      <c r="O169" s="7"/>
      <c r="P169" s="7"/>
      <c r="Q169" s="7"/>
      <c r="R169" s="7"/>
    </row>
    <row r="170" spans="2:18" ht="19.5" customHeight="1">
      <c r="B170" s="7"/>
      <c r="C170" s="7"/>
      <c r="D170" s="7"/>
      <c r="E170" s="7"/>
      <c r="F170" s="7"/>
      <c r="G170" s="7"/>
      <c r="H170" s="7"/>
      <c r="I170" s="7"/>
      <c r="J170" s="67"/>
      <c r="K170" s="67"/>
      <c r="L170" s="64"/>
      <c r="M170" s="7"/>
      <c r="N170" s="7"/>
      <c r="O170" s="7"/>
      <c r="P170" s="7"/>
      <c r="Q170" s="7"/>
      <c r="R170" s="7"/>
    </row>
    <row r="171" spans="2:18" ht="19.5" customHeight="1">
      <c r="B171" s="7"/>
      <c r="C171" s="7"/>
      <c r="D171" s="7"/>
      <c r="E171" s="7"/>
      <c r="F171" s="7"/>
      <c r="G171" s="7"/>
      <c r="H171" s="7"/>
      <c r="I171" s="7"/>
      <c r="J171" s="67"/>
      <c r="K171" s="67"/>
      <c r="L171" s="64"/>
      <c r="M171" s="7"/>
      <c r="N171" s="7"/>
      <c r="O171" s="7"/>
      <c r="P171" s="7"/>
      <c r="Q171" s="7"/>
      <c r="R171" s="7"/>
    </row>
    <row r="172" spans="2:18" ht="19.5" customHeight="1">
      <c r="B172" s="7"/>
      <c r="C172" s="7"/>
      <c r="D172" s="7"/>
      <c r="E172" s="7"/>
      <c r="F172" s="7"/>
      <c r="G172" s="7"/>
      <c r="H172" s="7"/>
      <c r="I172" s="7"/>
      <c r="J172" s="67"/>
      <c r="K172" s="67"/>
      <c r="L172" s="64"/>
      <c r="M172" s="7"/>
      <c r="N172" s="7"/>
      <c r="O172" s="7"/>
      <c r="P172" s="7"/>
      <c r="Q172" s="7"/>
      <c r="R172" s="7"/>
    </row>
    <row r="173" spans="2:18" ht="19.5" customHeight="1">
      <c r="B173" s="7"/>
      <c r="C173" s="7"/>
      <c r="D173" s="7"/>
      <c r="E173" s="7"/>
      <c r="F173" s="7"/>
      <c r="G173" s="7"/>
      <c r="H173" s="7"/>
      <c r="I173" s="7"/>
      <c r="J173" s="67"/>
      <c r="K173" s="67"/>
      <c r="L173" s="64"/>
      <c r="M173" s="7"/>
      <c r="N173" s="7"/>
      <c r="O173" s="7"/>
      <c r="P173" s="7"/>
      <c r="Q173" s="7"/>
      <c r="R173" s="7"/>
    </row>
    <row r="174" spans="2:18" ht="19.5" customHeight="1">
      <c r="B174" s="7"/>
      <c r="C174" s="7"/>
      <c r="D174" s="7"/>
      <c r="E174" s="7"/>
      <c r="F174" s="7"/>
      <c r="G174" s="7"/>
      <c r="H174" s="7"/>
      <c r="I174" s="7"/>
      <c r="J174" s="67"/>
      <c r="K174" s="67"/>
      <c r="L174" s="64"/>
      <c r="M174" s="7"/>
      <c r="N174" s="7"/>
      <c r="O174" s="7"/>
      <c r="P174" s="7"/>
      <c r="Q174" s="7"/>
      <c r="R174" s="7"/>
    </row>
    <row r="175" spans="2:18" ht="19.5" customHeight="1">
      <c r="B175" s="7"/>
      <c r="C175" s="7"/>
      <c r="D175" s="7"/>
      <c r="E175" s="7"/>
      <c r="F175" s="7"/>
      <c r="G175" s="7"/>
      <c r="H175" s="7"/>
      <c r="I175" s="7"/>
      <c r="J175" s="67"/>
      <c r="K175" s="67"/>
      <c r="L175" s="64"/>
      <c r="M175" s="7"/>
      <c r="N175" s="7"/>
      <c r="O175" s="7"/>
      <c r="P175" s="7"/>
      <c r="Q175" s="7"/>
      <c r="R175" s="7"/>
    </row>
    <row r="176" spans="2:18" ht="19.5" customHeight="1">
      <c r="B176" s="7"/>
      <c r="C176" s="7"/>
      <c r="D176" s="7"/>
      <c r="E176" s="7"/>
      <c r="F176" s="7"/>
      <c r="G176" s="7"/>
      <c r="H176" s="7"/>
      <c r="I176" s="7"/>
      <c r="J176" s="67"/>
      <c r="K176" s="67"/>
      <c r="L176" s="64"/>
      <c r="M176" s="7"/>
      <c r="N176" s="7"/>
      <c r="O176" s="7"/>
      <c r="P176" s="7"/>
      <c r="Q176" s="7"/>
      <c r="R176" s="7"/>
    </row>
    <row r="177" spans="2:18" ht="19.5" customHeight="1">
      <c r="B177" s="7"/>
      <c r="C177" s="7"/>
      <c r="D177" s="7"/>
      <c r="E177" s="7"/>
      <c r="F177" s="7"/>
      <c r="G177" s="7"/>
      <c r="H177" s="7"/>
      <c r="I177" s="7"/>
      <c r="J177" s="67"/>
      <c r="K177" s="67"/>
      <c r="L177" s="64"/>
      <c r="M177" s="7"/>
      <c r="N177" s="7"/>
      <c r="O177" s="7"/>
      <c r="P177" s="7"/>
      <c r="Q177" s="7"/>
      <c r="R177" s="7"/>
    </row>
    <row r="178" spans="2:18" ht="19.5" customHeight="1">
      <c r="B178" s="7"/>
      <c r="C178" s="7"/>
      <c r="D178" s="7"/>
      <c r="E178" s="7"/>
      <c r="F178" s="7"/>
      <c r="G178" s="7"/>
      <c r="H178" s="7"/>
      <c r="I178" s="7"/>
      <c r="J178" s="67"/>
      <c r="K178" s="67"/>
      <c r="L178" s="64"/>
      <c r="M178" s="7"/>
      <c r="N178" s="7"/>
      <c r="O178" s="7"/>
      <c r="P178" s="7"/>
      <c r="Q178" s="7"/>
      <c r="R178" s="7"/>
    </row>
    <row r="179" spans="2:18" ht="19.5" customHeight="1">
      <c r="B179" s="7"/>
      <c r="C179" s="7"/>
      <c r="D179" s="7"/>
      <c r="E179" s="7"/>
      <c r="F179" s="7"/>
      <c r="G179" s="7"/>
      <c r="H179" s="7"/>
      <c r="I179" s="7"/>
      <c r="J179" s="67"/>
      <c r="K179" s="67"/>
      <c r="L179" s="64"/>
      <c r="M179" s="7"/>
      <c r="N179" s="7"/>
      <c r="O179" s="7"/>
      <c r="P179" s="7"/>
      <c r="Q179" s="7"/>
      <c r="R179" s="7"/>
    </row>
    <row r="180" spans="2:18" ht="19.5" customHeight="1">
      <c r="B180" s="7"/>
      <c r="C180" s="7"/>
      <c r="D180" s="7"/>
      <c r="E180" s="7"/>
      <c r="F180" s="7"/>
      <c r="G180" s="7"/>
      <c r="H180" s="7"/>
      <c r="I180" s="7"/>
      <c r="J180" s="67"/>
      <c r="K180" s="67"/>
      <c r="L180" s="64"/>
      <c r="M180" s="7"/>
      <c r="N180" s="7"/>
      <c r="O180" s="7"/>
      <c r="P180" s="7"/>
      <c r="Q180" s="7"/>
      <c r="R180" s="7"/>
    </row>
    <row r="181" spans="2:18" ht="19.5" customHeight="1">
      <c r="B181" s="7"/>
      <c r="C181" s="7"/>
      <c r="D181" s="7"/>
      <c r="E181" s="7"/>
      <c r="F181" s="7"/>
      <c r="G181" s="7"/>
      <c r="H181" s="7"/>
      <c r="I181" s="7"/>
      <c r="J181" s="67"/>
      <c r="K181" s="67"/>
      <c r="L181" s="64"/>
      <c r="M181" s="7"/>
      <c r="N181" s="7"/>
      <c r="O181" s="7"/>
      <c r="P181" s="7"/>
      <c r="Q181" s="7"/>
      <c r="R181" s="7"/>
    </row>
    <row r="182" spans="2:18" ht="19.5" customHeight="1">
      <c r="B182" s="7"/>
      <c r="C182" s="7"/>
      <c r="D182" s="7"/>
      <c r="E182" s="7"/>
      <c r="F182" s="7"/>
      <c r="G182" s="7"/>
      <c r="H182" s="7"/>
      <c r="I182" s="7"/>
      <c r="J182" s="67"/>
      <c r="K182" s="67"/>
      <c r="L182" s="64"/>
      <c r="M182" s="7"/>
      <c r="N182" s="7"/>
      <c r="O182" s="7"/>
      <c r="P182" s="7"/>
      <c r="Q182" s="7"/>
      <c r="R182" s="7"/>
    </row>
    <row r="183" spans="2:18" ht="19.5" customHeight="1">
      <c r="B183" s="7"/>
      <c r="C183" s="7"/>
      <c r="D183" s="7"/>
      <c r="E183" s="7"/>
      <c r="F183" s="7"/>
      <c r="G183" s="7"/>
      <c r="H183" s="7"/>
      <c r="I183" s="7"/>
      <c r="J183" s="67"/>
      <c r="K183" s="67"/>
      <c r="L183" s="64"/>
      <c r="M183" s="7"/>
      <c r="N183" s="7"/>
      <c r="O183" s="7"/>
      <c r="P183" s="7"/>
      <c r="Q183" s="7"/>
      <c r="R183" s="7"/>
    </row>
    <row r="184" spans="2:18" ht="19.5" customHeight="1">
      <c r="B184" s="7"/>
      <c r="C184" s="7"/>
      <c r="D184" s="7"/>
      <c r="E184" s="7"/>
      <c r="F184" s="7"/>
      <c r="G184" s="7"/>
      <c r="H184" s="7"/>
      <c r="I184" s="7"/>
      <c r="J184" s="67"/>
      <c r="K184" s="67"/>
      <c r="L184" s="64"/>
      <c r="M184" s="7"/>
      <c r="N184" s="7"/>
      <c r="O184" s="7"/>
      <c r="P184" s="7"/>
      <c r="Q184" s="7"/>
      <c r="R184" s="7"/>
    </row>
    <row r="185" spans="2:18" ht="19.5" customHeight="1">
      <c r="B185" s="7"/>
      <c r="C185" s="7"/>
      <c r="D185" s="7"/>
      <c r="E185" s="7"/>
      <c r="F185" s="7"/>
      <c r="G185" s="7"/>
      <c r="H185" s="7"/>
      <c r="I185" s="7"/>
      <c r="J185" s="67"/>
      <c r="K185" s="67"/>
      <c r="L185" s="64"/>
      <c r="M185" s="7"/>
      <c r="N185" s="7"/>
      <c r="O185" s="7"/>
      <c r="P185" s="7"/>
      <c r="Q185" s="7"/>
      <c r="R185" s="7"/>
    </row>
    <row r="186" spans="2:18" ht="19.5" customHeight="1">
      <c r="B186" s="7"/>
      <c r="C186" s="7"/>
      <c r="D186" s="7"/>
      <c r="E186" s="7"/>
      <c r="F186" s="7"/>
      <c r="G186" s="7"/>
      <c r="H186" s="7"/>
      <c r="I186" s="7"/>
      <c r="J186" s="67"/>
      <c r="K186" s="67"/>
      <c r="L186" s="64"/>
      <c r="M186" s="7"/>
      <c r="N186" s="7"/>
      <c r="O186" s="7"/>
      <c r="P186" s="7"/>
      <c r="Q186" s="7"/>
      <c r="R186" s="7"/>
    </row>
    <row r="187" spans="2:18" ht="19.5" customHeight="1">
      <c r="B187" s="7"/>
      <c r="C187" s="7"/>
      <c r="D187" s="7"/>
      <c r="E187" s="7"/>
      <c r="F187" s="7"/>
      <c r="G187" s="7"/>
      <c r="H187" s="7"/>
      <c r="I187" s="7"/>
      <c r="J187" s="67"/>
      <c r="K187" s="67"/>
      <c r="L187" s="64"/>
      <c r="M187" s="7"/>
      <c r="N187" s="7"/>
      <c r="O187" s="7"/>
      <c r="P187" s="7"/>
      <c r="Q187" s="7"/>
      <c r="R187" s="7"/>
    </row>
    <row r="188" spans="2:18" ht="19.5" customHeight="1">
      <c r="B188" s="7"/>
      <c r="C188" s="7"/>
      <c r="D188" s="7"/>
      <c r="E188" s="7"/>
      <c r="F188" s="7"/>
      <c r="G188" s="7"/>
      <c r="H188" s="7"/>
      <c r="I188" s="7"/>
      <c r="J188" s="67"/>
      <c r="K188" s="67"/>
      <c r="L188" s="64"/>
      <c r="M188" s="7"/>
      <c r="N188" s="7"/>
      <c r="O188" s="7"/>
      <c r="P188" s="7"/>
      <c r="Q188" s="7"/>
      <c r="R188" s="7"/>
    </row>
    <row r="189" spans="2:18" ht="19.5" customHeight="1">
      <c r="B189" s="7"/>
      <c r="C189" s="7"/>
      <c r="D189" s="7"/>
      <c r="E189" s="7"/>
      <c r="F189" s="7"/>
      <c r="G189" s="7"/>
      <c r="H189" s="7"/>
      <c r="I189" s="7"/>
      <c r="J189" s="67"/>
      <c r="K189" s="67"/>
      <c r="L189" s="64"/>
      <c r="M189" s="7"/>
      <c r="N189" s="7"/>
      <c r="O189" s="7"/>
      <c r="P189" s="7"/>
      <c r="Q189" s="7"/>
      <c r="R189" s="7"/>
    </row>
    <row r="190" spans="2:18" ht="19.5" customHeight="1">
      <c r="B190" s="7"/>
      <c r="C190" s="7"/>
      <c r="D190" s="7"/>
      <c r="E190" s="7"/>
      <c r="F190" s="7"/>
      <c r="G190" s="7"/>
      <c r="H190" s="7"/>
      <c r="I190" s="7"/>
      <c r="J190" s="67"/>
      <c r="K190" s="67"/>
      <c r="L190" s="64"/>
      <c r="M190" s="7"/>
      <c r="N190" s="7"/>
      <c r="O190" s="7"/>
      <c r="P190" s="7"/>
      <c r="Q190" s="7"/>
      <c r="R190" s="7"/>
    </row>
    <row r="191" spans="2:18" ht="19.5" customHeight="1">
      <c r="B191" s="7"/>
      <c r="C191" s="7"/>
      <c r="D191" s="7"/>
      <c r="E191" s="7"/>
      <c r="F191" s="7"/>
      <c r="G191" s="7"/>
      <c r="H191" s="7"/>
      <c r="I191" s="7"/>
      <c r="J191" s="67"/>
      <c r="K191" s="67"/>
      <c r="L191" s="64"/>
      <c r="M191" s="7"/>
      <c r="N191" s="7"/>
      <c r="O191" s="7"/>
      <c r="P191" s="7"/>
      <c r="Q191" s="7"/>
      <c r="R191" s="7"/>
    </row>
    <row r="192" spans="2:18" ht="19.5" customHeight="1">
      <c r="B192" s="7"/>
      <c r="C192" s="7"/>
      <c r="D192" s="7"/>
      <c r="E192" s="7"/>
      <c r="F192" s="7"/>
      <c r="G192" s="7"/>
      <c r="H192" s="7"/>
      <c r="I192" s="7"/>
      <c r="J192" s="67"/>
      <c r="K192" s="67"/>
      <c r="L192" s="64"/>
      <c r="M192" s="7"/>
      <c r="N192" s="7"/>
      <c r="O192" s="7"/>
      <c r="P192" s="7"/>
      <c r="Q192" s="7"/>
      <c r="R192" s="7"/>
    </row>
    <row r="193" spans="2:18" ht="19.5" customHeight="1">
      <c r="B193" s="7"/>
      <c r="C193" s="7"/>
      <c r="D193" s="7"/>
      <c r="E193" s="7"/>
      <c r="F193" s="7"/>
      <c r="G193" s="7"/>
      <c r="H193" s="7"/>
      <c r="I193" s="7"/>
      <c r="J193" s="67"/>
      <c r="K193" s="67"/>
      <c r="L193" s="64"/>
      <c r="M193" s="7"/>
      <c r="N193" s="7"/>
      <c r="O193" s="7"/>
      <c r="P193" s="7"/>
      <c r="Q193" s="7"/>
      <c r="R193" s="7"/>
    </row>
    <row r="194" spans="2:18" ht="19.5" customHeight="1">
      <c r="B194" s="7"/>
      <c r="C194" s="7"/>
      <c r="D194" s="7"/>
      <c r="E194" s="7"/>
      <c r="F194" s="7"/>
      <c r="G194" s="7"/>
      <c r="H194" s="7"/>
      <c r="I194" s="7"/>
      <c r="J194" s="67"/>
      <c r="K194" s="67"/>
      <c r="L194" s="64"/>
      <c r="M194" s="7"/>
      <c r="N194" s="7"/>
      <c r="O194" s="7"/>
      <c r="P194" s="7"/>
      <c r="Q194" s="7"/>
      <c r="R194" s="7"/>
    </row>
    <row r="195" spans="2:18" ht="19.5" customHeight="1">
      <c r="B195" s="7"/>
      <c r="C195" s="7"/>
      <c r="D195" s="7"/>
      <c r="E195" s="7"/>
      <c r="F195" s="7"/>
      <c r="G195" s="7"/>
      <c r="H195" s="7"/>
      <c r="I195" s="7"/>
      <c r="J195" s="67"/>
      <c r="K195" s="67"/>
      <c r="L195" s="64"/>
      <c r="M195" s="7"/>
      <c r="N195" s="7"/>
      <c r="O195" s="7"/>
      <c r="P195" s="7"/>
      <c r="Q195" s="7"/>
      <c r="R195" s="7"/>
    </row>
    <row r="196" spans="2:18" ht="19.5" customHeight="1">
      <c r="B196" s="7"/>
      <c r="C196" s="7"/>
      <c r="D196" s="7"/>
      <c r="E196" s="7"/>
      <c r="F196" s="7"/>
      <c r="G196" s="7"/>
      <c r="H196" s="7"/>
      <c r="I196" s="7"/>
      <c r="J196" s="67"/>
      <c r="K196" s="67"/>
      <c r="L196" s="64"/>
      <c r="M196" s="7"/>
      <c r="N196" s="7"/>
      <c r="O196" s="7"/>
      <c r="P196" s="7"/>
      <c r="Q196" s="7"/>
      <c r="R196" s="7"/>
    </row>
    <row r="197" spans="2:18" ht="19.5" customHeight="1">
      <c r="B197" s="7"/>
      <c r="C197" s="7"/>
      <c r="D197" s="7"/>
      <c r="E197" s="7"/>
      <c r="F197" s="7"/>
      <c r="G197" s="7"/>
      <c r="H197" s="7"/>
      <c r="I197" s="7"/>
      <c r="J197" s="67"/>
      <c r="K197" s="67"/>
      <c r="L197" s="64"/>
      <c r="M197" s="7"/>
      <c r="N197" s="7"/>
      <c r="O197" s="7"/>
      <c r="P197" s="7"/>
      <c r="Q197" s="7"/>
      <c r="R197" s="7"/>
    </row>
    <row r="198" spans="2:18" ht="19.5" customHeight="1">
      <c r="B198" s="7"/>
      <c r="C198" s="7"/>
      <c r="D198" s="7"/>
      <c r="E198" s="7"/>
      <c r="F198" s="7"/>
      <c r="G198" s="7"/>
      <c r="H198" s="7"/>
      <c r="I198" s="7"/>
      <c r="J198" s="67"/>
      <c r="K198" s="67"/>
      <c r="L198" s="64"/>
      <c r="M198" s="7"/>
      <c r="N198" s="7"/>
      <c r="O198" s="7"/>
      <c r="P198" s="7"/>
      <c r="Q198" s="7"/>
      <c r="R198" s="7"/>
    </row>
    <row r="199" spans="2:18" ht="19.5" customHeight="1">
      <c r="B199" s="7"/>
      <c r="C199" s="7"/>
      <c r="D199" s="7"/>
      <c r="E199" s="7"/>
      <c r="F199" s="7"/>
      <c r="G199" s="7"/>
      <c r="H199" s="7"/>
      <c r="I199" s="7"/>
      <c r="J199" s="67"/>
      <c r="K199" s="67"/>
      <c r="L199" s="64"/>
      <c r="M199" s="7"/>
      <c r="N199" s="7"/>
      <c r="O199" s="7"/>
      <c r="P199" s="7"/>
      <c r="Q199" s="7"/>
      <c r="R199" s="7"/>
    </row>
    <row r="200" spans="2:18" ht="19.5" customHeight="1">
      <c r="B200" s="7"/>
      <c r="C200" s="7"/>
      <c r="D200" s="7"/>
      <c r="E200" s="7"/>
      <c r="F200" s="7"/>
      <c r="G200" s="7"/>
      <c r="H200" s="7"/>
      <c r="I200" s="7"/>
      <c r="J200" s="67"/>
      <c r="K200" s="67"/>
      <c r="L200" s="64"/>
      <c r="M200" s="7"/>
      <c r="N200" s="7"/>
      <c r="O200" s="7"/>
      <c r="P200" s="7"/>
      <c r="Q200" s="7"/>
      <c r="R200" s="7"/>
    </row>
    <row r="201" spans="2:18" ht="19.5" customHeight="1">
      <c r="B201" s="7"/>
      <c r="C201" s="7"/>
      <c r="D201" s="7"/>
      <c r="E201" s="7"/>
      <c r="F201" s="7"/>
      <c r="G201" s="7"/>
      <c r="H201" s="7"/>
      <c r="I201" s="7"/>
      <c r="J201" s="67"/>
      <c r="K201" s="67"/>
      <c r="L201" s="64"/>
      <c r="M201" s="7"/>
      <c r="N201" s="7"/>
      <c r="O201" s="7"/>
      <c r="P201" s="7"/>
      <c r="Q201" s="7"/>
      <c r="R201" s="7"/>
    </row>
    <row r="202" spans="2:18" ht="19.5" customHeight="1">
      <c r="B202" s="7"/>
      <c r="C202" s="7"/>
      <c r="D202" s="7"/>
      <c r="E202" s="7"/>
      <c r="F202" s="7"/>
      <c r="G202" s="7"/>
      <c r="H202" s="7"/>
      <c r="I202" s="7"/>
      <c r="J202" s="67"/>
      <c r="K202" s="67"/>
      <c r="L202" s="64"/>
      <c r="M202" s="7"/>
      <c r="N202" s="7"/>
      <c r="O202" s="7"/>
      <c r="P202" s="7"/>
      <c r="Q202" s="7"/>
      <c r="R202" s="7"/>
    </row>
    <row r="203" spans="2:18" ht="19.5" customHeight="1">
      <c r="B203" s="7"/>
      <c r="C203" s="7"/>
      <c r="D203" s="7"/>
      <c r="E203" s="7"/>
      <c r="F203" s="7"/>
      <c r="G203" s="7"/>
      <c r="H203" s="7"/>
      <c r="I203" s="7"/>
      <c r="J203" s="67"/>
      <c r="K203" s="67"/>
      <c r="L203" s="64"/>
      <c r="M203" s="7"/>
      <c r="N203" s="7"/>
      <c r="O203" s="7"/>
      <c r="P203" s="7"/>
      <c r="Q203" s="7"/>
      <c r="R203" s="7"/>
    </row>
    <row r="204" spans="2:18" ht="19.5" customHeight="1">
      <c r="B204" s="7"/>
      <c r="C204" s="7"/>
      <c r="D204" s="7"/>
      <c r="E204" s="7"/>
      <c r="F204" s="7"/>
      <c r="G204" s="7"/>
      <c r="H204" s="7"/>
      <c r="I204" s="7"/>
      <c r="J204" s="67"/>
      <c r="K204" s="67"/>
      <c r="L204" s="64"/>
      <c r="M204" s="7"/>
      <c r="N204" s="7"/>
      <c r="O204" s="7"/>
      <c r="P204" s="7"/>
      <c r="Q204" s="7"/>
      <c r="R204" s="7"/>
    </row>
    <row r="205" spans="2:18" ht="19.5" customHeight="1">
      <c r="B205" s="7"/>
      <c r="C205" s="7"/>
      <c r="D205" s="7"/>
      <c r="E205" s="7"/>
      <c r="F205" s="7"/>
      <c r="G205" s="7"/>
      <c r="H205" s="7"/>
      <c r="I205" s="7"/>
      <c r="J205" s="67"/>
      <c r="K205" s="67"/>
      <c r="L205" s="64"/>
      <c r="M205" s="7"/>
      <c r="N205" s="7"/>
      <c r="O205" s="7"/>
      <c r="P205" s="7"/>
      <c r="Q205" s="7"/>
      <c r="R205" s="7"/>
    </row>
    <row r="206" spans="2:18" ht="19.5" customHeight="1">
      <c r="B206" s="7"/>
      <c r="C206" s="7"/>
      <c r="D206" s="7"/>
      <c r="E206" s="7"/>
      <c r="F206" s="7"/>
      <c r="G206" s="7"/>
      <c r="H206" s="7"/>
      <c r="I206" s="7"/>
      <c r="J206" s="67"/>
      <c r="K206" s="67"/>
      <c r="L206" s="64"/>
      <c r="M206" s="7"/>
      <c r="N206" s="7"/>
      <c r="O206" s="7"/>
      <c r="P206" s="7"/>
      <c r="Q206" s="7"/>
      <c r="R206" s="7"/>
    </row>
    <row r="207" spans="2:18" ht="19.5" customHeight="1">
      <c r="B207" s="7"/>
      <c r="C207" s="7"/>
      <c r="D207" s="7"/>
      <c r="E207" s="7"/>
      <c r="F207" s="7"/>
      <c r="G207" s="7"/>
      <c r="H207" s="7"/>
      <c r="I207" s="7"/>
      <c r="J207" s="67"/>
      <c r="K207" s="67"/>
      <c r="L207" s="64"/>
      <c r="M207" s="7"/>
      <c r="N207" s="7"/>
      <c r="O207" s="7"/>
      <c r="P207" s="7"/>
      <c r="Q207" s="7"/>
      <c r="R207" s="7"/>
    </row>
    <row r="208" spans="2:18" ht="19.5" customHeight="1">
      <c r="B208" s="7"/>
      <c r="C208" s="7"/>
      <c r="D208" s="7"/>
      <c r="E208" s="7"/>
      <c r="F208" s="7"/>
      <c r="G208" s="7"/>
      <c r="H208" s="7"/>
      <c r="I208" s="7"/>
      <c r="J208" s="67"/>
      <c r="K208" s="67"/>
      <c r="L208" s="64"/>
      <c r="M208" s="7"/>
      <c r="N208" s="7"/>
      <c r="O208" s="7"/>
      <c r="P208" s="7"/>
      <c r="Q208" s="7"/>
      <c r="R208" s="7"/>
    </row>
    <row r="209" spans="2:18" ht="19.5" customHeight="1">
      <c r="B209" s="7"/>
      <c r="C209" s="7"/>
      <c r="D209" s="7"/>
      <c r="E209" s="7"/>
      <c r="F209" s="7"/>
      <c r="G209" s="7"/>
      <c r="H209" s="7"/>
      <c r="I209" s="7"/>
      <c r="J209" s="67"/>
      <c r="K209" s="67"/>
      <c r="L209" s="64"/>
      <c r="M209" s="7"/>
      <c r="N209" s="7"/>
      <c r="O209" s="7"/>
      <c r="P209" s="7"/>
      <c r="Q209" s="7"/>
      <c r="R209" s="7"/>
    </row>
    <row r="210" spans="2:18" ht="19.5" customHeight="1">
      <c r="B210" s="7"/>
      <c r="C210" s="7"/>
      <c r="D210" s="7"/>
      <c r="E210" s="7"/>
      <c r="F210" s="7"/>
      <c r="G210" s="7"/>
      <c r="H210" s="7"/>
      <c r="I210" s="7"/>
      <c r="J210" s="67"/>
      <c r="K210" s="67"/>
      <c r="L210" s="64"/>
      <c r="M210" s="7"/>
      <c r="N210" s="7"/>
      <c r="O210" s="7"/>
      <c r="P210" s="7"/>
      <c r="Q210" s="7"/>
      <c r="R210" s="7"/>
    </row>
    <row r="211" spans="2:18" ht="19.5" customHeight="1">
      <c r="B211" s="7"/>
      <c r="C211" s="7"/>
      <c r="D211" s="7"/>
      <c r="E211" s="7"/>
      <c r="F211" s="7"/>
      <c r="G211" s="7"/>
      <c r="H211" s="7"/>
      <c r="I211" s="7"/>
      <c r="J211" s="67"/>
      <c r="K211" s="67"/>
      <c r="L211" s="64"/>
      <c r="M211" s="7"/>
      <c r="N211" s="7"/>
      <c r="O211" s="7"/>
      <c r="P211" s="7"/>
      <c r="Q211" s="7"/>
      <c r="R211" s="7"/>
    </row>
    <row r="212" spans="2:18" ht="19.5" customHeight="1">
      <c r="B212" s="7"/>
      <c r="C212" s="7"/>
      <c r="D212" s="7"/>
      <c r="E212" s="7"/>
      <c r="F212" s="7"/>
      <c r="G212" s="7"/>
      <c r="H212" s="7"/>
      <c r="I212" s="7"/>
      <c r="J212" s="67"/>
      <c r="K212" s="67"/>
      <c r="L212" s="64"/>
      <c r="M212" s="7"/>
      <c r="N212" s="7"/>
      <c r="O212" s="7"/>
      <c r="P212" s="7"/>
      <c r="Q212" s="7"/>
      <c r="R212" s="7"/>
    </row>
    <row r="213" spans="2:18" ht="19.5" customHeight="1">
      <c r="B213" s="7"/>
      <c r="C213" s="7"/>
      <c r="D213" s="7"/>
      <c r="E213" s="7"/>
      <c r="F213" s="7"/>
      <c r="G213" s="7"/>
      <c r="H213" s="7"/>
      <c r="I213" s="7"/>
      <c r="J213" s="67"/>
      <c r="K213" s="67"/>
      <c r="L213" s="64"/>
      <c r="M213" s="7"/>
      <c r="N213" s="7"/>
      <c r="O213" s="7"/>
      <c r="P213" s="7"/>
      <c r="Q213" s="7"/>
      <c r="R213" s="7"/>
    </row>
    <row r="214" spans="2:18" ht="19.5" customHeight="1">
      <c r="B214" s="7"/>
      <c r="C214" s="7"/>
      <c r="D214" s="7"/>
      <c r="E214" s="7"/>
      <c r="F214" s="7"/>
      <c r="G214" s="7"/>
      <c r="H214" s="7"/>
      <c r="I214" s="7"/>
      <c r="J214" s="67"/>
      <c r="K214" s="67"/>
      <c r="L214" s="64"/>
      <c r="M214" s="7"/>
      <c r="N214" s="7"/>
      <c r="O214" s="7"/>
      <c r="P214" s="7"/>
      <c r="Q214" s="7"/>
      <c r="R214" s="7"/>
    </row>
    <row r="215" spans="2:18" ht="19.5" customHeight="1">
      <c r="B215" s="7"/>
      <c r="C215" s="7"/>
      <c r="D215" s="7"/>
      <c r="E215" s="7"/>
      <c r="F215" s="7"/>
      <c r="G215" s="7"/>
      <c r="H215" s="7"/>
      <c r="I215" s="7"/>
      <c r="J215" s="67"/>
      <c r="K215" s="67"/>
      <c r="L215" s="64"/>
      <c r="M215" s="7"/>
      <c r="N215" s="7"/>
      <c r="O215" s="7"/>
      <c r="P215" s="7"/>
      <c r="Q215" s="7"/>
      <c r="R215" s="7"/>
    </row>
    <row r="216" spans="2:18" ht="19.5" customHeight="1">
      <c r="B216" s="7"/>
      <c r="C216" s="7"/>
      <c r="D216" s="7"/>
      <c r="E216" s="7"/>
      <c r="F216" s="7"/>
      <c r="G216" s="7"/>
      <c r="H216" s="7"/>
      <c r="I216" s="7"/>
      <c r="J216" s="67"/>
      <c r="K216" s="67"/>
      <c r="L216" s="64"/>
      <c r="M216" s="7"/>
      <c r="N216" s="7"/>
      <c r="O216" s="7"/>
      <c r="P216" s="7"/>
      <c r="Q216" s="7"/>
      <c r="R216" s="7"/>
    </row>
    <row r="217" spans="2:18" ht="19.5" customHeight="1">
      <c r="B217" s="7"/>
      <c r="C217" s="7"/>
      <c r="D217" s="7"/>
      <c r="E217" s="7"/>
      <c r="F217" s="7"/>
      <c r="G217" s="7"/>
      <c r="H217" s="7"/>
      <c r="I217" s="7"/>
      <c r="J217" s="67"/>
      <c r="K217" s="67"/>
      <c r="L217" s="64"/>
      <c r="M217" s="7"/>
      <c r="N217" s="7"/>
      <c r="O217" s="7"/>
      <c r="P217" s="7"/>
      <c r="Q217" s="7"/>
      <c r="R217" s="7"/>
    </row>
    <row r="218" spans="2:18" ht="19.5" customHeight="1">
      <c r="B218" s="7"/>
      <c r="C218" s="7"/>
      <c r="D218" s="7"/>
      <c r="E218" s="7"/>
      <c r="F218" s="7"/>
      <c r="G218" s="7"/>
      <c r="H218" s="7"/>
      <c r="I218" s="7"/>
      <c r="J218" s="67"/>
      <c r="K218" s="67"/>
      <c r="L218" s="64"/>
      <c r="M218" s="7"/>
      <c r="N218" s="7"/>
      <c r="O218" s="7"/>
      <c r="P218" s="7"/>
      <c r="Q218" s="7"/>
      <c r="R218" s="7"/>
    </row>
    <row r="219" spans="2:18" ht="19.5" customHeight="1">
      <c r="B219" s="7"/>
      <c r="C219" s="7"/>
      <c r="D219" s="7"/>
      <c r="E219" s="7"/>
      <c r="F219" s="7"/>
      <c r="G219" s="7"/>
      <c r="H219" s="7"/>
      <c r="I219" s="7"/>
      <c r="J219" s="67"/>
      <c r="K219" s="67"/>
      <c r="L219" s="64"/>
      <c r="M219" s="7"/>
      <c r="N219" s="7"/>
      <c r="O219" s="7"/>
      <c r="P219" s="7"/>
      <c r="Q219" s="7"/>
      <c r="R219" s="7"/>
    </row>
    <row r="220" spans="2:18" ht="19.5" customHeight="1">
      <c r="B220" s="7"/>
      <c r="C220" s="7"/>
      <c r="D220" s="7"/>
      <c r="E220" s="7"/>
      <c r="F220" s="7"/>
      <c r="G220" s="7"/>
      <c r="H220" s="7"/>
      <c r="I220" s="7"/>
      <c r="J220" s="67"/>
      <c r="K220" s="67"/>
      <c r="L220" s="64"/>
      <c r="M220" s="7"/>
      <c r="N220" s="7"/>
      <c r="O220" s="7"/>
      <c r="P220" s="7"/>
      <c r="Q220" s="7"/>
      <c r="R220" s="7"/>
    </row>
    <row r="221" spans="2:18" ht="19.5" customHeight="1">
      <c r="B221" s="7"/>
      <c r="C221" s="7"/>
      <c r="D221" s="7"/>
      <c r="E221" s="7"/>
      <c r="F221" s="7"/>
      <c r="G221" s="7"/>
      <c r="H221" s="7"/>
      <c r="I221" s="7"/>
      <c r="J221" s="67"/>
      <c r="K221" s="67"/>
      <c r="L221" s="64"/>
      <c r="M221" s="7"/>
      <c r="N221" s="7"/>
      <c r="O221" s="7"/>
      <c r="P221" s="7"/>
      <c r="Q221" s="7"/>
      <c r="R221" s="7"/>
    </row>
    <row r="222" spans="2:18" ht="19.5" customHeight="1">
      <c r="B222" s="7"/>
      <c r="C222" s="7"/>
      <c r="D222" s="7"/>
      <c r="E222" s="7"/>
      <c r="F222" s="7"/>
      <c r="G222" s="7"/>
      <c r="H222" s="7"/>
      <c r="I222" s="7"/>
      <c r="J222" s="67"/>
      <c r="K222" s="67"/>
      <c r="L222" s="64"/>
      <c r="M222" s="7"/>
      <c r="N222" s="7"/>
      <c r="O222" s="7"/>
      <c r="P222" s="7"/>
      <c r="Q222" s="7"/>
      <c r="R222" s="7"/>
    </row>
    <row r="223" spans="2:18" ht="19.5" customHeight="1">
      <c r="B223" s="7"/>
      <c r="C223" s="7"/>
      <c r="D223" s="7"/>
      <c r="E223" s="7"/>
      <c r="F223" s="7"/>
      <c r="G223" s="7"/>
      <c r="H223" s="7"/>
      <c r="I223" s="7"/>
      <c r="J223" s="67"/>
      <c r="K223" s="67"/>
      <c r="L223" s="64"/>
      <c r="M223" s="7"/>
      <c r="N223" s="7"/>
      <c r="O223" s="7"/>
      <c r="P223" s="7"/>
      <c r="Q223" s="7"/>
      <c r="R223" s="7"/>
    </row>
    <row r="224" spans="2:18" ht="19.5" customHeight="1">
      <c r="B224" s="7"/>
      <c r="C224" s="7"/>
      <c r="D224" s="7"/>
      <c r="E224" s="7"/>
      <c r="F224" s="7"/>
      <c r="G224" s="7"/>
      <c r="H224" s="7"/>
      <c r="I224" s="7"/>
      <c r="J224" s="67"/>
      <c r="K224" s="67"/>
      <c r="L224" s="64"/>
      <c r="M224" s="7"/>
      <c r="N224" s="7"/>
      <c r="O224" s="7"/>
      <c r="P224" s="7"/>
      <c r="Q224" s="7"/>
      <c r="R224" s="7"/>
    </row>
    <row r="225" spans="2:18" ht="19.5" customHeight="1">
      <c r="B225" s="7"/>
      <c r="C225" s="7"/>
      <c r="D225" s="7"/>
      <c r="E225" s="7"/>
      <c r="F225" s="7"/>
      <c r="G225" s="7"/>
      <c r="H225" s="7"/>
      <c r="I225" s="7"/>
      <c r="J225" s="67"/>
      <c r="K225" s="67"/>
      <c r="L225" s="64"/>
      <c r="M225" s="7"/>
      <c r="N225" s="7"/>
      <c r="O225" s="7"/>
      <c r="P225" s="7"/>
      <c r="Q225" s="7"/>
      <c r="R225" s="7"/>
    </row>
    <row r="226" spans="2:18" ht="19.5" customHeight="1">
      <c r="B226" s="7"/>
      <c r="C226" s="7"/>
      <c r="D226" s="7"/>
      <c r="E226" s="7"/>
      <c r="F226" s="7"/>
      <c r="G226" s="7"/>
      <c r="H226" s="7"/>
      <c r="I226" s="7"/>
      <c r="J226" s="67"/>
      <c r="K226" s="67"/>
      <c r="L226" s="64"/>
      <c r="M226" s="7"/>
      <c r="N226" s="7"/>
      <c r="O226" s="7"/>
      <c r="P226" s="7"/>
      <c r="Q226" s="7"/>
      <c r="R226" s="7"/>
    </row>
    <row r="227" spans="2:18" ht="19.5" customHeight="1">
      <c r="B227" s="7"/>
      <c r="C227" s="7"/>
      <c r="D227" s="7"/>
      <c r="E227" s="7"/>
      <c r="F227" s="7"/>
      <c r="G227" s="7"/>
      <c r="H227" s="7"/>
      <c r="I227" s="7"/>
      <c r="J227" s="67"/>
      <c r="K227" s="67"/>
      <c r="L227" s="64"/>
      <c r="M227" s="7"/>
      <c r="N227" s="7"/>
      <c r="O227" s="7"/>
      <c r="P227" s="7"/>
      <c r="Q227" s="7"/>
      <c r="R227" s="7"/>
    </row>
    <row r="228" spans="2:18" ht="19.5" customHeight="1">
      <c r="B228" s="7"/>
      <c r="C228" s="7"/>
      <c r="D228" s="7"/>
      <c r="E228" s="7"/>
      <c r="F228" s="7"/>
      <c r="G228" s="7"/>
      <c r="H228" s="7"/>
      <c r="I228" s="7"/>
      <c r="J228" s="67"/>
      <c r="K228" s="67"/>
      <c r="L228" s="64"/>
      <c r="M228" s="7"/>
      <c r="N228" s="7"/>
      <c r="O228" s="7"/>
      <c r="P228" s="7"/>
      <c r="Q228" s="7"/>
      <c r="R228" s="7"/>
    </row>
    <row r="229" spans="2:18" ht="19.5" customHeight="1">
      <c r="B229" s="7"/>
      <c r="C229" s="7"/>
      <c r="D229" s="7"/>
      <c r="E229" s="7"/>
      <c r="F229" s="7"/>
      <c r="G229" s="7"/>
      <c r="H229" s="7"/>
      <c r="I229" s="7"/>
      <c r="J229" s="67"/>
      <c r="K229" s="67"/>
      <c r="L229" s="64"/>
      <c r="M229" s="7"/>
      <c r="N229" s="7"/>
      <c r="O229" s="7"/>
      <c r="P229" s="7"/>
      <c r="Q229" s="7"/>
      <c r="R229" s="7"/>
    </row>
    <row r="230" spans="2:18" ht="19.5" customHeight="1">
      <c r="B230" s="7"/>
      <c r="C230" s="7"/>
      <c r="D230" s="7"/>
      <c r="E230" s="7"/>
      <c r="F230" s="7"/>
      <c r="G230" s="7"/>
      <c r="H230" s="7"/>
      <c r="I230" s="7"/>
      <c r="J230" s="67"/>
      <c r="K230" s="67"/>
      <c r="L230" s="64"/>
      <c r="M230" s="7"/>
      <c r="N230" s="7"/>
      <c r="O230" s="7"/>
      <c r="P230" s="7"/>
      <c r="Q230" s="7"/>
      <c r="R230" s="7"/>
    </row>
    <row r="231" spans="2:18" ht="19.5" customHeight="1">
      <c r="B231" s="7"/>
      <c r="C231" s="7"/>
      <c r="D231" s="7"/>
      <c r="E231" s="7"/>
      <c r="F231" s="7"/>
      <c r="G231" s="7"/>
      <c r="H231" s="7"/>
      <c r="I231" s="7"/>
      <c r="J231" s="67"/>
      <c r="K231" s="67"/>
      <c r="L231" s="64"/>
      <c r="M231" s="7"/>
      <c r="N231" s="7"/>
      <c r="O231" s="7"/>
      <c r="P231" s="7"/>
      <c r="Q231" s="7"/>
      <c r="R231" s="7"/>
    </row>
    <row r="232" spans="2:18" ht="19.5" customHeight="1">
      <c r="B232" s="7"/>
      <c r="C232" s="7"/>
      <c r="D232" s="7"/>
      <c r="E232" s="7"/>
      <c r="F232" s="7"/>
      <c r="G232" s="7"/>
      <c r="H232" s="7"/>
      <c r="I232" s="7"/>
      <c r="J232" s="67"/>
      <c r="K232" s="67"/>
      <c r="L232" s="64"/>
      <c r="M232" s="7"/>
      <c r="N232" s="7"/>
      <c r="O232" s="7"/>
      <c r="P232" s="7"/>
      <c r="Q232" s="7"/>
      <c r="R232" s="7"/>
    </row>
    <row r="233" spans="2:18" ht="19.5" customHeight="1">
      <c r="B233" s="7"/>
      <c r="C233" s="7"/>
      <c r="D233" s="7"/>
      <c r="E233" s="7"/>
      <c r="F233" s="7"/>
      <c r="G233" s="7"/>
      <c r="H233" s="7"/>
      <c r="I233" s="7"/>
      <c r="J233" s="67"/>
      <c r="K233" s="67"/>
      <c r="L233" s="64"/>
      <c r="M233" s="7"/>
      <c r="N233" s="7"/>
      <c r="O233" s="7"/>
      <c r="P233" s="7"/>
      <c r="Q233" s="7"/>
      <c r="R233" s="7"/>
    </row>
    <row r="234" spans="2:18" ht="19.5" customHeight="1">
      <c r="B234" s="7"/>
      <c r="C234" s="7"/>
      <c r="D234" s="7"/>
      <c r="E234" s="7"/>
      <c r="F234" s="7"/>
      <c r="G234" s="7"/>
      <c r="H234" s="7"/>
      <c r="I234" s="7"/>
      <c r="J234" s="67"/>
      <c r="K234" s="67"/>
      <c r="L234" s="64"/>
      <c r="M234" s="7"/>
      <c r="N234" s="7"/>
      <c r="O234" s="7"/>
      <c r="P234" s="7"/>
      <c r="Q234" s="7"/>
      <c r="R234" s="7"/>
    </row>
    <row r="235" spans="2:18" ht="19.5" customHeight="1">
      <c r="B235" s="7"/>
      <c r="C235" s="7"/>
      <c r="D235" s="7"/>
      <c r="E235" s="7"/>
      <c r="F235" s="7"/>
      <c r="G235" s="7"/>
      <c r="H235" s="7"/>
      <c r="I235" s="7"/>
      <c r="J235" s="67"/>
      <c r="K235" s="67"/>
      <c r="L235" s="64"/>
      <c r="M235" s="7"/>
      <c r="N235" s="7"/>
      <c r="O235" s="7"/>
      <c r="P235" s="7"/>
      <c r="Q235" s="7"/>
      <c r="R235" s="7"/>
    </row>
    <row r="236" spans="2:18" ht="19.5" customHeight="1">
      <c r="B236" s="7"/>
      <c r="C236" s="7"/>
      <c r="D236" s="7"/>
      <c r="E236" s="7"/>
      <c r="F236" s="7"/>
      <c r="G236" s="7"/>
      <c r="H236" s="7"/>
      <c r="I236" s="7"/>
      <c r="J236" s="67"/>
      <c r="K236" s="67"/>
      <c r="L236" s="64"/>
      <c r="M236" s="7"/>
      <c r="N236" s="7"/>
      <c r="O236" s="7"/>
      <c r="P236" s="7"/>
      <c r="Q236" s="7"/>
      <c r="R236" s="7"/>
    </row>
    <row r="237" spans="2:18" ht="19.5" customHeight="1">
      <c r="B237" s="7"/>
      <c r="C237" s="7"/>
      <c r="D237" s="7"/>
      <c r="E237" s="7"/>
      <c r="F237" s="7"/>
      <c r="G237" s="7"/>
      <c r="H237" s="7"/>
      <c r="I237" s="7"/>
      <c r="J237" s="67"/>
      <c r="K237" s="67"/>
      <c r="L237" s="64"/>
      <c r="M237" s="7"/>
      <c r="N237" s="7"/>
      <c r="O237" s="7"/>
      <c r="P237" s="7"/>
      <c r="Q237" s="7"/>
      <c r="R237" s="7"/>
    </row>
    <row r="238" spans="2:18" ht="19.5" customHeight="1">
      <c r="B238" s="7"/>
      <c r="C238" s="7"/>
      <c r="D238" s="7"/>
      <c r="E238" s="7"/>
      <c r="F238" s="7"/>
      <c r="G238" s="7"/>
      <c r="H238" s="7"/>
      <c r="I238" s="7"/>
      <c r="J238" s="67"/>
      <c r="K238" s="67"/>
      <c r="L238" s="64"/>
      <c r="M238" s="7"/>
      <c r="N238" s="7"/>
      <c r="O238" s="7"/>
      <c r="P238" s="7"/>
      <c r="Q238" s="7"/>
      <c r="R238" s="7"/>
    </row>
    <row r="239" spans="2:18" ht="19.5" customHeight="1">
      <c r="B239" s="7"/>
      <c r="C239" s="7"/>
      <c r="D239" s="7"/>
      <c r="E239" s="7"/>
      <c r="F239" s="7"/>
      <c r="G239" s="7"/>
      <c r="H239" s="7"/>
      <c r="I239" s="7"/>
      <c r="J239" s="67"/>
      <c r="K239" s="67"/>
      <c r="L239" s="64"/>
      <c r="M239" s="7"/>
      <c r="N239" s="7"/>
      <c r="O239" s="7"/>
      <c r="P239" s="7"/>
      <c r="Q239" s="7"/>
      <c r="R239" s="7"/>
    </row>
    <row r="240" spans="2:18" ht="19.5" customHeight="1">
      <c r="B240" s="7"/>
      <c r="C240" s="7"/>
      <c r="D240" s="7"/>
      <c r="E240" s="7"/>
      <c r="F240" s="7"/>
      <c r="G240" s="7"/>
      <c r="H240" s="7"/>
      <c r="I240" s="7"/>
      <c r="J240" s="67"/>
      <c r="K240" s="67"/>
      <c r="L240" s="64"/>
      <c r="M240" s="7"/>
      <c r="N240" s="7"/>
      <c r="O240" s="7"/>
      <c r="P240" s="7"/>
      <c r="Q240" s="7"/>
      <c r="R240" s="7"/>
    </row>
    <row r="241" spans="2:18" ht="19.5" customHeight="1">
      <c r="B241" s="7"/>
      <c r="C241" s="7"/>
      <c r="D241" s="7"/>
      <c r="E241" s="7"/>
      <c r="F241" s="7"/>
      <c r="G241" s="7"/>
      <c r="H241" s="7"/>
      <c r="I241" s="7"/>
      <c r="J241" s="67"/>
      <c r="K241" s="67"/>
      <c r="L241" s="64"/>
      <c r="M241" s="7"/>
      <c r="N241" s="7"/>
      <c r="O241" s="7"/>
      <c r="P241" s="7"/>
      <c r="Q241" s="7"/>
      <c r="R241" s="7"/>
    </row>
    <row r="242" spans="2:18" ht="19.5" customHeight="1">
      <c r="B242" s="7"/>
      <c r="C242" s="7"/>
      <c r="D242" s="7"/>
      <c r="E242" s="7"/>
      <c r="F242" s="7"/>
      <c r="G242" s="7"/>
      <c r="H242" s="7"/>
      <c r="I242" s="7"/>
      <c r="J242" s="67"/>
      <c r="K242" s="67"/>
      <c r="L242" s="64"/>
      <c r="M242" s="7"/>
      <c r="N242" s="7"/>
      <c r="O242" s="7"/>
      <c r="P242" s="7"/>
      <c r="Q242" s="7"/>
      <c r="R242" s="7"/>
    </row>
    <row r="243" spans="2:18" ht="19.5" customHeight="1">
      <c r="B243" s="7"/>
      <c r="C243" s="7"/>
      <c r="D243" s="7"/>
      <c r="E243" s="7"/>
      <c r="F243" s="7"/>
      <c r="G243" s="7"/>
      <c r="H243" s="7"/>
      <c r="I243" s="7"/>
      <c r="J243" s="67"/>
      <c r="K243" s="67"/>
      <c r="L243" s="64"/>
      <c r="M243" s="7"/>
      <c r="N243" s="7"/>
      <c r="O243" s="7"/>
      <c r="P243" s="7"/>
      <c r="Q243" s="7"/>
      <c r="R243" s="7"/>
    </row>
    <row r="244" spans="2:18" ht="19.5" customHeight="1">
      <c r="B244" s="7"/>
      <c r="C244" s="7"/>
      <c r="D244" s="7"/>
      <c r="E244" s="7"/>
      <c r="F244" s="7"/>
      <c r="G244" s="7"/>
      <c r="H244" s="7"/>
      <c r="I244" s="7"/>
      <c r="J244" s="67"/>
      <c r="K244" s="67"/>
      <c r="L244" s="64"/>
      <c r="M244" s="7"/>
      <c r="N244" s="7"/>
      <c r="O244" s="7"/>
      <c r="P244" s="7"/>
      <c r="Q244" s="7"/>
      <c r="R244" s="7"/>
    </row>
    <row r="245" spans="2:18" ht="19.5" customHeight="1">
      <c r="B245" s="7"/>
      <c r="C245" s="7"/>
      <c r="D245" s="7"/>
      <c r="E245" s="7"/>
      <c r="F245" s="7"/>
      <c r="G245" s="7"/>
      <c r="H245" s="7"/>
      <c r="I245" s="7"/>
      <c r="J245" s="67"/>
      <c r="K245" s="67"/>
      <c r="L245" s="64"/>
      <c r="M245" s="7"/>
      <c r="N245" s="7"/>
      <c r="O245" s="7"/>
      <c r="P245" s="7"/>
      <c r="Q245" s="7"/>
      <c r="R245" s="7"/>
    </row>
    <row r="246" spans="2:18" ht="19.5" customHeight="1">
      <c r="B246" s="7"/>
      <c r="C246" s="7"/>
      <c r="D246" s="7"/>
      <c r="E246" s="7"/>
      <c r="F246" s="7"/>
      <c r="G246" s="7"/>
      <c r="H246" s="7"/>
      <c r="I246" s="7"/>
      <c r="J246" s="67"/>
      <c r="K246" s="67"/>
      <c r="L246" s="64"/>
      <c r="M246" s="7"/>
      <c r="N246" s="7"/>
      <c r="O246" s="7"/>
      <c r="P246" s="7"/>
      <c r="Q246" s="7"/>
      <c r="R246" s="7"/>
    </row>
    <row r="247" spans="2:18" ht="19.5" customHeight="1">
      <c r="B247" s="7"/>
      <c r="C247" s="7"/>
      <c r="D247" s="7"/>
      <c r="E247" s="7"/>
      <c r="F247" s="7"/>
      <c r="G247" s="7"/>
      <c r="H247" s="7"/>
      <c r="I247" s="7"/>
      <c r="J247" s="67"/>
      <c r="K247" s="67"/>
      <c r="L247" s="64"/>
      <c r="M247" s="7"/>
      <c r="N247" s="7"/>
      <c r="O247" s="7"/>
      <c r="P247" s="7"/>
      <c r="Q247" s="7"/>
      <c r="R247" s="7"/>
    </row>
    <row r="248" spans="2:18" ht="19.5" customHeight="1">
      <c r="B248" s="7"/>
      <c r="C248" s="7"/>
      <c r="D248" s="7"/>
      <c r="E248" s="7"/>
      <c r="F248" s="7"/>
      <c r="G248" s="7"/>
      <c r="H248" s="7"/>
      <c r="I248" s="7"/>
      <c r="J248" s="67"/>
      <c r="K248" s="67"/>
      <c r="L248" s="64"/>
      <c r="M248" s="7"/>
      <c r="N248" s="7"/>
      <c r="O248" s="7"/>
      <c r="P248" s="7"/>
      <c r="Q248" s="7"/>
      <c r="R248" s="7"/>
    </row>
    <row r="249" spans="2:18" ht="19.5" customHeight="1">
      <c r="B249" s="7"/>
      <c r="C249" s="7"/>
      <c r="D249" s="7"/>
      <c r="E249" s="7"/>
      <c r="F249" s="7"/>
      <c r="G249" s="7"/>
      <c r="H249" s="7"/>
      <c r="I249" s="7"/>
      <c r="J249" s="67"/>
      <c r="K249" s="67"/>
      <c r="L249" s="64"/>
      <c r="M249" s="7"/>
      <c r="N249" s="7"/>
      <c r="O249" s="7"/>
      <c r="P249" s="7"/>
      <c r="Q249" s="7"/>
      <c r="R249" s="7"/>
    </row>
    <row r="250" spans="2:18" ht="19.5" customHeight="1">
      <c r="B250" s="7"/>
      <c r="C250" s="7"/>
      <c r="D250" s="7"/>
      <c r="E250" s="7"/>
      <c r="F250" s="7"/>
      <c r="G250" s="7"/>
      <c r="H250" s="7"/>
      <c r="I250" s="7"/>
      <c r="J250" s="67"/>
      <c r="K250" s="67"/>
      <c r="L250" s="64"/>
      <c r="M250" s="7"/>
      <c r="N250" s="7"/>
      <c r="O250" s="7"/>
      <c r="P250" s="7"/>
      <c r="Q250" s="7"/>
      <c r="R250" s="7"/>
    </row>
    <row r="251" spans="2:18" ht="19.5" customHeight="1">
      <c r="B251" s="7"/>
      <c r="C251" s="7"/>
      <c r="D251" s="7"/>
      <c r="E251" s="7"/>
      <c r="F251" s="7"/>
      <c r="G251" s="7"/>
      <c r="H251" s="7"/>
      <c r="I251" s="7"/>
      <c r="J251" s="67"/>
      <c r="K251" s="67"/>
      <c r="L251" s="64"/>
      <c r="M251" s="7"/>
      <c r="N251" s="7"/>
      <c r="O251" s="7"/>
      <c r="P251" s="7"/>
      <c r="Q251" s="7"/>
      <c r="R251" s="7"/>
    </row>
    <row r="252" spans="2:18" ht="19.5" customHeight="1">
      <c r="B252" s="7"/>
      <c r="C252" s="7"/>
      <c r="D252" s="7"/>
      <c r="E252" s="7"/>
      <c r="F252" s="7"/>
      <c r="G252" s="7"/>
      <c r="H252" s="7"/>
      <c r="I252" s="7"/>
      <c r="J252" s="67"/>
      <c r="K252" s="67"/>
      <c r="L252" s="64"/>
      <c r="M252" s="7"/>
      <c r="N252" s="7"/>
      <c r="O252" s="7"/>
      <c r="P252" s="7"/>
      <c r="Q252" s="7"/>
      <c r="R252" s="7"/>
    </row>
    <row r="253" spans="2:18" ht="19.5" customHeight="1">
      <c r="B253" s="7"/>
      <c r="C253" s="7"/>
      <c r="D253" s="7"/>
      <c r="E253" s="7"/>
      <c r="F253" s="7"/>
      <c r="G253" s="7"/>
      <c r="H253" s="7"/>
      <c r="I253" s="7"/>
      <c r="J253" s="67"/>
      <c r="K253" s="67"/>
      <c r="L253" s="64"/>
      <c r="M253" s="7"/>
      <c r="N253" s="7"/>
      <c r="O253" s="7"/>
      <c r="P253" s="7"/>
      <c r="Q253" s="7"/>
      <c r="R253" s="7"/>
    </row>
    <row r="254" spans="2:18" ht="19.5" customHeight="1">
      <c r="B254" s="7"/>
      <c r="C254" s="7"/>
      <c r="D254" s="7"/>
      <c r="E254" s="7"/>
      <c r="F254" s="7"/>
      <c r="G254" s="7"/>
      <c r="H254" s="7"/>
      <c r="I254" s="7"/>
      <c r="J254" s="67"/>
      <c r="K254" s="67"/>
      <c r="L254" s="64"/>
      <c r="M254" s="7"/>
      <c r="N254" s="7"/>
      <c r="O254" s="7"/>
      <c r="P254" s="7"/>
      <c r="Q254" s="7"/>
      <c r="R254" s="7"/>
    </row>
    <row r="255" spans="2:18" ht="19.5" customHeight="1">
      <c r="B255" s="7"/>
      <c r="C255" s="7"/>
      <c r="D255" s="7"/>
      <c r="E255" s="7"/>
      <c r="F255" s="7"/>
      <c r="G255" s="7"/>
      <c r="H255" s="7"/>
      <c r="I255" s="7"/>
      <c r="J255" s="67"/>
      <c r="K255" s="67"/>
      <c r="L255" s="64"/>
      <c r="M255" s="7"/>
      <c r="N255" s="7"/>
      <c r="O255" s="7"/>
      <c r="P255" s="7"/>
      <c r="Q255" s="7"/>
      <c r="R255" s="7"/>
    </row>
    <row r="256" spans="2:18" ht="19.5" customHeight="1">
      <c r="B256" s="7"/>
      <c r="C256" s="7"/>
      <c r="D256" s="7"/>
      <c r="E256" s="7"/>
      <c r="F256" s="7"/>
      <c r="G256" s="7"/>
      <c r="H256" s="7"/>
      <c r="I256" s="7"/>
      <c r="J256" s="67"/>
      <c r="K256" s="67"/>
      <c r="L256" s="64"/>
      <c r="M256" s="7"/>
      <c r="N256" s="7"/>
      <c r="O256" s="7"/>
      <c r="P256" s="7"/>
      <c r="Q256" s="7"/>
      <c r="R256" s="7"/>
    </row>
    <row r="257" spans="2:18" ht="19.5" customHeight="1">
      <c r="B257" s="7"/>
      <c r="C257" s="7"/>
      <c r="D257" s="7"/>
      <c r="E257" s="7"/>
      <c r="F257" s="7"/>
      <c r="G257" s="7"/>
      <c r="H257" s="7"/>
      <c r="I257" s="7"/>
      <c r="J257" s="67"/>
      <c r="K257" s="67"/>
      <c r="L257" s="64"/>
      <c r="M257" s="7"/>
      <c r="N257" s="7"/>
      <c r="O257" s="7"/>
      <c r="P257" s="7"/>
      <c r="Q257" s="7"/>
      <c r="R257" s="7"/>
    </row>
    <row r="258" spans="2:18" ht="19.5" customHeight="1">
      <c r="B258" s="7"/>
      <c r="C258" s="7"/>
      <c r="D258" s="7"/>
      <c r="E258" s="7"/>
      <c r="F258" s="7"/>
      <c r="G258" s="7"/>
      <c r="H258" s="7"/>
      <c r="I258" s="7"/>
      <c r="J258" s="67"/>
      <c r="K258" s="67"/>
      <c r="L258" s="64"/>
      <c r="M258" s="7"/>
      <c r="N258" s="7"/>
      <c r="O258" s="7"/>
      <c r="P258" s="7"/>
      <c r="Q258" s="7"/>
      <c r="R258" s="7"/>
    </row>
    <row r="259" spans="2:18" ht="19.5" customHeight="1">
      <c r="B259" s="7"/>
      <c r="C259" s="7"/>
      <c r="D259" s="7"/>
      <c r="E259" s="7"/>
      <c r="F259" s="7"/>
      <c r="G259" s="7"/>
      <c r="H259" s="7"/>
      <c r="I259" s="7"/>
      <c r="J259" s="67"/>
      <c r="K259" s="67"/>
      <c r="L259" s="64"/>
      <c r="M259" s="7"/>
      <c r="N259" s="7"/>
      <c r="O259" s="7"/>
      <c r="P259" s="7"/>
      <c r="Q259" s="7"/>
      <c r="R259" s="7"/>
    </row>
    <row r="260" spans="2:18" ht="19.5" customHeight="1">
      <c r="B260" s="7"/>
      <c r="C260" s="7"/>
      <c r="D260" s="7"/>
      <c r="E260" s="7"/>
      <c r="F260" s="7"/>
      <c r="G260" s="7"/>
      <c r="H260" s="7"/>
      <c r="I260" s="7"/>
      <c r="J260" s="67"/>
      <c r="K260" s="67"/>
      <c r="L260" s="64"/>
      <c r="M260" s="7"/>
      <c r="N260" s="7"/>
      <c r="O260" s="7"/>
      <c r="P260" s="7"/>
      <c r="Q260" s="7"/>
      <c r="R260" s="7"/>
    </row>
    <row r="261" spans="2:18" ht="19.5" customHeight="1">
      <c r="B261" s="7"/>
      <c r="C261" s="7"/>
      <c r="D261" s="7"/>
      <c r="E261" s="7"/>
      <c r="F261" s="7"/>
      <c r="G261" s="7"/>
      <c r="H261" s="7"/>
      <c r="I261" s="7"/>
      <c r="J261" s="67"/>
      <c r="K261" s="67"/>
      <c r="L261" s="64"/>
      <c r="M261" s="7"/>
      <c r="N261" s="7"/>
      <c r="O261" s="7"/>
      <c r="P261" s="7"/>
      <c r="Q261" s="7"/>
      <c r="R261" s="7"/>
    </row>
    <row r="262" spans="2:18" ht="19.5" customHeight="1">
      <c r="B262" s="7"/>
      <c r="C262" s="7"/>
      <c r="D262" s="7"/>
      <c r="E262" s="7"/>
      <c r="F262" s="7"/>
      <c r="G262" s="7"/>
      <c r="H262" s="7"/>
      <c r="I262" s="7"/>
      <c r="J262" s="67"/>
      <c r="K262" s="67"/>
      <c r="L262" s="64"/>
      <c r="M262" s="7"/>
      <c r="N262" s="7"/>
      <c r="O262" s="7"/>
      <c r="P262" s="7"/>
      <c r="Q262" s="7"/>
      <c r="R262" s="7"/>
    </row>
    <row r="263" spans="2:18" ht="19.5" customHeight="1">
      <c r="B263" s="7"/>
      <c r="C263" s="7"/>
      <c r="D263" s="7"/>
      <c r="E263" s="7"/>
      <c r="F263" s="7"/>
      <c r="G263" s="7"/>
      <c r="H263" s="7"/>
      <c r="I263" s="7"/>
      <c r="J263" s="67"/>
      <c r="K263" s="67"/>
      <c r="L263" s="64"/>
      <c r="M263" s="7"/>
      <c r="N263" s="7"/>
      <c r="O263" s="7"/>
      <c r="P263" s="7"/>
      <c r="Q263" s="7"/>
      <c r="R263" s="7"/>
    </row>
    <row r="264" spans="2:18" ht="19.5" customHeight="1">
      <c r="B264" s="7"/>
      <c r="C264" s="7"/>
      <c r="D264" s="7"/>
      <c r="E264" s="7"/>
      <c r="F264" s="7"/>
      <c r="G264" s="7"/>
      <c r="H264" s="7"/>
      <c r="I264" s="7"/>
      <c r="J264" s="67"/>
      <c r="K264" s="67"/>
      <c r="L264" s="64"/>
      <c r="M264" s="7"/>
      <c r="N264" s="7"/>
      <c r="O264" s="7"/>
      <c r="P264" s="7"/>
      <c r="Q264" s="7"/>
      <c r="R264" s="7"/>
    </row>
    <row r="265" spans="2:18" ht="19.5" customHeight="1">
      <c r="B265" s="7"/>
      <c r="C265" s="7"/>
      <c r="D265" s="7"/>
      <c r="E265" s="7"/>
      <c r="F265" s="7"/>
      <c r="G265" s="7"/>
      <c r="H265" s="7"/>
      <c r="I265" s="7"/>
      <c r="J265" s="67"/>
      <c r="K265" s="67"/>
      <c r="L265" s="64"/>
      <c r="M265" s="7"/>
      <c r="N265" s="7"/>
      <c r="O265" s="7"/>
      <c r="P265" s="7"/>
      <c r="Q265" s="7"/>
      <c r="R265" s="7"/>
    </row>
    <row r="266" spans="2:18" ht="19.5" customHeight="1">
      <c r="B266" s="7"/>
      <c r="C266" s="7"/>
      <c r="D266" s="7"/>
      <c r="E266" s="7"/>
      <c r="F266" s="7"/>
      <c r="G266" s="7"/>
      <c r="H266" s="7"/>
      <c r="I266" s="7"/>
      <c r="J266" s="67"/>
      <c r="K266" s="67"/>
      <c r="L266" s="64"/>
      <c r="M266" s="7"/>
      <c r="N266" s="7"/>
      <c r="O266" s="7"/>
      <c r="P266" s="7"/>
      <c r="Q266" s="7"/>
      <c r="R266" s="7"/>
    </row>
    <row r="267" spans="2:18" ht="19.5" customHeight="1">
      <c r="B267" s="7"/>
      <c r="C267" s="7"/>
      <c r="D267" s="7"/>
      <c r="E267" s="7"/>
      <c r="F267" s="7"/>
      <c r="G267" s="7"/>
      <c r="H267" s="7"/>
      <c r="I267" s="7"/>
      <c r="J267" s="67"/>
      <c r="K267" s="67"/>
      <c r="L267" s="64"/>
      <c r="M267" s="7"/>
      <c r="N267" s="7"/>
      <c r="O267" s="7"/>
      <c r="P267" s="7"/>
      <c r="Q267" s="7"/>
      <c r="R267" s="7"/>
    </row>
    <row r="268" spans="2:18" ht="19.5" customHeight="1">
      <c r="B268" s="7"/>
      <c r="C268" s="7"/>
      <c r="D268" s="7"/>
      <c r="E268" s="7"/>
      <c r="F268" s="7"/>
      <c r="G268" s="7"/>
      <c r="H268" s="7"/>
      <c r="I268" s="7"/>
      <c r="J268" s="67"/>
      <c r="K268" s="67"/>
      <c r="L268" s="64"/>
      <c r="M268" s="7"/>
      <c r="N268" s="7"/>
      <c r="O268" s="7"/>
      <c r="P268" s="7"/>
      <c r="Q268" s="7"/>
      <c r="R268" s="7"/>
    </row>
    <row r="269" spans="2:18" ht="19.5" customHeight="1">
      <c r="B269" s="7"/>
      <c r="C269" s="7"/>
      <c r="D269" s="7"/>
      <c r="E269" s="7"/>
      <c r="F269" s="7"/>
      <c r="G269" s="7"/>
      <c r="H269" s="7"/>
      <c r="I269" s="7"/>
      <c r="J269" s="67"/>
      <c r="K269" s="67"/>
      <c r="L269" s="64"/>
      <c r="M269" s="7"/>
      <c r="N269" s="7"/>
      <c r="O269" s="7"/>
      <c r="P269" s="7"/>
      <c r="Q269" s="7"/>
      <c r="R269" s="7"/>
    </row>
    <row r="270" spans="2:18" ht="19.5" customHeight="1">
      <c r="B270" s="7"/>
      <c r="C270" s="7"/>
      <c r="D270" s="7"/>
      <c r="E270" s="7"/>
      <c r="F270" s="7"/>
      <c r="G270" s="7"/>
      <c r="H270" s="7"/>
      <c r="I270" s="7"/>
      <c r="J270" s="67"/>
      <c r="K270" s="67"/>
      <c r="L270" s="64"/>
      <c r="M270" s="7"/>
      <c r="N270" s="7"/>
      <c r="O270" s="7"/>
      <c r="P270" s="7"/>
      <c r="Q270" s="7"/>
      <c r="R270" s="7"/>
    </row>
    <row r="271" spans="2:18" ht="19.5" customHeight="1">
      <c r="B271" s="7"/>
      <c r="C271" s="7"/>
      <c r="D271" s="7"/>
      <c r="E271" s="7"/>
      <c r="F271" s="7"/>
      <c r="G271" s="7"/>
      <c r="H271" s="7"/>
      <c r="I271" s="7"/>
      <c r="J271" s="67"/>
      <c r="K271" s="67"/>
      <c r="L271" s="64"/>
      <c r="M271" s="7"/>
      <c r="N271" s="7"/>
      <c r="O271" s="7"/>
      <c r="P271" s="7"/>
      <c r="Q271" s="7"/>
      <c r="R271" s="7"/>
    </row>
    <row r="272" spans="2:18" ht="19.5" customHeight="1">
      <c r="B272" s="7"/>
      <c r="C272" s="7"/>
      <c r="D272" s="7"/>
      <c r="E272" s="7"/>
      <c r="F272" s="7"/>
      <c r="G272" s="7"/>
      <c r="H272" s="7"/>
      <c r="I272" s="7"/>
      <c r="J272" s="67"/>
      <c r="K272" s="67"/>
      <c r="L272" s="64"/>
      <c r="M272" s="7"/>
      <c r="N272" s="7"/>
      <c r="O272" s="7"/>
      <c r="P272" s="7"/>
      <c r="Q272" s="7"/>
      <c r="R272" s="7"/>
    </row>
    <row r="273" spans="2:18" ht="19.5" customHeight="1">
      <c r="B273" s="7"/>
      <c r="C273" s="7"/>
      <c r="D273" s="7"/>
      <c r="E273" s="7"/>
      <c r="F273" s="7"/>
      <c r="G273" s="7"/>
      <c r="H273" s="7"/>
      <c r="I273" s="7"/>
      <c r="J273" s="67"/>
      <c r="K273" s="67"/>
      <c r="L273" s="64"/>
      <c r="M273" s="7"/>
      <c r="N273" s="7"/>
      <c r="O273" s="7"/>
      <c r="P273" s="7"/>
      <c r="Q273" s="7"/>
      <c r="R273" s="7"/>
    </row>
    <row r="274" spans="2:18" ht="19.5" customHeight="1">
      <c r="B274" s="7"/>
      <c r="C274" s="7"/>
      <c r="D274" s="7"/>
      <c r="E274" s="7"/>
      <c r="F274" s="7"/>
      <c r="G274" s="7"/>
      <c r="H274" s="7"/>
      <c r="I274" s="7"/>
      <c r="J274" s="67"/>
      <c r="K274" s="67"/>
      <c r="L274" s="64"/>
      <c r="M274" s="7"/>
      <c r="N274" s="7"/>
      <c r="O274" s="7"/>
      <c r="P274" s="7"/>
      <c r="Q274" s="7"/>
      <c r="R274" s="7"/>
    </row>
    <row r="275" spans="2:18" ht="19.5" customHeight="1">
      <c r="B275" s="7"/>
      <c r="C275" s="7"/>
      <c r="D275" s="7"/>
      <c r="E275" s="7"/>
      <c r="F275" s="7"/>
      <c r="G275" s="7"/>
      <c r="H275" s="7"/>
      <c r="I275" s="7"/>
      <c r="J275" s="67"/>
      <c r="K275" s="67"/>
      <c r="L275" s="64"/>
      <c r="M275" s="7"/>
      <c r="N275" s="7"/>
      <c r="O275" s="7"/>
      <c r="P275" s="7"/>
      <c r="Q275" s="7"/>
      <c r="R275" s="7"/>
    </row>
    <row r="276" spans="2:18" ht="19.5" customHeight="1">
      <c r="B276" s="7"/>
      <c r="C276" s="7"/>
      <c r="D276" s="7"/>
      <c r="E276" s="7"/>
      <c r="F276" s="7"/>
      <c r="G276" s="7"/>
      <c r="H276" s="7"/>
      <c r="I276" s="7"/>
      <c r="J276" s="67"/>
      <c r="K276" s="67"/>
      <c r="L276" s="64"/>
      <c r="M276" s="7"/>
      <c r="N276" s="7"/>
      <c r="O276" s="7"/>
      <c r="P276" s="7"/>
      <c r="Q276" s="7"/>
      <c r="R276" s="7"/>
    </row>
    <row r="277" spans="2:18" ht="19.5" customHeight="1">
      <c r="B277" s="7"/>
      <c r="C277" s="7"/>
      <c r="D277" s="7"/>
      <c r="E277" s="7"/>
      <c r="F277" s="7"/>
      <c r="G277" s="7"/>
      <c r="H277" s="7"/>
      <c r="I277" s="7"/>
      <c r="J277" s="67"/>
      <c r="K277" s="67"/>
      <c r="L277" s="64"/>
      <c r="M277" s="7"/>
      <c r="N277" s="7"/>
      <c r="O277" s="7"/>
      <c r="P277" s="7"/>
      <c r="Q277" s="7"/>
      <c r="R277" s="7"/>
    </row>
    <row r="278" spans="2:18" ht="19.5" customHeight="1">
      <c r="B278" s="7"/>
      <c r="C278" s="7"/>
      <c r="D278" s="7"/>
      <c r="E278" s="7"/>
      <c r="F278" s="7"/>
      <c r="G278" s="7"/>
      <c r="H278" s="7"/>
      <c r="I278" s="7"/>
      <c r="J278" s="67"/>
      <c r="K278" s="67"/>
      <c r="L278" s="64"/>
      <c r="M278" s="7"/>
      <c r="N278" s="7"/>
      <c r="O278" s="7"/>
      <c r="P278" s="7"/>
      <c r="Q278" s="7"/>
      <c r="R278" s="7"/>
    </row>
    <row r="279" spans="2:18" ht="19.5" customHeight="1">
      <c r="B279" s="7"/>
      <c r="C279" s="7"/>
      <c r="D279" s="7"/>
      <c r="E279" s="7"/>
      <c r="F279" s="7"/>
      <c r="G279" s="7"/>
      <c r="H279" s="7"/>
      <c r="I279" s="7"/>
      <c r="J279" s="67"/>
      <c r="K279" s="67"/>
      <c r="L279" s="64"/>
      <c r="M279" s="7"/>
      <c r="N279" s="7"/>
      <c r="O279" s="7"/>
      <c r="P279" s="7"/>
      <c r="Q279" s="7"/>
      <c r="R279" s="7"/>
    </row>
    <row r="280" spans="2:18" ht="19.5" customHeight="1">
      <c r="B280" s="7"/>
      <c r="C280" s="7"/>
      <c r="D280" s="7"/>
      <c r="E280" s="7"/>
      <c r="F280" s="7"/>
      <c r="G280" s="7"/>
      <c r="H280" s="7"/>
      <c r="I280" s="7"/>
      <c r="J280" s="67"/>
      <c r="K280" s="67"/>
      <c r="L280" s="64"/>
      <c r="M280" s="7"/>
      <c r="N280" s="7"/>
      <c r="O280" s="7"/>
      <c r="P280" s="7"/>
      <c r="Q280" s="7"/>
      <c r="R280" s="7"/>
    </row>
    <row r="281" spans="2:18" ht="19.5" customHeight="1">
      <c r="B281" s="7"/>
      <c r="C281" s="7"/>
      <c r="D281" s="7"/>
      <c r="E281" s="7"/>
      <c r="F281" s="7"/>
      <c r="G281" s="7"/>
      <c r="H281" s="7"/>
      <c r="I281" s="7"/>
      <c r="J281" s="67"/>
      <c r="K281" s="67"/>
      <c r="L281" s="64"/>
      <c r="M281" s="7"/>
      <c r="N281" s="7"/>
      <c r="O281" s="7"/>
      <c r="P281" s="7"/>
      <c r="Q281" s="7"/>
      <c r="R281" s="7"/>
    </row>
    <row r="282" spans="2:18" ht="19.5" customHeight="1">
      <c r="B282" s="7"/>
      <c r="C282" s="7"/>
      <c r="D282" s="7"/>
      <c r="E282" s="7"/>
      <c r="F282" s="7"/>
      <c r="G282" s="7"/>
      <c r="H282" s="7"/>
      <c r="I282" s="7"/>
      <c r="J282" s="67"/>
      <c r="K282" s="67"/>
      <c r="L282" s="64"/>
      <c r="M282" s="7"/>
      <c r="N282" s="7"/>
      <c r="O282" s="7"/>
      <c r="P282" s="7"/>
      <c r="Q282" s="7"/>
      <c r="R282" s="7"/>
    </row>
    <row r="283" spans="2:18" ht="19.5" customHeight="1">
      <c r="B283" s="7"/>
      <c r="C283" s="7"/>
      <c r="D283" s="7"/>
      <c r="E283" s="7"/>
      <c r="F283" s="7"/>
      <c r="G283" s="7"/>
      <c r="H283" s="7"/>
      <c r="I283" s="7"/>
      <c r="J283" s="67"/>
      <c r="K283" s="67"/>
      <c r="L283" s="64"/>
      <c r="M283" s="7"/>
      <c r="N283" s="7"/>
      <c r="O283" s="7"/>
      <c r="P283" s="7"/>
      <c r="Q283" s="7"/>
      <c r="R283" s="7"/>
    </row>
    <row r="284" spans="2:18" ht="19.5" customHeight="1">
      <c r="B284" s="7"/>
      <c r="C284" s="7"/>
      <c r="D284" s="7"/>
      <c r="E284" s="7"/>
      <c r="F284" s="7"/>
      <c r="G284" s="7"/>
      <c r="H284" s="7"/>
      <c r="I284" s="7"/>
      <c r="J284" s="67"/>
      <c r="K284" s="67"/>
      <c r="L284" s="64"/>
      <c r="M284" s="7"/>
      <c r="N284" s="7"/>
      <c r="O284" s="7"/>
      <c r="P284" s="7"/>
      <c r="Q284" s="7"/>
      <c r="R284" s="7"/>
    </row>
    <row r="285" spans="2:18" ht="19.5" customHeight="1">
      <c r="B285" s="7"/>
      <c r="C285" s="7"/>
      <c r="D285" s="7"/>
      <c r="E285" s="7"/>
      <c r="F285" s="7"/>
      <c r="G285" s="7"/>
      <c r="H285" s="7"/>
      <c r="I285" s="7"/>
      <c r="J285" s="67"/>
      <c r="K285" s="67"/>
      <c r="L285" s="64"/>
      <c r="M285" s="7"/>
      <c r="N285" s="7"/>
      <c r="O285" s="7"/>
      <c r="P285" s="7"/>
      <c r="Q285" s="7"/>
      <c r="R285" s="7"/>
    </row>
    <row r="286" spans="2:18" ht="19.5" customHeight="1">
      <c r="B286" s="7"/>
      <c r="C286" s="7"/>
      <c r="D286" s="7"/>
      <c r="E286" s="7"/>
      <c r="F286" s="7"/>
      <c r="G286" s="7"/>
      <c r="H286" s="7"/>
      <c r="I286" s="7"/>
      <c r="J286" s="67"/>
      <c r="K286" s="67"/>
      <c r="L286" s="64"/>
      <c r="M286" s="7"/>
      <c r="N286" s="7"/>
      <c r="O286" s="7"/>
      <c r="P286" s="7"/>
      <c r="Q286" s="7"/>
      <c r="R286" s="7"/>
    </row>
    <row r="287" spans="2:18" ht="19.5" customHeight="1">
      <c r="B287" s="7"/>
      <c r="C287" s="7"/>
      <c r="D287" s="7"/>
      <c r="E287" s="7"/>
      <c r="F287" s="7"/>
      <c r="G287" s="7"/>
      <c r="H287" s="7"/>
      <c r="I287" s="7"/>
      <c r="J287" s="67"/>
      <c r="K287" s="67"/>
      <c r="L287" s="64"/>
      <c r="M287" s="7"/>
      <c r="N287" s="7"/>
      <c r="O287" s="7"/>
      <c r="P287" s="7"/>
      <c r="Q287" s="7"/>
      <c r="R287" s="7"/>
    </row>
    <row r="288" spans="2:18" ht="19.5" customHeight="1">
      <c r="B288" s="7"/>
      <c r="C288" s="7"/>
      <c r="D288" s="7"/>
      <c r="E288" s="7"/>
      <c r="F288" s="7"/>
      <c r="G288" s="7"/>
      <c r="H288" s="7"/>
      <c r="I288" s="7"/>
      <c r="J288" s="67"/>
      <c r="K288" s="67"/>
      <c r="L288" s="64"/>
      <c r="M288" s="7"/>
      <c r="N288" s="7"/>
      <c r="O288" s="7"/>
      <c r="P288" s="7"/>
      <c r="Q288" s="7"/>
      <c r="R288" s="7"/>
    </row>
    <row r="289" spans="2:18" ht="19.5" customHeight="1">
      <c r="B289" s="7"/>
      <c r="C289" s="7"/>
      <c r="D289" s="7"/>
      <c r="E289" s="7"/>
      <c r="F289" s="7"/>
      <c r="G289" s="7"/>
      <c r="H289" s="7"/>
      <c r="I289" s="7"/>
      <c r="J289" s="67"/>
      <c r="K289" s="67"/>
      <c r="L289" s="64"/>
      <c r="M289" s="7"/>
      <c r="N289" s="7"/>
      <c r="O289" s="7"/>
      <c r="P289" s="7"/>
      <c r="Q289" s="7"/>
      <c r="R289" s="7"/>
    </row>
    <row r="290" spans="2:18" ht="19.5" customHeight="1">
      <c r="B290" s="7"/>
      <c r="C290" s="7"/>
      <c r="D290" s="7"/>
      <c r="E290" s="7"/>
      <c r="F290" s="7"/>
      <c r="G290" s="7"/>
      <c r="H290" s="7"/>
      <c r="I290" s="7"/>
      <c r="J290" s="67"/>
      <c r="K290" s="67"/>
      <c r="L290" s="64"/>
      <c r="M290" s="7"/>
      <c r="N290" s="7"/>
      <c r="O290" s="7"/>
      <c r="P290" s="7"/>
      <c r="Q290" s="7"/>
      <c r="R290" s="7"/>
    </row>
    <row r="291" spans="2:18" ht="19.5" customHeight="1">
      <c r="B291" s="7"/>
      <c r="C291" s="7"/>
      <c r="D291" s="7"/>
      <c r="E291" s="7"/>
      <c r="F291" s="7"/>
      <c r="G291" s="7"/>
      <c r="H291" s="7"/>
      <c r="I291" s="7"/>
      <c r="J291" s="67"/>
      <c r="K291" s="67"/>
      <c r="L291" s="64"/>
      <c r="M291" s="7"/>
      <c r="N291" s="7"/>
      <c r="O291" s="7"/>
      <c r="P291" s="7"/>
      <c r="Q291" s="7"/>
      <c r="R291" s="7"/>
    </row>
    <row r="292" spans="2:18" ht="19.5" customHeight="1">
      <c r="B292" s="7"/>
      <c r="C292" s="7"/>
      <c r="D292" s="7"/>
      <c r="E292" s="7"/>
      <c r="F292" s="7"/>
      <c r="G292" s="7"/>
      <c r="H292" s="7"/>
      <c r="I292" s="7"/>
      <c r="J292" s="67"/>
      <c r="K292" s="67"/>
      <c r="L292" s="64"/>
      <c r="M292" s="7"/>
      <c r="N292" s="7"/>
      <c r="O292" s="7"/>
      <c r="P292" s="7"/>
      <c r="Q292" s="7"/>
      <c r="R292" s="7"/>
    </row>
    <row r="293" spans="2:18" ht="19.5" customHeight="1">
      <c r="B293" s="7"/>
      <c r="C293" s="7"/>
      <c r="D293" s="7"/>
      <c r="E293" s="7"/>
      <c r="F293" s="7"/>
      <c r="G293" s="7"/>
      <c r="H293" s="7"/>
      <c r="I293" s="7"/>
      <c r="J293" s="67"/>
      <c r="K293" s="67"/>
      <c r="L293" s="64"/>
      <c r="M293" s="7"/>
      <c r="N293" s="7"/>
      <c r="O293" s="7"/>
      <c r="P293" s="7"/>
      <c r="Q293" s="7"/>
      <c r="R293" s="7"/>
    </row>
    <row r="294" spans="2:18" ht="19.5" customHeight="1">
      <c r="B294" s="7"/>
      <c r="C294" s="7"/>
      <c r="D294" s="7"/>
      <c r="E294" s="7"/>
      <c r="F294" s="7"/>
      <c r="G294" s="7"/>
      <c r="H294" s="7"/>
      <c r="I294" s="7"/>
      <c r="J294" s="67"/>
      <c r="K294" s="67"/>
      <c r="L294" s="64"/>
      <c r="M294" s="7"/>
      <c r="N294" s="7"/>
      <c r="O294" s="7"/>
      <c r="P294" s="7"/>
      <c r="Q294" s="7"/>
      <c r="R294" s="7"/>
    </row>
    <row r="295" spans="2:18" ht="19.5" customHeight="1">
      <c r="B295" s="7"/>
      <c r="C295" s="7"/>
      <c r="D295" s="7"/>
      <c r="E295" s="7"/>
      <c r="F295" s="7"/>
      <c r="G295" s="7"/>
      <c r="H295" s="7"/>
      <c r="I295" s="7"/>
      <c r="J295" s="67"/>
      <c r="K295" s="67"/>
      <c r="L295" s="64"/>
      <c r="M295" s="7"/>
      <c r="N295" s="7"/>
      <c r="O295" s="7"/>
      <c r="P295" s="7"/>
      <c r="Q295" s="7"/>
      <c r="R295" s="7"/>
    </row>
    <row r="296" spans="2:18" ht="19.5" customHeight="1">
      <c r="B296" s="7"/>
      <c r="C296" s="7"/>
      <c r="D296" s="7"/>
      <c r="E296" s="7"/>
      <c r="F296" s="7"/>
      <c r="G296" s="7"/>
      <c r="H296" s="7"/>
      <c r="I296" s="7"/>
      <c r="J296" s="67"/>
      <c r="K296" s="67"/>
      <c r="L296" s="64"/>
      <c r="M296" s="7"/>
      <c r="N296" s="7"/>
      <c r="O296" s="7"/>
      <c r="P296" s="7"/>
      <c r="Q296" s="7"/>
      <c r="R296" s="7"/>
    </row>
    <row r="297" spans="2:18" ht="19.5" customHeight="1">
      <c r="B297" s="7"/>
      <c r="C297" s="7"/>
      <c r="D297" s="7"/>
      <c r="E297" s="7"/>
      <c r="F297" s="7"/>
      <c r="G297" s="7"/>
      <c r="H297" s="7"/>
      <c r="I297" s="7"/>
      <c r="J297" s="67"/>
      <c r="K297" s="67"/>
      <c r="L297" s="64"/>
      <c r="M297" s="7"/>
      <c r="N297" s="7"/>
      <c r="O297" s="7"/>
      <c r="P297" s="7"/>
      <c r="Q297" s="7"/>
      <c r="R297" s="7"/>
    </row>
    <row r="298" spans="2:18" ht="19.5" customHeight="1">
      <c r="B298" s="7"/>
      <c r="C298" s="7"/>
      <c r="D298" s="7"/>
      <c r="E298" s="7"/>
      <c r="F298" s="7"/>
      <c r="G298" s="7"/>
      <c r="H298" s="7"/>
      <c r="I298" s="7"/>
      <c r="J298" s="67"/>
      <c r="K298" s="67"/>
      <c r="L298" s="64"/>
      <c r="M298" s="7"/>
      <c r="N298" s="7"/>
      <c r="O298" s="7"/>
      <c r="P298" s="7"/>
      <c r="Q298" s="7"/>
      <c r="R298" s="7"/>
    </row>
    <row r="299" spans="2:18" ht="19.5" customHeight="1">
      <c r="B299" s="7"/>
      <c r="C299" s="7"/>
      <c r="D299" s="7"/>
      <c r="E299" s="7"/>
      <c r="F299" s="7"/>
      <c r="G299" s="7"/>
      <c r="H299" s="7"/>
      <c r="I299" s="7"/>
      <c r="J299" s="67"/>
      <c r="K299" s="67"/>
      <c r="L299" s="64"/>
      <c r="M299" s="7"/>
      <c r="N299" s="7"/>
      <c r="O299" s="7"/>
      <c r="P299" s="7"/>
      <c r="Q299" s="7"/>
      <c r="R299" s="7"/>
    </row>
    <row r="300" spans="2:18" ht="19.5" customHeight="1">
      <c r="B300" s="7"/>
      <c r="C300" s="7"/>
      <c r="D300" s="7"/>
      <c r="E300" s="7"/>
      <c r="F300" s="7"/>
      <c r="G300" s="7"/>
      <c r="H300" s="7"/>
      <c r="I300" s="7"/>
      <c r="J300" s="67"/>
      <c r="K300" s="67"/>
      <c r="L300" s="64"/>
      <c r="M300" s="7"/>
      <c r="N300" s="7"/>
      <c r="O300" s="7"/>
      <c r="P300" s="7"/>
      <c r="Q300" s="7"/>
      <c r="R300" s="7"/>
    </row>
    <row r="301" spans="2:18" ht="19.5" customHeight="1">
      <c r="B301" s="7"/>
      <c r="C301" s="7"/>
      <c r="D301" s="7"/>
      <c r="E301" s="7"/>
      <c r="F301" s="7"/>
      <c r="G301" s="7"/>
      <c r="H301" s="7"/>
      <c r="I301" s="7"/>
      <c r="J301" s="67"/>
      <c r="K301" s="67"/>
      <c r="L301" s="64"/>
      <c r="M301" s="7"/>
      <c r="N301" s="7"/>
      <c r="O301" s="7"/>
      <c r="P301" s="7"/>
      <c r="Q301" s="7"/>
      <c r="R301" s="7"/>
    </row>
    <row r="302" spans="2:18" ht="19.5" customHeight="1">
      <c r="B302" s="7"/>
      <c r="C302" s="7"/>
      <c r="D302" s="7"/>
      <c r="E302" s="7"/>
      <c r="F302" s="7"/>
      <c r="G302" s="7"/>
      <c r="H302" s="7"/>
      <c r="I302" s="7"/>
      <c r="J302" s="67"/>
      <c r="K302" s="67"/>
      <c r="L302" s="64"/>
      <c r="M302" s="7"/>
      <c r="N302" s="7"/>
      <c r="O302" s="7"/>
      <c r="P302" s="7"/>
      <c r="Q302" s="7"/>
      <c r="R302" s="7"/>
    </row>
    <row r="303" spans="2:18" ht="19.5" customHeight="1">
      <c r="B303" s="7"/>
      <c r="C303" s="7"/>
      <c r="D303" s="7"/>
      <c r="E303" s="7"/>
      <c r="F303" s="7"/>
      <c r="G303" s="7"/>
      <c r="H303" s="7"/>
      <c r="I303" s="7"/>
      <c r="J303" s="67"/>
      <c r="K303" s="67"/>
      <c r="L303" s="64"/>
      <c r="M303" s="7"/>
      <c r="N303" s="7"/>
      <c r="O303" s="7"/>
      <c r="P303" s="7"/>
      <c r="Q303" s="7"/>
      <c r="R303" s="7"/>
    </row>
    <row r="304" spans="2:18" ht="19.5" customHeight="1">
      <c r="B304" s="7"/>
      <c r="C304" s="7"/>
      <c r="D304" s="7"/>
      <c r="E304" s="7"/>
      <c r="F304" s="7"/>
      <c r="G304" s="7"/>
      <c r="H304" s="7"/>
      <c r="I304" s="7"/>
      <c r="J304" s="67"/>
      <c r="K304" s="67"/>
      <c r="L304" s="64"/>
      <c r="M304" s="7"/>
      <c r="N304" s="7"/>
      <c r="O304" s="7"/>
      <c r="P304" s="7"/>
      <c r="Q304" s="7"/>
      <c r="R304" s="7"/>
    </row>
    <row r="305" spans="2:18" ht="19.5" customHeight="1">
      <c r="B305" s="7"/>
      <c r="C305" s="7"/>
      <c r="D305" s="7"/>
      <c r="E305" s="7"/>
      <c r="F305" s="7"/>
      <c r="G305" s="7"/>
      <c r="H305" s="7"/>
      <c r="I305" s="7"/>
      <c r="J305" s="67"/>
      <c r="K305" s="67"/>
      <c r="L305" s="64"/>
      <c r="M305" s="7"/>
      <c r="N305" s="7"/>
      <c r="O305" s="7"/>
      <c r="P305" s="7"/>
      <c r="Q305" s="7"/>
      <c r="R305" s="7"/>
    </row>
    <row r="306" spans="2:18" ht="19.5" customHeight="1">
      <c r="B306" s="7"/>
      <c r="C306" s="7"/>
      <c r="D306" s="7"/>
      <c r="E306" s="7"/>
      <c r="F306" s="7"/>
      <c r="G306" s="7"/>
      <c r="H306" s="7"/>
      <c r="I306" s="7"/>
      <c r="J306" s="67"/>
      <c r="K306" s="67"/>
      <c r="L306" s="64"/>
      <c r="M306" s="7"/>
      <c r="N306" s="7"/>
      <c r="O306" s="7"/>
      <c r="P306" s="7"/>
      <c r="Q306" s="7"/>
      <c r="R306" s="7"/>
    </row>
    <row r="307" spans="2:18" ht="19.5" customHeight="1">
      <c r="B307" s="7"/>
      <c r="C307" s="7"/>
      <c r="D307" s="7"/>
      <c r="E307" s="7"/>
      <c r="F307" s="7"/>
      <c r="G307" s="7"/>
      <c r="H307" s="7"/>
      <c r="I307" s="7"/>
      <c r="J307" s="67"/>
      <c r="K307" s="67"/>
      <c r="L307" s="64"/>
      <c r="M307" s="7"/>
      <c r="N307" s="7"/>
      <c r="O307" s="7"/>
      <c r="P307" s="7"/>
      <c r="Q307" s="7"/>
      <c r="R307" s="7"/>
    </row>
    <row r="308" spans="2:18" ht="19.5" customHeight="1">
      <c r="B308" s="7"/>
      <c r="C308" s="7"/>
      <c r="D308" s="7"/>
      <c r="E308" s="7"/>
      <c r="F308" s="7"/>
      <c r="G308" s="7"/>
      <c r="H308" s="7"/>
      <c r="I308" s="7"/>
      <c r="J308" s="67"/>
      <c r="K308" s="67"/>
      <c r="L308" s="64"/>
      <c r="M308" s="7"/>
      <c r="N308" s="7"/>
      <c r="O308" s="7"/>
      <c r="P308" s="7"/>
      <c r="Q308" s="7"/>
      <c r="R308" s="7"/>
    </row>
    <row r="309" spans="2:18" ht="19.5" customHeight="1">
      <c r="B309" s="7"/>
      <c r="C309" s="7"/>
      <c r="D309" s="7"/>
      <c r="E309" s="7"/>
      <c r="F309" s="7"/>
      <c r="G309" s="7"/>
      <c r="H309" s="7"/>
      <c r="I309" s="7"/>
      <c r="J309" s="67"/>
      <c r="K309" s="67"/>
      <c r="L309" s="64"/>
      <c r="M309" s="7"/>
      <c r="N309" s="7"/>
      <c r="O309" s="7"/>
      <c r="P309" s="7"/>
      <c r="Q309" s="7"/>
      <c r="R309" s="7"/>
    </row>
    <row r="310" spans="2:18" ht="19.5" customHeight="1">
      <c r="B310" s="7"/>
      <c r="C310" s="7"/>
      <c r="D310" s="7"/>
      <c r="E310" s="7"/>
      <c r="F310" s="7"/>
      <c r="G310" s="7"/>
      <c r="H310" s="7"/>
      <c r="I310" s="7"/>
      <c r="J310" s="67"/>
      <c r="K310" s="67"/>
      <c r="L310" s="64"/>
      <c r="M310" s="7"/>
      <c r="N310" s="7"/>
      <c r="O310" s="7"/>
      <c r="P310" s="7"/>
      <c r="Q310" s="7"/>
      <c r="R310" s="7"/>
    </row>
    <row r="311" spans="2:18" ht="19.5" customHeight="1">
      <c r="B311" s="7"/>
      <c r="C311" s="7"/>
      <c r="D311" s="7"/>
      <c r="E311" s="7"/>
      <c r="F311" s="7"/>
      <c r="G311" s="7"/>
      <c r="H311" s="7"/>
      <c r="I311" s="7"/>
      <c r="J311" s="67"/>
      <c r="K311" s="67"/>
      <c r="L311" s="64"/>
      <c r="M311" s="7"/>
      <c r="N311" s="7"/>
      <c r="O311" s="7"/>
      <c r="P311" s="7"/>
      <c r="Q311" s="7"/>
      <c r="R311" s="7"/>
    </row>
    <row r="312" spans="2:18" ht="19.5" customHeight="1">
      <c r="B312" s="7"/>
      <c r="C312" s="7"/>
      <c r="D312" s="7"/>
      <c r="E312" s="7"/>
      <c r="F312" s="7"/>
      <c r="G312" s="7"/>
      <c r="H312" s="7"/>
      <c r="I312" s="7"/>
      <c r="J312" s="67"/>
      <c r="K312" s="67"/>
      <c r="L312" s="64"/>
      <c r="M312" s="7"/>
      <c r="N312" s="7"/>
      <c r="O312" s="7"/>
      <c r="P312" s="7"/>
      <c r="Q312" s="7"/>
      <c r="R312" s="7"/>
    </row>
    <row r="313" spans="2:18" ht="19.5" customHeight="1">
      <c r="B313" s="7"/>
      <c r="C313" s="7"/>
      <c r="D313" s="7"/>
      <c r="E313" s="7"/>
      <c r="F313" s="7"/>
      <c r="G313" s="7"/>
      <c r="H313" s="7"/>
      <c r="I313" s="7"/>
      <c r="J313" s="67"/>
      <c r="K313" s="67"/>
      <c r="L313" s="64"/>
      <c r="M313" s="7"/>
      <c r="N313" s="7"/>
      <c r="O313" s="7"/>
      <c r="P313" s="7"/>
      <c r="Q313" s="7"/>
      <c r="R313" s="7"/>
    </row>
    <row r="314" spans="2:18" ht="19.5" customHeight="1">
      <c r="B314" s="7"/>
      <c r="C314" s="7"/>
      <c r="D314" s="7"/>
      <c r="E314" s="7"/>
      <c r="F314" s="7"/>
      <c r="G314" s="7"/>
      <c r="H314" s="7"/>
      <c r="I314" s="7"/>
      <c r="J314" s="67"/>
      <c r="K314" s="67"/>
      <c r="L314" s="64"/>
      <c r="M314" s="7"/>
      <c r="N314" s="7"/>
      <c r="O314" s="7"/>
      <c r="P314" s="7"/>
      <c r="Q314" s="7"/>
      <c r="R314" s="7"/>
    </row>
    <row r="315" spans="2:18" ht="19.5" customHeight="1">
      <c r="B315" s="7"/>
      <c r="C315" s="7"/>
      <c r="D315" s="7"/>
      <c r="E315" s="7"/>
      <c r="F315" s="7"/>
      <c r="G315" s="7"/>
      <c r="H315" s="7"/>
      <c r="I315" s="7"/>
      <c r="J315" s="67"/>
      <c r="K315" s="67"/>
      <c r="L315" s="64"/>
      <c r="M315" s="7"/>
      <c r="N315" s="7"/>
      <c r="O315" s="7"/>
      <c r="P315" s="7"/>
      <c r="Q315" s="7"/>
      <c r="R315" s="7"/>
    </row>
    <row r="316" spans="2:18" ht="19.5" customHeight="1">
      <c r="B316" s="7"/>
      <c r="C316" s="7"/>
      <c r="D316" s="7"/>
      <c r="E316" s="7"/>
      <c r="F316" s="7"/>
      <c r="G316" s="7"/>
      <c r="H316" s="7"/>
      <c r="I316" s="7"/>
      <c r="J316" s="67"/>
      <c r="K316" s="67"/>
      <c r="L316" s="64"/>
      <c r="M316" s="7"/>
      <c r="N316" s="7"/>
      <c r="O316" s="7"/>
      <c r="P316" s="7"/>
      <c r="Q316" s="7"/>
      <c r="R316" s="7"/>
    </row>
    <row r="317" spans="2:18" ht="19.5" customHeight="1">
      <c r="B317" s="7"/>
      <c r="C317" s="7"/>
      <c r="D317" s="7"/>
      <c r="E317" s="7"/>
      <c r="F317" s="7"/>
      <c r="G317" s="7"/>
      <c r="H317" s="7"/>
      <c r="I317" s="7"/>
      <c r="J317" s="67"/>
      <c r="K317" s="67"/>
      <c r="L317" s="64"/>
      <c r="M317" s="7"/>
      <c r="N317" s="7"/>
      <c r="O317" s="7"/>
      <c r="P317" s="7"/>
      <c r="Q317" s="7"/>
      <c r="R317" s="7"/>
    </row>
    <row r="318" spans="2:18" ht="19.5" customHeight="1">
      <c r="B318" s="7"/>
      <c r="C318" s="7"/>
      <c r="D318" s="7"/>
      <c r="E318" s="7"/>
      <c r="F318" s="7"/>
      <c r="G318" s="7"/>
      <c r="H318" s="7"/>
      <c r="I318" s="7"/>
      <c r="J318" s="67"/>
      <c r="K318" s="67"/>
      <c r="L318" s="64"/>
      <c r="M318" s="7"/>
      <c r="N318" s="7"/>
      <c r="O318" s="7"/>
      <c r="P318" s="7"/>
      <c r="Q318" s="7"/>
      <c r="R318" s="7"/>
    </row>
    <row r="319" spans="2:18" ht="19.5" customHeight="1">
      <c r="B319" s="7"/>
      <c r="C319" s="7"/>
      <c r="D319" s="7"/>
      <c r="E319" s="7"/>
      <c r="F319" s="7"/>
      <c r="G319" s="7"/>
      <c r="H319" s="7"/>
      <c r="I319" s="7"/>
      <c r="J319" s="67"/>
      <c r="K319" s="67"/>
      <c r="L319" s="64"/>
      <c r="M319" s="7"/>
      <c r="N319" s="7"/>
      <c r="O319" s="7"/>
      <c r="P319" s="7"/>
      <c r="Q319" s="7"/>
      <c r="R319" s="7"/>
    </row>
    <row r="320" spans="2:18" ht="19.5" customHeight="1">
      <c r="B320" s="7"/>
      <c r="C320" s="7"/>
      <c r="D320" s="7"/>
      <c r="E320" s="7"/>
      <c r="F320" s="7"/>
      <c r="G320" s="7"/>
      <c r="H320" s="7"/>
      <c r="I320" s="7"/>
      <c r="J320" s="67"/>
      <c r="K320" s="67"/>
      <c r="L320" s="64"/>
      <c r="M320" s="7"/>
      <c r="N320" s="7"/>
      <c r="O320" s="7"/>
      <c r="P320" s="7"/>
      <c r="Q320" s="7"/>
      <c r="R320" s="7"/>
    </row>
    <row r="321" spans="2:18" ht="19.5" customHeight="1">
      <c r="B321" s="7"/>
      <c r="C321" s="7"/>
      <c r="D321" s="7"/>
      <c r="E321" s="7"/>
      <c r="F321" s="7"/>
      <c r="G321" s="7"/>
      <c r="H321" s="7"/>
      <c r="I321" s="7"/>
      <c r="J321" s="67"/>
      <c r="K321" s="67"/>
      <c r="L321" s="64"/>
      <c r="M321" s="7"/>
      <c r="N321" s="7"/>
      <c r="O321" s="7"/>
      <c r="P321" s="7"/>
      <c r="Q321" s="7"/>
      <c r="R321" s="7"/>
    </row>
    <row r="322" spans="2:18" ht="19.5" customHeight="1">
      <c r="B322" s="7"/>
      <c r="C322" s="7"/>
      <c r="D322" s="7"/>
      <c r="E322" s="7"/>
      <c r="F322" s="7"/>
      <c r="G322" s="7"/>
      <c r="H322" s="7"/>
      <c r="I322" s="7"/>
      <c r="J322" s="67"/>
      <c r="K322" s="67"/>
      <c r="L322" s="64"/>
      <c r="M322" s="7"/>
      <c r="N322" s="7"/>
      <c r="O322" s="7"/>
      <c r="P322" s="7"/>
      <c r="Q322" s="7"/>
      <c r="R322" s="7"/>
    </row>
    <row r="323" spans="2:18" ht="19.5" customHeight="1">
      <c r="B323" s="7"/>
      <c r="C323" s="7"/>
      <c r="D323" s="7"/>
      <c r="E323" s="7"/>
      <c r="F323" s="7"/>
      <c r="G323" s="7"/>
      <c r="H323" s="7"/>
      <c r="I323" s="7"/>
      <c r="J323" s="67"/>
      <c r="K323" s="67"/>
      <c r="L323" s="64"/>
      <c r="M323" s="7"/>
      <c r="N323" s="7"/>
      <c r="O323" s="7"/>
      <c r="P323" s="7"/>
      <c r="Q323" s="7"/>
      <c r="R323" s="7"/>
    </row>
    <row r="324" spans="2:18" ht="19.5" customHeight="1">
      <c r="B324" s="7"/>
      <c r="C324" s="7"/>
      <c r="D324" s="7"/>
      <c r="E324" s="7"/>
      <c r="F324" s="7"/>
      <c r="G324" s="7"/>
      <c r="H324" s="7"/>
      <c r="I324" s="7"/>
      <c r="J324" s="67"/>
      <c r="K324" s="67"/>
      <c r="L324" s="64"/>
      <c r="M324" s="7"/>
      <c r="N324" s="7"/>
      <c r="O324" s="7"/>
      <c r="P324" s="7"/>
      <c r="Q324" s="7"/>
      <c r="R324" s="7"/>
    </row>
    <row r="325" spans="2:18" ht="19.5" customHeight="1">
      <c r="B325" s="7"/>
      <c r="C325" s="7"/>
      <c r="D325" s="7"/>
      <c r="E325" s="7"/>
      <c r="F325" s="7"/>
      <c r="G325" s="7"/>
      <c r="H325" s="7"/>
      <c r="I325" s="7"/>
      <c r="J325" s="67"/>
      <c r="K325" s="67"/>
      <c r="L325" s="64"/>
      <c r="M325" s="7"/>
      <c r="N325" s="7"/>
      <c r="O325" s="7"/>
      <c r="P325" s="7"/>
      <c r="Q325" s="7"/>
      <c r="R325" s="7"/>
    </row>
    <row r="326" spans="2:18" ht="19.5" customHeight="1">
      <c r="B326" s="7"/>
      <c r="C326" s="7"/>
      <c r="D326" s="7"/>
      <c r="E326" s="7"/>
      <c r="F326" s="7"/>
      <c r="G326" s="7"/>
      <c r="H326" s="7"/>
      <c r="I326" s="7"/>
      <c r="J326" s="67"/>
      <c r="K326" s="67"/>
      <c r="L326" s="64"/>
      <c r="M326" s="7"/>
      <c r="N326" s="7"/>
      <c r="O326" s="7"/>
      <c r="P326" s="7"/>
      <c r="Q326" s="7"/>
      <c r="R326" s="7"/>
    </row>
    <row r="327" spans="2:18" ht="19.5" customHeight="1">
      <c r="B327" s="7"/>
      <c r="C327" s="7"/>
      <c r="D327" s="7"/>
      <c r="E327" s="7"/>
      <c r="F327" s="7"/>
      <c r="G327" s="7"/>
      <c r="H327" s="7"/>
      <c r="I327" s="7"/>
      <c r="J327" s="67"/>
      <c r="K327" s="67"/>
      <c r="L327" s="64"/>
      <c r="M327" s="7"/>
      <c r="N327" s="7"/>
      <c r="O327" s="7"/>
      <c r="P327" s="7"/>
      <c r="Q327" s="7"/>
      <c r="R327" s="7"/>
    </row>
    <row r="328" spans="2:18" ht="19.5" customHeight="1">
      <c r="B328" s="7"/>
      <c r="C328" s="7"/>
      <c r="D328" s="7"/>
      <c r="E328" s="7"/>
      <c r="F328" s="7"/>
      <c r="G328" s="7"/>
      <c r="H328" s="7"/>
      <c r="I328" s="7"/>
      <c r="J328" s="67"/>
      <c r="K328" s="67"/>
      <c r="L328" s="64"/>
      <c r="M328" s="7"/>
      <c r="N328" s="7"/>
      <c r="O328" s="7"/>
      <c r="P328" s="7"/>
      <c r="Q328" s="7"/>
      <c r="R328" s="7"/>
    </row>
    <row r="329" spans="2:18" ht="19.5" customHeight="1">
      <c r="B329" s="7"/>
      <c r="C329" s="7"/>
      <c r="D329" s="7"/>
      <c r="E329" s="7"/>
      <c r="F329" s="7"/>
      <c r="G329" s="7"/>
      <c r="H329" s="7"/>
      <c r="I329" s="7"/>
      <c r="J329" s="67"/>
      <c r="K329" s="67"/>
      <c r="L329" s="64"/>
      <c r="M329" s="7"/>
      <c r="N329" s="7"/>
      <c r="O329" s="7"/>
      <c r="P329" s="7"/>
      <c r="Q329" s="7"/>
      <c r="R329" s="7"/>
    </row>
    <row r="330" spans="2:18" ht="19.5" customHeight="1">
      <c r="B330" s="7"/>
      <c r="C330" s="7"/>
      <c r="D330" s="7"/>
      <c r="E330" s="7"/>
      <c r="F330" s="7"/>
      <c r="G330" s="7"/>
      <c r="H330" s="7"/>
      <c r="I330" s="7"/>
      <c r="J330" s="67"/>
      <c r="K330" s="67"/>
      <c r="L330" s="64"/>
      <c r="M330" s="7"/>
      <c r="N330" s="7"/>
      <c r="O330" s="7"/>
      <c r="P330" s="7"/>
      <c r="Q330" s="7"/>
      <c r="R330" s="7"/>
    </row>
    <row r="331" spans="2:18" ht="19.5" customHeight="1">
      <c r="B331" s="7"/>
      <c r="C331" s="7"/>
      <c r="D331" s="7"/>
      <c r="E331" s="7"/>
      <c r="F331" s="7"/>
      <c r="G331" s="7"/>
      <c r="H331" s="7"/>
      <c r="I331" s="7"/>
      <c r="J331" s="67"/>
      <c r="K331" s="67"/>
      <c r="L331" s="64"/>
      <c r="M331" s="7"/>
      <c r="N331" s="7"/>
      <c r="O331" s="7"/>
      <c r="P331" s="7"/>
      <c r="Q331" s="7"/>
      <c r="R331" s="7"/>
    </row>
    <row r="332" spans="2:18" ht="19.5" customHeight="1">
      <c r="B332" s="7"/>
      <c r="C332" s="7"/>
      <c r="D332" s="7"/>
      <c r="E332" s="7"/>
      <c r="F332" s="7"/>
      <c r="G332" s="7"/>
      <c r="H332" s="7"/>
      <c r="I332" s="7"/>
      <c r="J332" s="67"/>
      <c r="K332" s="67"/>
      <c r="L332" s="64"/>
      <c r="M332" s="7"/>
      <c r="N332" s="7"/>
      <c r="O332" s="7"/>
      <c r="P332" s="7"/>
      <c r="Q332" s="7"/>
      <c r="R332" s="7"/>
    </row>
    <row r="333" spans="2:18" ht="19.5" customHeight="1">
      <c r="B333" s="7"/>
      <c r="C333" s="7"/>
      <c r="D333" s="7"/>
      <c r="E333" s="7"/>
      <c r="F333" s="7"/>
      <c r="G333" s="7"/>
      <c r="H333" s="7"/>
      <c r="I333" s="7"/>
      <c r="J333" s="67"/>
      <c r="K333" s="67"/>
      <c r="L333" s="64"/>
      <c r="M333" s="7"/>
      <c r="N333" s="7"/>
      <c r="O333" s="7"/>
      <c r="P333" s="7"/>
      <c r="Q333" s="7"/>
      <c r="R333" s="7"/>
    </row>
    <row r="334" spans="2:18" ht="19.5" customHeight="1">
      <c r="B334" s="7"/>
      <c r="C334" s="7"/>
      <c r="D334" s="7"/>
      <c r="E334" s="7"/>
      <c r="F334" s="7"/>
      <c r="G334" s="7"/>
      <c r="H334" s="7"/>
      <c r="I334" s="7"/>
      <c r="J334" s="67"/>
      <c r="K334" s="67"/>
      <c r="L334" s="64"/>
      <c r="M334" s="7"/>
      <c r="N334" s="7"/>
      <c r="O334" s="7"/>
      <c r="P334" s="7"/>
      <c r="Q334" s="7"/>
      <c r="R334" s="7"/>
    </row>
    <row r="335" spans="2:18" ht="19.5" customHeight="1">
      <c r="B335" s="7"/>
      <c r="C335" s="7"/>
      <c r="D335" s="7"/>
      <c r="E335" s="7"/>
      <c r="F335" s="7"/>
      <c r="G335" s="7"/>
      <c r="H335" s="7"/>
      <c r="I335" s="7"/>
      <c r="J335" s="67"/>
      <c r="K335" s="67"/>
      <c r="L335" s="64"/>
      <c r="M335" s="7"/>
      <c r="N335" s="7"/>
      <c r="O335" s="7"/>
      <c r="P335" s="7"/>
      <c r="Q335" s="7"/>
      <c r="R335" s="7"/>
    </row>
    <row r="336" spans="2:18" ht="19.5" customHeight="1">
      <c r="B336" s="7"/>
      <c r="C336" s="7"/>
      <c r="D336" s="7"/>
      <c r="E336" s="7"/>
      <c r="F336" s="7"/>
      <c r="G336" s="7"/>
      <c r="H336" s="7"/>
      <c r="I336" s="7"/>
      <c r="J336" s="67"/>
      <c r="K336" s="67"/>
      <c r="L336" s="64"/>
      <c r="M336" s="7"/>
      <c r="N336" s="7"/>
      <c r="O336" s="7"/>
      <c r="P336" s="7"/>
      <c r="Q336" s="7"/>
      <c r="R336" s="7"/>
    </row>
    <row r="337" spans="2:18" ht="19.5" customHeight="1">
      <c r="B337" s="7"/>
      <c r="C337" s="7"/>
      <c r="D337" s="7"/>
      <c r="E337" s="7"/>
      <c r="F337" s="7"/>
      <c r="G337" s="7"/>
      <c r="H337" s="7"/>
      <c r="I337" s="7"/>
      <c r="J337" s="67"/>
      <c r="K337" s="67"/>
      <c r="L337" s="64"/>
      <c r="M337" s="7"/>
      <c r="N337" s="7"/>
      <c r="O337" s="7"/>
      <c r="P337" s="7"/>
      <c r="Q337" s="7"/>
      <c r="R337" s="7"/>
    </row>
    <row r="338" spans="2:18" ht="19.5" customHeight="1">
      <c r="B338" s="7"/>
      <c r="C338" s="7"/>
      <c r="D338" s="7"/>
      <c r="E338" s="7"/>
      <c r="F338" s="7"/>
      <c r="G338" s="7"/>
      <c r="H338" s="7"/>
      <c r="I338" s="7"/>
      <c r="J338" s="67"/>
      <c r="K338" s="67"/>
      <c r="L338" s="64"/>
      <c r="M338" s="7"/>
      <c r="N338" s="7"/>
      <c r="O338" s="7"/>
      <c r="P338" s="7"/>
      <c r="Q338" s="7"/>
      <c r="R338" s="7"/>
    </row>
    <row r="339" spans="2:18" ht="19.5" customHeight="1">
      <c r="B339" s="7"/>
      <c r="C339" s="7"/>
      <c r="D339" s="7"/>
      <c r="E339" s="7"/>
      <c r="F339" s="7"/>
      <c r="G339" s="7"/>
      <c r="H339" s="7"/>
      <c r="I339" s="7"/>
      <c r="J339" s="67"/>
      <c r="K339" s="67"/>
      <c r="L339" s="64"/>
      <c r="M339" s="7"/>
      <c r="N339" s="7"/>
      <c r="O339" s="7"/>
      <c r="P339" s="7"/>
      <c r="Q339" s="7"/>
      <c r="R339" s="7"/>
    </row>
    <row r="340" spans="2:18" ht="19.5" customHeight="1">
      <c r="B340" s="7"/>
      <c r="C340" s="7"/>
      <c r="D340" s="7"/>
      <c r="E340" s="7"/>
      <c r="F340" s="7"/>
      <c r="G340" s="7"/>
      <c r="H340" s="7"/>
      <c r="I340" s="7"/>
      <c r="J340" s="67"/>
      <c r="K340" s="67"/>
      <c r="L340" s="64"/>
      <c r="M340" s="7"/>
      <c r="N340" s="7"/>
      <c r="O340" s="7"/>
      <c r="P340" s="7"/>
      <c r="Q340" s="7"/>
      <c r="R340" s="7"/>
    </row>
    <row r="341" spans="2:18" ht="19.5" customHeight="1">
      <c r="B341" s="7"/>
      <c r="C341" s="7"/>
      <c r="D341" s="7"/>
      <c r="E341" s="7"/>
      <c r="F341" s="7"/>
      <c r="G341" s="7"/>
      <c r="H341" s="7"/>
      <c r="I341" s="7"/>
      <c r="J341" s="67"/>
      <c r="K341" s="67"/>
      <c r="L341" s="64"/>
      <c r="M341" s="7"/>
      <c r="N341" s="7"/>
      <c r="O341" s="7"/>
      <c r="P341" s="7"/>
      <c r="Q341" s="7"/>
      <c r="R341" s="7"/>
    </row>
    <row r="342" spans="2:18" ht="19.5" customHeight="1">
      <c r="B342" s="7"/>
      <c r="C342" s="7"/>
      <c r="D342" s="7"/>
      <c r="E342" s="7"/>
      <c r="F342" s="7"/>
      <c r="G342" s="7"/>
      <c r="H342" s="7"/>
      <c r="I342" s="7"/>
      <c r="J342" s="67"/>
      <c r="K342" s="67"/>
      <c r="L342" s="64"/>
      <c r="M342" s="7"/>
      <c r="N342" s="7"/>
      <c r="O342" s="7"/>
      <c r="P342" s="7"/>
      <c r="Q342" s="7"/>
      <c r="R342" s="7"/>
    </row>
    <row r="343" spans="2:18" ht="19.5" customHeight="1">
      <c r="B343" s="7"/>
      <c r="C343" s="7"/>
      <c r="D343" s="7"/>
      <c r="E343" s="7"/>
      <c r="F343" s="7"/>
      <c r="G343" s="7"/>
      <c r="H343" s="7"/>
      <c r="I343" s="7"/>
      <c r="J343" s="67"/>
      <c r="K343" s="67"/>
      <c r="L343" s="64"/>
      <c r="M343" s="7"/>
      <c r="N343" s="7"/>
      <c r="O343" s="7"/>
      <c r="P343" s="7"/>
      <c r="Q343" s="7"/>
      <c r="R343" s="7"/>
    </row>
    <row r="344" spans="2:18" ht="19.5" customHeight="1">
      <c r="B344" s="7"/>
      <c r="C344" s="7"/>
      <c r="D344" s="7"/>
      <c r="E344" s="7"/>
      <c r="F344" s="7"/>
      <c r="G344" s="7"/>
      <c r="H344" s="7"/>
      <c r="I344" s="7"/>
      <c r="J344" s="67"/>
      <c r="K344" s="67"/>
      <c r="L344" s="64"/>
      <c r="M344" s="7"/>
      <c r="N344" s="7"/>
      <c r="O344" s="7"/>
      <c r="P344" s="7"/>
      <c r="Q344" s="7"/>
      <c r="R344" s="7"/>
    </row>
    <row r="345" spans="2:18" ht="19.5" customHeight="1">
      <c r="B345" s="7"/>
      <c r="C345" s="7"/>
      <c r="D345" s="7"/>
      <c r="E345" s="7"/>
      <c r="F345" s="7"/>
      <c r="G345" s="7"/>
      <c r="H345" s="7"/>
      <c r="I345" s="7"/>
      <c r="J345" s="67"/>
      <c r="K345" s="67"/>
      <c r="L345" s="64"/>
      <c r="M345" s="7"/>
      <c r="N345" s="7"/>
      <c r="O345" s="7"/>
      <c r="P345" s="7"/>
      <c r="Q345" s="7"/>
      <c r="R345" s="7"/>
    </row>
    <row r="346" spans="2:18" ht="19.5" customHeight="1">
      <c r="B346" s="7"/>
      <c r="C346" s="7"/>
      <c r="D346" s="7"/>
      <c r="E346" s="7"/>
      <c r="F346" s="7"/>
      <c r="G346" s="7"/>
      <c r="H346" s="7"/>
      <c r="I346" s="7"/>
      <c r="J346" s="67"/>
      <c r="K346" s="67"/>
      <c r="L346" s="64"/>
      <c r="M346" s="7"/>
      <c r="N346" s="7"/>
      <c r="O346" s="7"/>
      <c r="P346" s="7"/>
      <c r="Q346" s="7"/>
      <c r="R346" s="7"/>
    </row>
    <row r="347" spans="2:18" ht="19.5" customHeight="1">
      <c r="B347" s="7"/>
      <c r="C347" s="7"/>
      <c r="D347" s="7"/>
      <c r="E347" s="7"/>
      <c r="F347" s="7"/>
      <c r="G347" s="7"/>
      <c r="H347" s="7"/>
      <c r="I347" s="7"/>
      <c r="J347" s="67"/>
      <c r="K347" s="67"/>
      <c r="L347" s="64"/>
      <c r="M347" s="7"/>
      <c r="N347" s="7"/>
      <c r="O347" s="7"/>
      <c r="P347" s="7"/>
      <c r="Q347" s="7"/>
      <c r="R347" s="7"/>
    </row>
    <row r="348" spans="2:18" ht="19.5" customHeight="1">
      <c r="B348" s="7"/>
      <c r="C348" s="7"/>
      <c r="D348" s="7"/>
      <c r="E348" s="7"/>
      <c r="F348" s="7"/>
      <c r="G348" s="7"/>
      <c r="H348" s="7"/>
      <c r="I348" s="7"/>
      <c r="J348" s="67"/>
      <c r="K348" s="67"/>
      <c r="L348" s="64"/>
      <c r="M348" s="7"/>
      <c r="N348" s="7"/>
      <c r="O348" s="7"/>
      <c r="P348" s="7"/>
      <c r="Q348" s="7"/>
      <c r="R348" s="7"/>
    </row>
    <row r="349" spans="2:18" ht="19.5" customHeight="1">
      <c r="B349" s="7"/>
      <c r="C349" s="7"/>
      <c r="D349" s="7"/>
      <c r="E349" s="7"/>
      <c r="F349" s="7"/>
      <c r="G349" s="7"/>
      <c r="H349" s="7"/>
      <c r="I349" s="7"/>
      <c r="J349" s="67"/>
      <c r="K349" s="67"/>
      <c r="L349" s="64"/>
      <c r="M349" s="7"/>
      <c r="N349" s="7"/>
      <c r="O349" s="7"/>
      <c r="P349" s="7"/>
      <c r="Q349" s="7"/>
      <c r="R349" s="7"/>
    </row>
    <row r="350" spans="2:18" ht="19.5" customHeight="1">
      <c r="B350" s="7"/>
      <c r="C350" s="7"/>
      <c r="D350" s="7"/>
      <c r="E350" s="7"/>
      <c r="F350" s="7"/>
      <c r="G350" s="7"/>
      <c r="H350" s="7"/>
      <c r="I350" s="7"/>
      <c r="J350" s="67"/>
      <c r="K350" s="67"/>
      <c r="L350" s="64"/>
      <c r="M350" s="7"/>
      <c r="N350" s="7"/>
      <c r="O350" s="7"/>
      <c r="P350" s="7"/>
      <c r="Q350" s="7"/>
      <c r="R350" s="7"/>
    </row>
    <row r="351" spans="2:18" ht="19.5" customHeight="1">
      <c r="B351" s="7"/>
      <c r="C351" s="7"/>
      <c r="D351" s="7"/>
      <c r="E351" s="7"/>
      <c r="F351" s="7"/>
      <c r="G351" s="7"/>
      <c r="H351" s="7"/>
      <c r="I351" s="7"/>
      <c r="J351" s="67"/>
      <c r="K351" s="67"/>
      <c r="L351" s="64"/>
      <c r="M351" s="7"/>
      <c r="N351" s="7"/>
      <c r="O351" s="7"/>
      <c r="P351" s="7"/>
      <c r="Q351" s="7"/>
      <c r="R351" s="7"/>
    </row>
    <row r="352" spans="2:18" ht="19.5" customHeight="1">
      <c r="B352" s="7"/>
      <c r="C352" s="7"/>
      <c r="D352" s="7"/>
      <c r="E352" s="7"/>
      <c r="F352" s="7"/>
      <c r="G352" s="7"/>
      <c r="H352" s="7"/>
      <c r="I352" s="7"/>
      <c r="J352" s="67"/>
      <c r="K352" s="67"/>
      <c r="L352" s="64"/>
      <c r="M352" s="7"/>
      <c r="N352" s="7"/>
      <c r="O352" s="7"/>
      <c r="P352" s="7"/>
      <c r="Q352" s="7"/>
      <c r="R352" s="7"/>
    </row>
    <row r="353" spans="2:18" ht="19.5" customHeight="1">
      <c r="B353" s="7"/>
      <c r="C353" s="7"/>
      <c r="D353" s="7"/>
      <c r="E353" s="7"/>
      <c r="F353" s="7"/>
      <c r="G353" s="7"/>
      <c r="H353" s="7"/>
      <c r="I353" s="7"/>
      <c r="J353" s="67"/>
      <c r="K353" s="67"/>
      <c r="L353" s="64"/>
      <c r="M353" s="7"/>
      <c r="N353" s="7"/>
      <c r="O353" s="7"/>
      <c r="P353" s="7"/>
      <c r="Q353" s="7"/>
      <c r="R353" s="7"/>
    </row>
    <row r="354" spans="2:18" ht="19.5" customHeight="1">
      <c r="B354" s="7"/>
      <c r="C354" s="7"/>
      <c r="D354" s="7"/>
      <c r="E354" s="7"/>
      <c r="F354" s="7"/>
      <c r="G354" s="7"/>
      <c r="H354" s="7"/>
      <c r="I354" s="7"/>
      <c r="J354" s="67"/>
      <c r="K354" s="67"/>
      <c r="L354" s="64"/>
      <c r="M354" s="7"/>
      <c r="N354" s="7"/>
      <c r="O354" s="7"/>
      <c r="P354" s="7"/>
      <c r="Q354" s="7"/>
      <c r="R354" s="7"/>
    </row>
    <row r="355" spans="2:18" ht="19.5" customHeight="1">
      <c r="B355" s="7"/>
      <c r="C355" s="7"/>
      <c r="D355" s="7"/>
      <c r="E355" s="7"/>
      <c r="F355" s="7"/>
      <c r="G355" s="7"/>
      <c r="H355" s="7"/>
      <c r="I355" s="7"/>
      <c r="J355" s="67"/>
      <c r="K355" s="67"/>
      <c r="L355" s="64"/>
      <c r="M355" s="7"/>
      <c r="N355" s="7"/>
      <c r="O355" s="7"/>
      <c r="P355" s="7"/>
      <c r="Q355" s="7"/>
      <c r="R355" s="7"/>
    </row>
    <row r="356" spans="2:18" ht="19.5" customHeight="1">
      <c r="B356" s="7"/>
      <c r="C356" s="7"/>
      <c r="D356" s="7"/>
      <c r="E356" s="7"/>
      <c r="F356" s="7"/>
      <c r="G356" s="7"/>
      <c r="H356" s="7"/>
      <c r="I356" s="7"/>
      <c r="J356" s="67"/>
      <c r="K356" s="67"/>
      <c r="L356" s="64"/>
      <c r="M356" s="7"/>
      <c r="N356" s="7"/>
      <c r="O356" s="7"/>
      <c r="P356" s="7"/>
      <c r="Q356" s="7"/>
      <c r="R356" s="7"/>
    </row>
    <row r="357" spans="2:18" ht="19.5" customHeight="1">
      <c r="B357" s="7"/>
      <c r="C357" s="7"/>
      <c r="D357" s="7"/>
      <c r="E357" s="7"/>
      <c r="F357" s="7"/>
      <c r="G357" s="7"/>
      <c r="H357" s="7"/>
      <c r="I357" s="7"/>
      <c r="J357" s="67"/>
      <c r="K357" s="67"/>
      <c r="L357" s="64"/>
      <c r="M357" s="7"/>
      <c r="N357" s="7"/>
      <c r="O357" s="7"/>
      <c r="P357" s="7"/>
      <c r="Q357" s="7"/>
      <c r="R357" s="7"/>
    </row>
    <row r="358" spans="2:18" ht="19.5" customHeight="1">
      <c r="B358" s="7"/>
      <c r="C358" s="7"/>
      <c r="D358" s="7"/>
      <c r="E358" s="7"/>
      <c r="F358" s="7"/>
      <c r="G358" s="7"/>
      <c r="H358" s="7"/>
      <c r="I358" s="7"/>
      <c r="J358" s="67"/>
      <c r="K358" s="67"/>
      <c r="L358" s="64"/>
      <c r="M358" s="7"/>
      <c r="N358" s="7"/>
      <c r="O358" s="7"/>
      <c r="P358" s="7"/>
      <c r="Q358" s="7"/>
      <c r="R358" s="7"/>
    </row>
    <row r="359" spans="2:18" ht="19.5" customHeight="1">
      <c r="B359" s="7"/>
      <c r="C359" s="7"/>
      <c r="D359" s="7"/>
      <c r="E359" s="7"/>
      <c r="F359" s="7"/>
      <c r="G359" s="7"/>
      <c r="H359" s="7"/>
      <c r="I359" s="7"/>
      <c r="J359" s="67"/>
      <c r="K359" s="67"/>
      <c r="L359" s="64"/>
      <c r="M359" s="7"/>
      <c r="N359" s="7"/>
      <c r="O359" s="7"/>
      <c r="P359" s="7"/>
      <c r="Q359" s="7"/>
      <c r="R359" s="7"/>
    </row>
    <row r="360" spans="2:18" ht="19.5" customHeight="1">
      <c r="B360" s="7"/>
      <c r="C360" s="7"/>
      <c r="D360" s="7"/>
      <c r="E360" s="7"/>
      <c r="F360" s="7"/>
      <c r="G360" s="7"/>
      <c r="H360" s="7"/>
      <c r="I360" s="7"/>
      <c r="J360" s="67"/>
      <c r="K360" s="67"/>
      <c r="L360" s="64"/>
      <c r="M360" s="7"/>
      <c r="N360" s="7"/>
      <c r="O360" s="7"/>
      <c r="P360" s="7"/>
      <c r="Q360" s="7"/>
      <c r="R360" s="7"/>
    </row>
    <row r="361" spans="2:18" ht="19.5" customHeight="1">
      <c r="B361" s="7"/>
      <c r="C361" s="7"/>
      <c r="D361" s="7"/>
      <c r="E361" s="7"/>
      <c r="F361" s="7"/>
      <c r="G361" s="7"/>
      <c r="H361" s="7"/>
      <c r="I361" s="7"/>
      <c r="J361" s="67"/>
      <c r="K361" s="67"/>
      <c r="L361" s="64"/>
      <c r="M361" s="7"/>
      <c r="N361" s="7"/>
      <c r="O361" s="7"/>
      <c r="P361" s="7"/>
      <c r="Q361" s="7"/>
      <c r="R361" s="7"/>
    </row>
    <row r="362" spans="2:18" ht="19.5" customHeight="1">
      <c r="B362" s="7"/>
      <c r="C362" s="7"/>
      <c r="D362" s="7"/>
      <c r="E362" s="7"/>
      <c r="F362" s="7"/>
      <c r="G362" s="7"/>
      <c r="H362" s="7"/>
      <c r="I362" s="7"/>
      <c r="J362" s="67"/>
      <c r="K362" s="67"/>
      <c r="L362" s="64"/>
      <c r="M362" s="7"/>
      <c r="N362" s="7"/>
      <c r="O362" s="7"/>
      <c r="P362" s="7"/>
      <c r="Q362" s="7"/>
      <c r="R362" s="7"/>
    </row>
    <row r="363" spans="2:18" ht="19.5" customHeight="1">
      <c r="B363" s="7"/>
      <c r="C363" s="7"/>
      <c r="D363" s="7"/>
      <c r="E363" s="7"/>
      <c r="F363" s="7"/>
      <c r="G363" s="7"/>
      <c r="H363" s="7"/>
      <c r="I363" s="7"/>
      <c r="J363" s="67"/>
      <c r="K363" s="67"/>
      <c r="L363" s="64"/>
      <c r="M363" s="7"/>
      <c r="N363" s="7"/>
      <c r="O363" s="7"/>
      <c r="P363" s="7"/>
      <c r="Q363" s="7"/>
      <c r="R363" s="7"/>
    </row>
    <row r="364" spans="2:18" ht="19.5" customHeight="1">
      <c r="B364" s="7"/>
      <c r="C364" s="7"/>
      <c r="D364" s="7"/>
      <c r="E364" s="7"/>
      <c r="F364" s="7"/>
      <c r="G364" s="7"/>
      <c r="H364" s="7"/>
      <c r="I364" s="7"/>
      <c r="J364" s="67"/>
      <c r="K364" s="67"/>
      <c r="L364" s="64"/>
      <c r="M364" s="7"/>
      <c r="N364" s="7"/>
      <c r="O364" s="7"/>
      <c r="P364" s="7"/>
      <c r="Q364" s="7"/>
      <c r="R364" s="7"/>
    </row>
    <row r="365" spans="2:18" ht="19.5" customHeight="1">
      <c r="B365" s="7"/>
      <c r="C365" s="7"/>
      <c r="D365" s="7"/>
      <c r="E365" s="7"/>
      <c r="F365" s="7"/>
      <c r="G365" s="7"/>
      <c r="H365" s="7"/>
      <c r="I365" s="7"/>
      <c r="J365" s="67"/>
      <c r="K365" s="67"/>
      <c r="L365" s="64"/>
      <c r="M365" s="7"/>
      <c r="N365" s="7"/>
      <c r="O365" s="7"/>
      <c r="P365" s="7"/>
      <c r="Q365" s="7"/>
      <c r="R365" s="7"/>
    </row>
    <row r="366" spans="2:18" ht="19.5" customHeight="1">
      <c r="B366" s="7"/>
      <c r="C366" s="7"/>
      <c r="D366" s="7"/>
      <c r="E366" s="7"/>
      <c r="F366" s="7"/>
      <c r="G366" s="7"/>
      <c r="H366" s="7"/>
      <c r="I366" s="7"/>
      <c r="J366" s="67"/>
      <c r="K366" s="67"/>
      <c r="L366" s="64"/>
      <c r="M366" s="7"/>
      <c r="N366" s="7"/>
      <c r="O366" s="7"/>
      <c r="P366" s="7"/>
      <c r="Q366" s="7"/>
      <c r="R366" s="7"/>
    </row>
    <row r="367" spans="2:18" ht="19.5" customHeight="1">
      <c r="B367" s="7"/>
      <c r="C367" s="7"/>
      <c r="D367" s="7"/>
      <c r="E367" s="7"/>
      <c r="F367" s="7"/>
      <c r="G367" s="7"/>
      <c r="H367" s="7"/>
      <c r="I367" s="7"/>
      <c r="J367" s="67"/>
      <c r="K367" s="67"/>
      <c r="L367" s="64"/>
      <c r="M367" s="7"/>
      <c r="N367" s="7"/>
      <c r="O367" s="7"/>
      <c r="P367" s="7"/>
      <c r="Q367" s="7"/>
      <c r="R367" s="7"/>
    </row>
    <row r="368" spans="2:18" ht="19.5" customHeight="1">
      <c r="B368" s="7"/>
      <c r="C368" s="7"/>
      <c r="D368" s="7"/>
      <c r="E368" s="7"/>
      <c r="F368" s="7"/>
      <c r="G368" s="7"/>
      <c r="H368" s="7"/>
      <c r="I368" s="7"/>
      <c r="J368" s="67"/>
      <c r="K368" s="67"/>
      <c r="L368" s="64"/>
      <c r="M368" s="7"/>
      <c r="N368" s="7"/>
      <c r="O368" s="7"/>
      <c r="P368" s="7"/>
      <c r="Q368" s="7"/>
      <c r="R368" s="7"/>
    </row>
    <row r="369" spans="2:18" ht="19.5" customHeight="1">
      <c r="B369" s="7"/>
      <c r="C369" s="7"/>
      <c r="D369" s="7"/>
      <c r="E369" s="7"/>
      <c r="F369" s="7"/>
      <c r="G369" s="7"/>
      <c r="H369" s="7"/>
      <c r="I369" s="7"/>
      <c r="J369" s="67"/>
      <c r="K369" s="67"/>
      <c r="L369" s="64"/>
      <c r="M369" s="7"/>
      <c r="N369" s="7"/>
      <c r="O369" s="7"/>
      <c r="P369" s="7"/>
      <c r="Q369" s="7"/>
      <c r="R369" s="7"/>
    </row>
    <row r="370" spans="2:18" ht="19.5" customHeight="1">
      <c r="B370" s="7"/>
      <c r="C370" s="7"/>
      <c r="D370" s="7"/>
      <c r="E370" s="7"/>
      <c r="F370" s="7"/>
      <c r="G370" s="7"/>
      <c r="H370" s="7"/>
      <c r="I370" s="7"/>
      <c r="J370" s="67"/>
      <c r="K370" s="67"/>
      <c r="L370" s="64"/>
      <c r="M370" s="7"/>
      <c r="N370" s="7"/>
      <c r="O370" s="7"/>
      <c r="P370" s="7"/>
      <c r="Q370" s="7"/>
      <c r="R370" s="7"/>
    </row>
    <row r="371" spans="2:18" ht="19.5" customHeight="1">
      <c r="B371" s="7"/>
      <c r="C371" s="7"/>
      <c r="D371" s="7"/>
      <c r="E371" s="7"/>
      <c r="F371" s="7"/>
      <c r="G371" s="7"/>
      <c r="H371" s="7"/>
      <c r="I371" s="7"/>
      <c r="J371" s="67"/>
      <c r="K371" s="67"/>
      <c r="L371" s="64"/>
      <c r="M371" s="7"/>
      <c r="N371" s="7"/>
      <c r="O371" s="7"/>
      <c r="P371" s="7"/>
      <c r="Q371" s="7"/>
      <c r="R371" s="7"/>
    </row>
    <row r="372" spans="2:18" ht="19.5" customHeight="1">
      <c r="B372" s="7"/>
      <c r="C372" s="7"/>
      <c r="D372" s="7"/>
      <c r="E372" s="7"/>
      <c r="F372" s="7"/>
      <c r="G372" s="7"/>
      <c r="H372" s="7"/>
      <c r="I372" s="7"/>
      <c r="J372" s="67"/>
      <c r="K372" s="67"/>
      <c r="L372" s="64"/>
      <c r="M372" s="7"/>
      <c r="N372" s="7"/>
      <c r="O372" s="7"/>
      <c r="P372" s="7"/>
      <c r="Q372" s="7"/>
      <c r="R372" s="7"/>
    </row>
    <row r="373" spans="2:18" ht="19.5" customHeight="1">
      <c r="B373" s="7"/>
      <c r="C373" s="7"/>
      <c r="D373" s="7"/>
      <c r="E373" s="7"/>
      <c r="F373" s="7"/>
      <c r="G373" s="7"/>
      <c r="H373" s="7"/>
      <c r="I373" s="7"/>
      <c r="J373" s="67"/>
      <c r="K373" s="67"/>
      <c r="L373" s="64"/>
      <c r="M373" s="7"/>
      <c r="N373" s="7"/>
      <c r="O373" s="7"/>
      <c r="P373" s="7"/>
      <c r="Q373" s="7"/>
      <c r="R373" s="7"/>
    </row>
    <row r="374" spans="2:18" ht="19.5" customHeight="1">
      <c r="B374" s="7"/>
      <c r="C374" s="7"/>
      <c r="D374" s="7"/>
      <c r="E374" s="7"/>
      <c r="F374" s="7"/>
      <c r="G374" s="7"/>
      <c r="H374" s="7"/>
      <c r="I374" s="7"/>
      <c r="J374" s="67"/>
      <c r="K374" s="67"/>
      <c r="L374" s="64"/>
      <c r="M374" s="7"/>
      <c r="N374" s="7"/>
      <c r="O374" s="7"/>
      <c r="P374" s="7"/>
      <c r="Q374" s="7"/>
      <c r="R374" s="7"/>
    </row>
    <row r="375" spans="2:18" ht="19.5" customHeight="1">
      <c r="B375" s="7"/>
      <c r="C375" s="7"/>
      <c r="D375" s="7"/>
      <c r="E375" s="7"/>
      <c r="F375" s="7"/>
      <c r="G375" s="7"/>
      <c r="H375" s="7"/>
      <c r="I375" s="7"/>
      <c r="J375" s="67"/>
      <c r="K375" s="67"/>
      <c r="L375" s="64"/>
      <c r="M375" s="7"/>
      <c r="N375" s="7"/>
      <c r="O375" s="7"/>
      <c r="P375" s="7"/>
      <c r="Q375" s="7"/>
      <c r="R375" s="7"/>
    </row>
    <row r="376" spans="2:18" ht="19.5" customHeight="1">
      <c r="B376" s="7"/>
      <c r="C376" s="7"/>
      <c r="D376" s="7"/>
      <c r="E376" s="7"/>
      <c r="F376" s="7"/>
      <c r="G376" s="7"/>
      <c r="H376" s="7"/>
      <c r="I376" s="7"/>
      <c r="J376" s="67"/>
      <c r="K376" s="67"/>
      <c r="L376" s="64"/>
      <c r="M376" s="7"/>
      <c r="N376" s="7"/>
      <c r="O376" s="7"/>
      <c r="P376" s="7"/>
      <c r="Q376" s="7"/>
      <c r="R376" s="7"/>
    </row>
    <row r="377" spans="2:18" ht="19.5" customHeight="1">
      <c r="B377" s="7"/>
      <c r="C377" s="7"/>
      <c r="D377" s="7"/>
      <c r="E377" s="7"/>
      <c r="F377" s="7"/>
      <c r="G377" s="7"/>
      <c r="H377" s="7"/>
      <c r="I377" s="7"/>
      <c r="J377" s="67"/>
      <c r="K377" s="67"/>
      <c r="L377" s="64"/>
      <c r="M377" s="7"/>
      <c r="N377" s="7"/>
      <c r="O377" s="7"/>
      <c r="P377" s="7"/>
      <c r="Q377" s="7"/>
      <c r="R377" s="7"/>
    </row>
    <row r="378" spans="2:18" ht="19.5" customHeight="1">
      <c r="B378" s="7"/>
      <c r="C378" s="7"/>
      <c r="D378" s="7"/>
      <c r="E378" s="7"/>
      <c r="F378" s="7"/>
      <c r="G378" s="7"/>
      <c r="H378" s="7"/>
      <c r="I378" s="7"/>
      <c r="J378" s="67"/>
      <c r="K378" s="67"/>
      <c r="L378" s="64"/>
      <c r="M378" s="7"/>
      <c r="N378" s="7"/>
      <c r="O378" s="7"/>
      <c r="P378" s="7"/>
      <c r="Q378" s="7"/>
      <c r="R378" s="7"/>
    </row>
    <row r="379" spans="2:18" ht="19.5" customHeight="1">
      <c r="B379" s="7"/>
      <c r="C379" s="7"/>
      <c r="D379" s="7"/>
      <c r="E379" s="7"/>
      <c r="F379" s="7"/>
      <c r="G379" s="7"/>
      <c r="H379" s="7"/>
      <c r="I379" s="7"/>
      <c r="J379" s="67"/>
      <c r="K379" s="67"/>
      <c r="L379" s="64"/>
      <c r="M379" s="7"/>
      <c r="N379" s="7"/>
      <c r="O379" s="7"/>
      <c r="P379" s="7"/>
      <c r="Q379" s="7"/>
      <c r="R379" s="7"/>
    </row>
    <row r="380" spans="2:18" ht="19.5" customHeight="1">
      <c r="B380" s="7"/>
      <c r="C380" s="7"/>
      <c r="D380" s="7"/>
      <c r="E380" s="7"/>
      <c r="F380" s="7"/>
      <c r="G380" s="7"/>
      <c r="H380" s="7"/>
      <c r="I380" s="7"/>
      <c r="J380" s="67"/>
      <c r="K380" s="67"/>
      <c r="L380" s="64"/>
      <c r="M380" s="7"/>
      <c r="N380" s="7"/>
      <c r="O380" s="7"/>
      <c r="P380" s="7"/>
      <c r="Q380" s="7"/>
      <c r="R380" s="7"/>
    </row>
    <row r="381" spans="2:18" ht="19.5" customHeight="1">
      <c r="B381" s="7"/>
      <c r="C381" s="7"/>
      <c r="D381" s="7"/>
      <c r="E381" s="7"/>
      <c r="F381" s="7"/>
      <c r="G381" s="7"/>
      <c r="H381" s="7"/>
      <c r="I381" s="7"/>
      <c r="J381" s="67"/>
      <c r="K381" s="67"/>
      <c r="L381" s="64"/>
      <c r="M381" s="7"/>
      <c r="N381" s="7"/>
      <c r="O381" s="7"/>
      <c r="P381" s="7"/>
      <c r="Q381" s="7"/>
      <c r="R381" s="7"/>
    </row>
    <row r="382" spans="2:18" ht="19.5" customHeight="1">
      <c r="B382" s="7"/>
      <c r="C382" s="7"/>
      <c r="D382" s="7"/>
      <c r="E382" s="7"/>
      <c r="F382" s="7"/>
      <c r="G382" s="7"/>
      <c r="H382" s="7"/>
      <c r="I382" s="7"/>
      <c r="J382" s="67"/>
      <c r="K382" s="67"/>
      <c r="L382" s="64"/>
      <c r="M382" s="7"/>
      <c r="N382" s="7"/>
      <c r="O382" s="7"/>
      <c r="P382" s="7"/>
      <c r="Q382" s="7"/>
      <c r="R382" s="7"/>
    </row>
    <row r="383" spans="2:18" ht="19.5" customHeight="1">
      <c r="B383" s="7"/>
      <c r="C383" s="7"/>
      <c r="D383" s="7"/>
      <c r="E383" s="7"/>
      <c r="F383" s="7"/>
      <c r="G383" s="7"/>
      <c r="H383" s="7"/>
      <c r="I383" s="7"/>
      <c r="J383" s="67"/>
      <c r="K383" s="67"/>
      <c r="L383" s="64"/>
      <c r="M383" s="7"/>
      <c r="N383" s="7"/>
      <c r="O383" s="7"/>
      <c r="P383" s="7"/>
      <c r="Q383" s="7"/>
      <c r="R383" s="7"/>
    </row>
    <row r="384" spans="2:18" ht="19.5" customHeight="1">
      <c r="B384" s="7"/>
      <c r="C384" s="7"/>
      <c r="D384" s="7"/>
      <c r="E384" s="7"/>
      <c r="F384" s="7"/>
      <c r="G384" s="7"/>
      <c r="H384" s="7"/>
      <c r="I384" s="7"/>
      <c r="J384" s="67"/>
      <c r="K384" s="67"/>
      <c r="L384" s="64"/>
      <c r="M384" s="7"/>
      <c r="N384" s="7"/>
      <c r="O384" s="7"/>
      <c r="P384" s="7"/>
      <c r="Q384" s="7"/>
      <c r="R384" s="7"/>
    </row>
    <row r="385" spans="2:18" ht="19.5" customHeight="1">
      <c r="B385" s="7"/>
      <c r="C385" s="7"/>
      <c r="D385" s="7"/>
      <c r="E385" s="7"/>
      <c r="F385" s="7"/>
      <c r="G385" s="7"/>
      <c r="H385" s="7"/>
      <c r="I385" s="7"/>
      <c r="J385" s="67"/>
      <c r="K385" s="67"/>
      <c r="L385" s="64"/>
      <c r="M385" s="7"/>
      <c r="N385" s="7"/>
      <c r="O385" s="7"/>
      <c r="P385" s="7"/>
      <c r="Q385" s="7"/>
      <c r="R385" s="7"/>
    </row>
    <row r="386" spans="2:18" ht="19.5" customHeight="1">
      <c r="B386" s="7"/>
      <c r="C386" s="7"/>
      <c r="D386" s="7"/>
      <c r="E386" s="7"/>
      <c r="F386" s="7"/>
      <c r="G386" s="7"/>
      <c r="H386" s="7"/>
      <c r="I386" s="7"/>
      <c r="J386" s="67"/>
      <c r="K386" s="67"/>
      <c r="L386" s="64"/>
      <c r="M386" s="7"/>
      <c r="N386" s="7"/>
      <c r="O386" s="7"/>
      <c r="P386" s="7"/>
      <c r="Q386" s="7"/>
      <c r="R386" s="7"/>
    </row>
    <row r="387" spans="2:18" ht="19.5" customHeight="1">
      <c r="B387" s="7"/>
      <c r="C387" s="7"/>
      <c r="D387" s="7"/>
      <c r="E387" s="7"/>
      <c r="F387" s="7"/>
      <c r="G387" s="7"/>
      <c r="H387" s="7"/>
      <c r="I387" s="7"/>
      <c r="J387" s="67"/>
      <c r="K387" s="67"/>
      <c r="L387" s="64"/>
      <c r="M387" s="7"/>
      <c r="N387" s="7"/>
      <c r="O387" s="7"/>
      <c r="P387" s="7"/>
      <c r="Q387" s="7"/>
      <c r="R387" s="7"/>
    </row>
    <row r="388" spans="2:18" ht="19.5" customHeight="1">
      <c r="B388" s="7"/>
      <c r="C388" s="7"/>
      <c r="D388" s="7"/>
      <c r="E388" s="7"/>
      <c r="F388" s="7"/>
      <c r="G388" s="7"/>
      <c r="H388" s="7"/>
      <c r="I388" s="7"/>
      <c r="J388" s="67"/>
      <c r="K388" s="67"/>
      <c r="L388" s="64"/>
      <c r="M388" s="7"/>
      <c r="N388" s="7"/>
      <c r="O388" s="7"/>
      <c r="P388" s="7"/>
      <c r="Q388" s="7"/>
      <c r="R388" s="7"/>
    </row>
    <row r="389" spans="2:18" ht="19.5" customHeight="1">
      <c r="B389" s="7"/>
      <c r="C389" s="7"/>
      <c r="D389" s="7"/>
      <c r="E389" s="7"/>
      <c r="F389" s="7"/>
      <c r="G389" s="7"/>
      <c r="H389" s="7"/>
      <c r="I389" s="7"/>
      <c r="J389" s="67"/>
      <c r="K389" s="67"/>
      <c r="L389" s="64"/>
      <c r="M389" s="7"/>
      <c r="N389" s="7"/>
      <c r="O389" s="7"/>
      <c r="P389" s="7"/>
      <c r="Q389" s="7"/>
      <c r="R389" s="7"/>
    </row>
    <row r="390" spans="2:18" ht="19.5" customHeight="1">
      <c r="B390" s="7"/>
      <c r="C390" s="7"/>
      <c r="D390" s="7"/>
      <c r="E390" s="7"/>
      <c r="F390" s="7"/>
      <c r="G390" s="7"/>
      <c r="H390" s="7"/>
      <c r="I390" s="7"/>
      <c r="J390" s="67"/>
      <c r="K390" s="67"/>
      <c r="L390" s="64"/>
      <c r="M390" s="7"/>
      <c r="N390" s="7"/>
      <c r="O390" s="7"/>
      <c r="P390" s="7"/>
      <c r="Q390" s="7"/>
      <c r="R390" s="7"/>
    </row>
    <row r="391" spans="2:18" ht="19.5" customHeight="1">
      <c r="B391" s="7"/>
      <c r="C391" s="7"/>
      <c r="D391" s="7"/>
      <c r="E391" s="7"/>
      <c r="F391" s="7"/>
      <c r="G391" s="7"/>
      <c r="H391" s="7"/>
      <c r="I391" s="7"/>
      <c r="J391" s="67"/>
      <c r="K391" s="67"/>
      <c r="L391" s="64"/>
      <c r="M391" s="7"/>
      <c r="N391" s="7"/>
      <c r="O391" s="7"/>
      <c r="P391" s="7"/>
      <c r="Q391" s="7"/>
      <c r="R391" s="7"/>
    </row>
    <row r="392" spans="2:18" ht="19.5" customHeight="1">
      <c r="B392" s="7"/>
      <c r="C392" s="7"/>
      <c r="D392" s="7"/>
      <c r="E392" s="7"/>
      <c r="F392" s="7"/>
      <c r="G392" s="7"/>
      <c r="H392" s="7"/>
      <c r="I392" s="7"/>
      <c r="J392" s="67"/>
      <c r="K392" s="67"/>
      <c r="L392" s="64"/>
      <c r="M392" s="7"/>
      <c r="N392" s="7"/>
      <c r="O392" s="7"/>
      <c r="P392" s="7"/>
      <c r="Q392" s="7"/>
      <c r="R392" s="7"/>
    </row>
    <row r="393" spans="2:18" ht="19.5" customHeight="1">
      <c r="B393" s="7"/>
      <c r="C393" s="7"/>
      <c r="D393" s="7"/>
      <c r="E393" s="7"/>
      <c r="F393" s="7"/>
      <c r="G393" s="7"/>
      <c r="H393" s="7"/>
      <c r="I393" s="7"/>
      <c r="J393" s="67"/>
      <c r="K393" s="67"/>
      <c r="L393" s="64"/>
      <c r="M393" s="7"/>
      <c r="N393" s="7"/>
      <c r="O393" s="7"/>
      <c r="P393" s="7"/>
      <c r="Q393" s="7"/>
      <c r="R393" s="7"/>
    </row>
    <row r="394" spans="2:18" ht="19.5" customHeight="1">
      <c r="B394" s="7"/>
      <c r="C394" s="7"/>
      <c r="D394" s="7"/>
      <c r="E394" s="7"/>
      <c r="F394" s="7"/>
      <c r="G394" s="7"/>
      <c r="H394" s="7"/>
      <c r="I394" s="7"/>
      <c r="J394" s="67"/>
      <c r="K394" s="67"/>
      <c r="L394" s="64"/>
      <c r="M394" s="7"/>
      <c r="N394" s="7"/>
      <c r="O394" s="7"/>
      <c r="P394" s="7"/>
      <c r="Q394" s="7"/>
      <c r="R394" s="7"/>
    </row>
    <row r="395" spans="2:18" ht="19.5" customHeight="1">
      <c r="B395" s="7"/>
      <c r="C395" s="7"/>
      <c r="D395" s="7"/>
      <c r="E395" s="7"/>
      <c r="F395" s="7"/>
      <c r="G395" s="7"/>
      <c r="H395" s="7"/>
      <c r="I395" s="7"/>
      <c r="J395" s="67"/>
      <c r="K395" s="67"/>
      <c r="L395" s="64"/>
      <c r="M395" s="7"/>
      <c r="N395" s="7"/>
      <c r="O395" s="7"/>
      <c r="P395" s="7"/>
      <c r="Q395" s="7"/>
      <c r="R395" s="7"/>
    </row>
    <row r="396" spans="2:18" ht="19.5" customHeight="1">
      <c r="B396" s="7"/>
      <c r="C396" s="7"/>
      <c r="D396" s="7"/>
      <c r="E396" s="7"/>
      <c r="F396" s="7"/>
      <c r="G396" s="7"/>
      <c r="H396" s="7"/>
      <c r="I396" s="7"/>
      <c r="J396" s="67"/>
      <c r="K396" s="67"/>
      <c r="L396" s="64"/>
      <c r="M396" s="7"/>
      <c r="N396" s="7"/>
      <c r="O396" s="7"/>
      <c r="P396" s="7"/>
      <c r="Q396" s="7"/>
      <c r="R396" s="7"/>
    </row>
    <row r="397" spans="2:18" ht="19.5" customHeight="1">
      <c r="B397" s="7"/>
      <c r="C397" s="7"/>
      <c r="D397" s="7"/>
      <c r="E397" s="7"/>
      <c r="F397" s="7"/>
      <c r="G397" s="7"/>
      <c r="H397" s="7"/>
      <c r="I397" s="7"/>
      <c r="J397" s="67"/>
      <c r="K397" s="67"/>
      <c r="L397" s="64"/>
      <c r="M397" s="7"/>
      <c r="N397" s="7"/>
      <c r="O397" s="7"/>
      <c r="P397" s="7"/>
      <c r="Q397" s="7"/>
      <c r="R397" s="7"/>
    </row>
    <row r="398" spans="2:18" ht="19.5" customHeight="1">
      <c r="B398" s="7"/>
      <c r="C398" s="7"/>
      <c r="D398" s="7"/>
      <c r="E398" s="7"/>
      <c r="F398" s="7"/>
      <c r="G398" s="7"/>
      <c r="H398" s="7"/>
      <c r="I398" s="7"/>
      <c r="J398" s="67"/>
      <c r="K398" s="67"/>
      <c r="L398" s="64"/>
      <c r="M398" s="7"/>
      <c r="N398" s="7"/>
      <c r="O398" s="7"/>
      <c r="P398" s="7"/>
      <c r="Q398" s="7"/>
      <c r="R398" s="7"/>
    </row>
    <row r="399" spans="2:18" ht="19.5" customHeight="1">
      <c r="B399" s="7"/>
      <c r="C399" s="7"/>
      <c r="D399" s="7"/>
      <c r="E399" s="7"/>
      <c r="F399" s="7"/>
      <c r="G399" s="7"/>
      <c r="H399" s="7"/>
      <c r="I399" s="7"/>
      <c r="J399" s="67"/>
      <c r="K399" s="67"/>
      <c r="L399" s="64"/>
      <c r="M399" s="7"/>
      <c r="N399" s="7"/>
      <c r="O399" s="7"/>
      <c r="P399" s="7"/>
      <c r="Q399" s="7"/>
      <c r="R399" s="7"/>
    </row>
    <row r="400" spans="2:18" ht="19.5" customHeight="1">
      <c r="B400" s="7"/>
      <c r="C400" s="7"/>
      <c r="D400" s="7"/>
      <c r="E400" s="7"/>
      <c r="F400" s="7"/>
      <c r="G400" s="7"/>
      <c r="H400" s="7"/>
      <c r="I400" s="7"/>
      <c r="J400" s="67"/>
      <c r="K400" s="67"/>
      <c r="L400" s="64"/>
      <c r="M400" s="7"/>
      <c r="N400" s="7"/>
      <c r="O400" s="7"/>
      <c r="P400" s="7"/>
      <c r="Q400" s="7"/>
      <c r="R400" s="7"/>
    </row>
    <row r="401" spans="2:18" ht="19.5" customHeight="1">
      <c r="B401" s="7"/>
      <c r="C401" s="7"/>
      <c r="D401" s="7"/>
      <c r="E401" s="7"/>
      <c r="F401" s="7"/>
      <c r="G401" s="7"/>
      <c r="H401" s="7"/>
      <c r="I401" s="7"/>
      <c r="J401" s="67"/>
      <c r="K401" s="67"/>
      <c r="L401" s="64"/>
      <c r="M401" s="7"/>
      <c r="N401" s="7"/>
      <c r="O401" s="7"/>
      <c r="P401" s="7"/>
      <c r="Q401" s="7"/>
      <c r="R401" s="7"/>
    </row>
    <row r="402" spans="2:18" ht="19.5" customHeight="1">
      <c r="B402" s="7"/>
      <c r="C402" s="7"/>
      <c r="D402" s="7"/>
      <c r="E402" s="7"/>
      <c r="F402" s="7"/>
      <c r="G402" s="7"/>
      <c r="H402" s="7"/>
      <c r="I402" s="7"/>
      <c r="J402" s="67"/>
      <c r="K402" s="67"/>
      <c r="L402" s="64"/>
      <c r="M402" s="7"/>
      <c r="N402" s="7"/>
      <c r="O402" s="7"/>
      <c r="P402" s="7"/>
      <c r="Q402" s="7"/>
      <c r="R402" s="7"/>
    </row>
    <row r="403" spans="2:18" ht="19.5" customHeight="1">
      <c r="B403" s="7"/>
      <c r="C403" s="7"/>
      <c r="D403" s="7"/>
      <c r="E403" s="7"/>
      <c r="F403" s="7"/>
      <c r="G403" s="7"/>
      <c r="H403" s="7"/>
      <c r="I403" s="7"/>
      <c r="J403" s="67"/>
      <c r="K403" s="67"/>
      <c r="L403" s="64"/>
      <c r="M403" s="7"/>
      <c r="N403" s="7"/>
      <c r="O403" s="7"/>
      <c r="P403" s="7"/>
      <c r="Q403" s="7"/>
      <c r="R403" s="7"/>
    </row>
    <row r="404" spans="2:18" ht="19.5" customHeight="1">
      <c r="B404" s="7"/>
      <c r="C404" s="7"/>
      <c r="D404" s="7"/>
      <c r="E404" s="7"/>
      <c r="F404" s="7"/>
      <c r="G404" s="7"/>
      <c r="H404" s="7"/>
      <c r="I404" s="7"/>
      <c r="J404" s="67"/>
      <c r="K404" s="67"/>
      <c r="L404" s="64"/>
      <c r="M404" s="7"/>
      <c r="N404" s="7"/>
      <c r="O404" s="7"/>
      <c r="P404" s="7"/>
      <c r="Q404" s="7"/>
      <c r="R404" s="7"/>
    </row>
    <row r="405" spans="2:18" ht="19.5" customHeight="1">
      <c r="B405" s="7"/>
      <c r="C405" s="7"/>
      <c r="D405" s="7"/>
      <c r="E405" s="7"/>
      <c r="F405" s="7"/>
      <c r="G405" s="7"/>
      <c r="H405" s="7"/>
      <c r="I405" s="7"/>
      <c r="J405" s="67"/>
      <c r="K405" s="67"/>
      <c r="L405" s="64"/>
      <c r="M405" s="7"/>
      <c r="N405" s="7"/>
      <c r="O405" s="7"/>
      <c r="P405" s="7"/>
      <c r="Q405" s="7"/>
      <c r="R405" s="7"/>
    </row>
    <row r="406" spans="2:18" ht="19.5" customHeight="1">
      <c r="B406" s="7"/>
      <c r="C406" s="7"/>
      <c r="D406" s="7"/>
      <c r="E406" s="7"/>
      <c r="F406" s="7"/>
      <c r="G406" s="7"/>
      <c r="H406" s="7"/>
      <c r="I406" s="7"/>
      <c r="J406" s="67"/>
      <c r="K406" s="67"/>
      <c r="L406" s="64"/>
      <c r="M406" s="7"/>
      <c r="N406" s="7"/>
      <c r="O406" s="7"/>
      <c r="P406" s="7"/>
      <c r="Q406" s="7"/>
      <c r="R406" s="7"/>
    </row>
    <row r="407" spans="2:18" ht="19.5" customHeight="1">
      <c r="B407" s="7"/>
      <c r="C407" s="7"/>
      <c r="D407" s="7"/>
      <c r="E407" s="7"/>
      <c r="F407" s="7"/>
      <c r="G407" s="7"/>
      <c r="H407" s="7"/>
      <c r="I407" s="7"/>
      <c r="J407" s="67"/>
      <c r="K407" s="67"/>
      <c r="L407" s="64"/>
      <c r="M407" s="7"/>
      <c r="N407" s="7"/>
      <c r="O407" s="7"/>
      <c r="P407" s="7"/>
      <c r="Q407" s="7"/>
      <c r="R407" s="7"/>
    </row>
    <row r="408" spans="2:18" ht="19.5" customHeight="1">
      <c r="B408" s="7"/>
      <c r="C408" s="7"/>
      <c r="D408" s="7"/>
      <c r="E408" s="7"/>
      <c r="F408" s="7"/>
      <c r="G408" s="7"/>
      <c r="H408" s="7"/>
      <c r="I408" s="7"/>
      <c r="J408" s="67"/>
      <c r="K408" s="67"/>
      <c r="L408" s="64"/>
      <c r="M408" s="7"/>
      <c r="N408" s="7"/>
      <c r="O408" s="7"/>
      <c r="P408" s="7"/>
      <c r="Q408" s="7"/>
      <c r="R408" s="7"/>
    </row>
    <row r="409" spans="2:18" ht="19.5" customHeight="1">
      <c r="B409" s="7"/>
      <c r="C409" s="7"/>
      <c r="D409" s="7"/>
      <c r="E409" s="7"/>
      <c r="F409" s="7"/>
      <c r="G409" s="7"/>
      <c r="H409" s="7"/>
      <c r="I409" s="7"/>
      <c r="J409" s="67"/>
      <c r="K409" s="67"/>
      <c r="L409" s="64"/>
      <c r="M409" s="7"/>
      <c r="N409" s="7"/>
      <c r="O409" s="7"/>
      <c r="P409" s="7"/>
      <c r="Q409" s="7"/>
      <c r="R409" s="7"/>
    </row>
    <row r="410" spans="2:18" ht="19.5" customHeight="1">
      <c r="B410" s="7"/>
      <c r="C410" s="7"/>
      <c r="D410" s="7"/>
      <c r="E410" s="7"/>
      <c r="F410" s="7"/>
      <c r="G410" s="7"/>
      <c r="H410" s="7"/>
      <c r="I410" s="7"/>
      <c r="J410" s="67"/>
      <c r="K410" s="67"/>
      <c r="L410" s="64"/>
      <c r="M410" s="7"/>
      <c r="N410" s="7"/>
      <c r="O410" s="7"/>
      <c r="P410" s="7"/>
      <c r="Q410" s="7"/>
      <c r="R410" s="7"/>
    </row>
    <row r="411" spans="2:18" ht="19.5" customHeight="1">
      <c r="B411" s="7"/>
      <c r="C411" s="7"/>
      <c r="D411" s="7"/>
      <c r="E411" s="7"/>
      <c r="F411" s="7"/>
      <c r="G411" s="7"/>
      <c r="H411" s="7"/>
      <c r="I411" s="7"/>
      <c r="J411" s="67"/>
      <c r="K411" s="67"/>
      <c r="L411" s="64"/>
      <c r="M411" s="7"/>
      <c r="N411" s="7"/>
      <c r="O411" s="7"/>
      <c r="P411" s="7"/>
      <c r="Q411" s="7"/>
      <c r="R411" s="7"/>
    </row>
    <row r="412" spans="2:18" ht="19.5" customHeight="1">
      <c r="B412" s="7"/>
      <c r="C412" s="7"/>
      <c r="D412" s="7"/>
      <c r="E412" s="7"/>
      <c r="F412" s="7"/>
      <c r="G412" s="7"/>
      <c r="H412" s="7"/>
      <c r="I412" s="7"/>
      <c r="J412" s="67"/>
      <c r="K412" s="67"/>
      <c r="L412" s="64"/>
      <c r="M412" s="7"/>
      <c r="N412" s="7"/>
      <c r="O412" s="7"/>
      <c r="P412" s="7"/>
      <c r="Q412" s="7"/>
      <c r="R412" s="7"/>
    </row>
    <row r="413" spans="2:18" ht="19.5" customHeight="1">
      <c r="B413" s="7"/>
      <c r="C413" s="7"/>
      <c r="D413" s="7"/>
      <c r="E413" s="7"/>
      <c r="F413" s="7"/>
      <c r="G413" s="7"/>
      <c r="H413" s="7"/>
      <c r="I413" s="7"/>
      <c r="J413" s="67"/>
      <c r="K413" s="67"/>
      <c r="L413" s="64"/>
      <c r="M413" s="7"/>
      <c r="N413" s="7"/>
      <c r="O413" s="7"/>
      <c r="P413" s="7"/>
      <c r="Q413" s="7"/>
      <c r="R413" s="7"/>
    </row>
    <row r="414" spans="2:18" ht="19.5" customHeight="1">
      <c r="B414" s="7"/>
      <c r="C414" s="7"/>
      <c r="D414" s="7"/>
      <c r="E414" s="7"/>
      <c r="F414" s="7"/>
      <c r="G414" s="7"/>
      <c r="H414" s="7"/>
      <c r="I414" s="7"/>
      <c r="J414" s="67"/>
      <c r="K414" s="67"/>
      <c r="L414" s="64"/>
      <c r="M414" s="7"/>
      <c r="N414" s="7"/>
      <c r="O414" s="7"/>
      <c r="P414" s="7"/>
      <c r="Q414" s="7"/>
      <c r="R414" s="7"/>
    </row>
    <row r="415" spans="2:18" ht="19.5" customHeight="1">
      <c r="B415" s="7"/>
      <c r="C415" s="7"/>
      <c r="D415" s="7"/>
      <c r="E415" s="7"/>
      <c r="F415" s="7"/>
      <c r="G415" s="7"/>
      <c r="H415" s="7"/>
      <c r="I415" s="7"/>
      <c r="J415" s="67"/>
      <c r="K415" s="67"/>
      <c r="L415" s="64"/>
      <c r="M415" s="7"/>
      <c r="N415" s="7"/>
      <c r="O415" s="7"/>
      <c r="P415" s="7"/>
      <c r="Q415" s="7"/>
      <c r="R415" s="7"/>
    </row>
    <row r="416" spans="2:18" ht="19.5" customHeight="1">
      <c r="B416" s="7"/>
      <c r="C416" s="7"/>
      <c r="D416" s="7"/>
      <c r="E416" s="7"/>
      <c r="F416" s="7"/>
      <c r="G416" s="7"/>
      <c r="H416" s="7"/>
      <c r="I416" s="7"/>
      <c r="J416" s="67"/>
      <c r="K416" s="67"/>
      <c r="L416" s="64"/>
      <c r="M416" s="7"/>
      <c r="N416" s="7"/>
      <c r="O416" s="7"/>
      <c r="P416" s="7"/>
      <c r="Q416" s="7"/>
      <c r="R416" s="7"/>
    </row>
    <row r="417" spans="2:18" ht="19.5" customHeight="1">
      <c r="B417" s="7"/>
      <c r="C417" s="7"/>
      <c r="D417" s="7"/>
      <c r="E417" s="7"/>
      <c r="F417" s="7"/>
      <c r="G417" s="7"/>
      <c r="H417" s="7"/>
      <c r="I417" s="7"/>
      <c r="J417" s="67"/>
      <c r="K417" s="67"/>
      <c r="L417" s="64"/>
      <c r="M417" s="7"/>
      <c r="N417" s="7"/>
      <c r="O417" s="7"/>
      <c r="P417" s="7"/>
      <c r="Q417" s="7"/>
      <c r="R417" s="7"/>
    </row>
    <row r="418" spans="2:18" ht="19.5" customHeight="1">
      <c r="B418" s="7"/>
      <c r="C418" s="7"/>
      <c r="D418" s="7"/>
      <c r="E418" s="7"/>
      <c r="F418" s="7"/>
      <c r="G418" s="7"/>
      <c r="H418" s="7"/>
      <c r="I418" s="7"/>
      <c r="J418" s="67"/>
      <c r="K418" s="67"/>
      <c r="L418" s="64"/>
      <c r="M418" s="7"/>
      <c r="N418" s="7"/>
      <c r="O418" s="7"/>
      <c r="P418" s="7"/>
      <c r="Q418" s="7"/>
      <c r="R418" s="7"/>
    </row>
    <row r="419" spans="2:18" ht="19.5" customHeight="1">
      <c r="B419" s="7"/>
      <c r="C419" s="7"/>
      <c r="D419" s="7"/>
      <c r="E419" s="7"/>
      <c r="F419" s="7"/>
      <c r="G419" s="7"/>
      <c r="H419" s="7"/>
      <c r="I419" s="7"/>
      <c r="J419" s="67"/>
      <c r="K419" s="67"/>
      <c r="L419" s="64"/>
      <c r="M419" s="7"/>
      <c r="N419" s="7"/>
      <c r="O419" s="7"/>
      <c r="P419" s="7"/>
      <c r="Q419" s="7"/>
      <c r="R419" s="7"/>
    </row>
    <row r="420" spans="2:18" ht="19.5" customHeight="1">
      <c r="B420" s="7"/>
      <c r="C420" s="7"/>
      <c r="D420" s="7"/>
      <c r="E420" s="7"/>
      <c r="F420" s="7"/>
      <c r="G420" s="7"/>
      <c r="H420" s="7"/>
      <c r="I420" s="7"/>
      <c r="J420" s="67"/>
      <c r="K420" s="67"/>
      <c r="L420" s="64"/>
      <c r="M420" s="7"/>
      <c r="N420" s="7"/>
      <c r="O420" s="7"/>
      <c r="P420" s="7"/>
      <c r="Q420" s="7"/>
      <c r="R420" s="7"/>
    </row>
    <row r="421" spans="2:18" ht="19.5" customHeight="1">
      <c r="B421" s="7"/>
      <c r="C421" s="7"/>
      <c r="D421" s="7"/>
      <c r="E421" s="7"/>
      <c r="F421" s="7"/>
      <c r="G421" s="7"/>
      <c r="H421" s="7"/>
      <c r="I421" s="7"/>
      <c r="J421" s="67"/>
      <c r="K421" s="67"/>
      <c r="L421" s="64"/>
      <c r="M421" s="7"/>
      <c r="N421" s="7"/>
      <c r="O421" s="7"/>
      <c r="P421" s="7"/>
      <c r="Q421" s="7"/>
      <c r="R421" s="7"/>
    </row>
    <row r="422" spans="2:18" ht="19.5" customHeight="1">
      <c r="B422" s="7"/>
      <c r="C422" s="7"/>
      <c r="D422" s="7"/>
      <c r="E422" s="7"/>
      <c r="F422" s="7"/>
      <c r="G422" s="7"/>
      <c r="H422" s="7"/>
      <c r="I422" s="7"/>
      <c r="J422" s="67"/>
      <c r="K422" s="67"/>
      <c r="L422" s="64"/>
      <c r="M422" s="7"/>
      <c r="N422" s="7"/>
      <c r="O422" s="7"/>
      <c r="P422" s="7"/>
      <c r="Q422" s="7"/>
      <c r="R422" s="7"/>
    </row>
    <row r="423" spans="2:18" ht="19.5" customHeight="1">
      <c r="B423" s="7"/>
      <c r="C423" s="7"/>
      <c r="D423" s="7"/>
      <c r="E423" s="7"/>
      <c r="F423" s="7"/>
      <c r="G423" s="7"/>
      <c r="H423" s="7"/>
      <c r="I423" s="7"/>
      <c r="J423" s="67"/>
      <c r="K423" s="67"/>
      <c r="L423" s="64"/>
      <c r="M423" s="7"/>
      <c r="N423" s="7"/>
      <c r="O423" s="7"/>
      <c r="P423" s="7"/>
      <c r="Q423" s="7"/>
      <c r="R423" s="7"/>
    </row>
    <row r="424" spans="2:18" ht="19.5" customHeight="1">
      <c r="B424" s="7"/>
      <c r="C424" s="7"/>
      <c r="D424" s="7"/>
      <c r="E424" s="7"/>
      <c r="F424" s="7"/>
      <c r="G424" s="7"/>
      <c r="H424" s="7"/>
      <c r="I424" s="7"/>
      <c r="J424" s="67"/>
      <c r="K424" s="67"/>
      <c r="L424" s="64"/>
      <c r="M424" s="7"/>
      <c r="N424" s="7"/>
      <c r="O424" s="7"/>
      <c r="P424" s="7"/>
      <c r="Q424" s="7"/>
      <c r="R424" s="7"/>
    </row>
    <row r="425" spans="2:18" ht="19.5" customHeight="1">
      <c r="B425" s="7"/>
      <c r="C425" s="7"/>
      <c r="D425" s="7"/>
      <c r="E425" s="7"/>
      <c r="F425" s="7"/>
      <c r="G425" s="7"/>
      <c r="H425" s="7"/>
      <c r="I425" s="7"/>
      <c r="J425" s="67"/>
      <c r="K425" s="67"/>
      <c r="L425" s="64"/>
      <c r="M425" s="7"/>
      <c r="N425" s="7"/>
      <c r="O425" s="7"/>
      <c r="P425" s="7"/>
      <c r="Q425" s="7"/>
      <c r="R425" s="7"/>
    </row>
    <row r="426" spans="2:18" ht="19.5" customHeight="1">
      <c r="B426" s="7"/>
      <c r="C426" s="7"/>
      <c r="D426" s="7"/>
      <c r="E426" s="7"/>
      <c r="F426" s="7"/>
      <c r="G426" s="7"/>
      <c r="H426" s="7"/>
      <c r="I426" s="7"/>
      <c r="J426" s="67"/>
      <c r="K426" s="67"/>
      <c r="L426" s="64"/>
      <c r="M426" s="7"/>
      <c r="N426" s="7"/>
      <c r="O426" s="7"/>
      <c r="P426" s="7"/>
      <c r="Q426" s="7"/>
      <c r="R426" s="7"/>
    </row>
    <row r="427" spans="2:18" ht="19.5" customHeight="1">
      <c r="B427" s="7"/>
      <c r="C427" s="7"/>
      <c r="D427" s="7"/>
      <c r="E427" s="7"/>
      <c r="F427" s="7"/>
      <c r="G427" s="7"/>
      <c r="H427" s="7"/>
      <c r="I427" s="7"/>
      <c r="J427" s="67"/>
      <c r="K427" s="67"/>
      <c r="L427" s="64"/>
      <c r="M427" s="7"/>
      <c r="N427" s="7"/>
      <c r="O427" s="7"/>
      <c r="P427" s="7"/>
      <c r="Q427" s="7"/>
      <c r="R427" s="7"/>
    </row>
    <row r="428" spans="2:18" ht="19.5" customHeight="1">
      <c r="B428" s="7"/>
      <c r="C428" s="7"/>
      <c r="D428" s="7"/>
      <c r="E428" s="7"/>
      <c r="F428" s="7"/>
      <c r="G428" s="7"/>
      <c r="H428" s="7"/>
      <c r="I428" s="7"/>
      <c r="J428" s="67"/>
      <c r="K428" s="67"/>
      <c r="L428" s="64"/>
      <c r="M428" s="7"/>
      <c r="N428" s="7"/>
      <c r="O428" s="7"/>
      <c r="P428" s="7"/>
      <c r="Q428" s="7"/>
      <c r="R428" s="7"/>
    </row>
    <row r="429" spans="2:18" ht="19.5" customHeight="1">
      <c r="B429" s="7"/>
      <c r="C429" s="7"/>
      <c r="D429" s="7"/>
      <c r="E429" s="7"/>
      <c r="F429" s="7"/>
      <c r="G429" s="7"/>
      <c r="H429" s="7"/>
      <c r="I429" s="7"/>
      <c r="J429" s="67"/>
      <c r="K429" s="67"/>
      <c r="L429" s="64"/>
      <c r="M429" s="7"/>
      <c r="N429" s="7"/>
      <c r="O429" s="7"/>
      <c r="P429" s="7"/>
      <c r="Q429" s="7"/>
      <c r="R429" s="7"/>
    </row>
    <row r="430" spans="2:18" ht="19.5" customHeight="1">
      <c r="B430" s="7"/>
      <c r="C430" s="7"/>
      <c r="D430" s="7"/>
      <c r="E430" s="7"/>
      <c r="F430" s="7"/>
      <c r="G430" s="7"/>
      <c r="H430" s="7"/>
      <c r="I430" s="7"/>
      <c r="J430" s="67"/>
      <c r="K430" s="67"/>
      <c r="L430" s="64"/>
      <c r="M430" s="7"/>
      <c r="N430" s="7"/>
      <c r="O430" s="7"/>
      <c r="P430" s="7"/>
      <c r="Q430" s="7"/>
      <c r="R430" s="7"/>
    </row>
    <row r="431" spans="2:18" ht="19.5" customHeight="1">
      <c r="B431" s="7"/>
      <c r="C431" s="7"/>
      <c r="D431" s="7"/>
      <c r="E431" s="7"/>
      <c r="F431" s="7"/>
      <c r="G431" s="7"/>
      <c r="H431" s="7"/>
      <c r="I431" s="7"/>
      <c r="J431" s="67"/>
      <c r="K431" s="67"/>
      <c r="L431" s="64"/>
      <c r="M431" s="7"/>
      <c r="N431" s="7"/>
      <c r="O431" s="7"/>
      <c r="P431" s="7"/>
      <c r="Q431" s="7"/>
      <c r="R431" s="7"/>
    </row>
    <row r="432" spans="2:18" ht="19.5" customHeight="1">
      <c r="B432" s="7"/>
      <c r="C432" s="7"/>
      <c r="D432" s="7"/>
      <c r="E432" s="7"/>
      <c r="F432" s="7"/>
      <c r="G432" s="7"/>
      <c r="H432" s="7"/>
      <c r="I432" s="7"/>
      <c r="J432" s="67"/>
      <c r="K432" s="67"/>
      <c r="L432" s="64"/>
      <c r="M432" s="7"/>
      <c r="N432" s="7"/>
      <c r="O432" s="7"/>
      <c r="P432" s="7"/>
      <c r="Q432" s="7"/>
      <c r="R432" s="7"/>
    </row>
    <row r="433" spans="2:18" ht="19.5" customHeight="1">
      <c r="B433" s="7"/>
      <c r="C433" s="7"/>
      <c r="D433" s="7"/>
      <c r="E433" s="7"/>
      <c r="F433" s="7"/>
      <c r="G433" s="7"/>
      <c r="H433" s="7"/>
      <c r="I433" s="7"/>
      <c r="J433" s="67"/>
      <c r="K433" s="67"/>
      <c r="L433" s="64"/>
      <c r="M433" s="7"/>
      <c r="N433" s="7"/>
      <c r="O433" s="7"/>
      <c r="P433" s="7"/>
      <c r="Q433" s="7"/>
      <c r="R433" s="7"/>
    </row>
    <row r="434" spans="2:18" ht="19.5" customHeight="1">
      <c r="B434" s="7"/>
      <c r="C434" s="7"/>
      <c r="D434" s="7"/>
      <c r="E434" s="7"/>
      <c r="F434" s="7"/>
      <c r="G434" s="7"/>
      <c r="H434" s="7"/>
      <c r="I434" s="7"/>
      <c r="J434" s="67"/>
      <c r="K434" s="67"/>
      <c r="L434" s="64"/>
      <c r="M434" s="7"/>
      <c r="N434" s="7"/>
      <c r="O434" s="7"/>
      <c r="P434" s="7"/>
      <c r="Q434" s="7"/>
      <c r="R434" s="7"/>
    </row>
    <row r="435" spans="2:18" ht="19.5" customHeight="1">
      <c r="B435" s="7"/>
      <c r="C435" s="7"/>
      <c r="D435" s="7"/>
      <c r="E435" s="7"/>
      <c r="F435" s="7"/>
      <c r="G435" s="7"/>
      <c r="H435" s="7"/>
      <c r="I435" s="7"/>
      <c r="J435" s="67"/>
      <c r="K435" s="67"/>
      <c r="L435" s="64"/>
      <c r="M435" s="7"/>
      <c r="N435" s="7"/>
      <c r="O435" s="7"/>
      <c r="P435" s="7"/>
      <c r="Q435" s="7"/>
      <c r="R435" s="7"/>
    </row>
    <row r="436" spans="2:18" ht="19.5" customHeight="1">
      <c r="B436" s="7"/>
      <c r="C436" s="7"/>
      <c r="D436" s="7"/>
      <c r="E436" s="7"/>
      <c r="F436" s="7"/>
      <c r="G436" s="7"/>
      <c r="H436" s="7"/>
      <c r="I436" s="7"/>
      <c r="J436" s="67"/>
      <c r="K436" s="67"/>
      <c r="L436" s="64"/>
      <c r="M436" s="7"/>
      <c r="N436" s="7"/>
      <c r="O436" s="7"/>
      <c r="P436" s="7"/>
      <c r="Q436" s="7"/>
      <c r="R436" s="7"/>
    </row>
    <row r="437" spans="2:18" ht="19.5" customHeight="1">
      <c r="B437" s="7"/>
      <c r="C437" s="7"/>
      <c r="D437" s="7"/>
      <c r="E437" s="7"/>
      <c r="F437" s="7"/>
      <c r="G437" s="7"/>
      <c r="H437" s="7"/>
      <c r="I437" s="7"/>
      <c r="J437" s="67"/>
      <c r="K437" s="67"/>
      <c r="L437" s="64"/>
      <c r="M437" s="7"/>
      <c r="N437" s="7"/>
      <c r="O437" s="7"/>
      <c r="P437" s="7"/>
      <c r="Q437" s="7"/>
      <c r="R437" s="7"/>
    </row>
    <row r="438" spans="2:18" ht="19.5" customHeight="1">
      <c r="B438" s="7"/>
      <c r="C438" s="7"/>
      <c r="D438" s="7"/>
      <c r="E438" s="7"/>
      <c r="F438" s="7"/>
      <c r="G438" s="7"/>
      <c r="H438" s="7"/>
      <c r="I438" s="7"/>
      <c r="J438" s="67"/>
      <c r="K438" s="67"/>
      <c r="L438" s="64"/>
      <c r="M438" s="7"/>
      <c r="N438" s="7"/>
      <c r="O438" s="7"/>
      <c r="P438" s="7"/>
      <c r="Q438" s="7"/>
      <c r="R438" s="7"/>
    </row>
    <row r="439" spans="2:18" ht="19.5" customHeight="1">
      <c r="B439" s="7"/>
      <c r="C439" s="7"/>
      <c r="D439" s="7"/>
      <c r="E439" s="7"/>
      <c r="F439" s="7"/>
      <c r="G439" s="7"/>
      <c r="H439" s="7"/>
      <c r="I439" s="7"/>
      <c r="J439" s="67"/>
      <c r="K439" s="67"/>
      <c r="L439" s="64"/>
      <c r="M439" s="7"/>
      <c r="N439" s="7"/>
      <c r="O439" s="7"/>
      <c r="P439" s="7"/>
      <c r="Q439" s="7"/>
      <c r="R439" s="7"/>
    </row>
    <row r="440" spans="2:18" ht="19.5" customHeight="1">
      <c r="B440" s="7"/>
      <c r="C440" s="7"/>
      <c r="D440" s="7"/>
      <c r="E440" s="7"/>
      <c r="F440" s="7"/>
      <c r="G440" s="7"/>
      <c r="H440" s="7"/>
      <c r="I440" s="7"/>
      <c r="J440" s="67"/>
      <c r="K440" s="67"/>
      <c r="L440" s="64"/>
      <c r="M440" s="7"/>
      <c r="N440" s="7"/>
      <c r="O440" s="7"/>
      <c r="P440" s="7"/>
      <c r="Q440" s="7"/>
      <c r="R440" s="7"/>
    </row>
    <row r="441" spans="2:18" ht="19.5" customHeight="1">
      <c r="B441" s="7"/>
      <c r="C441" s="7"/>
      <c r="D441" s="7"/>
      <c r="E441" s="7"/>
      <c r="F441" s="7"/>
      <c r="G441" s="7"/>
      <c r="H441" s="7"/>
      <c r="I441" s="7"/>
      <c r="J441" s="67"/>
      <c r="K441" s="67"/>
      <c r="L441" s="64"/>
      <c r="M441" s="7"/>
      <c r="N441" s="7"/>
      <c r="O441" s="7"/>
      <c r="P441" s="7"/>
      <c r="Q441" s="7"/>
      <c r="R441" s="7"/>
    </row>
    <row r="442" spans="2:18" ht="19.5" customHeight="1">
      <c r="B442" s="7"/>
      <c r="C442" s="7"/>
      <c r="D442" s="7"/>
      <c r="E442" s="7"/>
      <c r="F442" s="7"/>
      <c r="G442" s="7"/>
      <c r="H442" s="7"/>
      <c r="I442" s="7"/>
      <c r="J442" s="67"/>
      <c r="K442" s="67"/>
      <c r="L442" s="64"/>
      <c r="M442" s="7"/>
      <c r="N442" s="7"/>
      <c r="O442" s="7"/>
      <c r="P442" s="7"/>
      <c r="Q442" s="7"/>
      <c r="R442" s="7"/>
    </row>
    <row r="443" spans="2:18" ht="19.5" customHeight="1">
      <c r="B443" s="7"/>
      <c r="C443" s="7"/>
      <c r="D443" s="7"/>
      <c r="E443" s="7"/>
      <c r="F443" s="7"/>
      <c r="G443" s="7"/>
      <c r="H443" s="7"/>
      <c r="I443" s="7"/>
      <c r="J443" s="67"/>
      <c r="K443" s="67"/>
      <c r="L443" s="64"/>
      <c r="M443" s="7"/>
      <c r="N443" s="7"/>
      <c r="O443" s="7"/>
      <c r="P443" s="7"/>
      <c r="Q443" s="7"/>
      <c r="R443" s="7"/>
    </row>
    <row r="444" spans="2:18" ht="19.5" customHeight="1">
      <c r="B444" s="7"/>
      <c r="C444" s="7"/>
      <c r="D444" s="7"/>
      <c r="E444" s="7"/>
      <c r="F444" s="7"/>
      <c r="G444" s="7"/>
      <c r="H444" s="7"/>
      <c r="I444" s="7"/>
      <c r="J444" s="67"/>
      <c r="K444" s="67"/>
      <c r="L444" s="64"/>
      <c r="M444" s="7"/>
      <c r="N444" s="7"/>
      <c r="O444" s="7"/>
      <c r="P444" s="7"/>
      <c r="Q444" s="7"/>
      <c r="R444" s="7"/>
    </row>
    <row r="445" spans="2:18" ht="19.5" customHeight="1">
      <c r="B445" s="7"/>
      <c r="C445" s="7"/>
      <c r="D445" s="7"/>
      <c r="E445" s="7"/>
      <c r="F445" s="7"/>
      <c r="G445" s="7"/>
      <c r="H445" s="7"/>
      <c r="I445" s="7"/>
      <c r="J445" s="67"/>
      <c r="K445" s="67"/>
      <c r="L445" s="64"/>
      <c r="M445" s="7"/>
      <c r="N445" s="7"/>
      <c r="O445" s="7"/>
      <c r="P445" s="7"/>
      <c r="Q445" s="7"/>
      <c r="R445" s="7"/>
    </row>
    <row r="446" spans="2:18" ht="19.5" customHeight="1">
      <c r="B446" s="7"/>
      <c r="C446" s="7"/>
      <c r="D446" s="7"/>
      <c r="E446" s="7"/>
      <c r="F446" s="7"/>
      <c r="G446" s="7"/>
      <c r="H446" s="7"/>
      <c r="I446" s="7"/>
      <c r="J446" s="67"/>
      <c r="K446" s="67"/>
      <c r="L446" s="64"/>
      <c r="M446" s="7"/>
      <c r="N446" s="7"/>
      <c r="O446" s="7"/>
      <c r="P446" s="7"/>
      <c r="Q446" s="7"/>
      <c r="R446" s="7"/>
    </row>
    <row r="447" spans="2:18" ht="19.5" customHeight="1">
      <c r="B447" s="7"/>
      <c r="C447" s="7"/>
      <c r="D447" s="7"/>
      <c r="E447" s="7"/>
      <c r="F447" s="7"/>
      <c r="G447" s="7"/>
      <c r="H447" s="7"/>
      <c r="I447" s="7"/>
      <c r="J447" s="67"/>
      <c r="K447" s="67"/>
      <c r="L447" s="64"/>
      <c r="M447" s="7"/>
      <c r="N447" s="7"/>
      <c r="O447" s="7"/>
      <c r="P447" s="7"/>
      <c r="Q447" s="7"/>
      <c r="R447" s="7"/>
    </row>
    <row r="448" spans="2:18" ht="19.5" customHeight="1">
      <c r="B448" s="7"/>
      <c r="C448" s="7"/>
      <c r="D448" s="7"/>
      <c r="E448" s="7"/>
      <c r="F448" s="7"/>
      <c r="G448" s="7"/>
      <c r="H448" s="7"/>
      <c r="I448" s="7"/>
      <c r="J448" s="67"/>
      <c r="K448" s="67"/>
      <c r="L448" s="64"/>
      <c r="M448" s="7"/>
      <c r="N448" s="7"/>
      <c r="O448" s="7"/>
      <c r="P448" s="7"/>
      <c r="Q448" s="7"/>
      <c r="R448" s="7"/>
    </row>
    <row r="449" spans="2:18" ht="19.5" customHeight="1">
      <c r="B449" s="7"/>
      <c r="C449" s="7"/>
      <c r="D449" s="7"/>
      <c r="E449" s="7"/>
      <c r="F449" s="7"/>
      <c r="G449" s="7"/>
      <c r="H449" s="7"/>
      <c r="I449" s="7"/>
      <c r="J449" s="67"/>
      <c r="K449" s="67"/>
      <c r="L449" s="64"/>
      <c r="M449" s="7"/>
      <c r="N449" s="7"/>
      <c r="O449" s="7"/>
      <c r="P449" s="7"/>
      <c r="Q449" s="7"/>
      <c r="R449" s="7"/>
    </row>
    <row r="450" spans="2:18" ht="19.5" customHeight="1">
      <c r="B450" s="7"/>
      <c r="C450" s="7"/>
      <c r="D450" s="7"/>
      <c r="E450" s="7"/>
      <c r="F450" s="7"/>
      <c r="G450" s="7"/>
      <c r="H450" s="7"/>
      <c r="I450" s="7"/>
      <c r="J450" s="67"/>
      <c r="K450" s="67"/>
      <c r="L450" s="64"/>
      <c r="M450" s="7"/>
      <c r="N450" s="7"/>
      <c r="O450" s="7"/>
      <c r="P450" s="7"/>
      <c r="Q450" s="7"/>
      <c r="R450" s="7"/>
    </row>
    <row r="451" spans="2:18" ht="19.5" customHeight="1">
      <c r="B451" s="7"/>
      <c r="C451" s="7"/>
      <c r="D451" s="7"/>
      <c r="E451" s="7"/>
      <c r="F451" s="7"/>
      <c r="G451" s="7"/>
      <c r="H451" s="7"/>
      <c r="I451" s="7"/>
      <c r="J451" s="67"/>
      <c r="K451" s="67"/>
      <c r="L451" s="64"/>
      <c r="M451" s="7"/>
      <c r="N451" s="7"/>
      <c r="O451" s="7"/>
      <c r="P451" s="7"/>
      <c r="Q451" s="7"/>
      <c r="R451" s="7"/>
    </row>
    <row r="452" spans="2:18" ht="19.5" customHeight="1">
      <c r="B452" s="7"/>
      <c r="C452" s="7"/>
      <c r="D452" s="7"/>
      <c r="E452" s="7"/>
      <c r="F452" s="7"/>
      <c r="G452" s="7"/>
      <c r="H452" s="7"/>
      <c r="I452" s="7"/>
      <c r="J452" s="67"/>
      <c r="K452" s="67"/>
      <c r="L452" s="64"/>
      <c r="M452" s="7"/>
      <c r="N452" s="7"/>
      <c r="O452" s="7"/>
      <c r="P452" s="7"/>
      <c r="Q452" s="7"/>
      <c r="R452" s="7"/>
    </row>
    <row r="453" spans="2:18" ht="19.5" customHeight="1">
      <c r="B453" s="7"/>
      <c r="C453" s="7"/>
      <c r="D453" s="7"/>
      <c r="E453" s="7"/>
      <c r="F453" s="7"/>
      <c r="G453" s="7"/>
      <c r="H453" s="7"/>
      <c r="I453" s="7"/>
      <c r="J453" s="67"/>
      <c r="K453" s="67"/>
      <c r="L453" s="64"/>
      <c r="M453" s="7"/>
      <c r="N453" s="7"/>
      <c r="O453" s="7"/>
      <c r="P453" s="7"/>
      <c r="Q453" s="7"/>
      <c r="R453" s="7"/>
    </row>
    <row r="454" spans="2:18" ht="19.5" customHeight="1">
      <c r="B454" s="7"/>
      <c r="C454" s="7"/>
      <c r="D454" s="7"/>
      <c r="E454" s="7"/>
      <c r="F454" s="7"/>
      <c r="G454" s="7"/>
      <c r="H454" s="7"/>
      <c r="I454" s="7"/>
      <c r="J454" s="67"/>
      <c r="K454" s="67"/>
      <c r="L454" s="64"/>
      <c r="M454" s="7"/>
      <c r="N454" s="7"/>
      <c r="O454" s="7"/>
      <c r="P454" s="7"/>
      <c r="Q454" s="7"/>
      <c r="R454" s="7"/>
    </row>
    <row r="455" spans="2:18" ht="19.5" customHeight="1">
      <c r="B455" s="7"/>
      <c r="C455" s="7"/>
      <c r="D455" s="7"/>
      <c r="E455" s="7"/>
      <c r="F455" s="7"/>
      <c r="G455" s="7"/>
      <c r="H455" s="7"/>
      <c r="I455" s="7"/>
      <c r="J455" s="67"/>
      <c r="K455" s="67"/>
      <c r="L455" s="64"/>
      <c r="M455" s="7"/>
      <c r="N455" s="7"/>
      <c r="O455" s="7"/>
      <c r="P455" s="7"/>
      <c r="Q455" s="7"/>
      <c r="R455" s="7"/>
    </row>
    <row r="456" spans="2:18" ht="19.5" customHeight="1">
      <c r="B456" s="7"/>
      <c r="C456" s="7"/>
      <c r="D456" s="7"/>
      <c r="E456" s="7"/>
      <c r="F456" s="7"/>
      <c r="G456" s="7"/>
      <c r="H456" s="7"/>
      <c r="I456" s="7"/>
      <c r="J456" s="67"/>
      <c r="K456" s="67"/>
      <c r="L456" s="64"/>
      <c r="M456" s="7"/>
      <c r="N456" s="7"/>
      <c r="O456" s="7"/>
      <c r="P456" s="7"/>
      <c r="Q456" s="7"/>
      <c r="R456" s="7"/>
    </row>
    <row r="457" spans="2:18" ht="19.5" customHeight="1">
      <c r="B457" s="7"/>
      <c r="C457" s="7"/>
      <c r="D457" s="7"/>
      <c r="E457" s="7"/>
      <c r="F457" s="7"/>
      <c r="G457" s="7"/>
      <c r="H457" s="7"/>
      <c r="I457" s="7"/>
      <c r="J457" s="67"/>
      <c r="K457" s="67"/>
      <c r="L457" s="64"/>
      <c r="M457" s="7"/>
      <c r="N457" s="7"/>
      <c r="O457" s="7"/>
      <c r="P457" s="7"/>
      <c r="Q457" s="7"/>
      <c r="R457" s="7"/>
    </row>
    <row r="458" spans="2:18" ht="19.5" customHeight="1">
      <c r="B458" s="7"/>
      <c r="C458" s="7"/>
      <c r="D458" s="7"/>
      <c r="E458" s="7"/>
      <c r="F458" s="7"/>
      <c r="G458" s="7"/>
      <c r="H458" s="7"/>
      <c r="I458" s="7"/>
      <c r="J458" s="67"/>
      <c r="K458" s="67"/>
      <c r="L458" s="64"/>
      <c r="M458" s="7"/>
      <c r="N458" s="7"/>
      <c r="O458" s="7"/>
      <c r="P458" s="7"/>
      <c r="Q458" s="7"/>
      <c r="R458" s="7"/>
    </row>
    <row r="459" spans="2:18" ht="19.5" customHeight="1">
      <c r="B459" s="7"/>
      <c r="C459" s="7"/>
      <c r="D459" s="7"/>
      <c r="E459" s="7"/>
      <c r="F459" s="7"/>
      <c r="G459" s="7"/>
      <c r="H459" s="7"/>
      <c r="I459" s="7"/>
      <c r="J459" s="67"/>
      <c r="K459" s="67"/>
      <c r="L459" s="64"/>
      <c r="M459" s="7"/>
      <c r="N459" s="7"/>
      <c r="O459" s="7"/>
      <c r="P459" s="7"/>
      <c r="Q459" s="7"/>
      <c r="R459" s="7"/>
    </row>
    <row r="460" spans="2:18" ht="19.5" customHeight="1">
      <c r="B460" s="7"/>
      <c r="C460" s="7"/>
      <c r="D460" s="7"/>
      <c r="E460" s="7"/>
      <c r="F460" s="7"/>
      <c r="G460" s="7"/>
      <c r="H460" s="7"/>
      <c r="I460" s="7"/>
      <c r="J460" s="67"/>
      <c r="K460" s="67"/>
      <c r="L460" s="64"/>
      <c r="M460" s="7"/>
      <c r="N460" s="7"/>
      <c r="O460" s="7"/>
      <c r="P460" s="7"/>
      <c r="Q460" s="7"/>
      <c r="R460" s="7"/>
    </row>
    <row r="461" spans="2:18" ht="19.5" customHeight="1">
      <c r="B461" s="7"/>
      <c r="C461" s="7"/>
      <c r="D461" s="7"/>
      <c r="E461" s="7"/>
      <c r="F461" s="7"/>
      <c r="G461" s="7"/>
      <c r="H461" s="7"/>
      <c r="I461" s="7"/>
      <c r="J461" s="67"/>
      <c r="K461" s="67"/>
      <c r="L461" s="64"/>
      <c r="M461" s="7"/>
      <c r="N461" s="7"/>
      <c r="O461" s="7"/>
      <c r="P461" s="7"/>
      <c r="Q461" s="7"/>
      <c r="R461" s="7"/>
    </row>
    <row r="462" spans="2:18" ht="19.5" customHeight="1">
      <c r="B462" s="7"/>
      <c r="C462" s="7"/>
      <c r="D462" s="7"/>
      <c r="E462" s="7"/>
      <c r="F462" s="7"/>
      <c r="G462" s="7"/>
      <c r="H462" s="7"/>
      <c r="I462" s="7"/>
      <c r="J462" s="67"/>
      <c r="K462" s="67"/>
      <c r="L462" s="64"/>
      <c r="M462" s="7"/>
      <c r="N462" s="7"/>
      <c r="O462" s="7"/>
      <c r="P462" s="7"/>
      <c r="Q462" s="7"/>
      <c r="R462" s="7"/>
    </row>
    <row r="463" spans="2:18" ht="19.5" customHeight="1">
      <c r="B463" s="7"/>
      <c r="C463" s="7"/>
      <c r="D463" s="7"/>
      <c r="E463" s="7"/>
      <c r="F463" s="7"/>
      <c r="G463" s="7"/>
      <c r="H463" s="7"/>
      <c r="I463" s="7"/>
      <c r="J463" s="67"/>
      <c r="K463" s="67"/>
      <c r="L463" s="64"/>
      <c r="M463" s="7"/>
      <c r="N463" s="7"/>
      <c r="O463" s="7"/>
      <c r="P463" s="7"/>
      <c r="Q463" s="7"/>
      <c r="R463" s="7"/>
    </row>
    <row r="464" spans="2:18" ht="19.5" customHeight="1">
      <c r="B464" s="7"/>
      <c r="C464" s="7"/>
      <c r="D464" s="7"/>
      <c r="E464" s="7"/>
      <c r="F464" s="7"/>
      <c r="G464" s="7"/>
      <c r="H464" s="7"/>
      <c r="I464" s="7"/>
      <c r="J464" s="67"/>
      <c r="K464" s="67"/>
      <c r="L464" s="64"/>
      <c r="M464" s="7"/>
      <c r="N464" s="7"/>
      <c r="O464" s="7"/>
      <c r="P464" s="7"/>
      <c r="Q464" s="7"/>
      <c r="R464" s="7"/>
    </row>
    <row r="465" spans="2:18" ht="19.5" customHeight="1">
      <c r="B465" s="7"/>
      <c r="C465" s="7"/>
      <c r="D465" s="7"/>
      <c r="E465" s="7"/>
      <c r="F465" s="7"/>
      <c r="G465" s="7"/>
      <c r="H465" s="7"/>
      <c r="I465" s="7"/>
      <c r="J465" s="67"/>
      <c r="K465" s="67"/>
      <c r="L465" s="64"/>
      <c r="M465" s="7"/>
      <c r="N465" s="7"/>
      <c r="O465" s="7"/>
      <c r="P465" s="7"/>
      <c r="Q465" s="7"/>
      <c r="R465" s="7"/>
    </row>
    <row r="466" spans="2:18" ht="19.5" customHeight="1">
      <c r="B466" s="7"/>
      <c r="C466" s="7"/>
      <c r="D466" s="7"/>
      <c r="E466" s="7"/>
      <c r="F466" s="7"/>
      <c r="G466" s="7"/>
      <c r="H466" s="7"/>
      <c r="I466" s="7"/>
      <c r="J466" s="67"/>
      <c r="K466" s="67"/>
      <c r="L466" s="64"/>
      <c r="M466" s="7"/>
      <c r="N466" s="7"/>
      <c r="O466" s="7"/>
      <c r="P466" s="7"/>
      <c r="Q466" s="7"/>
      <c r="R466" s="7"/>
    </row>
    <row r="467" spans="2:18" ht="19.5" customHeight="1">
      <c r="B467" s="7"/>
      <c r="C467" s="7"/>
      <c r="D467" s="7"/>
      <c r="E467" s="7"/>
      <c r="F467" s="7"/>
      <c r="G467" s="7"/>
      <c r="H467" s="7"/>
      <c r="I467" s="7"/>
      <c r="J467" s="67"/>
      <c r="K467" s="67"/>
      <c r="L467" s="64"/>
      <c r="M467" s="7"/>
      <c r="N467" s="7"/>
      <c r="O467" s="7"/>
      <c r="P467" s="7"/>
      <c r="Q467" s="7"/>
      <c r="R467" s="7"/>
    </row>
    <row r="468" spans="2:18" ht="19.5" customHeight="1">
      <c r="B468" s="7"/>
      <c r="C468" s="7"/>
      <c r="D468" s="7"/>
      <c r="E468" s="7"/>
      <c r="F468" s="7"/>
      <c r="G468" s="7"/>
      <c r="H468" s="7"/>
      <c r="I468" s="7"/>
      <c r="J468" s="67"/>
      <c r="K468" s="67"/>
      <c r="L468" s="64"/>
      <c r="M468" s="7"/>
      <c r="N468" s="7"/>
      <c r="O468" s="7"/>
      <c r="P468" s="7"/>
      <c r="Q468" s="7"/>
      <c r="R468" s="7"/>
    </row>
    <row r="469" spans="2:18" ht="19.5" customHeight="1">
      <c r="B469" s="7"/>
      <c r="C469" s="7"/>
      <c r="D469" s="7"/>
      <c r="E469" s="7"/>
      <c r="F469" s="7"/>
      <c r="G469" s="7"/>
      <c r="H469" s="7"/>
      <c r="I469" s="7"/>
      <c r="J469" s="67"/>
      <c r="K469" s="67"/>
      <c r="L469" s="64"/>
      <c r="M469" s="7"/>
      <c r="N469" s="7"/>
      <c r="O469" s="7"/>
      <c r="P469" s="7"/>
      <c r="Q469" s="7"/>
      <c r="R469" s="7"/>
    </row>
    <row r="470" spans="2:18" ht="19.5" customHeight="1">
      <c r="B470" s="7"/>
      <c r="C470" s="7"/>
      <c r="D470" s="7"/>
      <c r="E470" s="7"/>
      <c r="F470" s="7"/>
      <c r="G470" s="7"/>
      <c r="H470" s="7"/>
      <c r="I470" s="7"/>
      <c r="J470" s="67"/>
      <c r="K470" s="67"/>
      <c r="L470" s="64"/>
      <c r="M470" s="7"/>
      <c r="N470" s="7"/>
      <c r="O470" s="7"/>
      <c r="P470" s="7"/>
      <c r="Q470" s="7"/>
      <c r="R470" s="7"/>
    </row>
    <row r="471" spans="2:18" ht="19.5" customHeight="1">
      <c r="B471" s="7"/>
      <c r="C471" s="7"/>
      <c r="D471" s="7"/>
      <c r="E471" s="7"/>
      <c r="F471" s="7"/>
      <c r="G471" s="7"/>
      <c r="H471" s="7"/>
      <c r="I471" s="7"/>
      <c r="J471" s="67"/>
      <c r="K471" s="67"/>
      <c r="L471" s="64"/>
      <c r="M471" s="7"/>
      <c r="N471" s="7"/>
      <c r="O471" s="7"/>
      <c r="P471" s="7"/>
      <c r="Q471" s="7"/>
      <c r="R471" s="7"/>
    </row>
    <row r="472" spans="2:18" ht="19.5" customHeight="1">
      <c r="B472" s="7"/>
      <c r="C472" s="7"/>
      <c r="D472" s="7"/>
      <c r="E472" s="7"/>
      <c r="F472" s="7"/>
      <c r="G472" s="7"/>
      <c r="H472" s="7"/>
      <c r="I472" s="7"/>
      <c r="J472" s="67"/>
      <c r="K472" s="67"/>
      <c r="L472" s="64"/>
      <c r="M472" s="7"/>
      <c r="N472" s="7"/>
      <c r="O472" s="7"/>
      <c r="P472" s="7"/>
      <c r="Q472" s="7"/>
      <c r="R472" s="7"/>
    </row>
    <row r="473" spans="2:18" ht="19.5" customHeight="1">
      <c r="B473" s="7"/>
      <c r="C473" s="7"/>
      <c r="D473" s="7"/>
      <c r="E473" s="7"/>
      <c r="F473" s="7"/>
      <c r="G473" s="7"/>
      <c r="H473" s="7"/>
      <c r="I473" s="7"/>
      <c r="J473" s="67"/>
      <c r="K473" s="67"/>
      <c r="L473" s="64"/>
      <c r="M473" s="7"/>
      <c r="N473" s="7"/>
      <c r="O473" s="7"/>
      <c r="P473" s="7"/>
      <c r="Q473" s="7"/>
      <c r="R473" s="7"/>
    </row>
    <row r="474" spans="2:18" ht="19.5" customHeight="1">
      <c r="B474" s="7"/>
      <c r="C474" s="7"/>
      <c r="D474" s="7"/>
      <c r="E474" s="7"/>
      <c r="F474" s="7"/>
      <c r="G474" s="7"/>
      <c r="H474" s="7"/>
      <c r="I474" s="7"/>
      <c r="J474" s="67"/>
      <c r="K474" s="67"/>
      <c r="L474" s="64"/>
      <c r="M474" s="7"/>
      <c r="N474" s="7"/>
      <c r="O474" s="7"/>
      <c r="P474" s="7"/>
      <c r="Q474" s="7"/>
      <c r="R474" s="7"/>
    </row>
    <row r="475" spans="2:18" ht="19.5" customHeight="1">
      <c r="B475" s="7"/>
      <c r="C475" s="7"/>
      <c r="D475" s="7"/>
      <c r="E475" s="7"/>
      <c r="F475" s="7"/>
      <c r="G475" s="7"/>
      <c r="H475" s="7"/>
      <c r="I475" s="7"/>
      <c r="J475" s="67"/>
      <c r="K475" s="67"/>
      <c r="L475" s="64"/>
      <c r="M475" s="7"/>
      <c r="N475" s="7"/>
      <c r="O475" s="7"/>
      <c r="P475" s="7"/>
      <c r="Q475" s="7"/>
      <c r="R475" s="7"/>
    </row>
    <row r="476" spans="2:18" ht="19.5" customHeight="1">
      <c r="B476" s="7"/>
      <c r="C476" s="7"/>
      <c r="D476" s="7"/>
      <c r="E476" s="7"/>
      <c r="F476" s="7"/>
      <c r="G476" s="7"/>
      <c r="H476" s="7"/>
      <c r="I476" s="7"/>
      <c r="J476" s="67"/>
      <c r="K476" s="67"/>
      <c r="L476" s="64"/>
      <c r="M476" s="7"/>
      <c r="N476" s="7"/>
      <c r="O476" s="7"/>
      <c r="P476" s="7"/>
      <c r="Q476" s="7"/>
      <c r="R476" s="7"/>
    </row>
    <row r="477" spans="2:18" ht="19.5" customHeight="1">
      <c r="B477" s="7"/>
      <c r="C477" s="7"/>
      <c r="D477" s="7"/>
      <c r="E477" s="7"/>
      <c r="F477" s="7"/>
      <c r="G477" s="7"/>
      <c r="H477" s="7"/>
      <c r="I477" s="7"/>
      <c r="J477" s="67"/>
      <c r="K477" s="67"/>
      <c r="L477" s="64"/>
      <c r="M477" s="7"/>
      <c r="N477" s="7"/>
      <c r="O477" s="7"/>
      <c r="P477" s="7"/>
      <c r="Q477" s="7"/>
      <c r="R477" s="7"/>
    </row>
    <row r="478" spans="2:18" ht="19.5" customHeight="1">
      <c r="B478" s="7"/>
      <c r="C478" s="7"/>
      <c r="D478" s="7"/>
      <c r="E478" s="7"/>
      <c r="F478" s="7"/>
      <c r="G478" s="7"/>
      <c r="H478" s="7"/>
      <c r="I478" s="7"/>
      <c r="J478" s="67"/>
      <c r="K478" s="67"/>
      <c r="L478" s="64"/>
      <c r="M478" s="7"/>
      <c r="N478" s="7"/>
      <c r="O478" s="7"/>
      <c r="P478" s="7"/>
      <c r="Q478" s="7"/>
      <c r="R478" s="7"/>
    </row>
    <row r="479" spans="2:18" ht="19.5" customHeight="1">
      <c r="B479" s="7"/>
      <c r="C479" s="7"/>
      <c r="D479" s="7"/>
      <c r="E479" s="7"/>
      <c r="F479" s="7"/>
      <c r="G479" s="7"/>
      <c r="H479" s="7"/>
      <c r="I479" s="7"/>
      <c r="J479" s="67"/>
      <c r="K479" s="67"/>
      <c r="L479" s="64"/>
      <c r="M479" s="7"/>
      <c r="N479" s="7"/>
      <c r="O479" s="7"/>
      <c r="P479" s="7"/>
      <c r="Q479" s="7"/>
      <c r="R479" s="7"/>
    </row>
    <row r="480" spans="2:18" ht="19.5" customHeight="1">
      <c r="B480" s="7"/>
      <c r="C480" s="7"/>
      <c r="D480" s="7"/>
      <c r="E480" s="7"/>
      <c r="F480" s="7"/>
      <c r="G480" s="7"/>
      <c r="H480" s="7"/>
      <c r="I480" s="7"/>
      <c r="J480" s="67"/>
      <c r="K480" s="67"/>
      <c r="L480" s="64"/>
      <c r="M480" s="7"/>
      <c r="N480" s="7"/>
      <c r="O480" s="7"/>
      <c r="P480" s="7"/>
      <c r="Q480" s="7"/>
      <c r="R480" s="7"/>
    </row>
    <row r="481" spans="2:18" ht="19.5" customHeight="1">
      <c r="B481" s="7"/>
      <c r="C481" s="7"/>
      <c r="D481" s="7"/>
      <c r="E481" s="7"/>
      <c r="F481" s="7"/>
      <c r="G481" s="7"/>
      <c r="H481" s="7"/>
      <c r="I481" s="7"/>
      <c r="J481" s="67"/>
      <c r="K481" s="67"/>
      <c r="L481" s="64"/>
      <c r="M481" s="7"/>
      <c r="N481" s="7"/>
      <c r="O481" s="7"/>
      <c r="P481" s="7"/>
      <c r="Q481" s="7"/>
      <c r="R481" s="7"/>
    </row>
    <row r="482" spans="2:18" ht="19.5" customHeight="1">
      <c r="B482" s="7"/>
      <c r="C482" s="7"/>
      <c r="D482" s="7"/>
      <c r="E482" s="7"/>
      <c r="F482" s="7"/>
      <c r="G482" s="7"/>
      <c r="H482" s="7"/>
      <c r="I482" s="7"/>
      <c r="J482" s="67"/>
      <c r="K482" s="67"/>
      <c r="L482" s="64"/>
      <c r="M482" s="7"/>
      <c r="N482" s="7"/>
      <c r="O482" s="7"/>
      <c r="P482" s="7"/>
      <c r="Q482" s="7"/>
      <c r="R482" s="7"/>
    </row>
    <row r="483" spans="2:18" ht="19.5" customHeight="1">
      <c r="B483" s="7"/>
      <c r="C483" s="7"/>
      <c r="D483" s="7"/>
      <c r="E483" s="7"/>
      <c r="F483" s="7"/>
      <c r="G483" s="7"/>
      <c r="H483" s="7"/>
      <c r="I483" s="7"/>
      <c r="J483" s="67"/>
      <c r="K483" s="67"/>
      <c r="L483" s="64"/>
      <c r="M483" s="7"/>
      <c r="N483" s="7"/>
      <c r="O483" s="7"/>
      <c r="P483" s="7"/>
      <c r="Q483" s="7"/>
      <c r="R483" s="7"/>
    </row>
    <row r="484" spans="2:18" ht="19.5" customHeight="1">
      <c r="B484" s="7"/>
      <c r="C484" s="7"/>
      <c r="D484" s="7"/>
      <c r="E484" s="7"/>
      <c r="F484" s="7"/>
      <c r="G484" s="7"/>
      <c r="H484" s="7"/>
      <c r="I484" s="7"/>
      <c r="J484" s="67"/>
      <c r="K484" s="67"/>
      <c r="L484" s="64"/>
      <c r="M484" s="7"/>
      <c r="N484" s="7"/>
      <c r="O484" s="7"/>
      <c r="P484" s="7"/>
      <c r="Q484" s="7"/>
      <c r="R484" s="7"/>
    </row>
    <row r="485" spans="2:18" ht="19.5" customHeight="1">
      <c r="B485" s="7"/>
      <c r="C485" s="7"/>
      <c r="D485" s="7"/>
      <c r="E485" s="7"/>
      <c r="F485" s="7"/>
      <c r="G485" s="7"/>
      <c r="H485" s="7"/>
      <c r="I485" s="7"/>
      <c r="J485" s="67"/>
      <c r="K485" s="67"/>
      <c r="L485" s="64"/>
      <c r="M485" s="7"/>
      <c r="N485" s="7"/>
      <c r="O485" s="7"/>
      <c r="P485" s="7"/>
      <c r="Q485" s="7"/>
      <c r="R485" s="7"/>
    </row>
    <row r="486" spans="2:18" ht="19.5" customHeight="1">
      <c r="B486" s="7"/>
      <c r="C486" s="7"/>
      <c r="D486" s="7"/>
      <c r="E486" s="7"/>
      <c r="F486" s="7"/>
      <c r="G486" s="7"/>
      <c r="H486" s="7"/>
      <c r="I486" s="7"/>
      <c r="J486" s="67"/>
      <c r="K486" s="67"/>
      <c r="L486" s="64"/>
      <c r="M486" s="7"/>
      <c r="N486" s="7"/>
      <c r="O486" s="7"/>
      <c r="P486" s="7"/>
      <c r="Q486" s="7"/>
      <c r="R486" s="7"/>
    </row>
    <row r="487" spans="2:18" ht="19.5" customHeight="1">
      <c r="B487" s="7"/>
      <c r="C487" s="7"/>
      <c r="D487" s="7"/>
      <c r="E487" s="7"/>
      <c r="F487" s="7"/>
      <c r="G487" s="7"/>
      <c r="H487" s="7"/>
      <c r="I487" s="7"/>
      <c r="J487" s="67"/>
      <c r="K487" s="67"/>
      <c r="L487" s="64"/>
      <c r="M487" s="7"/>
      <c r="N487" s="7"/>
      <c r="O487" s="7"/>
      <c r="P487" s="7"/>
      <c r="Q487" s="7"/>
      <c r="R487" s="7"/>
    </row>
    <row r="488" spans="2:18" ht="19.5" customHeight="1">
      <c r="B488" s="7"/>
      <c r="C488" s="7"/>
      <c r="D488" s="7"/>
      <c r="E488" s="7"/>
      <c r="F488" s="7"/>
      <c r="G488" s="7"/>
      <c r="H488" s="7"/>
      <c r="I488" s="7"/>
      <c r="J488" s="67"/>
      <c r="K488" s="67"/>
      <c r="L488" s="64"/>
      <c r="M488" s="7"/>
      <c r="N488" s="7"/>
      <c r="O488" s="7"/>
      <c r="P488" s="7"/>
      <c r="Q488" s="7"/>
      <c r="R488" s="7"/>
    </row>
    <row r="489" spans="2:18" ht="19.5" customHeight="1">
      <c r="B489" s="7"/>
      <c r="C489" s="7"/>
      <c r="D489" s="7"/>
      <c r="E489" s="7"/>
      <c r="F489" s="7"/>
      <c r="G489" s="7"/>
      <c r="H489" s="7"/>
      <c r="I489" s="7"/>
      <c r="J489" s="67"/>
      <c r="K489" s="67"/>
      <c r="L489" s="64"/>
      <c r="M489" s="7"/>
      <c r="N489" s="7"/>
      <c r="O489" s="7"/>
      <c r="P489" s="7"/>
      <c r="Q489" s="7"/>
      <c r="R489" s="7"/>
    </row>
    <row r="490" spans="2:18" ht="19.5" customHeight="1">
      <c r="B490" s="7"/>
      <c r="C490" s="7"/>
      <c r="D490" s="7"/>
      <c r="E490" s="7"/>
      <c r="F490" s="7"/>
      <c r="G490" s="7"/>
      <c r="H490" s="7"/>
      <c r="I490" s="7"/>
      <c r="J490" s="67"/>
      <c r="K490" s="67"/>
      <c r="L490" s="64"/>
      <c r="M490" s="7"/>
      <c r="N490" s="7"/>
      <c r="O490" s="7"/>
      <c r="P490" s="7"/>
      <c r="Q490" s="7"/>
      <c r="R490" s="7"/>
    </row>
    <row r="491" spans="2:18" ht="19.5" customHeight="1">
      <c r="B491" s="7"/>
      <c r="C491" s="7"/>
      <c r="D491" s="7"/>
      <c r="E491" s="7"/>
      <c r="F491" s="7"/>
      <c r="G491" s="7"/>
      <c r="H491" s="7"/>
      <c r="I491" s="7"/>
      <c r="J491" s="67"/>
      <c r="K491" s="67"/>
      <c r="L491" s="64"/>
      <c r="M491" s="7"/>
      <c r="N491" s="7"/>
      <c r="O491" s="7"/>
      <c r="P491" s="7"/>
      <c r="Q491" s="7"/>
      <c r="R491" s="7"/>
    </row>
    <row r="492" spans="2:18" ht="19.5" customHeight="1">
      <c r="B492" s="7"/>
      <c r="C492" s="7"/>
      <c r="D492" s="7"/>
      <c r="E492" s="7"/>
      <c r="F492" s="7"/>
      <c r="G492" s="7"/>
      <c r="H492" s="7"/>
      <c r="I492" s="7"/>
      <c r="J492" s="67"/>
      <c r="K492" s="67"/>
      <c r="L492" s="64"/>
      <c r="M492" s="7"/>
      <c r="N492" s="7"/>
      <c r="O492" s="7"/>
      <c r="P492" s="7"/>
      <c r="Q492" s="7"/>
      <c r="R492" s="7"/>
    </row>
    <row r="493" spans="2:18" ht="19.5" customHeight="1">
      <c r="B493" s="7"/>
      <c r="C493" s="7"/>
      <c r="D493" s="7"/>
      <c r="E493" s="7"/>
      <c r="F493" s="7"/>
      <c r="G493" s="7"/>
      <c r="H493" s="7"/>
      <c r="I493" s="7"/>
      <c r="J493" s="67"/>
      <c r="K493" s="67"/>
      <c r="L493" s="64"/>
      <c r="M493" s="7"/>
      <c r="N493" s="7"/>
      <c r="O493" s="7"/>
      <c r="P493" s="7"/>
      <c r="Q493" s="7"/>
      <c r="R493" s="7"/>
    </row>
    <row r="494" spans="2:18" ht="19.5" customHeight="1">
      <c r="B494" s="7"/>
      <c r="C494" s="7"/>
      <c r="D494" s="7"/>
      <c r="E494" s="7"/>
      <c r="F494" s="7"/>
      <c r="G494" s="7"/>
      <c r="H494" s="7"/>
      <c r="I494" s="7"/>
      <c r="J494" s="67"/>
      <c r="K494" s="67"/>
      <c r="L494" s="64"/>
      <c r="M494" s="7"/>
      <c r="N494" s="7"/>
      <c r="O494" s="7"/>
      <c r="P494" s="7"/>
      <c r="Q494" s="7"/>
      <c r="R494" s="7"/>
    </row>
    <row r="495" spans="2:18" ht="19.5" customHeight="1">
      <c r="B495" s="7"/>
      <c r="C495" s="7"/>
      <c r="D495" s="7"/>
      <c r="E495" s="7"/>
      <c r="F495" s="7"/>
      <c r="G495" s="7"/>
      <c r="H495" s="7"/>
      <c r="I495" s="7"/>
      <c r="J495" s="67"/>
      <c r="K495" s="67"/>
      <c r="L495" s="64"/>
      <c r="M495" s="7"/>
      <c r="N495" s="7"/>
      <c r="O495" s="7"/>
      <c r="P495" s="7"/>
      <c r="Q495" s="7"/>
      <c r="R495" s="7"/>
    </row>
    <row r="496" spans="2:18" ht="19.5" customHeight="1">
      <c r="B496" s="7"/>
      <c r="C496" s="7"/>
      <c r="D496" s="7"/>
      <c r="E496" s="7"/>
      <c r="F496" s="7"/>
      <c r="G496" s="7"/>
      <c r="H496" s="7"/>
      <c r="I496" s="7"/>
      <c r="J496" s="67"/>
      <c r="K496" s="67"/>
      <c r="L496" s="64"/>
      <c r="M496" s="7"/>
      <c r="N496" s="7"/>
      <c r="O496" s="7"/>
      <c r="P496" s="7"/>
      <c r="Q496" s="7"/>
      <c r="R496" s="7"/>
    </row>
    <row r="497" spans="2:18" ht="19.5" customHeight="1">
      <c r="B497" s="7"/>
      <c r="C497" s="7"/>
      <c r="D497" s="7"/>
      <c r="E497" s="7"/>
      <c r="F497" s="7"/>
      <c r="G497" s="7"/>
      <c r="H497" s="7"/>
      <c r="I497" s="7"/>
      <c r="J497" s="67"/>
      <c r="K497" s="67"/>
      <c r="L497" s="64"/>
      <c r="M497" s="7"/>
      <c r="N497" s="7"/>
      <c r="O497" s="7"/>
      <c r="P497" s="7"/>
      <c r="Q497" s="7"/>
      <c r="R497" s="7"/>
    </row>
    <row r="498" spans="2:18" ht="19.5" customHeight="1">
      <c r="B498" s="7"/>
      <c r="C498" s="7"/>
      <c r="D498" s="7"/>
      <c r="E498" s="7"/>
      <c r="F498" s="7"/>
      <c r="G498" s="7"/>
      <c r="H498" s="7"/>
      <c r="I498" s="7"/>
      <c r="J498" s="67"/>
      <c r="K498" s="67"/>
      <c r="L498" s="64"/>
      <c r="M498" s="7"/>
      <c r="N498" s="7"/>
      <c r="O498" s="7"/>
      <c r="P498" s="7"/>
      <c r="Q498" s="7"/>
      <c r="R498" s="7"/>
    </row>
    <row r="499" spans="2:18" ht="19.5" customHeight="1">
      <c r="B499" s="7"/>
      <c r="C499" s="7"/>
      <c r="D499" s="7"/>
      <c r="E499" s="7"/>
      <c r="F499" s="7"/>
      <c r="G499" s="7"/>
      <c r="H499" s="7"/>
      <c r="I499" s="7"/>
      <c r="J499" s="67"/>
      <c r="K499" s="67"/>
      <c r="L499" s="64"/>
      <c r="M499" s="7"/>
      <c r="N499" s="7"/>
      <c r="O499" s="7"/>
      <c r="P499" s="7"/>
      <c r="Q499" s="7"/>
      <c r="R499" s="7"/>
    </row>
    <row r="500" spans="2:18" ht="19.5" customHeight="1">
      <c r="B500" s="7"/>
      <c r="C500" s="7"/>
      <c r="D500" s="7"/>
      <c r="E500" s="7"/>
      <c r="F500" s="7"/>
      <c r="G500" s="7"/>
      <c r="H500" s="7"/>
      <c r="I500" s="7"/>
      <c r="J500" s="67"/>
      <c r="K500" s="67"/>
      <c r="L500" s="64"/>
      <c r="M500" s="7"/>
      <c r="N500" s="7"/>
      <c r="O500" s="7"/>
      <c r="P500" s="7"/>
      <c r="Q500" s="7"/>
      <c r="R500" s="7"/>
    </row>
    <row r="501" spans="2:18" ht="19.5" customHeight="1">
      <c r="B501" s="7"/>
      <c r="C501" s="7"/>
      <c r="D501" s="7"/>
      <c r="E501" s="7"/>
      <c r="F501" s="7"/>
      <c r="G501" s="7"/>
      <c r="H501" s="7"/>
      <c r="I501" s="7"/>
      <c r="J501" s="67"/>
      <c r="K501" s="67"/>
      <c r="L501" s="64"/>
      <c r="M501" s="7"/>
      <c r="N501" s="7"/>
      <c r="O501" s="7"/>
      <c r="P501" s="7"/>
      <c r="Q501" s="7"/>
      <c r="R501" s="7"/>
    </row>
    <row r="502" spans="2:18" ht="19.5" customHeight="1">
      <c r="B502" s="7"/>
      <c r="C502" s="7"/>
      <c r="D502" s="7"/>
      <c r="E502" s="7"/>
      <c r="F502" s="7"/>
      <c r="G502" s="7"/>
      <c r="H502" s="7"/>
      <c r="I502" s="7"/>
      <c r="J502" s="67"/>
      <c r="K502" s="67"/>
      <c r="L502" s="64"/>
      <c r="M502" s="7"/>
      <c r="N502" s="7"/>
      <c r="O502" s="7"/>
      <c r="P502" s="7"/>
      <c r="Q502" s="7"/>
      <c r="R502" s="7"/>
    </row>
    <row r="503" spans="2:18" ht="19.5" customHeight="1">
      <c r="B503" s="7"/>
      <c r="C503" s="7"/>
      <c r="D503" s="7"/>
      <c r="E503" s="7"/>
      <c r="F503" s="7"/>
      <c r="G503" s="7"/>
      <c r="H503" s="7"/>
      <c r="I503" s="7"/>
      <c r="J503" s="67"/>
      <c r="K503" s="67"/>
      <c r="L503" s="64"/>
      <c r="M503" s="7"/>
      <c r="N503" s="7"/>
      <c r="O503" s="7"/>
      <c r="P503" s="7"/>
      <c r="Q503" s="7"/>
      <c r="R503" s="7"/>
    </row>
    <row r="504" spans="2:18" ht="19.5" customHeight="1">
      <c r="B504" s="7"/>
      <c r="C504" s="7"/>
      <c r="D504" s="7"/>
      <c r="E504" s="7"/>
      <c r="F504" s="7"/>
      <c r="G504" s="7"/>
      <c r="H504" s="7"/>
      <c r="I504" s="7"/>
      <c r="J504" s="67"/>
      <c r="K504" s="67"/>
      <c r="L504" s="64"/>
      <c r="M504" s="7"/>
      <c r="N504" s="7"/>
      <c r="O504" s="7"/>
      <c r="P504" s="7"/>
      <c r="Q504" s="7"/>
      <c r="R504" s="7"/>
    </row>
    <row r="505" spans="2:18" ht="19.5" customHeight="1">
      <c r="B505" s="7"/>
      <c r="C505" s="7"/>
      <c r="D505" s="7"/>
      <c r="E505" s="7"/>
      <c r="F505" s="7"/>
      <c r="G505" s="7"/>
      <c r="H505" s="7"/>
      <c r="I505" s="7"/>
      <c r="J505" s="67"/>
      <c r="K505" s="67"/>
      <c r="L505" s="64"/>
      <c r="M505" s="7"/>
      <c r="N505" s="7"/>
      <c r="O505" s="7"/>
      <c r="P505" s="7"/>
      <c r="Q505" s="7"/>
      <c r="R505" s="7"/>
    </row>
    <row r="506" spans="2:18" ht="19.5" customHeight="1">
      <c r="B506" s="7"/>
      <c r="C506" s="7"/>
      <c r="D506" s="7"/>
      <c r="E506" s="7"/>
      <c r="F506" s="7"/>
      <c r="G506" s="7"/>
      <c r="H506" s="7"/>
      <c r="I506" s="7"/>
      <c r="J506" s="67"/>
      <c r="K506" s="67"/>
      <c r="L506" s="64"/>
      <c r="M506" s="7"/>
      <c r="N506" s="7"/>
      <c r="O506" s="7"/>
      <c r="P506" s="7"/>
      <c r="Q506" s="7"/>
      <c r="R506" s="7"/>
    </row>
    <row r="507" spans="2:18" ht="19.5" customHeight="1">
      <c r="B507" s="7"/>
      <c r="C507" s="7"/>
      <c r="D507" s="7"/>
      <c r="E507" s="7"/>
      <c r="F507" s="7"/>
      <c r="G507" s="7"/>
      <c r="H507" s="7"/>
      <c r="I507" s="7"/>
      <c r="J507" s="67"/>
      <c r="K507" s="67"/>
      <c r="L507" s="64"/>
      <c r="M507" s="7"/>
      <c r="N507" s="7"/>
      <c r="O507" s="7"/>
      <c r="P507" s="7"/>
      <c r="Q507" s="7"/>
      <c r="R507" s="7"/>
    </row>
    <row r="508" spans="2:18" ht="19.5" customHeight="1">
      <c r="B508" s="7"/>
      <c r="C508" s="7"/>
      <c r="D508" s="7"/>
      <c r="E508" s="7"/>
      <c r="F508" s="7"/>
      <c r="G508" s="7"/>
      <c r="H508" s="7"/>
      <c r="I508" s="7"/>
      <c r="J508" s="67"/>
      <c r="K508" s="67"/>
      <c r="L508" s="64"/>
      <c r="M508" s="7"/>
      <c r="N508" s="7"/>
      <c r="O508" s="7"/>
      <c r="P508" s="7"/>
      <c r="Q508" s="7"/>
      <c r="R508" s="7"/>
    </row>
    <row r="509" spans="2:18" ht="19.5" customHeight="1">
      <c r="B509" s="7"/>
      <c r="C509" s="7"/>
      <c r="D509" s="7"/>
      <c r="E509" s="7"/>
      <c r="F509" s="7"/>
      <c r="G509" s="7"/>
      <c r="H509" s="7"/>
      <c r="I509" s="7"/>
      <c r="J509" s="67"/>
      <c r="K509" s="67"/>
      <c r="L509" s="64"/>
      <c r="M509" s="7"/>
      <c r="N509" s="7"/>
      <c r="O509" s="7"/>
      <c r="P509" s="7"/>
      <c r="Q509" s="7"/>
      <c r="R509" s="7"/>
    </row>
    <row r="510" spans="2:18" ht="19.5" customHeight="1">
      <c r="B510" s="7"/>
      <c r="C510" s="7"/>
      <c r="D510" s="7"/>
      <c r="E510" s="7"/>
      <c r="F510" s="7"/>
      <c r="G510" s="7"/>
      <c r="H510" s="7"/>
      <c r="I510" s="7"/>
      <c r="J510" s="67"/>
      <c r="K510" s="67"/>
      <c r="L510" s="64"/>
      <c r="M510" s="7"/>
      <c r="N510" s="7"/>
      <c r="O510" s="7"/>
      <c r="P510" s="7"/>
      <c r="Q510" s="7"/>
      <c r="R510" s="7"/>
    </row>
    <row r="511" spans="2:18" ht="19.5" customHeight="1">
      <c r="B511" s="7"/>
      <c r="C511" s="7"/>
      <c r="D511" s="7"/>
      <c r="E511" s="7"/>
      <c r="F511" s="7"/>
      <c r="G511" s="7"/>
      <c r="H511" s="7"/>
      <c r="I511" s="7"/>
      <c r="J511" s="67"/>
      <c r="K511" s="67"/>
      <c r="L511" s="64"/>
      <c r="M511" s="7"/>
      <c r="N511" s="7"/>
      <c r="O511" s="7"/>
      <c r="P511" s="7"/>
      <c r="Q511" s="7"/>
      <c r="R511" s="7"/>
    </row>
    <row r="512" spans="2:18" ht="19.5" customHeight="1">
      <c r="B512" s="7"/>
      <c r="C512" s="7"/>
      <c r="D512" s="7"/>
      <c r="E512" s="7"/>
      <c r="F512" s="7"/>
      <c r="G512" s="7"/>
      <c r="H512" s="7"/>
      <c r="I512" s="7"/>
      <c r="J512" s="67"/>
      <c r="K512" s="67"/>
      <c r="L512" s="64"/>
      <c r="M512" s="7"/>
      <c r="N512" s="7"/>
      <c r="O512" s="7"/>
      <c r="P512" s="7"/>
      <c r="Q512" s="7"/>
      <c r="R512" s="7"/>
    </row>
    <row r="513" spans="2:18" ht="19.5" customHeight="1">
      <c r="B513" s="7"/>
      <c r="C513" s="7"/>
      <c r="D513" s="7"/>
      <c r="E513" s="7"/>
      <c r="F513" s="7"/>
      <c r="G513" s="7"/>
      <c r="H513" s="7"/>
      <c r="I513" s="7"/>
      <c r="J513" s="67"/>
      <c r="K513" s="67"/>
      <c r="L513" s="64"/>
      <c r="M513" s="7"/>
      <c r="N513" s="7"/>
      <c r="O513" s="7"/>
      <c r="P513" s="7"/>
      <c r="Q513" s="7"/>
      <c r="R513" s="7"/>
    </row>
    <row r="514" spans="2:18" ht="19.5" customHeight="1">
      <c r="B514" s="7"/>
      <c r="C514" s="7"/>
      <c r="D514" s="7"/>
      <c r="E514" s="7"/>
      <c r="F514" s="7"/>
      <c r="G514" s="7"/>
      <c r="H514" s="7"/>
      <c r="I514" s="7"/>
      <c r="J514" s="67"/>
      <c r="K514" s="67"/>
      <c r="L514" s="64"/>
      <c r="M514" s="7"/>
      <c r="N514" s="7"/>
      <c r="O514" s="7"/>
      <c r="P514" s="7"/>
      <c r="Q514" s="7"/>
      <c r="R514" s="7"/>
    </row>
    <row r="515" spans="2:18" ht="19.5" customHeight="1">
      <c r="B515" s="7"/>
      <c r="C515" s="7"/>
      <c r="D515" s="7"/>
      <c r="E515" s="7"/>
      <c r="F515" s="7"/>
      <c r="G515" s="7"/>
      <c r="H515" s="7"/>
      <c r="I515" s="7"/>
      <c r="J515" s="67"/>
      <c r="K515" s="67"/>
      <c r="L515" s="64"/>
      <c r="M515" s="7"/>
      <c r="N515" s="7"/>
      <c r="O515" s="7"/>
      <c r="P515" s="7"/>
      <c r="Q515" s="7"/>
      <c r="R515" s="7"/>
    </row>
    <row r="516" spans="2:18" ht="19.5" customHeight="1">
      <c r="B516" s="7"/>
      <c r="C516" s="7"/>
      <c r="D516" s="7"/>
      <c r="E516" s="7"/>
      <c r="F516" s="7"/>
      <c r="G516" s="7"/>
      <c r="H516" s="7"/>
      <c r="I516" s="7"/>
      <c r="J516" s="67"/>
      <c r="K516" s="67"/>
      <c r="L516" s="64"/>
      <c r="M516" s="7"/>
      <c r="N516" s="7"/>
      <c r="O516" s="7"/>
      <c r="P516" s="7"/>
      <c r="Q516" s="7"/>
      <c r="R516" s="7"/>
    </row>
    <row r="517" spans="2:18" ht="19.5" customHeight="1">
      <c r="B517" s="7"/>
      <c r="C517" s="7"/>
      <c r="D517" s="7"/>
      <c r="E517" s="7"/>
      <c r="F517" s="7"/>
      <c r="G517" s="7"/>
      <c r="H517" s="7"/>
      <c r="I517" s="7"/>
      <c r="J517" s="67"/>
      <c r="K517" s="67"/>
      <c r="L517" s="64"/>
      <c r="M517" s="7"/>
      <c r="N517" s="7"/>
      <c r="O517" s="7"/>
      <c r="P517" s="7"/>
      <c r="Q517" s="7"/>
      <c r="R517" s="7"/>
    </row>
    <row r="518" spans="2:18" ht="19.5" customHeight="1">
      <c r="B518" s="7"/>
      <c r="C518" s="7"/>
      <c r="D518" s="7"/>
      <c r="E518" s="7"/>
      <c r="F518" s="7"/>
      <c r="G518" s="7"/>
      <c r="H518" s="7"/>
      <c r="I518" s="7"/>
      <c r="J518" s="67"/>
      <c r="K518" s="67"/>
      <c r="L518" s="64"/>
      <c r="M518" s="7"/>
      <c r="N518" s="7"/>
      <c r="O518" s="7"/>
      <c r="P518" s="7"/>
      <c r="Q518" s="7"/>
      <c r="R518" s="7"/>
    </row>
    <row r="519" spans="2:18" ht="19.5" customHeight="1">
      <c r="B519" s="7"/>
      <c r="C519" s="7"/>
      <c r="D519" s="7"/>
      <c r="E519" s="7"/>
      <c r="F519" s="7"/>
      <c r="G519" s="7"/>
      <c r="H519" s="7"/>
      <c r="I519" s="7"/>
      <c r="J519" s="67"/>
      <c r="K519" s="67"/>
      <c r="L519" s="64"/>
      <c r="M519" s="7"/>
      <c r="N519" s="7"/>
      <c r="O519" s="7"/>
      <c r="P519" s="7"/>
      <c r="Q519" s="7"/>
      <c r="R519" s="7"/>
    </row>
    <row r="520" spans="2:18" ht="19.5" customHeight="1">
      <c r="B520" s="7"/>
      <c r="C520" s="7"/>
      <c r="D520" s="7"/>
      <c r="E520" s="7"/>
      <c r="F520" s="7"/>
      <c r="G520" s="7"/>
      <c r="H520" s="7"/>
      <c r="I520" s="7"/>
      <c r="J520" s="67"/>
      <c r="K520" s="67"/>
      <c r="L520" s="64"/>
      <c r="M520" s="7"/>
      <c r="N520" s="7"/>
      <c r="O520" s="7"/>
      <c r="P520" s="7"/>
      <c r="Q520" s="7"/>
      <c r="R520" s="7"/>
    </row>
    <row r="521" spans="2:18" ht="19.5" customHeight="1">
      <c r="B521" s="7"/>
      <c r="C521" s="7"/>
      <c r="D521" s="7"/>
      <c r="E521" s="7"/>
      <c r="F521" s="7"/>
      <c r="G521" s="7"/>
      <c r="H521" s="7"/>
      <c r="I521" s="7"/>
      <c r="J521" s="67"/>
      <c r="K521" s="67"/>
      <c r="L521" s="64"/>
      <c r="M521" s="7"/>
      <c r="N521" s="7"/>
      <c r="O521" s="7"/>
      <c r="P521" s="7"/>
      <c r="Q521" s="7"/>
      <c r="R521" s="7"/>
    </row>
    <row r="522" spans="2:18" ht="19.5" customHeight="1">
      <c r="B522" s="7"/>
      <c r="C522" s="7"/>
      <c r="D522" s="7"/>
      <c r="E522" s="7"/>
      <c r="F522" s="7"/>
      <c r="G522" s="7"/>
      <c r="H522" s="7"/>
      <c r="I522" s="7"/>
      <c r="J522" s="67"/>
      <c r="K522" s="67"/>
      <c r="L522" s="64"/>
      <c r="M522" s="7"/>
      <c r="N522" s="7"/>
      <c r="O522" s="7"/>
      <c r="P522" s="7"/>
      <c r="Q522" s="7"/>
      <c r="R522" s="7"/>
    </row>
    <row r="523" spans="2:18" ht="19.5" customHeight="1">
      <c r="B523" s="7"/>
      <c r="C523" s="7"/>
      <c r="D523" s="7"/>
      <c r="E523" s="7"/>
      <c r="F523" s="7"/>
      <c r="G523" s="7"/>
      <c r="H523" s="7"/>
      <c r="I523" s="7"/>
      <c r="J523" s="67"/>
      <c r="K523" s="67"/>
      <c r="L523" s="64"/>
      <c r="M523" s="7"/>
      <c r="N523" s="7"/>
      <c r="O523" s="7"/>
      <c r="P523" s="7"/>
      <c r="Q523" s="7"/>
      <c r="R523" s="7"/>
    </row>
    <row r="524" spans="2:18" ht="19.5" customHeight="1">
      <c r="B524" s="7"/>
      <c r="C524" s="7"/>
      <c r="D524" s="7"/>
      <c r="E524" s="7"/>
      <c r="F524" s="7"/>
      <c r="G524" s="7"/>
      <c r="H524" s="7"/>
      <c r="I524" s="7"/>
      <c r="J524" s="67"/>
      <c r="K524" s="67"/>
      <c r="L524" s="64"/>
      <c r="M524" s="7"/>
      <c r="N524" s="7"/>
      <c r="O524" s="7"/>
      <c r="P524" s="7"/>
      <c r="Q524" s="7"/>
      <c r="R524" s="7"/>
    </row>
    <row r="525" spans="2:18" ht="19.5" customHeight="1">
      <c r="B525" s="7"/>
      <c r="C525" s="7"/>
      <c r="D525" s="7"/>
      <c r="E525" s="7"/>
      <c r="F525" s="7"/>
      <c r="G525" s="7"/>
      <c r="H525" s="7"/>
      <c r="I525" s="7"/>
      <c r="J525" s="67"/>
      <c r="K525" s="67"/>
      <c r="L525" s="64"/>
      <c r="M525" s="7"/>
      <c r="N525" s="7"/>
      <c r="O525" s="7"/>
      <c r="P525" s="7"/>
      <c r="Q525" s="7"/>
      <c r="R525" s="7"/>
    </row>
    <row r="526" spans="2:18" ht="19.5" customHeight="1">
      <c r="B526" s="7"/>
      <c r="C526" s="7"/>
      <c r="D526" s="7"/>
      <c r="E526" s="7"/>
      <c r="F526" s="7"/>
      <c r="G526" s="7"/>
      <c r="H526" s="7"/>
      <c r="I526" s="7"/>
      <c r="J526" s="67"/>
      <c r="K526" s="67"/>
      <c r="L526" s="64"/>
      <c r="M526" s="7"/>
      <c r="N526" s="7"/>
      <c r="O526" s="7"/>
      <c r="P526" s="7"/>
      <c r="Q526" s="7"/>
      <c r="R526" s="7"/>
    </row>
    <row r="527" spans="2:18" ht="19.5" customHeight="1">
      <c r="B527" s="7"/>
      <c r="C527" s="7"/>
      <c r="D527" s="7"/>
      <c r="E527" s="7"/>
      <c r="F527" s="7"/>
      <c r="G527" s="7"/>
      <c r="H527" s="7"/>
      <c r="I527" s="7"/>
      <c r="J527" s="67"/>
      <c r="K527" s="67"/>
      <c r="L527" s="64"/>
      <c r="M527" s="7"/>
      <c r="N527" s="7"/>
      <c r="O527" s="7"/>
      <c r="P527" s="7"/>
      <c r="Q527" s="7"/>
      <c r="R527" s="7"/>
    </row>
    <row r="528" spans="2:18" ht="19.5" customHeight="1">
      <c r="B528" s="7"/>
      <c r="C528" s="7"/>
      <c r="D528" s="7"/>
      <c r="E528" s="7"/>
      <c r="F528" s="7"/>
      <c r="G528" s="7"/>
      <c r="H528" s="7"/>
      <c r="I528" s="7"/>
      <c r="J528" s="67"/>
      <c r="K528" s="67"/>
      <c r="L528" s="64"/>
      <c r="M528" s="7"/>
      <c r="N528" s="7"/>
      <c r="O528" s="7"/>
      <c r="P528" s="7"/>
      <c r="Q528" s="7"/>
      <c r="R528" s="7"/>
    </row>
    <row r="529" spans="2:18" ht="19.5" customHeight="1">
      <c r="B529" s="7"/>
      <c r="C529" s="7"/>
      <c r="D529" s="7"/>
      <c r="E529" s="7"/>
      <c r="F529" s="7"/>
      <c r="G529" s="7"/>
      <c r="H529" s="7"/>
      <c r="I529" s="7"/>
      <c r="J529" s="67"/>
      <c r="K529" s="67"/>
      <c r="L529" s="64"/>
      <c r="M529" s="7"/>
      <c r="N529" s="7"/>
      <c r="O529" s="7"/>
      <c r="P529" s="7"/>
      <c r="Q529" s="7"/>
      <c r="R529" s="7"/>
    </row>
    <row r="530" spans="2:18" ht="19.5" customHeight="1">
      <c r="B530" s="7"/>
      <c r="C530" s="7"/>
      <c r="D530" s="7"/>
      <c r="E530" s="7"/>
      <c r="F530" s="7"/>
      <c r="G530" s="7"/>
      <c r="H530" s="7"/>
      <c r="I530" s="7"/>
      <c r="J530" s="67"/>
      <c r="K530" s="67"/>
      <c r="L530" s="64"/>
      <c r="M530" s="7"/>
      <c r="N530" s="7"/>
      <c r="O530" s="7"/>
      <c r="P530" s="7"/>
      <c r="Q530" s="7"/>
      <c r="R530" s="7"/>
    </row>
    <row r="531" spans="2:18" ht="19.5" customHeight="1">
      <c r="B531" s="7"/>
      <c r="C531" s="7"/>
      <c r="D531" s="7"/>
      <c r="E531" s="7"/>
      <c r="F531" s="7"/>
      <c r="G531" s="7"/>
      <c r="H531" s="7"/>
      <c r="I531" s="7"/>
      <c r="J531" s="67"/>
      <c r="K531" s="67"/>
      <c r="L531" s="64"/>
      <c r="M531" s="7"/>
      <c r="N531" s="7"/>
      <c r="O531" s="7"/>
      <c r="P531" s="7"/>
      <c r="Q531" s="7"/>
      <c r="R531" s="7"/>
    </row>
    <row r="532" spans="2:18" ht="19.5" customHeight="1">
      <c r="B532" s="7"/>
      <c r="C532" s="7"/>
      <c r="D532" s="7"/>
      <c r="E532" s="7"/>
      <c r="F532" s="7"/>
      <c r="G532" s="7"/>
      <c r="H532" s="7"/>
      <c r="I532" s="7"/>
      <c r="J532" s="67"/>
      <c r="K532" s="67"/>
      <c r="L532" s="64"/>
      <c r="M532" s="7"/>
      <c r="N532" s="7"/>
      <c r="O532" s="7"/>
      <c r="P532" s="7"/>
      <c r="Q532" s="7"/>
      <c r="R532" s="7"/>
    </row>
    <row r="533" spans="2:18" ht="19.5" customHeight="1">
      <c r="B533" s="7"/>
      <c r="C533" s="7"/>
      <c r="D533" s="7"/>
      <c r="E533" s="7"/>
      <c r="F533" s="7"/>
      <c r="G533" s="7"/>
      <c r="H533" s="7"/>
      <c r="I533" s="7"/>
      <c r="J533" s="67"/>
      <c r="K533" s="67"/>
      <c r="L533" s="64"/>
      <c r="M533" s="7"/>
      <c r="N533" s="7"/>
      <c r="O533" s="7"/>
      <c r="P533" s="7"/>
      <c r="Q533" s="7"/>
      <c r="R533" s="7"/>
    </row>
    <row r="534" spans="2:18" ht="19.5" customHeight="1">
      <c r="B534" s="7"/>
      <c r="C534" s="7"/>
      <c r="D534" s="7"/>
      <c r="E534" s="7"/>
      <c r="F534" s="7"/>
      <c r="G534" s="7"/>
      <c r="H534" s="7"/>
      <c r="I534" s="7"/>
      <c r="J534" s="67"/>
      <c r="K534" s="67"/>
      <c r="L534" s="64"/>
      <c r="M534" s="7"/>
      <c r="N534" s="7"/>
      <c r="O534" s="7"/>
      <c r="P534" s="7"/>
      <c r="Q534" s="7"/>
      <c r="R534" s="7"/>
    </row>
    <row r="535" spans="2:18" ht="19.5" customHeight="1">
      <c r="B535" s="7"/>
      <c r="C535" s="7"/>
      <c r="D535" s="7"/>
      <c r="E535" s="7"/>
      <c r="F535" s="7"/>
      <c r="G535" s="7"/>
      <c r="H535" s="7"/>
      <c r="I535" s="7"/>
      <c r="J535" s="67"/>
      <c r="K535" s="67"/>
      <c r="L535" s="64"/>
      <c r="M535" s="7"/>
      <c r="N535" s="7"/>
      <c r="O535" s="7"/>
      <c r="P535" s="7"/>
      <c r="Q535" s="7"/>
      <c r="R535" s="7"/>
    </row>
    <row r="536" spans="2:18" ht="19.5" customHeight="1">
      <c r="B536" s="7"/>
      <c r="C536" s="7"/>
      <c r="D536" s="7"/>
      <c r="E536" s="7"/>
      <c r="F536" s="7"/>
      <c r="G536" s="7"/>
      <c r="H536" s="7"/>
      <c r="I536" s="7"/>
      <c r="J536" s="67"/>
      <c r="K536" s="67"/>
      <c r="L536" s="64"/>
      <c r="M536" s="7"/>
      <c r="N536" s="7"/>
      <c r="O536" s="7"/>
      <c r="P536" s="7"/>
      <c r="Q536" s="7"/>
      <c r="R536" s="7"/>
    </row>
    <row r="537" spans="2:18" ht="19.5" customHeight="1">
      <c r="B537" s="7"/>
      <c r="C537" s="7"/>
      <c r="D537" s="7"/>
      <c r="E537" s="7"/>
      <c r="F537" s="7"/>
      <c r="G537" s="7"/>
      <c r="H537" s="7"/>
      <c r="I537" s="7"/>
      <c r="J537" s="67"/>
      <c r="K537" s="67"/>
      <c r="L537" s="64"/>
      <c r="M537" s="7"/>
      <c r="N537" s="7"/>
      <c r="O537" s="7"/>
      <c r="P537" s="7"/>
      <c r="Q537" s="7"/>
      <c r="R537" s="7"/>
    </row>
    <row r="538" spans="2:18" ht="19.5" customHeight="1">
      <c r="B538" s="7"/>
      <c r="C538" s="7"/>
      <c r="D538" s="7"/>
      <c r="E538" s="7"/>
      <c r="F538" s="7"/>
      <c r="G538" s="7"/>
      <c r="H538" s="7"/>
      <c r="I538" s="7"/>
      <c r="J538" s="67"/>
      <c r="K538" s="67"/>
      <c r="L538" s="64"/>
      <c r="M538" s="7"/>
      <c r="N538" s="7"/>
      <c r="O538" s="7"/>
      <c r="P538" s="7"/>
      <c r="Q538" s="7"/>
      <c r="R538" s="7"/>
    </row>
    <row r="539" spans="2:18" ht="19.5" customHeight="1">
      <c r="B539" s="7"/>
      <c r="C539" s="7"/>
      <c r="D539" s="7"/>
      <c r="E539" s="7"/>
      <c r="F539" s="7"/>
      <c r="G539" s="7"/>
      <c r="H539" s="7"/>
      <c r="I539" s="7"/>
      <c r="J539" s="67"/>
      <c r="K539" s="67"/>
      <c r="L539" s="64"/>
      <c r="M539" s="7"/>
      <c r="N539" s="7"/>
      <c r="O539" s="7"/>
      <c r="P539" s="7"/>
      <c r="Q539" s="7"/>
      <c r="R539" s="7"/>
    </row>
    <row r="540" spans="2:18" ht="19.5" customHeight="1">
      <c r="B540" s="7"/>
      <c r="C540" s="7"/>
      <c r="D540" s="7"/>
      <c r="E540" s="7"/>
      <c r="F540" s="7"/>
      <c r="G540" s="7"/>
      <c r="H540" s="7"/>
      <c r="I540" s="7"/>
      <c r="J540" s="67"/>
      <c r="K540" s="67"/>
      <c r="L540" s="64"/>
      <c r="M540" s="7"/>
      <c r="N540" s="7"/>
      <c r="O540" s="7"/>
      <c r="P540" s="7"/>
      <c r="Q540" s="7"/>
      <c r="R540" s="7"/>
    </row>
    <row r="541" spans="2:18" ht="19.5" customHeight="1">
      <c r="B541" s="7"/>
      <c r="C541" s="7"/>
      <c r="D541" s="7"/>
      <c r="E541" s="7"/>
      <c r="F541" s="7"/>
      <c r="G541" s="7"/>
      <c r="H541" s="7"/>
      <c r="I541" s="7"/>
      <c r="J541" s="67"/>
      <c r="K541" s="67"/>
      <c r="L541" s="64"/>
      <c r="M541" s="7"/>
      <c r="N541" s="7"/>
      <c r="O541" s="7"/>
      <c r="P541" s="7"/>
      <c r="Q541" s="7"/>
      <c r="R541" s="7"/>
    </row>
    <row r="542" spans="2:18" ht="19.5" customHeight="1">
      <c r="B542" s="7"/>
      <c r="C542" s="7"/>
      <c r="D542" s="7"/>
      <c r="E542" s="7"/>
      <c r="F542" s="7"/>
      <c r="G542" s="7"/>
      <c r="H542" s="7"/>
      <c r="I542" s="7"/>
      <c r="J542" s="67"/>
      <c r="K542" s="67"/>
      <c r="L542" s="64"/>
      <c r="M542" s="7"/>
      <c r="N542" s="7"/>
      <c r="O542" s="7"/>
      <c r="P542" s="7"/>
      <c r="Q542" s="7"/>
      <c r="R542" s="7"/>
    </row>
    <row r="543" spans="2:18" ht="19.5" customHeight="1">
      <c r="B543" s="7"/>
      <c r="C543" s="7"/>
      <c r="D543" s="7"/>
      <c r="E543" s="7"/>
      <c r="F543" s="7"/>
      <c r="G543" s="7"/>
      <c r="H543" s="7"/>
      <c r="I543" s="7"/>
      <c r="J543" s="67"/>
      <c r="K543" s="67"/>
      <c r="L543" s="64"/>
      <c r="M543" s="7"/>
      <c r="N543" s="7"/>
      <c r="O543" s="7"/>
      <c r="P543" s="7"/>
      <c r="Q543" s="7"/>
      <c r="R543" s="7"/>
    </row>
    <row r="544" spans="2:18" ht="19.5" customHeight="1">
      <c r="B544" s="7"/>
      <c r="C544" s="7"/>
      <c r="D544" s="7"/>
      <c r="E544" s="7"/>
      <c r="F544" s="7"/>
      <c r="G544" s="7"/>
      <c r="H544" s="7"/>
      <c r="I544" s="7"/>
      <c r="J544" s="67"/>
      <c r="K544" s="67"/>
      <c r="L544" s="64"/>
      <c r="M544" s="7"/>
      <c r="N544" s="7"/>
      <c r="O544" s="7"/>
      <c r="P544" s="7"/>
      <c r="Q544" s="7"/>
      <c r="R544" s="7"/>
    </row>
    <row r="545" spans="2:18" ht="19.5" customHeight="1">
      <c r="B545" s="7"/>
      <c r="C545" s="7"/>
      <c r="D545" s="7"/>
      <c r="E545" s="7"/>
      <c r="F545" s="7"/>
      <c r="G545" s="7"/>
      <c r="H545" s="7"/>
      <c r="I545" s="7"/>
      <c r="J545" s="67"/>
      <c r="K545" s="67"/>
      <c r="L545" s="64"/>
      <c r="M545" s="7"/>
      <c r="N545" s="7"/>
      <c r="O545" s="7"/>
      <c r="P545" s="7"/>
      <c r="Q545" s="7"/>
      <c r="R545" s="7"/>
    </row>
    <row r="546" spans="2:18" ht="19.5" customHeight="1">
      <c r="B546" s="7"/>
      <c r="C546" s="7"/>
      <c r="D546" s="7"/>
      <c r="E546" s="7"/>
      <c r="F546" s="7"/>
      <c r="G546" s="7"/>
      <c r="H546" s="7"/>
      <c r="I546" s="7"/>
      <c r="J546" s="67"/>
      <c r="K546" s="67"/>
      <c r="L546" s="64"/>
      <c r="M546" s="7"/>
      <c r="N546" s="7"/>
      <c r="O546" s="7"/>
      <c r="P546" s="7"/>
      <c r="Q546" s="7"/>
      <c r="R546" s="7"/>
    </row>
    <row r="547" spans="2:18" ht="19.5" customHeight="1">
      <c r="B547" s="7"/>
      <c r="C547" s="7"/>
      <c r="D547" s="7"/>
      <c r="E547" s="7"/>
      <c r="F547" s="7"/>
      <c r="G547" s="7"/>
      <c r="H547" s="7"/>
      <c r="I547" s="7"/>
      <c r="J547" s="67"/>
      <c r="K547" s="67"/>
      <c r="L547" s="64"/>
      <c r="M547" s="7"/>
      <c r="N547" s="7"/>
      <c r="O547" s="7"/>
      <c r="P547" s="7"/>
      <c r="Q547" s="7"/>
      <c r="R547" s="7"/>
    </row>
    <row r="548" spans="2:18" ht="19.5" customHeight="1">
      <c r="B548" s="7"/>
      <c r="C548" s="7"/>
      <c r="D548" s="7"/>
      <c r="E548" s="7"/>
      <c r="F548" s="7"/>
      <c r="G548" s="7"/>
      <c r="H548" s="7"/>
      <c r="I548" s="7"/>
      <c r="J548" s="67"/>
      <c r="K548" s="67"/>
      <c r="L548" s="64"/>
      <c r="M548" s="7"/>
      <c r="N548" s="7"/>
      <c r="O548" s="7"/>
      <c r="P548" s="7"/>
      <c r="Q548" s="7"/>
      <c r="R548" s="7"/>
    </row>
    <row r="549" spans="2:18" ht="19.5" customHeight="1">
      <c r="B549" s="7"/>
      <c r="C549" s="7"/>
      <c r="D549" s="7"/>
      <c r="E549" s="7"/>
      <c r="F549" s="7"/>
      <c r="G549" s="7"/>
      <c r="H549" s="7"/>
      <c r="I549" s="7"/>
      <c r="J549" s="67"/>
      <c r="K549" s="67"/>
      <c r="L549" s="64"/>
      <c r="M549" s="7"/>
      <c r="N549" s="7"/>
      <c r="O549" s="7"/>
      <c r="P549" s="7"/>
      <c r="Q549" s="7"/>
      <c r="R549" s="7"/>
    </row>
    <row r="550" spans="2:18" ht="19.5" customHeight="1">
      <c r="B550" s="7"/>
      <c r="C550" s="7"/>
      <c r="D550" s="7"/>
      <c r="E550" s="7"/>
      <c r="F550" s="7"/>
      <c r="G550" s="7"/>
      <c r="H550" s="7"/>
      <c r="I550" s="7"/>
      <c r="J550" s="67"/>
      <c r="K550" s="67"/>
      <c r="L550" s="64"/>
      <c r="M550" s="7"/>
      <c r="N550" s="7"/>
      <c r="O550" s="7"/>
      <c r="P550" s="7"/>
      <c r="Q550" s="7"/>
      <c r="R550" s="7"/>
    </row>
    <row r="551" spans="2:18" ht="19.5" customHeight="1">
      <c r="B551" s="7"/>
      <c r="C551" s="7"/>
      <c r="D551" s="7"/>
      <c r="E551" s="7"/>
      <c r="F551" s="7"/>
      <c r="G551" s="7"/>
      <c r="H551" s="7"/>
      <c r="I551" s="7"/>
      <c r="J551" s="67"/>
      <c r="K551" s="67"/>
      <c r="L551" s="64"/>
      <c r="M551" s="7"/>
      <c r="N551" s="7"/>
      <c r="O551" s="7"/>
      <c r="P551" s="7"/>
      <c r="Q551" s="7"/>
      <c r="R551" s="7"/>
    </row>
    <row r="552" spans="2:18" ht="19.5" customHeight="1">
      <c r="B552" s="7"/>
      <c r="C552" s="7"/>
      <c r="D552" s="7"/>
      <c r="E552" s="7"/>
      <c r="F552" s="7"/>
      <c r="G552" s="7"/>
      <c r="H552" s="7"/>
      <c r="I552" s="7"/>
      <c r="J552" s="67"/>
      <c r="K552" s="67"/>
      <c r="L552" s="64"/>
      <c r="M552" s="7"/>
      <c r="N552" s="7"/>
      <c r="O552" s="7"/>
      <c r="P552" s="7"/>
      <c r="Q552" s="7"/>
      <c r="R552" s="7"/>
    </row>
    <row r="553" spans="2:18" ht="19.5" customHeight="1">
      <c r="B553" s="7"/>
      <c r="C553" s="7"/>
      <c r="D553" s="7"/>
      <c r="E553" s="7"/>
      <c r="F553" s="7"/>
      <c r="G553" s="7"/>
      <c r="H553" s="7"/>
      <c r="I553" s="7"/>
      <c r="J553" s="67"/>
      <c r="K553" s="67"/>
      <c r="L553" s="64"/>
      <c r="M553" s="7"/>
      <c r="N553" s="7"/>
      <c r="O553" s="7"/>
      <c r="P553" s="7"/>
      <c r="Q553" s="7"/>
      <c r="R553" s="7"/>
    </row>
    <row r="554" spans="2:18" ht="19.5" customHeight="1">
      <c r="B554" s="7"/>
      <c r="C554" s="7"/>
      <c r="D554" s="7"/>
      <c r="E554" s="7"/>
      <c r="F554" s="7"/>
      <c r="G554" s="7"/>
      <c r="H554" s="7"/>
      <c r="I554" s="7"/>
      <c r="J554" s="67"/>
      <c r="K554" s="67"/>
      <c r="L554" s="64"/>
      <c r="M554" s="7"/>
      <c r="N554" s="7"/>
      <c r="O554" s="7"/>
      <c r="P554" s="7"/>
      <c r="Q554" s="7"/>
      <c r="R554" s="7"/>
    </row>
    <row r="555" spans="2:18" ht="19.5" customHeight="1">
      <c r="B555" s="7"/>
      <c r="C555" s="7"/>
      <c r="D555" s="7"/>
      <c r="E555" s="7"/>
      <c r="F555" s="7"/>
      <c r="G555" s="7"/>
      <c r="H555" s="7"/>
      <c r="I555" s="7"/>
      <c r="J555" s="67"/>
      <c r="K555" s="67"/>
      <c r="L555" s="64"/>
      <c r="M555" s="7"/>
      <c r="N555" s="7"/>
      <c r="O555" s="7"/>
      <c r="P555" s="7"/>
      <c r="Q555" s="7"/>
      <c r="R555" s="7"/>
    </row>
    <row r="556" spans="2:18" ht="19.5" customHeight="1">
      <c r="B556" s="7"/>
      <c r="C556" s="7"/>
      <c r="D556" s="7"/>
      <c r="E556" s="7"/>
      <c r="F556" s="7"/>
      <c r="G556" s="7"/>
      <c r="H556" s="7"/>
      <c r="I556" s="7"/>
      <c r="J556" s="67"/>
      <c r="K556" s="67"/>
      <c r="L556" s="64"/>
      <c r="M556" s="7"/>
      <c r="N556" s="7"/>
      <c r="O556" s="7"/>
      <c r="P556" s="7"/>
      <c r="Q556" s="7"/>
      <c r="R556" s="7"/>
    </row>
    <row r="557" spans="2:18" ht="19.5" customHeight="1">
      <c r="B557" s="7"/>
      <c r="C557" s="7"/>
      <c r="D557" s="7"/>
      <c r="E557" s="7"/>
      <c r="F557" s="7"/>
      <c r="G557" s="7"/>
      <c r="H557" s="7"/>
      <c r="I557" s="7"/>
      <c r="J557" s="67"/>
      <c r="K557" s="67"/>
      <c r="L557" s="64"/>
      <c r="M557" s="7"/>
      <c r="N557" s="7"/>
      <c r="O557" s="7"/>
      <c r="P557" s="7"/>
      <c r="Q557" s="7"/>
      <c r="R557" s="7"/>
    </row>
    <row r="558" spans="2:18" ht="19.5" customHeight="1">
      <c r="B558" s="7"/>
      <c r="C558" s="7"/>
      <c r="D558" s="7"/>
      <c r="E558" s="7"/>
      <c r="F558" s="7"/>
      <c r="G558" s="7"/>
      <c r="H558" s="7"/>
      <c r="I558" s="7"/>
      <c r="J558" s="67"/>
      <c r="K558" s="67"/>
      <c r="L558" s="64"/>
      <c r="M558" s="7"/>
      <c r="N558" s="7"/>
      <c r="O558" s="7"/>
      <c r="P558" s="7"/>
      <c r="Q558" s="7"/>
      <c r="R558" s="7"/>
    </row>
    <row r="559" spans="2:18" ht="19.5" customHeight="1">
      <c r="B559" s="7"/>
      <c r="C559" s="7"/>
      <c r="D559" s="7"/>
      <c r="E559" s="7"/>
      <c r="F559" s="7"/>
      <c r="G559" s="7"/>
      <c r="H559" s="7"/>
      <c r="I559" s="7"/>
      <c r="J559" s="67"/>
      <c r="K559" s="67"/>
      <c r="L559" s="64"/>
      <c r="M559" s="7"/>
      <c r="N559" s="7"/>
      <c r="O559" s="7"/>
      <c r="P559" s="7"/>
      <c r="Q559" s="7"/>
      <c r="R559" s="7"/>
    </row>
    <row r="560" spans="2:18" ht="19.5" customHeight="1">
      <c r="B560" s="7"/>
      <c r="C560" s="7"/>
      <c r="D560" s="7"/>
      <c r="E560" s="7"/>
      <c r="F560" s="7"/>
      <c r="G560" s="7"/>
      <c r="H560" s="7"/>
      <c r="I560" s="7"/>
      <c r="J560" s="67"/>
      <c r="K560" s="67"/>
      <c r="L560" s="64"/>
      <c r="M560" s="7"/>
      <c r="N560" s="7"/>
      <c r="O560" s="7"/>
      <c r="P560" s="7"/>
      <c r="Q560" s="7"/>
      <c r="R560" s="7"/>
    </row>
    <row r="561" spans="2:18" ht="19.5" customHeight="1">
      <c r="B561" s="7"/>
      <c r="C561" s="7"/>
      <c r="D561" s="7"/>
      <c r="E561" s="7"/>
      <c r="F561" s="7"/>
      <c r="G561" s="7"/>
      <c r="H561" s="7"/>
      <c r="I561" s="7"/>
      <c r="J561" s="67"/>
      <c r="K561" s="67"/>
      <c r="L561" s="64"/>
      <c r="M561" s="7"/>
      <c r="N561" s="7"/>
      <c r="O561" s="7"/>
      <c r="P561" s="7"/>
      <c r="Q561" s="7"/>
      <c r="R561" s="7"/>
    </row>
    <row r="562" spans="2:18" ht="19.5" customHeight="1">
      <c r="B562" s="7"/>
      <c r="C562" s="7"/>
      <c r="D562" s="7"/>
      <c r="E562" s="7"/>
      <c r="F562" s="7"/>
      <c r="G562" s="7"/>
      <c r="H562" s="7"/>
      <c r="I562" s="7"/>
      <c r="J562" s="67"/>
      <c r="K562" s="67"/>
      <c r="L562" s="64"/>
      <c r="M562" s="7"/>
      <c r="N562" s="7"/>
      <c r="O562" s="7"/>
      <c r="P562" s="7"/>
      <c r="Q562" s="7"/>
      <c r="R562" s="7"/>
    </row>
    <row r="563" spans="2:18" ht="19.5" customHeight="1">
      <c r="B563" s="7"/>
      <c r="C563" s="7"/>
      <c r="D563" s="7"/>
      <c r="E563" s="7"/>
      <c r="F563" s="7"/>
      <c r="G563" s="7"/>
      <c r="H563" s="7"/>
      <c r="I563" s="7"/>
      <c r="J563" s="67"/>
      <c r="K563" s="67"/>
      <c r="L563" s="64"/>
      <c r="M563" s="7"/>
      <c r="N563" s="7"/>
      <c r="O563" s="7"/>
      <c r="P563" s="7"/>
      <c r="Q563" s="7"/>
      <c r="R563" s="7"/>
    </row>
    <row r="564" spans="2:18" ht="19.5" customHeight="1">
      <c r="B564" s="7"/>
      <c r="C564" s="7"/>
      <c r="D564" s="7"/>
      <c r="E564" s="7"/>
      <c r="F564" s="7"/>
      <c r="G564" s="7"/>
      <c r="H564" s="7"/>
      <c r="I564" s="7"/>
      <c r="J564" s="67"/>
      <c r="K564" s="67"/>
      <c r="L564" s="64"/>
      <c r="M564" s="7"/>
      <c r="N564" s="7"/>
      <c r="O564" s="7"/>
      <c r="P564" s="7"/>
      <c r="Q564" s="7"/>
      <c r="R564" s="7"/>
    </row>
    <row r="565" spans="2:18" ht="19.5" customHeight="1">
      <c r="B565" s="7"/>
      <c r="C565" s="7"/>
      <c r="D565" s="7"/>
      <c r="E565" s="7"/>
      <c r="F565" s="7"/>
      <c r="G565" s="7"/>
      <c r="H565" s="7"/>
      <c r="I565" s="7"/>
      <c r="J565" s="67"/>
      <c r="K565" s="67"/>
      <c r="L565" s="64"/>
      <c r="M565" s="7"/>
      <c r="N565" s="7"/>
      <c r="O565" s="7"/>
      <c r="P565" s="7"/>
      <c r="Q565" s="7"/>
      <c r="R565" s="7"/>
    </row>
    <row r="566" spans="2:18" ht="19.5" customHeight="1">
      <c r="B566" s="7"/>
      <c r="C566" s="7"/>
      <c r="D566" s="7"/>
      <c r="E566" s="7"/>
      <c r="F566" s="7"/>
      <c r="G566" s="7"/>
      <c r="H566" s="7"/>
      <c r="I566" s="7"/>
      <c r="J566" s="67"/>
      <c r="K566" s="67"/>
      <c r="L566" s="64"/>
      <c r="M566" s="7"/>
      <c r="N566" s="7"/>
      <c r="O566" s="7"/>
      <c r="P566" s="7"/>
      <c r="Q566" s="7"/>
      <c r="R566" s="7"/>
    </row>
    <row r="567" spans="2:18" ht="19.5" customHeight="1">
      <c r="B567" s="7"/>
      <c r="C567" s="7"/>
      <c r="D567" s="7"/>
      <c r="E567" s="7"/>
      <c r="F567" s="7"/>
      <c r="G567" s="7"/>
      <c r="H567" s="7"/>
      <c r="I567" s="7"/>
      <c r="J567" s="67"/>
      <c r="K567" s="67"/>
      <c r="L567" s="64"/>
      <c r="M567" s="7"/>
      <c r="N567" s="7"/>
      <c r="O567" s="7"/>
      <c r="P567" s="7"/>
      <c r="Q567" s="7"/>
      <c r="R567" s="7"/>
    </row>
    <row r="568" spans="2:18" ht="19.5" customHeight="1">
      <c r="B568" s="7"/>
      <c r="C568" s="7"/>
      <c r="D568" s="7"/>
      <c r="E568" s="7"/>
      <c r="F568" s="7"/>
      <c r="G568" s="7"/>
      <c r="H568" s="7"/>
      <c r="I568" s="7"/>
      <c r="J568" s="67"/>
      <c r="K568" s="67"/>
      <c r="L568" s="64"/>
      <c r="M568" s="7"/>
      <c r="N568" s="7"/>
      <c r="O568" s="7"/>
      <c r="P568" s="7"/>
      <c r="Q568" s="7"/>
      <c r="R568" s="7"/>
    </row>
    <row r="569" spans="2:18" ht="19.5" customHeight="1">
      <c r="B569" s="7"/>
      <c r="C569" s="7"/>
      <c r="D569" s="7"/>
      <c r="E569" s="7"/>
      <c r="F569" s="7"/>
      <c r="G569" s="7"/>
      <c r="H569" s="7"/>
      <c r="I569" s="7"/>
      <c r="J569" s="67"/>
      <c r="K569" s="67"/>
      <c r="L569" s="64"/>
      <c r="M569" s="7"/>
      <c r="N569" s="7"/>
      <c r="O569" s="7"/>
      <c r="P569" s="7"/>
      <c r="Q569" s="7"/>
      <c r="R569" s="7"/>
    </row>
    <row r="570" spans="2:18" ht="19.5" customHeight="1">
      <c r="B570" s="7"/>
      <c r="C570" s="7"/>
      <c r="D570" s="7"/>
      <c r="E570" s="7"/>
      <c r="F570" s="7"/>
      <c r="G570" s="7"/>
      <c r="H570" s="7"/>
      <c r="I570" s="7"/>
      <c r="J570" s="67"/>
      <c r="K570" s="67"/>
      <c r="L570" s="64"/>
      <c r="M570" s="7"/>
      <c r="N570" s="7"/>
      <c r="O570" s="7"/>
      <c r="P570" s="7"/>
      <c r="Q570" s="7"/>
      <c r="R570" s="7"/>
    </row>
    <row r="571" spans="2:18" ht="19.5" customHeight="1">
      <c r="B571" s="7"/>
      <c r="C571" s="7"/>
      <c r="D571" s="7"/>
      <c r="E571" s="7"/>
      <c r="F571" s="7"/>
      <c r="G571" s="7"/>
      <c r="H571" s="7"/>
      <c r="I571" s="7"/>
      <c r="J571" s="67"/>
      <c r="K571" s="67"/>
      <c r="L571" s="64"/>
      <c r="M571" s="7"/>
      <c r="N571" s="7"/>
      <c r="O571" s="7"/>
      <c r="P571" s="7"/>
      <c r="Q571" s="7"/>
      <c r="R571" s="7"/>
    </row>
    <row r="572" spans="2:18" ht="19.5" customHeight="1">
      <c r="B572" s="7"/>
      <c r="C572" s="7"/>
      <c r="D572" s="7"/>
      <c r="E572" s="7"/>
      <c r="F572" s="7"/>
      <c r="G572" s="7"/>
      <c r="H572" s="7"/>
      <c r="I572" s="7"/>
      <c r="J572" s="67"/>
      <c r="K572" s="67"/>
      <c r="L572" s="64"/>
      <c r="M572" s="7"/>
      <c r="N572" s="7"/>
      <c r="O572" s="7"/>
      <c r="P572" s="7"/>
      <c r="Q572" s="7"/>
      <c r="R572" s="7"/>
    </row>
    <row r="573" spans="2:18" ht="19.5" customHeight="1">
      <c r="B573" s="7"/>
      <c r="C573" s="7"/>
      <c r="D573" s="7"/>
      <c r="E573" s="7"/>
      <c r="F573" s="7"/>
      <c r="G573" s="7"/>
      <c r="H573" s="7"/>
      <c r="I573" s="7"/>
      <c r="J573" s="67"/>
      <c r="K573" s="67"/>
      <c r="L573" s="64"/>
      <c r="M573" s="7"/>
      <c r="N573" s="7"/>
      <c r="O573" s="7"/>
      <c r="P573" s="7"/>
      <c r="Q573" s="7"/>
      <c r="R573" s="7"/>
    </row>
    <row r="574" spans="2:18" ht="19.5" customHeight="1">
      <c r="B574" s="7"/>
      <c r="C574" s="7"/>
      <c r="D574" s="7"/>
      <c r="E574" s="7"/>
      <c r="F574" s="7"/>
      <c r="G574" s="7"/>
      <c r="H574" s="7"/>
      <c r="I574" s="7"/>
      <c r="J574" s="67"/>
      <c r="K574" s="67"/>
      <c r="L574" s="64"/>
      <c r="M574" s="7"/>
      <c r="N574" s="7"/>
      <c r="O574" s="7"/>
      <c r="P574" s="7"/>
      <c r="Q574" s="7"/>
      <c r="R574" s="7"/>
    </row>
    <row r="575" spans="2:18" ht="19.5" customHeight="1">
      <c r="B575" s="7"/>
      <c r="C575" s="7"/>
      <c r="D575" s="7"/>
      <c r="E575" s="7"/>
      <c r="F575" s="7"/>
      <c r="G575" s="7"/>
      <c r="H575" s="7"/>
      <c r="I575" s="7"/>
      <c r="J575" s="67"/>
      <c r="K575" s="67"/>
      <c r="L575" s="64"/>
      <c r="M575" s="7"/>
      <c r="N575" s="7"/>
      <c r="O575" s="7"/>
      <c r="P575" s="7"/>
      <c r="Q575" s="7"/>
      <c r="R575" s="7"/>
    </row>
    <row r="576" spans="2:18" ht="19.5" customHeight="1">
      <c r="B576" s="7"/>
      <c r="C576" s="7"/>
      <c r="D576" s="7"/>
      <c r="E576" s="7"/>
      <c r="F576" s="7"/>
      <c r="G576" s="7"/>
      <c r="H576" s="7"/>
      <c r="I576" s="7"/>
      <c r="J576" s="67"/>
      <c r="K576" s="67"/>
      <c r="L576" s="64"/>
      <c r="M576" s="7"/>
      <c r="N576" s="7"/>
      <c r="O576" s="7"/>
      <c r="P576" s="7"/>
      <c r="Q576" s="7"/>
      <c r="R576" s="7"/>
    </row>
    <row r="577" spans="2:18" ht="19.5" customHeight="1">
      <c r="B577" s="7"/>
      <c r="C577" s="7"/>
      <c r="D577" s="7"/>
      <c r="E577" s="7"/>
      <c r="F577" s="7"/>
      <c r="G577" s="7"/>
      <c r="H577" s="7"/>
      <c r="I577" s="7"/>
      <c r="J577" s="67"/>
      <c r="K577" s="67"/>
      <c r="L577" s="64"/>
      <c r="M577" s="7"/>
      <c r="N577" s="7"/>
      <c r="O577" s="7"/>
      <c r="P577" s="7"/>
      <c r="Q577" s="7"/>
      <c r="R577" s="7"/>
    </row>
    <row r="578" spans="2:18" ht="19.5" customHeight="1">
      <c r="B578" s="7"/>
      <c r="C578" s="7"/>
      <c r="D578" s="7"/>
      <c r="E578" s="7"/>
      <c r="F578" s="7"/>
      <c r="G578" s="7"/>
      <c r="H578" s="7"/>
      <c r="I578" s="7"/>
      <c r="J578" s="67"/>
      <c r="K578" s="67"/>
      <c r="L578" s="64"/>
      <c r="M578" s="7"/>
      <c r="N578" s="7"/>
      <c r="O578" s="7"/>
      <c r="P578" s="7"/>
      <c r="Q578" s="7"/>
      <c r="R578" s="7"/>
    </row>
    <row r="579" spans="2:18" ht="19.5" customHeight="1">
      <c r="B579" s="7"/>
      <c r="C579" s="7"/>
      <c r="D579" s="7"/>
      <c r="E579" s="7"/>
      <c r="F579" s="7"/>
      <c r="G579" s="7"/>
      <c r="H579" s="7"/>
      <c r="I579" s="7"/>
      <c r="J579" s="67"/>
      <c r="K579" s="67"/>
      <c r="L579" s="64"/>
      <c r="M579" s="7"/>
      <c r="N579" s="7"/>
      <c r="O579" s="7"/>
      <c r="P579" s="7"/>
      <c r="Q579" s="7"/>
      <c r="R579" s="7"/>
    </row>
    <row r="580" spans="2:18" ht="19.5" customHeight="1">
      <c r="B580" s="7"/>
      <c r="C580" s="7"/>
      <c r="D580" s="7"/>
      <c r="E580" s="7"/>
      <c r="F580" s="7"/>
      <c r="G580" s="7"/>
      <c r="H580" s="7"/>
      <c r="I580" s="7"/>
      <c r="J580" s="67"/>
      <c r="K580" s="67"/>
      <c r="L580" s="64"/>
      <c r="M580" s="7"/>
      <c r="N580" s="7"/>
      <c r="O580" s="7"/>
      <c r="P580" s="7"/>
      <c r="Q580" s="7"/>
      <c r="R580" s="7"/>
    </row>
    <row r="581" spans="2:18" ht="19.5" customHeight="1">
      <c r="B581" s="7"/>
      <c r="C581" s="7"/>
      <c r="D581" s="7"/>
      <c r="E581" s="7"/>
      <c r="F581" s="7"/>
      <c r="G581" s="7"/>
      <c r="H581" s="7"/>
      <c r="I581" s="7"/>
      <c r="J581" s="67"/>
      <c r="K581" s="67"/>
      <c r="L581" s="64"/>
      <c r="M581" s="7"/>
      <c r="N581" s="7"/>
      <c r="O581" s="7"/>
      <c r="P581" s="7"/>
      <c r="Q581" s="7"/>
      <c r="R581" s="7"/>
    </row>
    <row r="582" spans="2:18" ht="19.5" customHeight="1">
      <c r="B582" s="7"/>
      <c r="C582" s="7"/>
      <c r="D582" s="7"/>
      <c r="E582" s="7"/>
      <c r="F582" s="7"/>
      <c r="G582" s="7"/>
      <c r="H582" s="7"/>
      <c r="I582" s="7"/>
      <c r="J582" s="67"/>
      <c r="K582" s="67"/>
      <c r="L582" s="64"/>
      <c r="M582" s="7"/>
      <c r="N582" s="7"/>
      <c r="O582" s="7"/>
      <c r="P582" s="7"/>
      <c r="Q582" s="7"/>
      <c r="R582" s="7"/>
    </row>
    <row r="583" spans="2:18" ht="19.5" customHeight="1">
      <c r="B583" s="7"/>
      <c r="C583" s="7"/>
      <c r="D583" s="7"/>
      <c r="E583" s="7"/>
      <c r="F583" s="7"/>
      <c r="G583" s="7"/>
      <c r="H583" s="7"/>
      <c r="I583" s="7"/>
      <c r="J583" s="67"/>
      <c r="K583" s="67"/>
      <c r="L583" s="64"/>
      <c r="M583" s="7"/>
      <c r="N583" s="7"/>
      <c r="O583" s="7"/>
      <c r="P583" s="7"/>
      <c r="Q583" s="7"/>
      <c r="R583" s="7"/>
    </row>
    <row r="584" spans="2:18" ht="19.5" customHeight="1">
      <c r="B584" s="7"/>
      <c r="C584" s="7"/>
      <c r="D584" s="7"/>
      <c r="E584" s="7"/>
      <c r="F584" s="7"/>
      <c r="G584" s="7"/>
      <c r="H584" s="7"/>
      <c r="I584" s="7"/>
      <c r="J584" s="67"/>
      <c r="K584" s="67"/>
      <c r="L584" s="64"/>
      <c r="M584" s="7"/>
      <c r="N584" s="7"/>
      <c r="O584" s="7"/>
      <c r="P584" s="7"/>
      <c r="Q584" s="7"/>
      <c r="R584" s="7"/>
    </row>
    <row r="585" spans="2:18" ht="19.5" customHeight="1">
      <c r="B585" s="7"/>
      <c r="C585" s="7"/>
      <c r="D585" s="7"/>
      <c r="E585" s="7"/>
      <c r="F585" s="7"/>
      <c r="G585" s="7"/>
      <c r="H585" s="7"/>
      <c r="I585" s="7"/>
      <c r="J585" s="67"/>
      <c r="K585" s="67"/>
      <c r="L585" s="64"/>
      <c r="M585" s="7"/>
      <c r="N585" s="7"/>
      <c r="O585" s="7"/>
      <c r="P585" s="7"/>
      <c r="Q585" s="7"/>
      <c r="R585" s="7"/>
    </row>
    <row r="586" spans="2:18" ht="19.5" customHeight="1">
      <c r="B586" s="7"/>
      <c r="C586" s="7"/>
      <c r="D586" s="7"/>
      <c r="E586" s="7"/>
      <c r="F586" s="7"/>
      <c r="G586" s="7"/>
      <c r="H586" s="7"/>
      <c r="I586" s="7"/>
      <c r="J586" s="67"/>
      <c r="K586" s="67"/>
      <c r="L586" s="64"/>
      <c r="M586" s="7"/>
      <c r="N586" s="7"/>
      <c r="O586" s="7"/>
      <c r="P586" s="7"/>
      <c r="Q586" s="7"/>
      <c r="R586" s="7"/>
    </row>
    <row r="587" spans="2:18" ht="19.5" customHeight="1">
      <c r="B587" s="7"/>
      <c r="C587" s="7"/>
      <c r="D587" s="7"/>
      <c r="E587" s="7"/>
      <c r="F587" s="7"/>
      <c r="G587" s="7"/>
      <c r="H587" s="7"/>
      <c r="I587" s="7"/>
      <c r="J587" s="67"/>
      <c r="K587" s="67"/>
      <c r="L587" s="64"/>
      <c r="M587" s="7"/>
      <c r="N587" s="7"/>
      <c r="O587" s="7"/>
      <c r="P587" s="7"/>
      <c r="Q587" s="7"/>
      <c r="R587" s="7"/>
    </row>
    <row r="588" spans="2:18" ht="19.5" customHeight="1">
      <c r="B588" s="7"/>
      <c r="C588" s="7"/>
      <c r="D588" s="7"/>
      <c r="E588" s="7"/>
      <c r="F588" s="7"/>
      <c r="G588" s="7"/>
      <c r="H588" s="7"/>
      <c r="I588" s="7"/>
      <c r="J588" s="67"/>
      <c r="K588" s="67"/>
      <c r="L588" s="64"/>
      <c r="M588" s="7"/>
      <c r="N588" s="7"/>
      <c r="O588" s="7"/>
      <c r="P588" s="7"/>
      <c r="Q588" s="7"/>
      <c r="R588" s="7"/>
    </row>
    <row r="589" spans="2:18" ht="19.5" customHeight="1">
      <c r="B589" s="7"/>
      <c r="C589" s="7"/>
      <c r="D589" s="7"/>
      <c r="E589" s="7"/>
      <c r="F589" s="7"/>
      <c r="G589" s="7"/>
      <c r="H589" s="7"/>
      <c r="I589" s="7"/>
      <c r="J589" s="67"/>
      <c r="K589" s="67"/>
      <c r="L589" s="64"/>
      <c r="M589" s="7"/>
      <c r="N589" s="7"/>
      <c r="O589" s="7"/>
      <c r="P589" s="7"/>
      <c r="Q589" s="7"/>
      <c r="R589" s="7"/>
    </row>
    <row r="590" spans="2:18" ht="19.5" customHeight="1">
      <c r="B590" s="7"/>
      <c r="C590" s="7"/>
      <c r="D590" s="7"/>
      <c r="E590" s="7"/>
      <c r="F590" s="7"/>
      <c r="G590" s="7"/>
      <c r="H590" s="7"/>
      <c r="I590" s="7"/>
      <c r="J590" s="67"/>
      <c r="K590" s="67"/>
      <c r="L590" s="64"/>
      <c r="M590" s="7"/>
      <c r="N590" s="7"/>
      <c r="O590" s="7"/>
      <c r="P590" s="7"/>
      <c r="Q590" s="7"/>
      <c r="R590" s="7"/>
    </row>
    <row r="591" spans="2:18" ht="19.5" customHeight="1">
      <c r="B591" s="7"/>
      <c r="C591" s="7"/>
      <c r="D591" s="7"/>
      <c r="E591" s="7"/>
      <c r="F591" s="7"/>
      <c r="G591" s="7"/>
      <c r="H591" s="7"/>
      <c r="I591" s="7"/>
      <c r="J591" s="67"/>
      <c r="K591" s="67"/>
      <c r="L591" s="64"/>
      <c r="M591" s="7"/>
      <c r="N591" s="7"/>
      <c r="O591" s="7"/>
      <c r="P591" s="7"/>
      <c r="Q591" s="7"/>
      <c r="R591" s="7"/>
    </row>
    <row r="592" spans="2:18" ht="19.5" customHeight="1">
      <c r="B592" s="7"/>
      <c r="C592" s="7"/>
      <c r="D592" s="7"/>
      <c r="E592" s="7"/>
      <c r="F592" s="7"/>
      <c r="G592" s="7"/>
      <c r="H592" s="7"/>
      <c r="I592" s="7"/>
      <c r="J592" s="67"/>
      <c r="K592" s="67"/>
      <c r="L592" s="64"/>
      <c r="M592" s="7"/>
      <c r="N592" s="7"/>
      <c r="O592" s="7"/>
      <c r="P592" s="7"/>
      <c r="Q592" s="7"/>
      <c r="R592" s="7"/>
    </row>
    <row r="593" spans="2:18" ht="19.5" customHeight="1">
      <c r="B593" s="7"/>
      <c r="C593" s="7"/>
      <c r="D593" s="7"/>
      <c r="E593" s="7"/>
      <c r="F593" s="7"/>
      <c r="G593" s="7"/>
      <c r="H593" s="7"/>
      <c r="I593" s="7"/>
      <c r="J593" s="67"/>
      <c r="K593" s="67"/>
      <c r="L593" s="64"/>
      <c r="M593" s="7"/>
      <c r="N593" s="7"/>
      <c r="O593" s="7"/>
      <c r="P593" s="7"/>
      <c r="Q593" s="7"/>
      <c r="R593" s="7"/>
    </row>
    <row r="594" spans="2:18" ht="19.5" customHeight="1">
      <c r="B594" s="7"/>
      <c r="C594" s="7"/>
      <c r="D594" s="7"/>
      <c r="E594" s="7"/>
      <c r="F594" s="7"/>
      <c r="G594" s="7"/>
      <c r="H594" s="7"/>
      <c r="I594" s="7"/>
      <c r="J594" s="67"/>
      <c r="K594" s="67"/>
      <c r="L594" s="64"/>
      <c r="M594" s="7"/>
      <c r="N594" s="7"/>
      <c r="O594" s="7"/>
      <c r="P594" s="7"/>
      <c r="Q594" s="7"/>
      <c r="R594" s="7"/>
    </row>
    <row r="595" spans="2:18" ht="19.5" customHeight="1">
      <c r="B595" s="7"/>
      <c r="C595" s="7"/>
      <c r="D595" s="7"/>
      <c r="E595" s="7"/>
      <c r="F595" s="7"/>
      <c r="G595" s="7"/>
      <c r="H595" s="7"/>
      <c r="I595" s="7"/>
      <c r="J595" s="67"/>
      <c r="K595" s="67"/>
      <c r="L595" s="64"/>
      <c r="M595" s="7"/>
      <c r="N595" s="7"/>
      <c r="O595" s="7"/>
      <c r="P595" s="7"/>
      <c r="Q595" s="7"/>
      <c r="R595" s="7"/>
    </row>
    <row r="596" spans="2:18" ht="19.5" customHeight="1">
      <c r="B596" s="7"/>
      <c r="C596" s="7"/>
      <c r="D596" s="7"/>
      <c r="E596" s="7"/>
      <c r="F596" s="7"/>
      <c r="G596" s="7"/>
      <c r="H596" s="7"/>
      <c r="I596" s="7"/>
      <c r="J596" s="67"/>
      <c r="K596" s="67"/>
      <c r="L596" s="64"/>
      <c r="M596" s="7"/>
      <c r="N596" s="7"/>
      <c r="O596" s="7"/>
      <c r="P596" s="7"/>
      <c r="Q596" s="7"/>
      <c r="R596" s="7"/>
    </row>
    <row r="597" spans="2:18" ht="19.5" customHeight="1">
      <c r="B597" s="7"/>
      <c r="C597" s="7"/>
      <c r="D597" s="7"/>
      <c r="E597" s="7"/>
      <c r="F597" s="7"/>
      <c r="G597" s="7"/>
      <c r="H597" s="7"/>
      <c r="I597" s="7"/>
      <c r="J597" s="67"/>
      <c r="K597" s="67"/>
      <c r="L597" s="64"/>
      <c r="M597" s="7"/>
      <c r="N597" s="7"/>
      <c r="O597" s="7"/>
      <c r="P597" s="7"/>
      <c r="Q597" s="7"/>
      <c r="R597" s="7"/>
    </row>
    <row r="598" spans="2:18" ht="19.5" customHeight="1">
      <c r="B598" s="7"/>
      <c r="C598" s="7"/>
      <c r="D598" s="7"/>
      <c r="E598" s="7"/>
      <c r="F598" s="7"/>
      <c r="G598" s="7"/>
      <c r="H598" s="7"/>
      <c r="I598" s="7"/>
      <c r="J598" s="67"/>
      <c r="K598" s="67"/>
      <c r="L598" s="64"/>
      <c r="M598" s="7"/>
      <c r="N598" s="7"/>
      <c r="O598" s="7"/>
      <c r="P598" s="7"/>
      <c r="Q598" s="7"/>
      <c r="R598" s="7"/>
    </row>
    <row r="599" spans="2:18" ht="19.5" customHeight="1">
      <c r="B599" s="7"/>
      <c r="C599" s="7"/>
      <c r="D599" s="7"/>
      <c r="E599" s="7"/>
      <c r="F599" s="7"/>
      <c r="G599" s="7"/>
      <c r="H599" s="7"/>
      <c r="I599" s="7"/>
      <c r="J599" s="67"/>
      <c r="K599" s="67"/>
      <c r="L599" s="64"/>
      <c r="M599" s="7"/>
      <c r="N599" s="7"/>
      <c r="O599" s="7"/>
      <c r="P599" s="7"/>
      <c r="Q599" s="7"/>
      <c r="R599" s="7"/>
    </row>
    <row r="600" spans="2:18" ht="19.5" customHeight="1">
      <c r="B600" s="7"/>
      <c r="C600" s="7"/>
      <c r="D600" s="7"/>
      <c r="E600" s="7"/>
      <c r="F600" s="7"/>
      <c r="G600" s="7"/>
      <c r="H600" s="7"/>
      <c r="I600" s="7"/>
      <c r="J600" s="67"/>
      <c r="K600" s="67"/>
      <c r="L600" s="64"/>
      <c r="M600" s="7"/>
      <c r="N600" s="7"/>
      <c r="O600" s="7"/>
      <c r="P600" s="7"/>
      <c r="Q600" s="7"/>
      <c r="R600" s="7"/>
    </row>
    <row r="601" spans="2:18" ht="19.5" customHeight="1">
      <c r="B601" s="7"/>
      <c r="C601" s="7"/>
      <c r="D601" s="7"/>
      <c r="E601" s="7"/>
      <c r="F601" s="7"/>
      <c r="G601" s="7"/>
      <c r="H601" s="7"/>
      <c r="I601" s="7"/>
      <c r="J601" s="67"/>
      <c r="K601" s="67"/>
      <c r="L601" s="64"/>
      <c r="M601" s="7"/>
      <c r="N601" s="7"/>
      <c r="O601" s="7"/>
      <c r="P601" s="7"/>
      <c r="Q601" s="7"/>
      <c r="R601" s="7"/>
    </row>
    <row r="602" spans="2:18" ht="19.5" customHeight="1">
      <c r="B602" s="7"/>
      <c r="C602" s="7"/>
      <c r="D602" s="7"/>
      <c r="E602" s="7"/>
      <c r="F602" s="7"/>
      <c r="G602" s="7"/>
      <c r="H602" s="7"/>
      <c r="I602" s="7"/>
      <c r="J602" s="67"/>
      <c r="K602" s="67"/>
      <c r="L602" s="64"/>
      <c r="M602" s="7"/>
      <c r="N602" s="7"/>
      <c r="O602" s="7"/>
      <c r="P602" s="7"/>
      <c r="Q602" s="7"/>
      <c r="R602" s="7"/>
    </row>
    <row r="603" spans="2:18" ht="19.5" customHeight="1">
      <c r="B603" s="7"/>
      <c r="C603" s="7"/>
      <c r="D603" s="7"/>
      <c r="E603" s="7"/>
      <c r="F603" s="7"/>
      <c r="G603" s="7"/>
      <c r="H603" s="7"/>
      <c r="I603" s="7"/>
      <c r="J603" s="67"/>
      <c r="K603" s="67"/>
      <c r="L603" s="64"/>
      <c r="M603" s="7"/>
      <c r="N603" s="7"/>
      <c r="O603" s="7"/>
      <c r="P603" s="7"/>
      <c r="Q603" s="7"/>
      <c r="R603" s="7"/>
    </row>
    <row r="604" spans="2:18" ht="19.5" customHeight="1">
      <c r="B604" s="7"/>
      <c r="C604" s="7"/>
      <c r="D604" s="7"/>
      <c r="E604" s="7"/>
      <c r="F604" s="7"/>
      <c r="G604" s="7"/>
      <c r="H604" s="7"/>
      <c r="I604" s="7"/>
      <c r="J604" s="67"/>
      <c r="K604" s="67"/>
      <c r="L604" s="64"/>
      <c r="M604" s="7"/>
      <c r="N604" s="7"/>
      <c r="O604" s="7"/>
      <c r="P604" s="7"/>
      <c r="Q604" s="7"/>
      <c r="R604" s="7"/>
    </row>
    <row r="605" spans="2:18" ht="19.5" customHeight="1">
      <c r="B605" s="7"/>
      <c r="C605" s="7"/>
      <c r="D605" s="7"/>
      <c r="E605" s="7"/>
      <c r="F605" s="7"/>
      <c r="G605" s="7"/>
      <c r="H605" s="7"/>
      <c r="I605" s="7"/>
      <c r="J605" s="67"/>
      <c r="K605" s="67"/>
      <c r="L605" s="64"/>
      <c r="M605" s="7"/>
      <c r="N605" s="7"/>
      <c r="O605" s="7"/>
      <c r="P605" s="7"/>
      <c r="Q605" s="7"/>
      <c r="R605" s="7"/>
    </row>
    <row r="606" spans="2:18" ht="19.5" customHeight="1">
      <c r="B606" s="7"/>
      <c r="C606" s="7"/>
      <c r="D606" s="7"/>
      <c r="E606" s="7"/>
      <c r="F606" s="7"/>
      <c r="G606" s="7"/>
      <c r="H606" s="7"/>
      <c r="I606" s="7"/>
      <c r="J606" s="67"/>
      <c r="K606" s="67"/>
      <c r="L606" s="64"/>
      <c r="M606" s="7"/>
      <c r="N606" s="7"/>
      <c r="O606" s="7"/>
      <c r="P606" s="7"/>
      <c r="Q606" s="7"/>
      <c r="R606" s="7"/>
    </row>
    <row r="607" spans="2:18" ht="19.5" customHeight="1">
      <c r="B607" s="7"/>
      <c r="C607" s="7"/>
      <c r="D607" s="7"/>
      <c r="E607" s="7"/>
      <c r="F607" s="7"/>
      <c r="G607" s="7"/>
      <c r="H607" s="7"/>
      <c r="I607" s="7"/>
      <c r="J607" s="67"/>
      <c r="K607" s="67"/>
      <c r="L607" s="64"/>
      <c r="M607" s="7"/>
      <c r="N607" s="7"/>
      <c r="O607" s="7"/>
      <c r="P607" s="7"/>
      <c r="Q607" s="7"/>
      <c r="R607" s="7"/>
    </row>
    <row r="608" spans="2:18" ht="19.5" customHeight="1">
      <c r="B608" s="7"/>
      <c r="C608" s="7"/>
      <c r="D608" s="7"/>
      <c r="E608" s="7"/>
      <c r="F608" s="7"/>
      <c r="G608" s="7"/>
      <c r="H608" s="7"/>
      <c r="I608" s="7"/>
      <c r="J608" s="67"/>
      <c r="K608" s="67"/>
      <c r="L608" s="64"/>
      <c r="M608" s="7"/>
      <c r="N608" s="7"/>
      <c r="O608" s="7"/>
      <c r="P608" s="7"/>
      <c r="Q608" s="7"/>
      <c r="R608" s="7"/>
    </row>
    <row r="609" spans="2:18" ht="19.5" customHeight="1">
      <c r="B609" s="7"/>
      <c r="C609" s="7"/>
      <c r="D609" s="7"/>
      <c r="E609" s="7"/>
      <c r="F609" s="7"/>
      <c r="G609" s="7"/>
      <c r="H609" s="7"/>
      <c r="I609" s="7"/>
      <c r="J609" s="67"/>
      <c r="K609" s="67"/>
      <c r="L609" s="64"/>
      <c r="M609" s="7"/>
      <c r="N609" s="7"/>
      <c r="O609" s="7"/>
      <c r="P609" s="7"/>
      <c r="Q609" s="7"/>
      <c r="R609" s="7"/>
    </row>
    <row r="610" spans="2:18" ht="19.5" customHeight="1">
      <c r="B610" s="7"/>
      <c r="C610" s="7"/>
      <c r="D610" s="7"/>
      <c r="E610" s="7"/>
      <c r="F610" s="7"/>
      <c r="G610" s="7"/>
      <c r="H610" s="7"/>
      <c r="I610" s="7"/>
      <c r="J610" s="67"/>
      <c r="K610" s="67"/>
      <c r="L610" s="64"/>
      <c r="M610" s="7"/>
      <c r="N610" s="7"/>
      <c r="O610" s="7"/>
      <c r="P610" s="7"/>
      <c r="Q610" s="7"/>
      <c r="R610" s="7"/>
    </row>
    <row r="611" spans="2:18" ht="19.5" customHeight="1">
      <c r="B611" s="7"/>
      <c r="C611" s="7"/>
      <c r="D611" s="7"/>
      <c r="E611" s="7"/>
      <c r="F611" s="7"/>
      <c r="G611" s="7"/>
      <c r="H611" s="7"/>
      <c r="I611" s="7"/>
      <c r="J611" s="67"/>
      <c r="K611" s="67"/>
      <c r="L611" s="64"/>
      <c r="M611" s="7"/>
      <c r="N611" s="7"/>
      <c r="O611" s="7"/>
      <c r="P611" s="7"/>
      <c r="Q611" s="7"/>
      <c r="R611" s="7"/>
    </row>
    <row r="612" spans="2:18" ht="19.5" customHeight="1">
      <c r="B612" s="7"/>
      <c r="C612" s="7"/>
      <c r="D612" s="7"/>
      <c r="E612" s="7"/>
      <c r="F612" s="7"/>
      <c r="G612" s="7"/>
      <c r="H612" s="7"/>
      <c r="I612" s="7"/>
      <c r="J612" s="67"/>
      <c r="K612" s="67"/>
      <c r="L612" s="64"/>
      <c r="M612" s="7"/>
      <c r="N612" s="7"/>
      <c r="O612" s="7"/>
      <c r="P612" s="7"/>
      <c r="Q612" s="7"/>
      <c r="R612" s="7"/>
    </row>
    <row r="613" spans="2:18" ht="19.5" customHeight="1">
      <c r="B613" s="7"/>
      <c r="C613" s="7"/>
      <c r="D613" s="7"/>
      <c r="E613" s="7"/>
      <c r="F613" s="7"/>
      <c r="G613" s="7"/>
      <c r="H613" s="7"/>
      <c r="I613" s="7"/>
      <c r="J613" s="67"/>
      <c r="K613" s="67"/>
      <c r="L613" s="64"/>
      <c r="M613" s="7"/>
      <c r="N613" s="7"/>
      <c r="O613" s="7"/>
      <c r="P613" s="7"/>
      <c r="Q613" s="7"/>
      <c r="R613" s="7"/>
    </row>
    <row r="614" spans="2:18" ht="19.5" customHeight="1">
      <c r="B614" s="7"/>
      <c r="C614" s="7"/>
      <c r="D614" s="7"/>
      <c r="E614" s="7"/>
      <c r="F614" s="7"/>
      <c r="G614" s="7"/>
      <c r="H614" s="7"/>
      <c r="I614" s="7"/>
      <c r="J614" s="67"/>
      <c r="K614" s="67"/>
      <c r="L614" s="64"/>
      <c r="M614" s="7"/>
      <c r="N614" s="7"/>
      <c r="O614" s="7"/>
      <c r="P614" s="7"/>
      <c r="Q614" s="7"/>
      <c r="R614" s="7"/>
    </row>
    <row r="615" spans="2:18" ht="19.5" customHeight="1">
      <c r="B615" s="7"/>
      <c r="C615" s="7"/>
      <c r="D615" s="7"/>
      <c r="E615" s="7"/>
      <c r="F615" s="7"/>
      <c r="G615" s="7"/>
      <c r="H615" s="7"/>
      <c r="I615" s="7"/>
      <c r="J615" s="67"/>
      <c r="K615" s="67"/>
      <c r="L615" s="64"/>
      <c r="M615" s="7"/>
      <c r="N615" s="7"/>
      <c r="O615" s="7"/>
      <c r="P615" s="7"/>
      <c r="Q615" s="7"/>
      <c r="R615" s="7"/>
    </row>
    <row r="616" spans="2:18" ht="19.5" customHeight="1">
      <c r="B616" s="7"/>
      <c r="C616" s="7"/>
      <c r="D616" s="7"/>
      <c r="E616" s="7"/>
      <c r="F616" s="7"/>
      <c r="G616" s="7"/>
      <c r="H616" s="7"/>
      <c r="I616" s="7"/>
      <c r="J616" s="67"/>
      <c r="K616" s="67"/>
      <c r="L616" s="64"/>
      <c r="M616" s="7"/>
      <c r="N616" s="7"/>
      <c r="O616" s="7"/>
      <c r="P616" s="7"/>
      <c r="Q616" s="7"/>
      <c r="R616" s="7"/>
    </row>
    <row r="617" spans="2:18" ht="19.5" customHeight="1">
      <c r="B617" s="7"/>
      <c r="C617" s="7"/>
      <c r="D617" s="7"/>
      <c r="E617" s="7"/>
      <c r="F617" s="7"/>
      <c r="G617" s="7"/>
      <c r="H617" s="7"/>
      <c r="I617" s="7"/>
      <c r="J617" s="67"/>
      <c r="K617" s="67"/>
      <c r="L617" s="64"/>
      <c r="M617" s="7"/>
      <c r="N617" s="7"/>
      <c r="O617" s="7"/>
      <c r="P617" s="7"/>
      <c r="Q617" s="7"/>
      <c r="R617" s="7"/>
    </row>
    <row r="618" spans="2:18" ht="19.5" customHeight="1">
      <c r="B618" s="7"/>
      <c r="C618" s="7"/>
      <c r="D618" s="7"/>
      <c r="E618" s="7"/>
      <c r="F618" s="7"/>
      <c r="G618" s="7"/>
      <c r="H618" s="7"/>
      <c r="I618" s="7"/>
      <c r="J618" s="67"/>
      <c r="K618" s="67"/>
      <c r="L618" s="64"/>
      <c r="M618" s="7"/>
      <c r="N618" s="7"/>
      <c r="O618" s="7"/>
      <c r="P618" s="7"/>
      <c r="Q618" s="7"/>
      <c r="R618" s="7"/>
    </row>
    <row r="619" spans="2:18" ht="19.5" customHeight="1">
      <c r="B619" s="7"/>
      <c r="C619" s="7"/>
      <c r="D619" s="7"/>
      <c r="E619" s="7"/>
      <c r="F619" s="7"/>
      <c r="G619" s="7"/>
      <c r="H619" s="7"/>
      <c r="I619" s="7"/>
      <c r="J619" s="67"/>
      <c r="K619" s="67"/>
      <c r="L619" s="64"/>
      <c r="M619" s="7"/>
      <c r="N619" s="7"/>
      <c r="O619" s="7"/>
      <c r="P619" s="7"/>
      <c r="Q619" s="7"/>
      <c r="R619" s="7"/>
    </row>
    <row r="620" spans="2:18" ht="19.5" customHeight="1">
      <c r="B620" s="7"/>
      <c r="C620" s="7"/>
      <c r="D620" s="7"/>
      <c r="E620" s="7"/>
      <c r="F620" s="7"/>
      <c r="G620" s="7"/>
      <c r="H620" s="7"/>
      <c r="I620" s="7"/>
      <c r="J620" s="67"/>
      <c r="K620" s="67"/>
      <c r="L620" s="64"/>
      <c r="M620" s="7"/>
      <c r="N620" s="7"/>
      <c r="O620" s="7"/>
      <c r="P620" s="7"/>
      <c r="Q620" s="7"/>
      <c r="R620" s="7"/>
    </row>
    <row r="621" spans="2:18" ht="19.5" customHeight="1">
      <c r="B621" s="7"/>
      <c r="C621" s="7"/>
      <c r="D621" s="7"/>
      <c r="E621" s="7"/>
      <c r="F621" s="7"/>
      <c r="G621" s="7"/>
      <c r="H621" s="7"/>
      <c r="I621" s="7"/>
      <c r="J621" s="67"/>
      <c r="K621" s="67"/>
      <c r="L621" s="64"/>
      <c r="M621" s="7"/>
      <c r="N621" s="7"/>
      <c r="O621" s="7"/>
      <c r="P621" s="7"/>
      <c r="Q621" s="7"/>
      <c r="R621" s="7"/>
    </row>
    <row r="622" spans="2:18" ht="19.5" customHeight="1">
      <c r="B622" s="7"/>
      <c r="C622" s="7"/>
      <c r="D622" s="7"/>
      <c r="E622" s="7"/>
      <c r="F622" s="7"/>
      <c r="G622" s="7"/>
      <c r="H622" s="7"/>
      <c r="I622" s="7"/>
      <c r="J622" s="67"/>
      <c r="K622" s="67"/>
      <c r="L622" s="64"/>
      <c r="M622" s="7"/>
      <c r="N622" s="7"/>
      <c r="O622" s="7"/>
      <c r="P622" s="7"/>
      <c r="Q622" s="7"/>
      <c r="R622" s="7"/>
    </row>
    <row r="623" spans="2:18" ht="19.5" customHeight="1">
      <c r="B623" s="7"/>
      <c r="C623" s="7"/>
      <c r="D623" s="7"/>
      <c r="E623" s="7"/>
      <c r="F623" s="7"/>
      <c r="G623" s="7"/>
      <c r="H623" s="7"/>
      <c r="I623" s="7"/>
      <c r="J623" s="67"/>
      <c r="K623" s="67"/>
      <c r="L623" s="64"/>
      <c r="M623" s="7"/>
      <c r="N623" s="7"/>
      <c r="O623" s="7"/>
      <c r="P623" s="7"/>
      <c r="Q623" s="7"/>
      <c r="R623" s="7"/>
    </row>
    <row r="624" spans="2:18" ht="19.5" customHeight="1">
      <c r="B624" s="7"/>
      <c r="C624" s="7"/>
      <c r="D624" s="7"/>
      <c r="E624" s="7"/>
      <c r="F624" s="7"/>
      <c r="G624" s="7"/>
      <c r="H624" s="7"/>
      <c r="I624" s="7"/>
      <c r="J624" s="67"/>
      <c r="K624" s="67"/>
      <c r="L624" s="64"/>
      <c r="M624" s="7"/>
      <c r="N624" s="7"/>
      <c r="O624" s="7"/>
      <c r="P624" s="7"/>
      <c r="Q624" s="7"/>
      <c r="R624" s="7"/>
    </row>
    <row r="625" spans="2:18" ht="19.5" customHeight="1">
      <c r="B625" s="7"/>
      <c r="C625" s="7"/>
      <c r="D625" s="7"/>
      <c r="E625" s="7"/>
      <c r="F625" s="7"/>
      <c r="G625" s="7"/>
      <c r="H625" s="7"/>
      <c r="I625" s="7"/>
      <c r="J625" s="67"/>
      <c r="K625" s="67"/>
      <c r="L625" s="64"/>
      <c r="M625" s="7"/>
      <c r="N625" s="7"/>
      <c r="O625" s="7"/>
      <c r="P625" s="7"/>
      <c r="Q625" s="7"/>
      <c r="R625" s="7"/>
    </row>
    <row r="626" spans="2:18" ht="19.5" customHeight="1">
      <c r="B626" s="7"/>
      <c r="C626" s="7"/>
      <c r="D626" s="7"/>
      <c r="E626" s="7"/>
      <c r="F626" s="7"/>
      <c r="G626" s="7"/>
      <c r="H626" s="7"/>
      <c r="I626" s="7"/>
      <c r="J626" s="67"/>
      <c r="K626" s="67"/>
      <c r="L626" s="64"/>
      <c r="M626" s="7"/>
      <c r="N626" s="7"/>
      <c r="O626" s="7"/>
      <c r="P626" s="7"/>
      <c r="Q626" s="7"/>
      <c r="R626" s="7"/>
    </row>
    <row r="627" spans="2:18" ht="19.5" customHeight="1">
      <c r="B627" s="7"/>
      <c r="C627" s="7"/>
      <c r="D627" s="7"/>
      <c r="E627" s="7"/>
      <c r="F627" s="7"/>
      <c r="G627" s="7"/>
      <c r="H627" s="7"/>
      <c r="I627" s="7"/>
      <c r="J627" s="67"/>
      <c r="K627" s="67"/>
      <c r="L627" s="64"/>
      <c r="M627" s="7"/>
      <c r="N627" s="7"/>
      <c r="O627" s="7"/>
      <c r="P627" s="7"/>
      <c r="Q627" s="7"/>
      <c r="R627" s="7"/>
    </row>
    <row r="628" spans="2:18" ht="19.5" customHeight="1">
      <c r="B628" s="7"/>
      <c r="C628" s="7"/>
      <c r="D628" s="7"/>
      <c r="E628" s="7"/>
      <c r="F628" s="7"/>
      <c r="G628" s="7"/>
      <c r="H628" s="7"/>
      <c r="I628" s="7"/>
      <c r="J628" s="67"/>
      <c r="K628" s="67"/>
      <c r="L628" s="64"/>
      <c r="M628" s="7"/>
      <c r="N628" s="7"/>
      <c r="O628" s="7"/>
      <c r="P628" s="7"/>
      <c r="Q628" s="7"/>
      <c r="R628" s="7"/>
    </row>
    <row r="629" spans="2:18" ht="19.5" customHeight="1">
      <c r="B629" s="7"/>
      <c r="C629" s="7"/>
      <c r="D629" s="7"/>
      <c r="E629" s="7"/>
      <c r="F629" s="7"/>
      <c r="G629" s="7"/>
      <c r="H629" s="7"/>
      <c r="I629" s="7"/>
      <c r="J629" s="67"/>
      <c r="K629" s="67"/>
      <c r="L629" s="64"/>
      <c r="M629" s="7"/>
      <c r="N629" s="7"/>
      <c r="O629" s="7"/>
      <c r="P629" s="7"/>
      <c r="Q629" s="7"/>
      <c r="R629" s="7"/>
    </row>
    <row r="630" spans="2:18" ht="19.5" customHeight="1">
      <c r="B630" s="7"/>
      <c r="C630" s="7"/>
      <c r="D630" s="7"/>
      <c r="E630" s="7"/>
      <c r="F630" s="7"/>
      <c r="G630" s="7"/>
      <c r="H630" s="7"/>
      <c r="I630" s="7"/>
      <c r="J630" s="67"/>
      <c r="K630" s="67"/>
      <c r="L630" s="64"/>
      <c r="M630" s="7"/>
      <c r="N630" s="7"/>
      <c r="O630" s="7"/>
      <c r="P630" s="7"/>
      <c r="Q630" s="7"/>
      <c r="R630" s="7"/>
    </row>
    <row r="631" spans="2:18" ht="19.5" customHeight="1">
      <c r="B631" s="7"/>
      <c r="C631" s="7"/>
      <c r="D631" s="7"/>
      <c r="E631" s="7"/>
      <c r="F631" s="7"/>
      <c r="G631" s="7"/>
      <c r="H631" s="7"/>
      <c r="I631" s="7"/>
      <c r="J631" s="67"/>
      <c r="K631" s="67"/>
      <c r="L631" s="64"/>
      <c r="M631" s="7"/>
      <c r="N631" s="7"/>
      <c r="O631" s="7"/>
      <c r="P631" s="7"/>
      <c r="Q631" s="7"/>
      <c r="R631" s="7"/>
    </row>
    <row r="632" spans="2:18" ht="19.5" customHeight="1">
      <c r="B632" s="7"/>
      <c r="C632" s="7"/>
      <c r="D632" s="7"/>
      <c r="E632" s="7"/>
      <c r="F632" s="7"/>
      <c r="G632" s="7"/>
      <c r="H632" s="7"/>
      <c r="I632" s="7"/>
      <c r="J632" s="67"/>
      <c r="K632" s="67"/>
      <c r="L632" s="64"/>
      <c r="M632" s="7"/>
      <c r="N632" s="7"/>
      <c r="O632" s="7"/>
      <c r="P632" s="7"/>
      <c r="Q632" s="7"/>
      <c r="R632" s="7"/>
    </row>
    <row r="633" spans="2:18" ht="19.5" customHeight="1">
      <c r="B633" s="7"/>
      <c r="C633" s="7"/>
      <c r="D633" s="7"/>
      <c r="E633" s="7"/>
      <c r="F633" s="7"/>
      <c r="G633" s="7"/>
      <c r="H633" s="7"/>
      <c r="I633" s="7"/>
      <c r="J633" s="67"/>
      <c r="K633" s="67"/>
      <c r="L633" s="64"/>
      <c r="M633" s="7"/>
      <c r="N633" s="7"/>
      <c r="O633" s="7"/>
      <c r="P633" s="7"/>
      <c r="Q633" s="7"/>
      <c r="R633" s="7"/>
    </row>
    <row r="634" spans="2:18" ht="19.5" customHeight="1">
      <c r="B634" s="7"/>
      <c r="C634" s="7"/>
      <c r="D634" s="7"/>
      <c r="E634" s="7"/>
      <c r="F634" s="7"/>
      <c r="G634" s="7"/>
      <c r="H634" s="7"/>
      <c r="I634" s="7"/>
      <c r="J634" s="67"/>
      <c r="K634" s="67"/>
      <c r="L634" s="64"/>
      <c r="M634" s="7"/>
      <c r="N634" s="7"/>
      <c r="O634" s="7"/>
      <c r="P634" s="7"/>
      <c r="Q634" s="7"/>
      <c r="R634" s="7"/>
    </row>
    <row r="635" spans="2:18" ht="19.5" customHeight="1">
      <c r="B635" s="7"/>
      <c r="C635" s="7"/>
      <c r="D635" s="7"/>
      <c r="E635" s="7"/>
      <c r="F635" s="7"/>
      <c r="G635" s="7"/>
      <c r="H635" s="7"/>
      <c r="I635" s="7"/>
      <c r="J635" s="67"/>
      <c r="K635" s="67"/>
      <c r="L635" s="64"/>
      <c r="M635" s="7"/>
      <c r="N635" s="7"/>
      <c r="O635" s="7"/>
      <c r="P635" s="7"/>
      <c r="Q635" s="7"/>
      <c r="R635" s="7"/>
    </row>
    <row r="636" spans="2:18" ht="19.5" customHeight="1">
      <c r="B636" s="7"/>
      <c r="C636" s="7"/>
      <c r="D636" s="7"/>
      <c r="E636" s="7"/>
      <c r="F636" s="7"/>
      <c r="G636" s="7"/>
      <c r="H636" s="7"/>
      <c r="I636" s="7"/>
      <c r="J636" s="67"/>
      <c r="K636" s="67"/>
      <c r="L636" s="64"/>
      <c r="M636" s="7"/>
      <c r="N636" s="7"/>
      <c r="O636" s="7"/>
      <c r="P636" s="7"/>
      <c r="Q636" s="7"/>
      <c r="R636" s="7"/>
    </row>
    <row r="637" spans="2:18" ht="19.5" customHeight="1">
      <c r="B637" s="7"/>
      <c r="C637" s="7"/>
      <c r="D637" s="7"/>
      <c r="E637" s="7"/>
      <c r="F637" s="7"/>
      <c r="G637" s="7"/>
      <c r="H637" s="7"/>
      <c r="I637" s="7"/>
      <c r="J637" s="67"/>
      <c r="K637" s="67"/>
      <c r="L637" s="64"/>
      <c r="M637" s="7"/>
      <c r="N637" s="7"/>
      <c r="O637" s="7"/>
      <c r="P637" s="7"/>
      <c r="Q637" s="7"/>
      <c r="R637" s="7"/>
    </row>
    <row r="638" spans="2:18" ht="19.5" customHeight="1">
      <c r="B638" s="7"/>
      <c r="C638" s="7"/>
      <c r="D638" s="7"/>
      <c r="E638" s="7"/>
      <c r="F638" s="7"/>
      <c r="G638" s="7"/>
      <c r="H638" s="7"/>
      <c r="I638" s="7"/>
      <c r="J638" s="67"/>
      <c r="K638" s="67"/>
      <c r="L638" s="64"/>
      <c r="M638" s="7"/>
      <c r="N638" s="7"/>
      <c r="O638" s="7"/>
      <c r="P638" s="7"/>
      <c r="Q638" s="7"/>
      <c r="R638" s="7"/>
    </row>
    <row r="639" spans="2:18" ht="19.5" customHeight="1">
      <c r="B639" s="7"/>
      <c r="C639" s="7"/>
      <c r="D639" s="7"/>
      <c r="E639" s="7"/>
      <c r="F639" s="7"/>
      <c r="G639" s="7"/>
      <c r="H639" s="7"/>
      <c r="I639" s="7"/>
      <c r="J639" s="67"/>
      <c r="K639" s="67"/>
      <c r="L639" s="64"/>
      <c r="M639" s="7"/>
      <c r="N639" s="7"/>
      <c r="O639" s="7"/>
      <c r="P639" s="7"/>
      <c r="Q639" s="7"/>
      <c r="R639" s="7"/>
    </row>
    <row r="640" spans="2:18" ht="19.5" customHeight="1">
      <c r="B640" s="7"/>
      <c r="C640" s="7"/>
      <c r="D640" s="7"/>
      <c r="E640" s="7"/>
      <c r="F640" s="7"/>
      <c r="G640" s="7"/>
      <c r="H640" s="7"/>
      <c r="I640" s="7"/>
      <c r="J640" s="67"/>
      <c r="K640" s="67"/>
      <c r="L640" s="64"/>
      <c r="M640" s="7"/>
      <c r="N640" s="7"/>
      <c r="O640" s="7"/>
      <c r="P640" s="7"/>
      <c r="Q640" s="7"/>
      <c r="R640" s="7"/>
    </row>
    <row r="641" spans="2:18" ht="19.5" customHeight="1">
      <c r="B641" s="7"/>
      <c r="C641" s="7"/>
      <c r="D641" s="7"/>
      <c r="E641" s="7"/>
      <c r="F641" s="7"/>
      <c r="G641" s="7"/>
      <c r="H641" s="7"/>
      <c r="I641" s="7"/>
      <c r="J641" s="67"/>
      <c r="K641" s="67"/>
      <c r="L641" s="64"/>
      <c r="M641" s="7"/>
      <c r="N641" s="7"/>
      <c r="O641" s="7"/>
      <c r="P641" s="7"/>
      <c r="Q641" s="7"/>
      <c r="R641" s="7"/>
    </row>
    <row r="642" spans="2:18" ht="19.5" customHeight="1">
      <c r="B642" s="7"/>
      <c r="C642" s="7"/>
      <c r="D642" s="7"/>
      <c r="E642" s="7"/>
      <c r="F642" s="7"/>
      <c r="G642" s="7"/>
      <c r="H642" s="7"/>
      <c r="I642" s="7"/>
      <c r="J642" s="67"/>
      <c r="K642" s="67"/>
      <c r="L642" s="64"/>
      <c r="M642" s="7"/>
      <c r="N642" s="7"/>
      <c r="O642" s="7"/>
      <c r="P642" s="7"/>
      <c r="Q642" s="7"/>
      <c r="R642" s="7"/>
    </row>
    <row r="643" spans="2:18" ht="19.5" customHeight="1">
      <c r="B643" s="7"/>
      <c r="C643" s="7"/>
      <c r="D643" s="7"/>
      <c r="E643" s="7"/>
      <c r="F643" s="7"/>
      <c r="G643" s="7"/>
      <c r="H643" s="7"/>
      <c r="I643" s="7"/>
      <c r="J643" s="67"/>
      <c r="K643" s="67"/>
      <c r="L643" s="64"/>
      <c r="M643" s="7"/>
      <c r="N643" s="7"/>
      <c r="O643" s="7"/>
      <c r="P643" s="7"/>
      <c r="Q643" s="7"/>
      <c r="R643" s="7"/>
    </row>
    <row r="644" spans="2:18" ht="19.5" customHeight="1">
      <c r="B644" s="7"/>
      <c r="C644" s="7"/>
      <c r="D644" s="7"/>
      <c r="E644" s="7"/>
      <c r="F644" s="7"/>
      <c r="G644" s="7"/>
      <c r="H644" s="7"/>
      <c r="I644" s="7"/>
      <c r="J644" s="67"/>
      <c r="K644" s="67"/>
      <c r="L644" s="64"/>
      <c r="M644" s="7"/>
      <c r="N644" s="7"/>
      <c r="O644" s="7"/>
      <c r="P644" s="7"/>
      <c r="Q644" s="7"/>
      <c r="R644" s="7"/>
    </row>
    <row r="645" spans="2:18" ht="19.5" customHeight="1">
      <c r="B645" s="7"/>
      <c r="C645" s="7"/>
      <c r="D645" s="7"/>
      <c r="E645" s="7"/>
      <c r="F645" s="7"/>
      <c r="G645" s="7"/>
      <c r="H645" s="7"/>
      <c r="I645" s="7"/>
      <c r="J645" s="67"/>
      <c r="K645" s="67"/>
      <c r="L645" s="64"/>
      <c r="M645" s="7"/>
      <c r="N645" s="7"/>
      <c r="O645" s="7"/>
      <c r="P645" s="7"/>
      <c r="Q645" s="7"/>
      <c r="R645" s="7"/>
    </row>
    <row r="646" spans="2:18" ht="19.5" customHeight="1">
      <c r="B646" s="7"/>
      <c r="C646" s="7"/>
      <c r="D646" s="7"/>
      <c r="E646" s="7"/>
      <c r="F646" s="7"/>
      <c r="G646" s="7"/>
      <c r="H646" s="7"/>
      <c r="I646" s="7"/>
      <c r="J646" s="67"/>
      <c r="K646" s="67"/>
      <c r="L646" s="64"/>
      <c r="M646" s="7"/>
      <c r="N646" s="7"/>
      <c r="O646" s="7"/>
      <c r="P646" s="7"/>
      <c r="Q646" s="7"/>
      <c r="R646" s="7"/>
    </row>
    <row r="647" spans="2:18" ht="19.5" customHeight="1">
      <c r="B647" s="7"/>
      <c r="C647" s="7"/>
      <c r="D647" s="7"/>
      <c r="E647" s="7"/>
      <c r="F647" s="7"/>
      <c r="G647" s="7"/>
      <c r="H647" s="7"/>
      <c r="I647" s="7"/>
      <c r="J647" s="67"/>
      <c r="K647" s="67"/>
      <c r="L647" s="64"/>
      <c r="M647" s="7"/>
      <c r="N647" s="7"/>
      <c r="O647" s="7"/>
      <c r="P647" s="7"/>
      <c r="Q647" s="7"/>
      <c r="R647" s="7"/>
    </row>
    <row r="648" spans="2:18" ht="19.5" customHeight="1">
      <c r="B648" s="7"/>
      <c r="C648" s="7"/>
      <c r="D648" s="7"/>
      <c r="E648" s="7"/>
      <c r="F648" s="7"/>
      <c r="G648" s="7"/>
      <c r="H648" s="7"/>
      <c r="I648" s="7"/>
      <c r="J648" s="67"/>
      <c r="K648" s="67"/>
      <c r="L648" s="64"/>
      <c r="M648" s="7"/>
      <c r="N648" s="7"/>
      <c r="O648" s="7"/>
      <c r="P648" s="7"/>
      <c r="Q648" s="7"/>
      <c r="R648" s="7"/>
    </row>
    <row r="649" spans="2:18" ht="19.5" customHeight="1">
      <c r="B649" s="7"/>
      <c r="C649" s="7"/>
      <c r="D649" s="7"/>
      <c r="E649" s="7"/>
      <c r="F649" s="7"/>
      <c r="G649" s="7"/>
      <c r="H649" s="7"/>
      <c r="I649" s="7"/>
      <c r="J649" s="67"/>
      <c r="K649" s="67"/>
      <c r="L649" s="64"/>
      <c r="M649" s="7"/>
      <c r="N649" s="7"/>
      <c r="O649" s="7"/>
      <c r="P649" s="7"/>
      <c r="Q649" s="7"/>
      <c r="R649" s="7"/>
    </row>
    <row r="650" spans="2:18" ht="19.5" customHeight="1">
      <c r="B650" s="7"/>
      <c r="C650" s="7"/>
      <c r="D650" s="7"/>
      <c r="E650" s="7"/>
      <c r="F650" s="7"/>
      <c r="G650" s="7"/>
      <c r="H650" s="7"/>
      <c r="I650" s="7"/>
      <c r="J650" s="67"/>
      <c r="K650" s="67"/>
      <c r="L650" s="64"/>
      <c r="M650" s="7"/>
      <c r="N650" s="7"/>
      <c r="O650" s="7"/>
      <c r="P650" s="7"/>
      <c r="Q650" s="7"/>
      <c r="R650" s="7"/>
    </row>
    <row r="651" spans="2:18" ht="19.5" customHeight="1">
      <c r="B651" s="7"/>
      <c r="C651" s="7"/>
      <c r="D651" s="7"/>
      <c r="E651" s="7"/>
      <c r="F651" s="7"/>
      <c r="G651" s="7"/>
      <c r="H651" s="7"/>
      <c r="I651" s="7"/>
      <c r="J651" s="67"/>
      <c r="K651" s="67"/>
      <c r="L651" s="64"/>
      <c r="M651" s="7"/>
      <c r="N651" s="7"/>
      <c r="O651" s="7"/>
      <c r="P651" s="7"/>
      <c r="Q651" s="7"/>
      <c r="R651" s="7"/>
    </row>
    <row r="652" spans="2:18" ht="19.5" customHeight="1">
      <c r="B652" s="7"/>
      <c r="C652" s="7"/>
      <c r="D652" s="7"/>
      <c r="E652" s="7"/>
      <c r="F652" s="7"/>
      <c r="G652" s="7"/>
      <c r="H652" s="7"/>
      <c r="I652" s="7"/>
      <c r="J652" s="67"/>
      <c r="K652" s="67"/>
      <c r="L652" s="64"/>
      <c r="M652" s="7"/>
      <c r="N652" s="7"/>
      <c r="O652" s="7"/>
      <c r="P652" s="7"/>
      <c r="Q652" s="7"/>
      <c r="R652" s="7"/>
    </row>
    <row r="653" spans="2:18" ht="19.5" customHeight="1">
      <c r="B653" s="7"/>
      <c r="C653" s="7"/>
      <c r="D653" s="7"/>
      <c r="E653" s="7"/>
      <c r="F653" s="7"/>
      <c r="G653" s="7"/>
      <c r="H653" s="7"/>
      <c r="I653" s="7"/>
      <c r="J653" s="67"/>
      <c r="K653" s="67"/>
      <c r="L653" s="64"/>
      <c r="M653" s="7"/>
      <c r="N653" s="7"/>
      <c r="O653" s="7"/>
      <c r="P653" s="7"/>
      <c r="Q653" s="7"/>
      <c r="R653" s="7"/>
    </row>
    <row r="654" spans="2:18" ht="19.5" customHeight="1">
      <c r="B654" s="7"/>
      <c r="C654" s="7"/>
      <c r="D654" s="7"/>
      <c r="E654" s="7"/>
      <c r="F654" s="7"/>
      <c r="G654" s="7"/>
      <c r="H654" s="7"/>
      <c r="I654" s="7"/>
      <c r="J654" s="67"/>
      <c r="K654" s="67"/>
      <c r="L654" s="64"/>
      <c r="M654" s="7"/>
      <c r="N654" s="7"/>
      <c r="O654" s="7"/>
      <c r="P654" s="7"/>
      <c r="Q654" s="7"/>
      <c r="R654" s="7"/>
    </row>
    <row r="655" spans="2:18" ht="19.5" customHeight="1">
      <c r="B655" s="7"/>
      <c r="C655" s="7"/>
      <c r="D655" s="7"/>
      <c r="E655" s="7"/>
      <c r="F655" s="7"/>
      <c r="G655" s="7"/>
      <c r="H655" s="7"/>
      <c r="I655" s="7"/>
      <c r="J655" s="67"/>
      <c r="K655" s="67"/>
      <c r="L655" s="64"/>
      <c r="M655" s="7"/>
      <c r="N655" s="7"/>
      <c r="O655" s="7"/>
      <c r="P655" s="7"/>
      <c r="Q655" s="7"/>
      <c r="R655" s="7"/>
    </row>
    <row r="656" spans="2:18" ht="19.5" customHeight="1">
      <c r="B656" s="7"/>
      <c r="C656" s="7"/>
      <c r="D656" s="7"/>
      <c r="E656" s="7"/>
      <c r="F656" s="7"/>
      <c r="G656" s="7"/>
      <c r="H656" s="7"/>
      <c r="I656" s="7"/>
      <c r="J656" s="67"/>
      <c r="K656" s="67"/>
      <c r="L656" s="64"/>
      <c r="M656" s="7"/>
      <c r="N656" s="7"/>
      <c r="O656" s="7"/>
      <c r="P656" s="7"/>
      <c r="Q656" s="7"/>
      <c r="R656" s="7"/>
    </row>
    <row r="657" spans="2:18" ht="19.5" customHeight="1">
      <c r="B657" s="7"/>
      <c r="C657" s="7"/>
      <c r="D657" s="7"/>
      <c r="E657" s="7"/>
      <c r="F657" s="7"/>
      <c r="G657" s="7"/>
      <c r="H657" s="7"/>
      <c r="I657" s="7"/>
      <c r="J657" s="67"/>
      <c r="K657" s="67"/>
      <c r="L657" s="64"/>
      <c r="M657" s="7"/>
      <c r="N657" s="7"/>
      <c r="O657" s="7"/>
      <c r="P657" s="7"/>
      <c r="Q657" s="7"/>
      <c r="R657" s="7"/>
    </row>
    <row r="658" spans="2:18" ht="19.5" customHeight="1">
      <c r="B658" s="7"/>
      <c r="C658" s="7"/>
      <c r="D658" s="7"/>
      <c r="E658" s="7"/>
      <c r="F658" s="7"/>
      <c r="G658" s="7"/>
      <c r="H658" s="7"/>
      <c r="I658" s="7"/>
      <c r="J658" s="67"/>
      <c r="K658" s="67"/>
      <c r="L658" s="64"/>
      <c r="M658" s="7"/>
      <c r="N658" s="7"/>
      <c r="O658" s="7"/>
      <c r="P658" s="7"/>
      <c r="Q658" s="7"/>
      <c r="R658" s="7"/>
    </row>
    <row r="659" spans="2:18" ht="19.5" customHeight="1">
      <c r="B659" s="7"/>
      <c r="C659" s="7"/>
      <c r="D659" s="7"/>
      <c r="E659" s="7"/>
      <c r="F659" s="7"/>
      <c r="G659" s="7"/>
      <c r="H659" s="7"/>
      <c r="I659" s="7"/>
      <c r="J659" s="67"/>
      <c r="K659" s="67"/>
      <c r="L659" s="64"/>
      <c r="M659" s="7"/>
      <c r="N659" s="7"/>
      <c r="O659" s="7"/>
      <c r="P659" s="7"/>
      <c r="Q659" s="7"/>
      <c r="R659" s="7"/>
    </row>
    <row r="660" spans="2:18" ht="19.5" customHeight="1">
      <c r="B660" s="7"/>
      <c r="C660" s="7"/>
      <c r="D660" s="7"/>
      <c r="E660" s="7"/>
      <c r="F660" s="7"/>
      <c r="G660" s="7"/>
      <c r="H660" s="7"/>
      <c r="I660" s="7"/>
      <c r="J660" s="67"/>
      <c r="K660" s="67"/>
      <c r="L660" s="64"/>
      <c r="M660" s="7"/>
      <c r="N660" s="7"/>
      <c r="O660" s="7"/>
      <c r="P660" s="7"/>
      <c r="Q660" s="7"/>
      <c r="R660" s="7"/>
    </row>
    <row r="661" spans="2:18" ht="19.5" customHeight="1">
      <c r="B661" s="7"/>
      <c r="C661" s="7"/>
      <c r="D661" s="7"/>
      <c r="E661" s="7"/>
      <c r="F661" s="7"/>
      <c r="G661" s="7"/>
      <c r="H661" s="7"/>
      <c r="I661" s="7"/>
      <c r="J661" s="67"/>
      <c r="K661" s="67"/>
      <c r="L661" s="64"/>
      <c r="M661" s="7"/>
      <c r="N661" s="7"/>
      <c r="O661" s="7"/>
      <c r="P661" s="7"/>
      <c r="Q661" s="7"/>
      <c r="R661" s="7"/>
    </row>
    <row r="662" spans="2:18" ht="19.5" customHeight="1">
      <c r="B662" s="7"/>
      <c r="C662" s="7"/>
      <c r="D662" s="7"/>
      <c r="E662" s="7"/>
      <c r="F662" s="7"/>
      <c r="G662" s="7"/>
      <c r="H662" s="7"/>
      <c r="I662" s="7"/>
      <c r="J662" s="67"/>
      <c r="K662" s="67"/>
      <c r="L662" s="64"/>
      <c r="M662" s="7"/>
      <c r="N662" s="7"/>
      <c r="O662" s="7"/>
      <c r="P662" s="7"/>
      <c r="Q662" s="7"/>
      <c r="R662" s="7"/>
    </row>
    <row r="663" spans="2:18" ht="19.5" customHeight="1">
      <c r="B663" s="7"/>
      <c r="C663" s="7"/>
      <c r="D663" s="7"/>
      <c r="E663" s="7"/>
      <c r="F663" s="7"/>
      <c r="G663" s="7"/>
      <c r="H663" s="7"/>
      <c r="I663" s="7"/>
      <c r="J663" s="67"/>
      <c r="K663" s="67"/>
      <c r="L663" s="64"/>
      <c r="M663" s="7"/>
      <c r="N663" s="7"/>
      <c r="O663" s="7"/>
      <c r="P663" s="7"/>
      <c r="Q663" s="7"/>
      <c r="R663" s="7"/>
    </row>
    <row r="664" spans="2:18" ht="19.5" customHeight="1">
      <c r="B664" s="7"/>
      <c r="C664" s="7"/>
      <c r="D664" s="7"/>
      <c r="E664" s="7"/>
      <c r="F664" s="7"/>
      <c r="G664" s="7"/>
      <c r="H664" s="7"/>
      <c r="I664" s="7"/>
      <c r="J664" s="67"/>
      <c r="K664" s="67"/>
      <c r="L664" s="64"/>
      <c r="M664" s="7"/>
      <c r="N664" s="7"/>
      <c r="O664" s="7"/>
      <c r="P664" s="7"/>
      <c r="Q664" s="7"/>
      <c r="R664" s="7"/>
    </row>
    <row r="665" spans="2:18" ht="19.5" customHeight="1">
      <c r="B665" s="7"/>
      <c r="C665" s="7"/>
      <c r="D665" s="7"/>
      <c r="E665" s="7"/>
      <c r="F665" s="7"/>
      <c r="G665" s="7"/>
      <c r="H665" s="7"/>
      <c r="I665" s="7"/>
      <c r="J665" s="67"/>
      <c r="K665" s="67"/>
      <c r="L665" s="64"/>
      <c r="M665" s="7"/>
      <c r="N665" s="7"/>
      <c r="O665" s="7"/>
      <c r="P665" s="7"/>
      <c r="Q665" s="7"/>
      <c r="R665" s="7"/>
    </row>
    <row r="666" spans="2:18" ht="19.5" customHeight="1">
      <c r="B666" s="7"/>
      <c r="C666" s="7"/>
      <c r="D666" s="7"/>
      <c r="E666" s="7"/>
      <c r="F666" s="7"/>
      <c r="G666" s="7"/>
      <c r="H666" s="7"/>
      <c r="I666" s="7"/>
      <c r="J666" s="67"/>
      <c r="K666" s="67"/>
      <c r="L666" s="64"/>
      <c r="M666" s="7"/>
      <c r="N666" s="7"/>
      <c r="O666" s="7"/>
      <c r="P666" s="7"/>
      <c r="Q666" s="7"/>
      <c r="R666" s="7"/>
    </row>
    <row r="667" spans="2:18" ht="19.5" customHeight="1">
      <c r="B667" s="7"/>
      <c r="C667" s="7"/>
      <c r="D667" s="7"/>
      <c r="E667" s="7"/>
      <c r="F667" s="7"/>
      <c r="G667" s="7"/>
      <c r="H667" s="7"/>
      <c r="I667" s="7"/>
      <c r="J667" s="67"/>
      <c r="K667" s="67"/>
      <c r="L667" s="64"/>
      <c r="M667" s="7"/>
      <c r="N667" s="7"/>
      <c r="O667" s="7"/>
      <c r="P667" s="7"/>
      <c r="Q667" s="7"/>
      <c r="R667" s="7"/>
    </row>
    <row r="668" spans="2:18" ht="19.5" customHeight="1">
      <c r="B668" s="7"/>
      <c r="C668" s="7"/>
      <c r="D668" s="7"/>
      <c r="E668" s="7"/>
      <c r="F668" s="7"/>
      <c r="G668" s="7"/>
      <c r="H668" s="7"/>
      <c r="I668" s="7"/>
      <c r="J668" s="67"/>
      <c r="K668" s="67"/>
      <c r="L668" s="64"/>
      <c r="M668" s="7"/>
      <c r="N668" s="7"/>
      <c r="O668" s="7"/>
      <c r="P668" s="7"/>
      <c r="Q668" s="7"/>
      <c r="R668" s="7"/>
    </row>
    <row r="669" spans="2:18" ht="19.5" customHeight="1">
      <c r="B669" s="7"/>
      <c r="C669" s="7"/>
      <c r="D669" s="7"/>
      <c r="E669" s="7"/>
      <c r="F669" s="7"/>
      <c r="G669" s="7"/>
      <c r="H669" s="7"/>
      <c r="I669" s="7"/>
      <c r="J669" s="67"/>
      <c r="K669" s="67"/>
      <c r="L669" s="64"/>
      <c r="M669" s="7"/>
      <c r="N669" s="7"/>
      <c r="O669" s="7"/>
      <c r="P669" s="7"/>
      <c r="Q669" s="7"/>
      <c r="R669" s="7"/>
    </row>
    <row r="670" spans="2:18" ht="19.5" customHeight="1">
      <c r="B670" s="7"/>
      <c r="C670" s="7"/>
      <c r="D670" s="7"/>
      <c r="E670" s="7"/>
      <c r="F670" s="7"/>
      <c r="G670" s="7"/>
      <c r="H670" s="7"/>
      <c r="I670" s="7"/>
      <c r="J670" s="67"/>
      <c r="K670" s="67"/>
      <c r="L670" s="64"/>
      <c r="M670" s="7"/>
      <c r="N670" s="7"/>
      <c r="O670" s="7"/>
      <c r="P670" s="7"/>
      <c r="Q670" s="7"/>
      <c r="R670" s="7"/>
    </row>
    <row r="671" spans="2:18" ht="19.5" customHeight="1">
      <c r="B671" s="7"/>
      <c r="C671" s="7"/>
      <c r="D671" s="7"/>
      <c r="E671" s="7"/>
      <c r="F671" s="7"/>
      <c r="G671" s="7"/>
      <c r="H671" s="7"/>
      <c r="I671" s="7"/>
      <c r="J671" s="67"/>
      <c r="K671" s="67"/>
      <c r="L671" s="64"/>
      <c r="M671" s="7"/>
      <c r="N671" s="7"/>
      <c r="O671" s="7"/>
      <c r="P671" s="7"/>
      <c r="Q671" s="7"/>
      <c r="R671" s="7"/>
    </row>
    <row r="672" spans="2:18" ht="19.5" customHeight="1">
      <c r="B672" s="7"/>
      <c r="C672" s="7"/>
      <c r="D672" s="7"/>
      <c r="E672" s="7"/>
      <c r="F672" s="7"/>
      <c r="G672" s="7"/>
      <c r="H672" s="7"/>
      <c r="I672" s="7"/>
      <c r="J672" s="67"/>
      <c r="K672" s="67"/>
      <c r="L672" s="64"/>
      <c r="M672" s="7"/>
      <c r="N672" s="7"/>
      <c r="O672" s="7"/>
      <c r="P672" s="7"/>
      <c r="Q672" s="7"/>
      <c r="R672" s="7"/>
    </row>
    <row r="673" spans="2:18" ht="19.5" customHeight="1">
      <c r="B673" s="7"/>
      <c r="C673" s="7"/>
      <c r="D673" s="7"/>
      <c r="E673" s="7"/>
      <c r="F673" s="7"/>
      <c r="G673" s="7"/>
      <c r="H673" s="7"/>
      <c r="I673" s="7"/>
      <c r="J673" s="67"/>
      <c r="K673" s="67"/>
      <c r="L673" s="64"/>
      <c r="M673" s="7"/>
      <c r="N673" s="7"/>
      <c r="O673" s="7"/>
      <c r="P673" s="7"/>
      <c r="Q673" s="7"/>
      <c r="R673" s="7"/>
    </row>
    <row r="674" spans="2:18" ht="19.5" customHeight="1">
      <c r="B674" s="7"/>
      <c r="C674" s="7"/>
      <c r="D674" s="7"/>
      <c r="E674" s="7"/>
      <c r="F674" s="7"/>
      <c r="G674" s="7"/>
      <c r="H674" s="7"/>
      <c r="I674" s="7"/>
      <c r="J674" s="67"/>
      <c r="K674" s="67"/>
      <c r="L674" s="64"/>
      <c r="M674" s="7"/>
      <c r="N674" s="7"/>
      <c r="O674" s="7"/>
      <c r="P674" s="7"/>
      <c r="Q674" s="7"/>
      <c r="R674" s="7"/>
    </row>
    <row r="675" spans="2:18" ht="19.5" customHeight="1">
      <c r="B675" s="7"/>
      <c r="C675" s="7"/>
      <c r="D675" s="7"/>
      <c r="E675" s="7"/>
      <c r="F675" s="7"/>
      <c r="G675" s="7"/>
      <c r="H675" s="7"/>
      <c r="I675" s="7"/>
      <c r="J675" s="67"/>
      <c r="K675" s="67"/>
      <c r="L675" s="64"/>
      <c r="M675" s="7"/>
      <c r="N675" s="7"/>
      <c r="O675" s="7"/>
      <c r="P675" s="7"/>
      <c r="Q675" s="7"/>
      <c r="R675" s="7"/>
    </row>
    <row r="676" spans="2:18" ht="19.5" customHeight="1">
      <c r="B676" s="7"/>
      <c r="C676" s="7"/>
      <c r="D676" s="7"/>
      <c r="E676" s="7"/>
      <c r="F676" s="7"/>
      <c r="G676" s="7"/>
      <c r="H676" s="7"/>
      <c r="I676" s="7"/>
      <c r="J676" s="67"/>
      <c r="K676" s="67"/>
      <c r="L676" s="64"/>
      <c r="M676" s="7"/>
      <c r="N676" s="7"/>
      <c r="O676" s="7"/>
      <c r="P676" s="7"/>
      <c r="Q676" s="7"/>
      <c r="R676" s="7"/>
    </row>
    <row r="677" spans="2:18" ht="19.5" customHeight="1">
      <c r="B677" s="7"/>
      <c r="C677" s="7"/>
      <c r="D677" s="7"/>
      <c r="E677" s="7"/>
      <c r="F677" s="7"/>
      <c r="G677" s="7"/>
      <c r="H677" s="7"/>
      <c r="I677" s="7"/>
      <c r="J677" s="67"/>
      <c r="K677" s="67"/>
      <c r="L677" s="64"/>
      <c r="M677" s="7"/>
      <c r="N677" s="7"/>
      <c r="O677" s="7"/>
      <c r="P677" s="7"/>
      <c r="Q677" s="7"/>
      <c r="R677" s="7"/>
    </row>
    <row r="678" spans="2:18" ht="19.5" customHeight="1">
      <c r="B678" s="7"/>
      <c r="C678" s="7"/>
      <c r="D678" s="7"/>
      <c r="E678" s="7"/>
      <c r="F678" s="7"/>
      <c r="G678" s="7"/>
      <c r="H678" s="7"/>
      <c r="I678" s="7"/>
      <c r="J678" s="67"/>
      <c r="K678" s="67"/>
      <c r="L678" s="64"/>
      <c r="M678" s="7"/>
      <c r="N678" s="7"/>
      <c r="O678" s="7"/>
      <c r="P678" s="7"/>
      <c r="Q678" s="7"/>
      <c r="R678" s="7"/>
    </row>
    <row r="679" spans="2:18" ht="19.5" customHeight="1">
      <c r="B679" s="7"/>
      <c r="C679" s="7"/>
      <c r="D679" s="7"/>
      <c r="E679" s="7"/>
      <c r="F679" s="7"/>
      <c r="G679" s="7"/>
      <c r="H679" s="7"/>
      <c r="I679" s="7"/>
      <c r="J679" s="67"/>
      <c r="K679" s="67"/>
      <c r="L679" s="64"/>
      <c r="M679" s="7"/>
      <c r="N679" s="7"/>
      <c r="O679" s="7"/>
      <c r="P679" s="7"/>
      <c r="Q679" s="7"/>
      <c r="R679" s="7"/>
    </row>
    <row r="680" spans="2:18" ht="19.5" customHeight="1">
      <c r="B680" s="7"/>
      <c r="C680" s="7"/>
      <c r="D680" s="7"/>
      <c r="E680" s="7"/>
      <c r="F680" s="7"/>
      <c r="G680" s="7"/>
      <c r="H680" s="7"/>
      <c r="I680" s="7"/>
      <c r="J680" s="67"/>
      <c r="K680" s="67"/>
      <c r="L680" s="64"/>
      <c r="M680" s="7"/>
      <c r="N680" s="7"/>
      <c r="O680" s="7"/>
      <c r="P680" s="7"/>
      <c r="Q680" s="7"/>
      <c r="R680" s="7"/>
    </row>
    <row r="681" spans="2:18" ht="19.5" customHeight="1">
      <c r="B681" s="7"/>
      <c r="C681" s="7"/>
      <c r="D681" s="7"/>
      <c r="E681" s="7"/>
      <c r="F681" s="7"/>
      <c r="G681" s="7"/>
      <c r="H681" s="7"/>
      <c r="I681" s="7"/>
      <c r="J681" s="67"/>
      <c r="K681" s="67"/>
      <c r="L681" s="64"/>
      <c r="M681" s="7"/>
      <c r="N681" s="7"/>
      <c r="O681" s="7"/>
      <c r="P681" s="7"/>
      <c r="Q681" s="7"/>
      <c r="R681" s="7"/>
    </row>
    <row r="682" spans="2:18" ht="19.5" customHeight="1">
      <c r="B682" s="7"/>
      <c r="C682" s="7"/>
      <c r="D682" s="7"/>
      <c r="E682" s="7"/>
      <c r="F682" s="7"/>
      <c r="G682" s="7"/>
      <c r="H682" s="7"/>
      <c r="I682" s="7"/>
      <c r="J682" s="67"/>
      <c r="K682" s="67"/>
      <c r="L682" s="64"/>
      <c r="M682" s="7"/>
      <c r="N682" s="7"/>
      <c r="O682" s="7"/>
      <c r="P682" s="7"/>
      <c r="Q682" s="7"/>
      <c r="R682" s="7"/>
    </row>
    <row r="683" spans="2:18" ht="19.5" customHeight="1">
      <c r="B683" s="7"/>
      <c r="C683" s="7"/>
      <c r="D683" s="7"/>
      <c r="E683" s="7"/>
      <c r="F683" s="7"/>
      <c r="G683" s="7"/>
      <c r="H683" s="7"/>
      <c r="I683" s="7"/>
      <c r="J683" s="67"/>
      <c r="K683" s="67"/>
      <c r="L683" s="64"/>
      <c r="M683" s="7"/>
      <c r="N683" s="7"/>
      <c r="O683" s="7"/>
      <c r="P683" s="7"/>
      <c r="Q683" s="7"/>
      <c r="R683" s="7"/>
    </row>
    <row r="684" spans="2:18" ht="19.5" customHeight="1">
      <c r="B684" s="7"/>
      <c r="C684" s="7"/>
      <c r="D684" s="7"/>
      <c r="E684" s="7"/>
      <c r="F684" s="7"/>
      <c r="G684" s="7"/>
      <c r="H684" s="7"/>
      <c r="I684" s="7"/>
      <c r="J684" s="67"/>
      <c r="K684" s="67"/>
      <c r="L684" s="64"/>
      <c r="M684" s="7"/>
      <c r="N684" s="7"/>
      <c r="O684" s="7"/>
      <c r="P684" s="7"/>
      <c r="Q684" s="7"/>
      <c r="R684" s="7"/>
    </row>
    <row r="685" spans="2:18" ht="19.5" customHeight="1">
      <c r="B685" s="7"/>
      <c r="C685" s="7"/>
      <c r="D685" s="7"/>
      <c r="E685" s="7"/>
      <c r="F685" s="7"/>
      <c r="G685" s="7"/>
      <c r="H685" s="7"/>
      <c r="I685" s="7"/>
      <c r="J685" s="67"/>
      <c r="K685" s="67"/>
      <c r="L685" s="64"/>
      <c r="M685" s="7"/>
      <c r="N685" s="7"/>
      <c r="O685" s="7"/>
      <c r="P685" s="7"/>
      <c r="Q685" s="7"/>
      <c r="R685" s="7"/>
    </row>
    <row r="686" spans="2:18" ht="19.5" customHeight="1">
      <c r="B686" s="7"/>
      <c r="C686" s="7"/>
      <c r="D686" s="7"/>
      <c r="E686" s="7"/>
      <c r="F686" s="7"/>
      <c r="G686" s="7"/>
      <c r="H686" s="7"/>
      <c r="I686" s="7"/>
      <c r="J686" s="67"/>
      <c r="K686" s="67"/>
      <c r="L686" s="64"/>
      <c r="M686" s="7"/>
      <c r="N686" s="7"/>
      <c r="O686" s="7"/>
      <c r="P686" s="7"/>
      <c r="Q686" s="7"/>
      <c r="R686" s="7"/>
    </row>
    <row r="687" spans="2:18" ht="19.5" customHeight="1">
      <c r="B687" s="7"/>
      <c r="C687" s="7"/>
      <c r="D687" s="7"/>
      <c r="E687" s="7"/>
      <c r="F687" s="7"/>
      <c r="G687" s="7"/>
      <c r="H687" s="7"/>
      <c r="I687" s="7"/>
      <c r="J687" s="67"/>
      <c r="K687" s="67"/>
      <c r="L687" s="64"/>
      <c r="M687" s="7"/>
      <c r="N687" s="7"/>
      <c r="O687" s="7"/>
      <c r="P687" s="7"/>
      <c r="Q687" s="7"/>
      <c r="R687" s="7"/>
    </row>
    <row r="688" spans="2:18" ht="19.5" customHeight="1">
      <c r="B688" s="7"/>
      <c r="C688" s="7"/>
      <c r="D688" s="7"/>
      <c r="E688" s="7"/>
      <c r="F688" s="7"/>
      <c r="G688" s="7"/>
      <c r="H688" s="7"/>
      <c r="I688" s="7"/>
      <c r="J688" s="67"/>
      <c r="K688" s="67"/>
      <c r="L688" s="64"/>
      <c r="M688" s="7"/>
      <c r="N688" s="7"/>
      <c r="O688" s="7"/>
      <c r="P688" s="7"/>
      <c r="Q688" s="7"/>
      <c r="R688" s="7"/>
    </row>
    <row r="689" spans="2:18" ht="19.5" customHeight="1">
      <c r="B689" s="7"/>
      <c r="C689" s="7"/>
      <c r="D689" s="7"/>
      <c r="E689" s="7"/>
      <c r="F689" s="7"/>
      <c r="G689" s="7"/>
      <c r="H689" s="7"/>
      <c r="I689" s="7"/>
      <c r="J689" s="67"/>
      <c r="K689" s="67"/>
      <c r="L689" s="64"/>
      <c r="M689" s="7"/>
      <c r="N689" s="7"/>
      <c r="O689" s="7"/>
      <c r="P689" s="7"/>
      <c r="Q689" s="7"/>
      <c r="R689" s="7"/>
    </row>
    <row r="690" spans="2:18" ht="19.5" customHeight="1">
      <c r="B690" s="7"/>
      <c r="C690" s="7"/>
      <c r="D690" s="7"/>
      <c r="E690" s="7"/>
      <c r="F690" s="7"/>
      <c r="G690" s="7"/>
      <c r="H690" s="7"/>
      <c r="I690" s="7"/>
      <c r="J690" s="67"/>
      <c r="K690" s="67"/>
      <c r="L690" s="64"/>
      <c r="M690" s="7"/>
      <c r="N690" s="7"/>
      <c r="O690" s="7"/>
      <c r="P690" s="7"/>
      <c r="Q690" s="7"/>
      <c r="R690" s="7"/>
    </row>
    <row r="691" spans="2:18" ht="19.5" customHeight="1">
      <c r="B691" s="7"/>
      <c r="C691" s="7"/>
      <c r="D691" s="7"/>
      <c r="E691" s="7"/>
      <c r="F691" s="7"/>
      <c r="G691" s="7"/>
      <c r="H691" s="7"/>
      <c r="I691" s="7"/>
      <c r="J691" s="67"/>
      <c r="K691" s="67"/>
      <c r="L691" s="64"/>
      <c r="M691" s="7"/>
      <c r="N691" s="7"/>
      <c r="O691" s="7"/>
      <c r="P691" s="7"/>
      <c r="Q691" s="7"/>
      <c r="R691" s="7"/>
    </row>
    <row r="692" spans="2:18" ht="19.5" customHeight="1">
      <c r="B692" s="7"/>
      <c r="C692" s="7"/>
      <c r="D692" s="7"/>
      <c r="E692" s="7"/>
      <c r="F692" s="7"/>
      <c r="G692" s="7"/>
      <c r="H692" s="7"/>
      <c r="I692" s="7"/>
      <c r="J692" s="67"/>
      <c r="K692" s="67"/>
      <c r="L692" s="64"/>
      <c r="M692" s="7"/>
      <c r="N692" s="7"/>
      <c r="O692" s="7"/>
      <c r="P692" s="7"/>
      <c r="Q692" s="7"/>
      <c r="R692" s="7"/>
    </row>
    <row r="693" spans="2:18" ht="19.5" customHeight="1">
      <c r="B693" s="7"/>
      <c r="C693" s="7"/>
      <c r="D693" s="7"/>
      <c r="E693" s="7"/>
      <c r="F693" s="7"/>
      <c r="G693" s="7"/>
      <c r="H693" s="7"/>
      <c r="I693" s="7"/>
      <c r="J693" s="67"/>
      <c r="K693" s="67"/>
      <c r="L693" s="64"/>
      <c r="M693" s="7"/>
      <c r="N693" s="7"/>
      <c r="O693" s="7"/>
      <c r="P693" s="7"/>
      <c r="Q693" s="7"/>
      <c r="R693" s="7"/>
    </row>
    <row r="694" spans="2:18" ht="19.5" customHeight="1">
      <c r="B694" s="7"/>
      <c r="C694" s="7"/>
      <c r="D694" s="7"/>
      <c r="E694" s="7"/>
      <c r="F694" s="7"/>
      <c r="G694" s="7"/>
      <c r="H694" s="7"/>
      <c r="I694" s="7"/>
      <c r="J694" s="67"/>
      <c r="K694" s="67"/>
      <c r="L694" s="64"/>
      <c r="M694" s="7"/>
      <c r="N694" s="7"/>
      <c r="O694" s="7"/>
      <c r="P694" s="7"/>
      <c r="Q694" s="7"/>
      <c r="R694" s="7"/>
    </row>
    <row r="695" spans="2:18" ht="19.5" customHeight="1">
      <c r="B695" s="7"/>
      <c r="C695" s="7"/>
      <c r="D695" s="7"/>
      <c r="E695" s="7"/>
      <c r="F695" s="7"/>
      <c r="G695" s="7"/>
      <c r="H695" s="7"/>
      <c r="I695" s="7"/>
      <c r="J695" s="67"/>
      <c r="K695" s="67"/>
      <c r="L695" s="64"/>
      <c r="M695" s="7"/>
      <c r="N695" s="7"/>
      <c r="O695" s="7"/>
      <c r="P695" s="7"/>
      <c r="Q695" s="7"/>
      <c r="R695" s="7"/>
    </row>
    <row r="696" spans="2:18" ht="19.5" customHeight="1">
      <c r="B696" s="7"/>
      <c r="C696" s="7"/>
      <c r="D696" s="7"/>
      <c r="E696" s="7"/>
      <c r="F696" s="7"/>
      <c r="G696" s="7"/>
      <c r="H696" s="7"/>
      <c r="I696" s="7"/>
      <c r="J696" s="67"/>
      <c r="K696" s="67"/>
      <c r="L696" s="64"/>
      <c r="M696" s="7"/>
      <c r="N696" s="7"/>
      <c r="O696" s="7"/>
      <c r="P696" s="7"/>
      <c r="Q696" s="7"/>
      <c r="R696" s="7"/>
    </row>
    <row r="697" spans="2:18" ht="19.5" customHeight="1">
      <c r="B697" s="7"/>
      <c r="C697" s="7"/>
      <c r="D697" s="7"/>
      <c r="E697" s="7"/>
      <c r="F697" s="7"/>
      <c r="G697" s="7"/>
      <c r="H697" s="7"/>
      <c r="I697" s="7"/>
      <c r="J697" s="67"/>
      <c r="K697" s="67"/>
      <c r="L697" s="64"/>
      <c r="M697" s="7"/>
      <c r="N697" s="7"/>
      <c r="O697" s="7"/>
      <c r="P697" s="7"/>
      <c r="Q697" s="7"/>
      <c r="R697" s="7"/>
    </row>
    <row r="698" spans="2:18" ht="19.5" customHeight="1">
      <c r="B698" s="7"/>
      <c r="C698" s="7"/>
      <c r="D698" s="7"/>
      <c r="E698" s="7"/>
      <c r="F698" s="7"/>
      <c r="G698" s="7"/>
      <c r="H698" s="7"/>
      <c r="I698" s="7"/>
      <c r="J698" s="67"/>
      <c r="K698" s="67"/>
      <c r="L698" s="64"/>
      <c r="M698" s="7"/>
      <c r="N698" s="7"/>
      <c r="O698" s="7"/>
      <c r="P698" s="7"/>
      <c r="Q698" s="7"/>
      <c r="R698" s="7"/>
    </row>
    <row r="699" spans="2:18" ht="19.5" customHeight="1">
      <c r="B699" s="7"/>
      <c r="C699" s="7"/>
      <c r="D699" s="7"/>
      <c r="E699" s="7"/>
      <c r="F699" s="7"/>
      <c r="G699" s="7"/>
      <c r="H699" s="7"/>
      <c r="I699" s="7"/>
      <c r="J699" s="67"/>
      <c r="K699" s="67"/>
      <c r="L699" s="64"/>
      <c r="M699" s="7"/>
      <c r="N699" s="7"/>
      <c r="O699" s="7"/>
      <c r="P699" s="7"/>
      <c r="Q699" s="7"/>
      <c r="R699" s="7"/>
    </row>
    <row r="700" spans="2:18" ht="19.5" customHeight="1">
      <c r="B700" s="7"/>
      <c r="C700" s="7"/>
      <c r="D700" s="7"/>
      <c r="E700" s="7"/>
      <c r="F700" s="7"/>
      <c r="G700" s="7"/>
      <c r="H700" s="7"/>
      <c r="I700" s="7"/>
      <c r="J700" s="67"/>
      <c r="K700" s="67"/>
      <c r="L700" s="64"/>
      <c r="M700" s="7"/>
      <c r="N700" s="7"/>
      <c r="O700" s="7"/>
      <c r="P700" s="7"/>
      <c r="Q700" s="7"/>
      <c r="R700" s="7"/>
    </row>
    <row r="701" spans="2:18" ht="19.5" customHeight="1">
      <c r="B701" s="7"/>
      <c r="C701" s="7"/>
      <c r="D701" s="7"/>
      <c r="E701" s="7"/>
      <c r="F701" s="7"/>
      <c r="G701" s="7"/>
      <c r="H701" s="7"/>
      <c r="I701" s="7"/>
      <c r="J701" s="67"/>
      <c r="K701" s="67"/>
      <c r="L701" s="64"/>
      <c r="M701" s="7"/>
      <c r="N701" s="7"/>
      <c r="O701" s="7"/>
      <c r="P701" s="7"/>
      <c r="Q701" s="7"/>
      <c r="R701" s="7"/>
    </row>
    <row r="702" spans="2:18" ht="19.5" customHeight="1">
      <c r="B702" s="7"/>
      <c r="C702" s="7"/>
      <c r="D702" s="7"/>
      <c r="E702" s="7"/>
      <c r="F702" s="7"/>
      <c r="G702" s="7"/>
      <c r="H702" s="7"/>
      <c r="I702" s="7"/>
      <c r="J702" s="67"/>
      <c r="K702" s="67"/>
      <c r="L702" s="64"/>
      <c r="M702" s="7"/>
      <c r="N702" s="7"/>
      <c r="O702" s="7"/>
      <c r="P702" s="7"/>
      <c r="Q702" s="7"/>
      <c r="R702" s="7"/>
    </row>
    <row r="703" spans="2:18" ht="19.5" customHeight="1">
      <c r="B703" s="7"/>
      <c r="C703" s="7"/>
      <c r="D703" s="7"/>
      <c r="E703" s="7"/>
      <c r="F703" s="7"/>
      <c r="G703" s="7"/>
      <c r="H703" s="7"/>
      <c r="I703" s="7"/>
      <c r="J703" s="67"/>
      <c r="K703" s="67"/>
      <c r="L703" s="64"/>
      <c r="M703" s="7"/>
      <c r="N703" s="7"/>
      <c r="O703" s="7"/>
      <c r="P703" s="7"/>
      <c r="Q703" s="7"/>
      <c r="R703" s="7"/>
    </row>
    <row r="704" spans="2:18" ht="19.5" customHeight="1">
      <c r="B704" s="7"/>
      <c r="C704" s="7"/>
      <c r="D704" s="7"/>
      <c r="E704" s="7"/>
      <c r="F704" s="7"/>
      <c r="G704" s="7"/>
      <c r="H704" s="7"/>
      <c r="I704" s="7"/>
      <c r="J704" s="67"/>
      <c r="K704" s="67"/>
      <c r="L704" s="64"/>
      <c r="M704" s="7"/>
      <c r="N704" s="7"/>
      <c r="O704" s="7"/>
      <c r="P704" s="7"/>
      <c r="Q704" s="7"/>
      <c r="R704" s="7"/>
    </row>
    <row r="705" spans="2:18" ht="19.5" customHeight="1">
      <c r="B705" s="7"/>
      <c r="C705" s="7"/>
      <c r="D705" s="7"/>
      <c r="E705" s="7"/>
      <c r="F705" s="7"/>
      <c r="G705" s="7"/>
      <c r="H705" s="7"/>
      <c r="I705" s="7"/>
      <c r="J705" s="67"/>
      <c r="K705" s="67"/>
      <c r="L705" s="64"/>
      <c r="M705" s="7"/>
      <c r="N705" s="7"/>
      <c r="O705" s="7"/>
      <c r="P705" s="7"/>
      <c r="Q705" s="7"/>
      <c r="R705" s="7"/>
    </row>
    <row r="706" spans="2:18" ht="19.5" customHeight="1">
      <c r="B706" s="7"/>
      <c r="C706" s="7"/>
      <c r="D706" s="7"/>
      <c r="E706" s="7"/>
      <c r="F706" s="7"/>
      <c r="G706" s="7"/>
      <c r="H706" s="7"/>
      <c r="I706" s="7"/>
      <c r="J706" s="67"/>
      <c r="K706" s="67"/>
      <c r="L706" s="64"/>
      <c r="M706" s="7"/>
      <c r="N706" s="7"/>
      <c r="O706" s="7"/>
      <c r="P706" s="7"/>
      <c r="Q706" s="7"/>
      <c r="R706" s="7"/>
    </row>
    <row r="707" spans="2:18" ht="19.5" customHeight="1">
      <c r="B707" s="7"/>
      <c r="C707" s="7"/>
      <c r="D707" s="7"/>
      <c r="E707" s="7"/>
      <c r="F707" s="7"/>
      <c r="G707" s="7"/>
      <c r="H707" s="7"/>
      <c r="I707" s="7"/>
      <c r="J707" s="67"/>
      <c r="K707" s="67"/>
      <c r="L707" s="64"/>
      <c r="M707" s="7"/>
      <c r="N707" s="7"/>
      <c r="O707" s="7"/>
      <c r="P707" s="7"/>
      <c r="Q707" s="7"/>
      <c r="R707" s="7"/>
    </row>
    <row r="708" spans="2:18" ht="19.5" customHeight="1">
      <c r="B708" s="7"/>
      <c r="C708" s="7"/>
      <c r="D708" s="7"/>
      <c r="E708" s="7"/>
      <c r="F708" s="7"/>
      <c r="G708" s="7"/>
      <c r="H708" s="7"/>
      <c r="I708" s="7"/>
      <c r="J708" s="67"/>
      <c r="K708" s="67"/>
      <c r="L708" s="64"/>
      <c r="M708" s="7"/>
      <c r="N708" s="7"/>
      <c r="O708" s="7"/>
      <c r="P708" s="7"/>
      <c r="Q708" s="7"/>
      <c r="R708" s="7"/>
    </row>
    <row r="709" spans="2:18" ht="19.5" customHeight="1">
      <c r="B709" s="7"/>
      <c r="C709" s="7"/>
      <c r="D709" s="7"/>
      <c r="E709" s="7"/>
      <c r="F709" s="7"/>
      <c r="G709" s="7"/>
      <c r="H709" s="7"/>
      <c r="I709" s="7"/>
      <c r="J709" s="67"/>
      <c r="K709" s="67"/>
      <c r="L709" s="64"/>
      <c r="M709" s="7"/>
      <c r="N709" s="7"/>
      <c r="O709" s="7"/>
      <c r="P709" s="7"/>
      <c r="Q709" s="7"/>
      <c r="R709" s="7"/>
    </row>
    <row r="710" spans="2:18" ht="19.5" customHeight="1">
      <c r="B710" s="7"/>
      <c r="C710" s="7"/>
      <c r="D710" s="7"/>
      <c r="E710" s="7"/>
      <c r="F710" s="7"/>
      <c r="G710" s="7"/>
      <c r="H710" s="7"/>
      <c r="I710" s="7"/>
      <c r="J710" s="67"/>
      <c r="K710" s="67"/>
      <c r="L710" s="64"/>
      <c r="M710" s="7"/>
      <c r="N710" s="7"/>
      <c r="O710" s="7"/>
      <c r="P710" s="7"/>
      <c r="Q710" s="7"/>
      <c r="R710" s="7"/>
    </row>
    <row r="711" spans="2:18" ht="19.5" customHeight="1">
      <c r="B711" s="7"/>
      <c r="C711" s="7"/>
      <c r="D711" s="7"/>
      <c r="E711" s="7"/>
      <c r="F711" s="7"/>
      <c r="G711" s="7"/>
      <c r="H711" s="7"/>
      <c r="I711" s="7"/>
      <c r="J711" s="67"/>
      <c r="K711" s="67"/>
      <c r="L711" s="64"/>
      <c r="M711" s="7"/>
      <c r="N711" s="7"/>
      <c r="O711" s="7"/>
      <c r="P711" s="7"/>
      <c r="Q711" s="7"/>
      <c r="R711" s="7"/>
    </row>
    <row r="712" spans="2:18" ht="19.5" customHeight="1">
      <c r="B712" s="7"/>
      <c r="C712" s="7"/>
      <c r="D712" s="7"/>
      <c r="E712" s="7"/>
      <c r="F712" s="7"/>
      <c r="G712" s="7"/>
      <c r="H712" s="7"/>
      <c r="I712" s="7"/>
      <c r="J712" s="67"/>
      <c r="K712" s="67"/>
      <c r="L712" s="64"/>
      <c r="M712" s="7"/>
      <c r="N712" s="7"/>
      <c r="O712" s="7"/>
      <c r="P712" s="7"/>
      <c r="Q712" s="7"/>
      <c r="R712" s="7"/>
    </row>
    <row r="713" spans="2:18" ht="19.5" customHeight="1">
      <c r="B713" s="7"/>
      <c r="C713" s="7"/>
      <c r="D713" s="7"/>
      <c r="E713" s="7"/>
      <c r="F713" s="7"/>
      <c r="G713" s="7"/>
      <c r="H713" s="7"/>
      <c r="I713" s="7"/>
      <c r="J713" s="67"/>
      <c r="K713" s="67"/>
      <c r="L713" s="64"/>
      <c r="M713" s="7"/>
      <c r="N713" s="7"/>
      <c r="O713" s="7"/>
      <c r="P713" s="7"/>
      <c r="Q713" s="7"/>
      <c r="R713" s="7"/>
    </row>
    <row r="714" spans="2:18" ht="19.5" customHeight="1">
      <c r="B714" s="7"/>
      <c r="C714" s="7"/>
      <c r="D714" s="7"/>
      <c r="E714" s="7"/>
      <c r="F714" s="7"/>
      <c r="G714" s="7"/>
      <c r="H714" s="7"/>
      <c r="I714" s="7"/>
      <c r="J714" s="67"/>
      <c r="K714" s="67"/>
      <c r="L714" s="64"/>
      <c r="M714" s="7"/>
      <c r="N714" s="7"/>
      <c r="O714" s="7"/>
      <c r="P714" s="7"/>
      <c r="Q714" s="7"/>
      <c r="R714" s="7"/>
    </row>
    <row r="715" spans="2:18" ht="19.5" customHeight="1">
      <c r="B715" s="7"/>
      <c r="C715" s="7"/>
      <c r="D715" s="7"/>
      <c r="E715" s="7"/>
      <c r="F715" s="7"/>
      <c r="G715" s="7"/>
      <c r="H715" s="7"/>
      <c r="I715" s="7"/>
      <c r="J715" s="67"/>
      <c r="K715" s="67"/>
      <c r="L715" s="64"/>
      <c r="M715" s="7"/>
      <c r="N715" s="7"/>
      <c r="O715" s="7"/>
      <c r="P715" s="7"/>
      <c r="Q715" s="7"/>
      <c r="R715" s="7"/>
    </row>
    <row r="716" spans="2:18" ht="19.5" customHeight="1">
      <c r="B716" s="7"/>
      <c r="C716" s="7"/>
      <c r="D716" s="7"/>
      <c r="E716" s="7"/>
      <c r="F716" s="7"/>
      <c r="G716" s="7"/>
      <c r="H716" s="7"/>
      <c r="I716" s="7"/>
      <c r="J716" s="67"/>
      <c r="K716" s="67"/>
      <c r="L716" s="64"/>
      <c r="M716" s="7"/>
      <c r="N716" s="7"/>
      <c r="O716" s="7"/>
      <c r="P716" s="7"/>
      <c r="Q716" s="7"/>
      <c r="R716" s="7"/>
    </row>
    <row r="717" spans="2:18" ht="19.5" customHeight="1">
      <c r="B717" s="7"/>
      <c r="C717" s="7"/>
      <c r="D717" s="7"/>
      <c r="E717" s="7"/>
      <c r="F717" s="7"/>
      <c r="G717" s="7"/>
      <c r="H717" s="7"/>
      <c r="I717" s="7"/>
      <c r="J717" s="67"/>
      <c r="K717" s="67"/>
      <c r="L717" s="64"/>
      <c r="M717" s="7"/>
      <c r="N717" s="7"/>
      <c r="O717" s="7"/>
      <c r="P717" s="7"/>
      <c r="Q717" s="7"/>
      <c r="R717" s="7"/>
    </row>
    <row r="718" spans="2:18" ht="19.5" customHeight="1">
      <c r="B718" s="7"/>
      <c r="C718" s="7"/>
      <c r="D718" s="7"/>
      <c r="E718" s="7"/>
      <c r="F718" s="7"/>
      <c r="G718" s="7"/>
      <c r="H718" s="7"/>
      <c r="I718" s="7"/>
      <c r="J718" s="67"/>
      <c r="K718" s="67"/>
      <c r="L718" s="64"/>
      <c r="M718" s="7"/>
      <c r="N718" s="7"/>
      <c r="O718" s="7"/>
      <c r="P718" s="7"/>
      <c r="Q718" s="7"/>
      <c r="R718" s="7"/>
    </row>
    <row r="719" spans="2:18" ht="19.5" customHeight="1">
      <c r="B719" s="7"/>
      <c r="C719" s="7"/>
      <c r="D719" s="7"/>
      <c r="E719" s="7"/>
      <c r="F719" s="7"/>
      <c r="G719" s="7"/>
      <c r="H719" s="7"/>
      <c r="I719" s="7"/>
      <c r="J719" s="67"/>
      <c r="K719" s="67"/>
      <c r="L719" s="64"/>
      <c r="M719" s="7"/>
      <c r="N719" s="7"/>
      <c r="O719" s="7"/>
      <c r="P719" s="7"/>
      <c r="Q719" s="7"/>
      <c r="R719" s="7"/>
    </row>
    <row r="720" spans="2:18" ht="19.5" customHeight="1">
      <c r="B720" s="7"/>
      <c r="C720" s="7"/>
      <c r="D720" s="7"/>
      <c r="E720" s="7"/>
      <c r="F720" s="7"/>
      <c r="G720" s="7"/>
      <c r="H720" s="7"/>
      <c r="I720" s="7"/>
      <c r="J720" s="67"/>
      <c r="K720" s="67"/>
      <c r="L720" s="64"/>
      <c r="M720" s="7"/>
      <c r="N720" s="7"/>
      <c r="O720" s="7"/>
      <c r="P720" s="7"/>
      <c r="Q720" s="7"/>
      <c r="R720" s="7"/>
    </row>
    <row r="721" spans="2:18" ht="19.5" customHeight="1">
      <c r="B721" s="7"/>
      <c r="C721" s="7"/>
      <c r="D721" s="7"/>
      <c r="E721" s="7"/>
      <c r="F721" s="7"/>
      <c r="G721" s="7"/>
      <c r="H721" s="7"/>
      <c r="I721" s="7"/>
      <c r="J721" s="67"/>
      <c r="K721" s="67"/>
      <c r="L721" s="64"/>
      <c r="M721" s="7"/>
      <c r="N721" s="7"/>
      <c r="O721" s="7"/>
      <c r="P721" s="7"/>
      <c r="Q721" s="7"/>
      <c r="R721" s="7"/>
    </row>
    <row r="722" spans="2:18" ht="19.5" customHeight="1">
      <c r="B722" s="7"/>
      <c r="C722" s="7"/>
      <c r="D722" s="7"/>
      <c r="E722" s="7"/>
      <c r="F722" s="7"/>
      <c r="G722" s="7"/>
      <c r="H722" s="7"/>
      <c r="I722" s="7"/>
      <c r="J722" s="67"/>
      <c r="K722" s="67"/>
      <c r="L722" s="64"/>
      <c r="M722" s="7"/>
      <c r="N722" s="7"/>
      <c r="O722" s="7"/>
      <c r="P722" s="7"/>
      <c r="Q722" s="7"/>
      <c r="R722" s="7"/>
    </row>
    <row r="723" spans="2:18" ht="19.5" customHeight="1">
      <c r="B723" s="7"/>
      <c r="C723" s="7"/>
      <c r="D723" s="7"/>
      <c r="E723" s="7"/>
      <c r="F723" s="7"/>
      <c r="G723" s="7"/>
      <c r="H723" s="7"/>
      <c r="I723" s="7"/>
      <c r="J723" s="67"/>
      <c r="K723" s="67"/>
      <c r="L723" s="64"/>
      <c r="M723" s="7"/>
      <c r="N723" s="7"/>
      <c r="O723" s="7"/>
      <c r="P723" s="7"/>
      <c r="Q723" s="7"/>
      <c r="R723" s="7"/>
    </row>
    <row r="724" spans="2:18" ht="19.5" customHeight="1">
      <c r="B724" s="7"/>
      <c r="C724" s="7"/>
      <c r="D724" s="7"/>
      <c r="E724" s="7"/>
      <c r="F724" s="7"/>
      <c r="G724" s="7"/>
      <c r="H724" s="7"/>
      <c r="I724" s="7"/>
      <c r="J724" s="67"/>
      <c r="K724" s="67"/>
      <c r="L724" s="64"/>
      <c r="M724" s="7"/>
      <c r="N724" s="7"/>
      <c r="O724" s="7"/>
      <c r="P724" s="7"/>
      <c r="Q724" s="7"/>
      <c r="R724" s="7"/>
    </row>
    <row r="725" spans="2:18" ht="19.5" customHeight="1">
      <c r="B725" s="7"/>
      <c r="C725" s="7"/>
      <c r="D725" s="7"/>
      <c r="E725" s="7"/>
      <c r="F725" s="7"/>
      <c r="G725" s="7"/>
      <c r="H725" s="7"/>
      <c r="I725" s="7"/>
      <c r="J725" s="67"/>
      <c r="K725" s="67"/>
      <c r="L725" s="64"/>
      <c r="M725" s="7"/>
      <c r="N725" s="7"/>
      <c r="O725" s="7"/>
      <c r="P725" s="7"/>
      <c r="Q725" s="7"/>
      <c r="R725" s="7"/>
    </row>
    <row r="726" spans="2:18" ht="19.5" customHeight="1">
      <c r="B726" s="7"/>
      <c r="C726" s="7"/>
      <c r="D726" s="7"/>
      <c r="E726" s="7"/>
      <c r="F726" s="7"/>
      <c r="G726" s="7"/>
      <c r="H726" s="7"/>
      <c r="I726" s="7"/>
      <c r="J726" s="67"/>
      <c r="K726" s="67"/>
      <c r="L726" s="64"/>
      <c r="M726" s="7"/>
      <c r="N726" s="7"/>
      <c r="O726" s="7"/>
      <c r="P726" s="7"/>
      <c r="Q726" s="7"/>
      <c r="R726" s="7"/>
    </row>
    <row r="727" spans="2:18" ht="19.5" customHeight="1">
      <c r="B727" s="7"/>
      <c r="C727" s="7"/>
      <c r="D727" s="7"/>
      <c r="E727" s="7"/>
      <c r="F727" s="7"/>
      <c r="G727" s="7"/>
      <c r="H727" s="7"/>
      <c r="I727" s="7"/>
      <c r="J727" s="67"/>
      <c r="K727" s="67"/>
      <c r="L727" s="64"/>
      <c r="M727" s="7"/>
      <c r="N727" s="7"/>
      <c r="O727" s="7"/>
      <c r="P727" s="7"/>
      <c r="Q727" s="7"/>
      <c r="R727" s="7"/>
    </row>
    <row r="728" spans="2:18" ht="19.5" customHeight="1">
      <c r="B728" s="7"/>
      <c r="C728" s="7"/>
      <c r="D728" s="7"/>
      <c r="E728" s="7"/>
      <c r="F728" s="7"/>
      <c r="G728" s="7"/>
      <c r="H728" s="7"/>
      <c r="I728" s="7"/>
      <c r="J728" s="67"/>
      <c r="K728" s="67"/>
      <c r="L728" s="64"/>
      <c r="M728" s="7"/>
      <c r="N728" s="7"/>
      <c r="O728" s="7"/>
      <c r="P728" s="7"/>
      <c r="Q728" s="7"/>
      <c r="R728" s="7"/>
    </row>
    <row r="729" spans="2:18" ht="19.5" customHeight="1">
      <c r="B729" s="7"/>
      <c r="C729" s="7"/>
      <c r="D729" s="7"/>
      <c r="E729" s="7"/>
      <c r="F729" s="7"/>
      <c r="G729" s="7"/>
      <c r="H729" s="7"/>
      <c r="I729" s="7"/>
      <c r="J729" s="67"/>
      <c r="K729" s="67"/>
      <c r="L729" s="64"/>
      <c r="M729" s="7"/>
      <c r="N729" s="7"/>
      <c r="O729" s="7"/>
      <c r="P729" s="7"/>
      <c r="Q729" s="7"/>
      <c r="R729" s="7"/>
    </row>
    <row r="730" spans="2:18" ht="19.5" customHeight="1">
      <c r="B730" s="7"/>
      <c r="C730" s="7"/>
      <c r="D730" s="7"/>
      <c r="E730" s="7"/>
      <c r="F730" s="7"/>
      <c r="G730" s="7"/>
      <c r="H730" s="7"/>
      <c r="I730" s="7"/>
      <c r="J730" s="67"/>
      <c r="K730" s="67"/>
      <c r="L730" s="64"/>
      <c r="M730" s="7"/>
      <c r="N730" s="7"/>
      <c r="O730" s="7"/>
      <c r="P730" s="7"/>
      <c r="Q730" s="7"/>
      <c r="R730" s="7"/>
    </row>
    <row r="731" spans="2:18" ht="19.5" customHeight="1">
      <c r="B731" s="7"/>
      <c r="C731" s="7"/>
      <c r="D731" s="7"/>
      <c r="E731" s="7"/>
      <c r="F731" s="7"/>
      <c r="G731" s="7"/>
      <c r="H731" s="7"/>
      <c r="I731" s="7"/>
      <c r="J731" s="67"/>
      <c r="K731" s="67"/>
      <c r="L731" s="64"/>
      <c r="M731" s="7"/>
      <c r="N731" s="7"/>
      <c r="O731" s="7"/>
      <c r="P731" s="7"/>
      <c r="Q731" s="7"/>
      <c r="R731" s="7"/>
    </row>
    <row r="732" spans="2:18" ht="19.5" customHeight="1">
      <c r="B732" s="7"/>
      <c r="C732" s="7"/>
      <c r="D732" s="7"/>
      <c r="E732" s="7"/>
      <c r="F732" s="7"/>
      <c r="G732" s="7"/>
      <c r="H732" s="7"/>
      <c r="I732" s="7"/>
      <c r="J732" s="67"/>
      <c r="K732" s="67"/>
      <c r="L732" s="64"/>
      <c r="M732" s="7"/>
      <c r="N732" s="7"/>
      <c r="O732" s="7"/>
      <c r="P732" s="7"/>
      <c r="Q732" s="7"/>
      <c r="R732" s="7"/>
    </row>
    <row r="733" spans="2:18" ht="19.5" customHeight="1">
      <c r="B733" s="7"/>
      <c r="C733" s="7"/>
      <c r="D733" s="7"/>
      <c r="E733" s="7"/>
      <c r="F733" s="7"/>
      <c r="G733" s="7"/>
      <c r="H733" s="7"/>
      <c r="I733" s="7"/>
      <c r="J733" s="67"/>
      <c r="K733" s="67"/>
      <c r="L733" s="64"/>
      <c r="M733" s="7"/>
      <c r="N733" s="7"/>
      <c r="O733" s="7"/>
      <c r="P733" s="7"/>
      <c r="Q733" s="7"/>
      <c r="R733" s="7"/>
    </row>
    <row r="734" spans="2:18" ht="19.5" customHeight="1">
      <c r="B734" s="7"/>
      <c r="C734" s="7"/>
      <c r="D734" s="7"/>
      <c r="E734" s="7"/>
      <c r="F734" s="7"/>
      <c r="G734" s="7"/>
      <c r="H734" s="7"/>
      <c r="I734" s="7"/>
      <c r="J734" s="67"/>
      <c r="K734" s="67"/>
      <c r="L734" s="64"/>
      <c r="M734" s="7"/>
      <c r="N734" s="7"/>
      <c r="O734" s="7"/>
      <c r="P734" s="7"/>
      <c r="Q734" s="7"/>
      <c r="R734" s="7"/>
    </row>
    <row r="735" spans="2:18" ht="19.5" customHeight="1">
      <c r="B735" s="7"/>
      <c r="C735" s="7"/>
      <c r="D735" s="7"/>
      <c r="E735" s="7"/>
      <c r="F735" s="7"/>
      <c r="G735" s="7"/>
      <c r="H735" s="7"/>
      <c r="I735" s="7"/>
      <c r="J735" s="67"/>
      <c r="K735" s="67"/>
      <c r="L735" s="64"/>
      <c r="M735" s="7"/>
      <c r="N735" s="7"/>
      <c r="O735" s="7"/>
      <c r="P735" s="7"/>
      <c r="Q735" s="7"/>
      <c r="R735" s="7"/>
    </row>
    <row r="736" spans="2:18" ht="19.5" customHeight="1">
      <c r="B736" s="7"/>
      <c r="C736" s="7"/>
      <c r="D736" s="7"/>
      <c r="E736" s="7"/>
      <c r="F736" s="7"/>
      <c r="G736" s="7"/>
      <c r="H736" s="7"/>
      <c r="I736" s="7"/>
      <c r="J736" s="67"/>
      <c r="K736" s="67"/>
      <c r="L736" s="64"/>
      <c r="M736" s="7"/>
      <c r="N736" s="7"/>
      <c r="O736" s="7"/>
      <c r="P736" s="7"/>
      <c r="Q736" s="7"/>
      <c r="R736" s="7"/>
    </row>
    <row r="737" spans="2:18" ht="19.5" customHeight="1">
      <c r="B737" s="7"/>
      <c r="C737" s="7"/>
      <c r="D737" s="7"/>
      <c r="E737" s="7"/>
      <c r="F737" s="7"/>
      <c r="G737" s="7"/>
      <c r="H737" s="7"/>
      <c r="I737" s="7"/>
      <c r="J737" s="67"/>
      <c r="K737" s="67"/>
      <c r="L737" s="64"/>
      <c r="M737" s="7"/>
      <c r="N737" s="7"/>
      <c r="O737" s="7"/>
      <c r="P737" s="7"/>
      <c r="Q737" s="7"/>
      <c r="R737" s="7"/>
    </row>
    <row r="738" spans="2:18" ht="19.5" customHeight="1">
      <c r="B738" s="7"/>
      <c r="C738" s="7"/>
      <c r="D738" s="7"/>
      <c r="E738" s="7"/>
      <c r="F738" s="7"/>
      <c r="G738" s="7"/>
      <c r="H738" s="7"/>
      <c r="I738" s="7"/>
      <c r="J738" s="67"/>
      <c r="K738" s="67"/>
      <c r="L738" s="64"/>
      <c r="M738" s="7"/>
      <c r="N738" s="7"/>
      <c r="O738" s="7"/>
      <c r="P738" s="7"/>
      <c r="Q738" s="7"/>
      <c r="R738" s="7"/>
    </row>
    <row r="739" spans="2:18" ht="19.5" customHeight="1">
      <c r="B739" s="7"/>
      <c r="C739" s="7"/>
      <c r="D739" s="7"/>
      <c r="E739" s="7"/>
      <c r="F739" s="7"/>
      <c r="G739" s="7"/>
      <c r="H739" s="7"/>
      <c r="I739" s="7"/>
      <c r="J739" s="67"/>
      <c r="K739" s="67"/>
      <c r="L739" s="64"/>
      <c r="M739" s="7"/>
      <c r="N739" s="7"/>
      <c r="O739" s="7"/>
      <c r="P739" s="7"/>
      <c r="Q739" s="7"/>
      <c r="R739" s="7"/>
    </row>
    <row r="740" spans="2:18" ht="19.5" customHeight="1">
      <c r="B740" s="7"/>
      <c r="C740" s="7"/>
      <c r="D740" s="7"/>
      <c r="E740" s="7"/>
      <c r="F740" s="7"/>
      <c r="G740" s="7"/>
      <c r="H740" s="7"/>
      <c r="I740" s="7"/>
      <c r="J740" s="67"/>
      <c r="K740" s="67"/>
      <c r="L740" s="64"/>
      <c r="M740" s="7"/>
      <c r="N740" s="7"/>
      <c r="O740" s="7"/>
      <c r="P740" s="7"/>
      <c r="Q740" s="7"/>
      <c r="R740" s="7"/>
    </row>
    <row r="741" spans="2:18" ht="19.5" customHeight="1">
      <c r="B741" s="7"/>
      <c r="C741" s="7"/>
      <c r="D741" s="7"/>
      <c r="E741" s="7"/>
      <c r="F741" s="7"/>
      <c r="G741" s="7"/>
      <c r="H741" s="7"/>
      <c r="I741" s="7"/>
      <c r="J741" s="67"/>
      <c r="K741" s="67"/>
      <c r="L741" s="64"/>
      <c r="M741" s="7"/>
      <c r="N741" s="7"/>
      <c r="O741" s="7"/>
      <c r="P741" s="7"/>
      <c r="Q741" s="7"/>
      <c r="R741" s="7"/>
    </row>
    <row r="742" spans="2:18" ht="19.5" customHeight="1">
      <c r="B742" s="7"/>
      <c r="C742" s="7"/>
      <c r="D742" s="7"/>
      <c r="E742" s="7"/>
      <c r="F742" s="7"/>
      <c r="G742" s="7"/>
      <c r="H742" s="7"/>
      <c r="I742" s="7"/>
      <c r="J742" s="67"/>
      <c r="K742" s="67"/>
      <c r="L742" s="64"/>
      <c r="M742" s="7"/>
      <c r="N742" s="7"/>
      <c r="O742" s="7"/>
      <c r="P742" s="7"/>
      <c r="Q742" s="7"/>
      <c r="R742" s="7"/>
    </row>
    <row r="743" spans="2:18" ht="19.5" customHeight="1">
      <c r="B743" s="7"/>
      <c r="C743" s="7"/>
      <c r="D743" s="7"/>
      <c r="E743" s="7"/>
      <c r="F743" s="7"/>
      <c r="G743" s="7"/>
      <c r="H743" s="7"/>
      <c r="I743" s="7"/>
      <c r="J743" s="67"/>
      <c r="K743" s="67"/>
      <c r="L743" s="64"/>
      <c r="M743" s="7"/>
      <c r="N743" s="7"/>
      <c r="O743" s="7"/>
      <c r="P743" s="7"/>
      <c r="Q743" s="7"/>
      <c r="R743" s="7"/>
    </row>
    <row r="744" spans="2:18" ht="19.5" customHeight="1">
      <c r="B744" s="7"/>
      <c r="C744" s="7"/>
      <c r="D744" s="7"/>
      <c r="E744" s="7"/>
      <c r="F744" s="7"/>
      <c r="G744" s="7"/>
      <c r="H744" s="7"/>
      <c r="I744" s="7"/>
      <c r="J744" s="67"/>
      <c r="K744" s="67"/>
      <c r="L744" s="64"/>
      <c r="M744" s="7"/>
      <c r="N744" s="7"/>
      <c r="O744" s="7"/>
      <c r="P744" s="7"/>
      <c r="Q744" s="7"/>
      <c r="R744" s="7"/>
    </row>
    <row r="745" spans="2:18" ht="19.5" customHeight="1">
      <c r="B745" s="7"/>
      <c r="C745" s="7"/>
      <c r="D745" s="7"/>
      <c r="E745" s="7"/>
      <c r="F745" s="7"/>
      <c r="G745" s="7"/>
      <c r="H745" s="7"/>
      <c r="I745" s="7"/>
      <c r="J745" s="67"/>
      <c r="K745" s="67"/>
      <c r="L745" s="64"/>
      <c r="M745" s="7"/>
      <c r="N745" s="7"/>
      <c r="O745" s="7"/>
      <c r="P745" s="7"/>
      <c r="Q745" s="7"/>
      <c r="R745" s="7"/>
    </row>
    <row r="746" spans="2:18" ht="19.5" customHeight="1">
      <c r="B746" s="7"/>
      <c r="C746" s="7"/>
      <c r="D746" s="7"/>
      <c r="E746" s="7"/>
      <c r="F746" s="7"/>
      <c r="G746" s="7"/>
      <c r="H746" s="7"/>
      <c r="I746" s="7"/>
      <c r="J746" s="67"/>
      <c r="K746" s="67"/>
      <c r="L746" s="64"/>
      <c r="M746" s="7"/>
      <c r="N746" s="7"/>
      <c r="O746" s="7"/>
      <c r="P746" s="7"/>
      <c r="Q746" s="7"/>
      <c r="R746" s="7"/>
    </row>
    <row r="747" spans="2:18" ht="19.5" customHeight="1">
      <c r="B747" s="7"/>
      <c r="C747" s="7"/>
      <c r="D747" s="7"/>
      <c r="E747" s="7"/>
      <c r="F747" s="7"/>
      <c r="G747" s="7"/>
      <c r="H747" s="7"/>
      <c r="I747" s="7"/>
      <c r="J747" s="67"/>
      <c r="K747" s="67"/>
      <c r="L747" s="64"/>
      <c r="M747" s="7"/>
      <c r="N747" s="7"/>
      <c r="O747" s="7"/>
      <c r="P747" s="7"/>
      <c r="Q747" s="7"/>
      <c r="R747" s="7"/>
    </row>
    <row r="748" spans="2:18" ht="19.5" customHeight="1">
      <c r="B748" s="7"/>
      <c r="C748" s="7"/>
      <c r="D748" s="7"/>
      <c r="E748" s="7"/>
      <c r="F748" s="7"/>
      <c r="G748" s="7"/>
      <c r="H748" s="7"/>
      <c r="I748" s="7"/>
      <c r="J748" s="67"/>
      <c r="K748" s="67"/>
      <c r="L748" s="64"/>
      <c r="M748" s="7"/>
      <c r="N748" s="7"/>
      <c r="O748" s="7"/>
      <c r="P748" s="7"/>
      <c r="Q748" s="7"/>
      <c r="R748" s="7"/>
    </row>
    <row r="749" spans="2:18" ht="19.5" customHeight="1">
      <c r="B749" s="7"/>
      <c r="C749" s="7"/>
      <c r="D749" s="7"/>
      <c r="E749" s="7"/>
      <c r="F749" s="7"/>
      <c r="G749" s="7"/>
      <c r="H749" s="7"/>
      <c r="I749" s="7"/>
      <c r="J749" s="67"/>
      <c r="K749" s="67"/>
      <c r="L749" s="64"/>
      <c r="M749" s="7"/>
      <c r="N749" s="7"/>
      <c r="O749" s="7"/>
      <c r="P749" s="7"/>
      <c r="Q749" s="7"/>
      <c r="R749" s="7"/>
    </row>
    <row r="750" spans="2:18" ht="19.5" customHeight="1">
      <c r="B750" s="7"/>
      <c r="C750" s="7"/>
      <c r="D750" s="7"/>
      <c r="E750" s="7"/>
      <c r="F750" s="7"/>
      <c r="G750" s="7"/>
      <c r="H750" s="7"/>
      <c r="I750" s="7"/>
      <c r="J750" s="67"/>
      <c r="K750" s="67"/>
      <c r="L750" s="64"/>
      <c r="M750" s="7"/>
      <c r="N750" s="7"/>
      <c r="O750" s="7"/>
      <c r="P750" s="7"/>
      <c r="Q750" s="7"/>
      <c r="R750" s="7"/>
    </row>
    <row r="751" spans="2:18" ht="19.5" customHeight="1">
      <c r="B751" s="7"/>
      <c r="C751" s="7"/>
      <c r="D751" s="7"/>
      <c r="E751" s="7"/>
      <c r="F751" s="7"/>
      <c r="G751" s="7"/>
      <c r="H751" s="7"/>
      <c r="I751" s="7"/>
      <c r="J751" s="67"/>
      <c r="K751" s="67"/>
      <c r="L751" s="64"/>
      <c r="M751" s="7"/>
      <c r="N751" s="7"/>
      <c r="O751" s="7"/>
      <c r="P751" s="7"/>
      <c r="Q751" s="7"/>
      <c r="R751" s="7"/>
    </row>
    <row r="752" spans="2:18" ht="19.5" customHeight="1">
      <c r="B752" s="7"/>
      <c r="C752" s="7"/>
      <c r="D752" s="7"/>
      <c r="E752" s="7"/>
      <c r="F752" s="7"/>
      <c r="G752" s="7"/>
      <c r="H752" s="7"/>
      <c r="I752" s="7"/>
      <c r="J752" s="67"/>
      <c r="K752" s="67"/>
      <c r="L752" s="64"/>
      <c r="M752" s="7"/>
      <c r="N752" s="7"/>
      <c r="O752" s="7"/>
      <c r="P752" s="7"/>
      <c r="Q752" s="7"/>
      <c r="R752" s="7"/>
    </row>
    <row r="753" spans="2:18" ht="19.5" customHeight="1">
      <c r="B753" s="7"/>
      <c r="C753" s="7"/>
      <c r="D753" s="7"/>
      <c r="E753" s="7"/>
      <c r="F753" s="7"/>
      <c r="G753" s="7"/>
      <c r="H753" s="7"/>
      <c r="I753" s="7"/>
      <c r="J753" s="67"/>
      <c r="K753" s="67"/>
      <c r="L753" s="64"/>
      <c r="M753" s="7"/>
      <c r="N753" s="7"/>
      <c r="O753" s="7"/>
      <c r="P753" s="7"/>
      <c r="Q753" s="7"/>
      <c r="R753" s="7"/>
    </row>
    <row r="754" spans="2:18" ht="19.5" customHeight="1">
      <c r="B754" s="7"/>
      <c r="C754" s="7"/>
      <c r="D754" s="7"/>
      <c r="E754" s="7"/>
      <c r="F754" s="7"/>
      <c r="G754" s="7"/>
      <c r="H754" s="7"/>
      <c r="I754" s="7"/>
      <c r="J754" s="67"/>
      <c r="K754" s="67"/>
      <c r="L754" s="64"/>
      <c r="M754" s="7"/>
      <c r="N754" s="7"/>
      <c r="O754" s="7"/>
      <c r="P754" s="7"/>
      <c r="Q754" s="7"/>
      <c r="R754" s="7"/>
    </row>
    <row r="755" spans="2:18" ht="19.5" customHeight="1">
      <c r="B755" s="7"/>
      <c r="C755" s="7"/>
      <c r="D755" s="7"/>
      <c r="E755" s="7"/>
      <c r="F755" s="7"/>
      <c r="G755" s="7"/>
      <c r="H755" s="7"/>
      <c r="I755" s="7"/>
      <c r="J755" s="67"/>
      <c r="K755" s="67"/>
      <c r="L755" s="64"/>
      <c r="M755" s="7"/>
      <c r="N755" s="7"/>
      <c r="O755" s="7"/>
      <c r="P755" s="7"/>
      <c r="Q755" s="7"/>
      <c r="R755" s="7"/>
    </row>
    <row r="756" spans="2:18" ht="19.5" customHeight="1">
      <c r="B756" s="7"/>
      <c r="C756" s="7"/>
      <c r="D756" s="7"/>
      <c r="E756" s="7"/>
      <c r="F756" s="7"/>
      <c r="G756" s="7"/>
      <c r="H756" s="7"/>
      <c r="I756" s="7"/>
      <c r="J756" s="67"/>
      <c r="K756" s="67"/>
      <c r="L756" s="64"/>
      <c r="M756" s="7"/>
      <c r="N756" s="7"/>
      <c r="O756" s="7"/>
      <c r="P756" s="7"/>
      <c r="Q756" s="7"/>
      <c r="R756" s="7"/>
    </row>
    <row r="757" spans="2:18" ht="19.5" customHeight="1">
      <c r="B757" s="7"/>
      <c r="C757" s="7"/>
      <c r="D757" s="7"/>
      <c r="E757" s="7"/>
      <c r="F757" s="7"/>
      <c r="G757" s="7"/>
      <c r="H757" s="7"/>
      <c r="I757" s="7"/>
      <c r="J757" s="67"/>
      <c r="K757" s="67"/>
      <c r="L757" s="64"/>
      <c r="M757" s="7"/>
      <c r="N757" s="7"/>
      <c r="O757" s="7"/>
      <c r="P757" s="7"/>
      <c r="Q757" s="7"/>
      <c r="R757" s="7"/>
    </row>
    <row r="758" spans="2:18" ht="19.5" customHeight="1">
      <c r="B758" s="7"/>
      <c r="C758" s="7"/>
      <c r="D758" s="7"/>
      <c r="E758" s="7"/>
      <c r="F758" s="7"/>
      <c r="G758" s="7"/>
      <c r="H758" s="7"/>
      <c r="I758" s="7"/>
      <c r="J758" s="67"/>
      <c r="K758" s="67"/>
      <c r="L758" s="64"/>
      <c r="M758" s="7"/>
      <c r="N758" s="7"/>
      <c r="O758" s="7"/>
      <c r="P758" s="7"/>
      <c r="Q758" s="7"/>
      <c r="R758" s="7"/>
    </row>
    <row r="759" spans="2:18" ht="19.5" customHeight="1">
      <c r="B759" s="7"/>
      <c r="C759" s="7"/>
      <c r="D759" s="7"/>
      <c r="E759" s="7"/>
      <c r="F759" s="7"/>
      <c r="G759" s="7"/>
      <c r="H759" s="7"/>
      <c r="I759" s="7"/>
      <c r="J759" s="67"/>
      <c r="K759" s="67"/>
      <c r="L759" s="64"/>
      <c r="M759" s="7"/>
      <c r="N759" s="7"/>
      <c r="O759" s="7"/>
      <c r="P759" s="7"/>
      <c r="Q759" s="7"/>
      <c r="R759" s="7"/>
    </row>
    <row r="760" spans="2:18" ht="19.5" customHeight="1">
      <c r="B760" s="7"/>
      <c r="C760" s="7"/>
      <c r="D760" s="7"/>
      <c r="E760" s="7"/>
      <c r="F760" s="7"/>
      <c r="G760" s="7"/>
      <c r="H760" s="7"/>
      <c r="I760" s="7"/>
      <c r="J760" s="67"/>
      <c r="K760" s="67"/>
      <c r="L760" s="64"/>
      <c r="M760" s="7"/>
      <c r="N760" s="7"/>
      <c r="O760" s="7"/>
      <c r="P760" s="7"/>
      <c r="Q760" s="7"/>
      <c r="R760" s="7"/>
    </row>
    <row r="761" spans="2:18" ht="19.5" customHeight="1">
      <c r="B761" s="7"/>
      <c r="C761" s="7"/>
      <c r="D761" s="7"/>
      <c r="E761" s="7"/>
      <c r="F761" s="7"/>
      <c r="G761" s="7"/>
      <c r="H761" s="7"/>
      <c r="I761" s="7"/>
      <c r="J761" s="67"/>
      <c r="K761" s="67"/>
      <c r="L761" s="64"/>
      <c r="M761" s="7"/>
      <c r="N761" s="7"/>
      <c r="O761" s="7"/>
      <c r="P761" s="7"/>
      <c r="Q761" s="7"/>
      <c r="R761" s="7"/>
    </row>
    <row r="762" spans="2:18" ht="19.5" customHeight="1">
      <c r="B762" s="7"/>
      <c r="C762" s="7"/>
      <c r="D762" s="7"/>
      <c r="E762" s="7"/>
      <c r="F762" s="7"/>
      <c r="G762" s="7"/>
      <c r="H762" s="7"/>
      <c r="I762" s="7"/>
      <c r="J762" s="67"/>
      <c r="K762" s="67"/>
      <c r="L762" s="64"/>
      <c r="M762" s="7"/>
      <c r="N762" s="7"/>
      <c r="O762" s="7"/>
      <c r="P762" s="7"/>
      <c r="Q762" s="7"/>
      <c r="R762" s="7"/>
    </row>
    <row r="763" spans="2:18" ht="19.5" customHeight="1">
      <c r="B763" s="7"/>
      <c r="C763" s="7"/>
      <c r="D763" s="7"/>
      <c r="E763" s="7"/>
      <c r="F763" s="7"/>
      <c r="G763" s="7"/>
      <c r="H763" s="7"/>
      <c r="I763" s="7"/>
      <c r="J763" s="67"/>
      <c r="K763" s="67"/>
      <c r="L763" s="64"/>
      <c r="M763" s="7"/>
      <c r="N763" s="7"/>
      <c r="O763" s="7"/>
      <c r="P763" s="7"/>
      <c r="Q763" s="7"/>
      <c r="R763" s="7"/>
    </row>
    <row r="764" spans="2:18" ht="19.5" customHeight="1">
      <c r="B764" s="7"/>
      <c r="C764" s="7"/>
      <c r="D764" s="7"/>
      <c r="E764" s="7"/>
      <c r="F764" s="7"/>
      <c r="G764" s="7"/>
      <c r="H764" s="7"/>
      <c r="I764" s="7"/>
      <c r="J764" s="67"/>
      <c r="K764" s="67"/>
      <c r="L764" s="64"/>
      <c r="M764" s="7"/>
      <c r="N764" s="7"/>
      <c r="O764" s="7"/>
      <c r="P764" s="7"/>
      <c r="Q764" s="7"/>
      <c r="R764" s="7"/>
    </row>
    <row r="765" spans="2:18" ht="19.5" customHeight="1">
      <c r="B765" s="7"/>
      <c r="C765" s="7"/>
      <c r="D765" s="7"/>
      <c r="E765" s="7"/>
      <c r="F765" s="7"/>
      <c r="G765" s="7"/>
      <c r="H765" s="7"/>
      <c r="I765" s="7"/>
      <c r="J765" s="67"/>
      <c r="K765" s="67"/>
      <c r="L765" s="64"/>
      <c r="M765" s="7"/>
      <c r="N765" s="7"/>
      <c r="O765" s="7"/>
      <c r="P765" s="7"/>
      <c r="Q765" s="7"/>
      <c r="R765" s="7"/>
    </row>
    <row r="766" spans="2:18" ht="19.5" customHeight="1">
      <c r="B766" s="7"/>
      <c r="C766" s="7"/>
      <c r="D766" s="7"/>
      <c r="E766" s="7"/>
      <c r="F766" s="7"/>
      <c r="G766" s="7"/>
      <c r="H766" s="7"/>
      <c r="I766" s="7"/>
      <c r="J766" s="67"/>
      <c r="K766" s="67"/>
      <c r="L766" s="64"/>
      <c r="M766" s="7"/>
      <c r="N766" s="7"/>
      <c r="O766" s="7"/>
      <c r="P766" s="7"/>
      <c r="Q766" s="7"/>
      <c r="R766" s="7"/>
    </row>
    <row r="767" spans="2:18" ht="19.5" customHeight="1">
      <c r="B767" s="7"/>
      <c r="C767" s="7"/>
      <c r="D767" s="7"/>
      <c r="E767" s="7"/>
      <c r="F767" s="7"/>
      <c r="G767" s="7"/>
      <c r="H767" s="7"/>
      <c r="I767" s="7"/>
      <c r="J767" s="67"/>
      <c r="K767" s="67"/>
      <c r="L767" s="64"/>
      <c r="M767" s="7"/>
      <c r="N767" s="7"/>
      <c r="O767" s="7"/>
      <c r="P767" s="7"/>
      <c r="Q767" s="7"/>
      <c r="R767" s="7"/>
    </row>
    <row r="768" spans="2:18" ht="12.75"/>
    <row r="769" ht="12.75"/>
    <row r="770" ht="12.75"/>
    <row r="771" ht="12.75"/>
    <row r="772" ht="12.75"/>
    <row r="773" ht="12.75"/>
    <row r="774" ht="12.75"/>
    <row r="775" ht="12.75"/>
    <row r="780" ht="12.75"/>
    <row r="783" ht="12.75"/>
    <row r="788" ht="12.75"/>
    <row r="789" ht="12.75"/>
    <row r="790" ht="12.75"/>
    <row r="792" ht="12.75"/>
    <row r="794" ht="12.75"/>
    <row r="795" ht="12.75"/>
    <row r="796" ht="12.75"/>
    <row r="797" ht="12.75"/>
    <row r="798" ht="12.75"/>
    <row r="799" ht="12.75"/>
    <row r="800" ht="12.75"/>
    <row r="801" ht="12.75"/>
    <row r="802" ht="12.75"/>
    <row r="803" ht="12.75"/>
    <row r="804" ht="12.75"/>
    <row r="805" ht="12.75"/>
    <row r="807" ht="12.75"/>
    <row r="808" ht="12.75"/>
    <row r="809" ht="12.75"/>
    <row r="810" ht="12.75"/>
    <row r="811" ht="12.75"/>
  </sheetData>
  <mergeCells count="16">
    <mergeCell ref="H23:J23"/>
    <mergeCell ref="X1:AA1"/>
    <mergeCell ref="B8:C9"/>
    <mergeCell ref="B3:C4"/>
    <mergeCell ref="D1:F1"/>
    <mergeCell ref="D13:F13"/>
    <mergeCell ref="M1:P1"/>
    <mergeCell ref="V7:W7"/>
    <mergeCell ref="D6:F6"/>
    <mergeCell ref="H1:K1"/>
    <mergeCell ref="V8:W8"/>
    <mergeCell ref="R1:T1"/>
    <mergeCell ref="V3:W3"/>
    <mergeCell ref="V5:W5"/>
    <mergeCell ref="V4:W4"/>
    <mergeCell ref="V6:W6"/>
  </mergeCells>
  <dataValidations count="1">
    <dataValidation type="list" allowBlank="1" showInputMessage="1" showErrorMessage="1" sqref="A7" xr:uid="{10AB7BA2-310F-4913-AFFD-39373C61A6BA}">
      <formula1>"Brzcky,Epley"</formula1>
    </dataValidation>
  </dataValidations>
  <hyperlinks>
    <hyperlink ref="B8" r:id="rId1" xr:uid="{00000000-0004-0000-0200-000000000000}"/>
    <hyperlink ref="B3" location="'MAXIMALKRAFTWERTE '!B3" display="MAXIMALKRAFTWERTE " xr:uid="{00000000-0004-0000-0200-000001000000}"/>
    <hyperlink ref="R6" r:id="rId2" display="https://www.sjardfitness.de/maximalkraftrechner/" xr:uid="{00000000-0004-0000-0200-000002000000}"/>
    <hyperlink ref="H6" r:id="rId3" display="5 Wdh" xr:uid="{00000000-0004-0000-0200-000003000000}"/>
    <hyperlink ref="B3:C4" location="Maximalkraftwerte!A1" display="1 RM Werte" xr:uid="{00000000-0004-0000-0200-000004000000}"/>
  </hyperlinks>
  <pageMargins left="0.7" right="0.7" top="0.78740157499999996" bottom="0.78740157499999996" header="0.3" footer="0.3"/>
  <pageSetup paperSize="9" orientation="portrait" horizontalDpi="300" verticalDpi="300"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809"/>
  <sheetViews>
    <sheetView showGridLines="0" topLeftCell="C1" zoomScale="75" zoomScaleNormal="75" workbookViewId="0">
      <selection activeCell="I7" sqref="I7"/>
    </sheetView>
  </sheetViews>
  <sheetFormatPr baseColWidth="10" defaultColWidth="9" defaultRowHeight="15" customHeight="1"/>
  <cols>
    <col min="1" max="5" width="18.85546875" style="16" customWidth="1"/>
    <col min="6" max="6" width="18.85546875" style="16" hidden="1"/>
    <col min="7" max="19" width="18.85546875" style="16" customWidth="1"/>
    <col min="20" max="20" width="18.85546875" style="16" hidden="1"/>
    <col min="21" max="25" width="18.85546875" style="16" customWidth="1"/>
    <col min="26" max="26" width="18.85546875" style="16" hidden="1"/>
    <col min="27" max="33" width="18.85546875" style="16" customWidth="1"/>
    <col min="34" max="34" width="18.85546875" style="16" hidden="1"/>
    <col min="35" max="37" width="18.85546875" style="16" customWidth="1"/>
    <col min="38" max="41" width="17.85546875" style="16" customWidth="1"/>
    <col min="42" max="254" width="14" style="16" customWidth="1"/>
    <col min="255" max="256" width="9" style="16" customWidth="1"/>
  </cols>
  <sheetData>
    <row r="1" spans="1:50" ht="32.1" customHeight="1"/>
    <row r="2" spans="1:50" ht="35.1" customHeight="1">
      <c r="A2" s="258"/>
      <c r="B2" s="1211" t="s">
        <v>247</v>
      </c>
      <c r="C2" s="1211"/>
      <c r="D2" s="1211"/>
      <c r="E2" s="240"/>
      <c r="F2" s="7"/>
      <c r="G2" s="130"/>
      <c r="H2" s="242"/>
      <c r="I2" s="241"/>
      <c r="J2" s="1214"/>
      <c r="K2" s="1214"/>
      <c r="L2" s="1214"/>
      <c r="M2" s="7"/>
      <c r="N2" s="7"/>
      <c r="O2" s="7"/>
      <c r="P2" s="7"/>
      <c r="S2" s="131"/>
      <c r="AD2" s="129"/>
      <c r="AI2" s="132"/>
      <c r="AJ2" s="132"/>
      <c r="AK2" s="132"/>
      <c r="AL2" s="132"/>
      <c r="AM2" s="132"/>
      <c r="AN2" s="132"/>
      <c r="AO2" s="132"/>
      <c r="AP2" s="132"/>
      <c r="AQ2" s="132"/>
      <c r="AR2" s="132"/>
      <c r="AS2" s="132"/>
      <c r="AT2" s="132"/>
      <c r="AU2" s="132"/>
      <c r="AV2" s="132"/>
      <c r="AW2" s="132"/>
      <c r="AX2" s="132"/>
    </row>
    <row r="3" spans="1:50" ht="35.1" customHeight="1">
      <c r="A3" s="7"/>
      <c r="B3" s="8"/>
      <c r="C3" s="240"/>
      <c r="D3" s="240"/>
      <c r="E3" s="240"/>
      <c r="F3" s="8"/>
      <c r="G3" s="130"/>
      <c r="H3" s="130"/>
      <c r="M3" s="7"/>
      <c r="N3" s="7"/>
      <c r="O3" s="7"/>
      <c r="P3" s="7"/>
      <c r="AI3" s="132"/>
      <c r="AJ3" s="132"/>
      <c r="AK3" s="132"/>
      <c r="AL3" s="132"/>
      <c r="AM3" s="132"/>
      <c r="AN3" s="132"/>
      <c r="AO3" s="132"/>
      <c r="AP3" s="132"/>
      <c r="AQ3" s="132"/>
      <c r="AR3" s="132"/>
      <c r="AS3" s="132"/>
      <c r="AT3" s="132"/>
      <c r="AU3" s="132"/>
      <c r="AV3" s="132"/>
      <c r="AW3" s="132"/>
      <c r="AX3" s="132"/>
    </row>
    <row r="4" spans="1:50" ht="35.1" customHeight="1">
      <c r="A4" s="8"/>
      <c r="B4" s="133"/>
      <c r="C4" s="72" t="s">
        <v>55</v>
      </c>
      <c r="D4" s="72" t="s">
        <v>56</v>
      </c>
      <c r="E4" s="72" t="s">
        <v>138</v>
      </c>
      <c r="F4" s="72" t="s">
        <v>139</v>
      </c>
      <c r="G4" s="73" t="s">
        <v>188</v>
      </c>
      <c r="H4" s="134"/>
      <c r="I4" s="135" t="s">
        <v>126</v>
      </c>
      <c r="J4" s="1212" t="s">
        <v>68</v>
      </c>
      <c r="K4" s="1212"/>
      <c r="L4" s="1212"/>
      <c r="M4" s="1212"/>
      <c r="N4" s="1212"/>
      <c r="O4" s="8"/>
      <c r="P4" s="136" t="s">
        <v>127</v>
      </c>
      <c r="Q4" s="1213" t="s">
        <v>69</v>
      </c>
      <c r="R4" s="1213"/>
      <c r="S4" s="1213"/>
      <c r="T4" s="1213"/>
      <c r="U4" s="1213"/>
      <c r="W4" s="136" t="s">
        <v>128</v>
      </c>
      <c r="X4" s="1212" t="s">
        <v>70</v>
      </c>
      <c r="Y4" s="1212"/>
      <c r="Z4" s="1212"/>
      <c r="AA4" s="1212"/>
      <c r="AB4" s="1212"/>
      <c r="AD4" s="136" t="s">
        <v>129</v>
      </c>
      <c r="AE4" s="1212" t="s">
        <v>131</v>
      </c>
      <c r="AF4" s="1212"/>
      <c r="AG4" s="1212"/>
      <c r="AH4" s="1212"/>
      <c r="AI4" s="1212"/>
      <c r="AJ4" s="137"/>
      <c r="AK4" s="138"/>
      <c r="AL4" s="132"/>
      <c r="AM4" s="139"/>
      <c r="AN4" s="132"/>
      <c r="AO4" s="132"/>
      <c r="AP4" s="132"/>
      <c r="AQ4" s="140"/>
      <c r="AR4" s="140"/>
      <c r="AS4" s="140"/>
      <c r="AT4" s="132"/>
      <c r="AU4" s="132"/>
      <c r="AV4" s="132"/>
      <c r="AW4" s="132"/>
      <c r="AX4" s="132"/>
    </row>
    <row r="5" spans="1:50" ht="35.1" customHeight="1">
      <c r="A5" s="128"/>
      <c r="B5" s="141" t="s">
        <v>68</v>
      </c>
      <c r="C5" s="142">
        <v>1</v>
      </c>
      <c r="D5" s="142">
        <v>3</v>
      </c>
      <c r="E5" s="84">
        <v>0.87</v>
      </c>
      <c r="F5" s="85">
        <f>E5*$G$9</f>
        <v>101.00699999999999</v>
      </c>
      <c r="G5" s="85">
        <f>IF(MROUND(F5,2.5)&gt;F5,MROUND(F5-1.25,2.5),MROUND(F5,2.5))</f>
        <v>100</v>
      </c>
      <c r="H5" s="143"/>
      <c r="I5" s="144"/>
      <c r="J5" s="144" t="s">
        <v>55</v>
      </c>
      <c r="K5" s="144" t="s">
        <v>56</v>
      </c>
      <c r="L5" s="145" t="s">
        <v>138</v>
      </c>
      <c r="M5" s="144" t="s">
        <v>57</v>
      </c>
      <c r="N5" s="144" t="s">
        <v>188</v>
      </c>
      <c r="O5" s="8"/>
      <c r="P5" s="146"/>
      <c r="Q5" s="147" t="s">
        <v>55</v>
      </c>
      <c r="R5" s="148" t="s">
        <v>56</v>
      </c>
      <c r="S5" s="149" t="s">
        <v>138</v>
      </c>
      <c r="T5" s="150" t="s">
        <v>57</v>
      </c>
      <c r="U5" s="150" t="s">
        <v>188</v>
      </c>
      <c r="W5" s="144"/>
      <c r="X5" s="151" t="s">
        <v>55</v>
      </c>
      <c r="Y5" s="151" t="s">
        <v>56</v>
      </c>
      <c r="Z5" s="145" t="s">
        <v>138</v>
      </c>
      <c r="AA5" s="151" t="s">
        <v>139</v>
      </c>
      <c r="AB5" s="151" t="s">
        <v>188</v>
      </c>
      <c r="AD5" s="144"/>
      <c r="AE5" s="151" t="s">
        <v>55</v>
      </c>
      <c r="AF5" s="151" t="s">
        <v>56</v>
      </c>
      <c r="AG5" s="145" t="s">
        <v>138</v>
      </c>
      <c r="AH5" s="151" t="s">
        <v>139</v>
      </c>
      <c r="AI5" s="151" t="s">
        <v>188</v>
      </c>
      <c r="AJ5" s="152"/>
      <c r="AK5" s="153"/>
      <c r="AL5" s="132"/>
      <c r="AM5" s="153"/>
      <c r="AN5" s="132"/>
      <c r="AO5" s="132"/>
      <c r="AP5" s="132"/>
      <c r="AQ5" s="154"/>
      <c r="AR5" s="154"/>
      <c r="AS5" s="153"/>
      <c r="AT5" s="132"/>
      <c r="AU5" s="132"/>
      <c r="AV5" s="132"/>
      <c r="AW5" s="132"/>
      <c r="AX5" s="132"/>
    </row>
    <row r="6" spans="1:50" ht="35.1" customHeight="1">
      <c r="A6" s="128"/>
      <c r="B6" s="155" t="s">
        <v>69</v>
      </c>
      <c r="C6" s="156">
        <v>2</v>
      </c>
      <c r="D6" s="156">
        <v>3</v>
      </c>
      <c r="E6" s="99">
        <v>0.89</v>
      </c>
      <c r="F6" s="100">
        <f>$E6*$G$9</f>
        <v>103.32899999999999</v>
      </c>
      <c r="G6" s="100">
        <f>IF(MROUND(F6,2.5)&gt;F6,MROUND(F6-1.25,2.5),MROUND(F6,2.5))</f>
        <v>102.5</v>
      </c>
      <c r="H6" s="130"/>
      <c r="I6" s="155" t="s">
        <v>123</v>
      </c>
      <c r="J6" s="156">
        <v>1</v>
      </c>
      <c r="K6" s="156">
        <v>3</v>
      </c>
      <c r="L6" s="99">
        <v>0.87</v>
      </c>
      <c r="M6" s="100">
        <f>L6*$G$9</f>
        <v>101.00699999999999</v>
      </c>
      <c r="N6" s="100">
        <f>IF(MROUND(M6,2.5)&gt;M6,MROUND(M6-1.25,2.5),MROUND(M6,2.5))</f>
        <v>100</v>
      </c>
      <c r="O6" s="8"/>
      <c r="P6" s="157" t="s">
        <v>123</v>
      </c>
      <c r="Q6" s="158">
        <v>2</v>
      </c>
      <c r="R6" s="158">
        <v>3</v>
      </c>
      <c r="S6" s="159">
        <v>0.89</v>
      </c>
      <c r="T6" s="100">
        <f>S6*$G$9</f>
        <v>103.32899999999999</v>
      </c>
      <c r="U6" s="100">
        <f>IF(MROUND(T6,2.5)&gt;T6,MROUND(T6-1.25,2.5),MROUND(T6,2.5))</f>
        <v>102.5</v>
      </c>
      <c r="W6" s="155" t="s">
        <v>123</v>
      </c>
      <c r="X6" s="156">
        <v>2</v>
      </c>
      <c r="Y6" s="156">
        <v>2</v>
      </c>
      <c r="Z6" s="99">
        <v>0.91</v>
      </c>
      <c r="AA6" s="100">
        <f>Z6*$G$9</f>
        <v>105.651</v>
      </c>
      <c r="AB6" s="100">
        <f>IF(MROUND(AA6,2.5)&gt;AA6,MROUND(AA6-1.25,2.5),MROUND(AA6,2.5))</f>
        <v>105</v>
      </c>
      <c r="AD6" s="155" t="s">
        <v>123</v>
      </c>
      <c r="AE6" s="156">
        <v>2</v>
      </c>
      <c r="AF6" s="156">
        <v>1</v>
      </c>
      <c r="AG6" s="99">
        <v>0.95</v>
      </c>
      <c r="AH6" s="100">
        <f>AG6*$G$9</f>
        <v>110.29499999999999</v>
      </c>
      <c r="AI6" s="100">
        <f>IF(MROUND(AH6,2.5)&gt;AH6,MROUND(AH6-1.25,2.5),MROUND(AH6,2.5))</f>
        <v>110</v>
      </c>
      <c r="AJ6" s="137"/>
      <c r="AK6" s="153"/>
      <c r="AL6" s="132"/>
      <c r="AM6" s="132"/>
      <c r="AN6" s="132"/>
      <c r="AO6" s="132"/>
      <c r="AP6" s="132"/>
      <c r="AQ6" s="132"/>
      <c r="AR6" s="132"/>
      <c r="AS6" s="132"/>
      <c r="AT6" s="132"/>
      <c r="AU6" s="132"/>
      <c r="AV6" s="132"/>
      <c r="AW6" s="132"/>
      <c r="AX6" s="132"/>
    </row>
    <row r="7" spans="1:50" ht="35.1" customHeight="1">
      <c r="A7" s="8"/>
      <c r="B7" s="141" t="s">
        <v>70</v>
      </c>
      <c r="C7" s="142">
        <v>2</v>
      </c>
      <c r="D7" s="142">
        <v>2</v>
      </c>
      <c r="E7" s="84">
        <v>0.91</v>
      </c>
      <c r="F7" s="85">
        <f>$E7*$G$9</f>
        <v>105.651</v>
      </c>
      <c r="G7" s="85">
        <f>IF(MROUND(F7,2.5)&gt;F7,MROUND(F7-1.25,2.5),MROUND(F7,2.5))</f>
        <v>105</v>
      </c>
      <c r="H7" s="130"/>
      <c r="I7" s="141" t="s">
        <v>124</v>
      </c>
      <c r="J7" s="142">
        <v>2</v>
      </c>
      <c r="K7" s="142">
        <v>5</v>
      </c>
      <c r="L7" s="84">
        <v>0.85</v>
      </c>
      <c r="M7" s="85">
        <f>L7*$G$9</f>
        <v>98.684999999999988</v>
      </c>
      <c r="N7" s="85">
        <f>IF(MROUND(M7,2.5)&gt;M7,MROUND(M7-1.25,2.5),MROUND(M7,2.5))</f>
        <v>97.5</v>
      </c>
      <c r="O7" s="8"/>
      <c r="P7" s="141" t="s">
        <v>124</v>
      </c>
      <c r="Q7" s="142">
        <v>2</v>
      </c>
      <c r="R7" s="142">
        <v>5</v>
      </c>
      <c r="S7" s="84">
        <v>0.85</v>
      </c>
      <c r="T7" s="85">
        <f>S7*$G$9</f>
        <v>98.684999999999988</v>
      </c>
      <c r="U7" s="85">
        <f>IF(MROUND(T7,2.5)&gt;T7,MROUND(T7-1.25,2.5),MROUND(T7,2.5))</f>
        <v>97.5</v>
      </c>
      <c r="W7" s="141" t="s">
        <v>124</v>
      </c>
      <c r="X7" s="142">
        <v>2</v>
      </c>
      <c r="Y7" s="142">
        <v>5</v>
      </c>
      <c r="Z7" s="84">
        <v>0.85</v>
      </c>
      <c r="AA7" s="85">
        <f>Z7*$G$9</f>
        <v>98.684999999999988</v>
      </c>
      <c r="AB7" s="85">
        <f>IF(MROUND(AA7,2.5)&gt;AA7,MROUND(AA7-1.25,2.5),MROUND(AA7,2.5))</f>
        <v>97.5</v>
      </c>
      <c r="AD7" s="141" t="s">
        <v>124</v>
      </c>
      <c r="AE7" s="142">
        <v>3</v>
      </c>
      <c r="AF7" s="142">
        <v>5</v>
      </c>
      <c r="AG7" s="84">
        <v>0.85</v>
      </c>
      <c r="AH7" s="85">
        <f>AG7*$G$9</f>
        <v>98.684999999999988</v>
      </c>
      <c r="AI7" s="85">
        <f>IF(MROUND(AH7,2.5)&gt;AH7,MROUND(AH7-1.25,2.5),MROUND(AH7,2.5))</f>
        <v>97.5</v>
      </c>
      <c r="AJ7" s="132"/>
      <c r="AK7" s="132"/>
      <c r="AL7" s="132"/>
      <c r="AM7" s="132"/>
      <c r="AN7" s="132"/>
      <c r="AO7" s="132"/>
      <c r="AP7" s="132"/>
      <c r="AQ7" s="140"/>
      <c r="AR7" s="140"/>
      <c r="AS7" s="140"/>
      <c r="AT7" s="132"/>
      <c r="AU7" s="140"/>
      <c r="AV7" s="140"/>
      <c r="AW7" s="140"/>
      <c r="AX7" s="132"/>
    </row>
    <row r="8" spans="1:50" ht="35.1" customHeight="1">
      <c r="A8" s="8"/>
      <c r="B8" s="155" t="s">
        <v>71</v>
      </c>
      <c r="C8" s="156">
        <v>2</v>
      </c>
      <c r="D8" s="156">
        <v>1</v>
      </c>
      <c r="E8" s="99">
        <v>0.95</v>
      </c>
      <c r="F8" s="100">
        <f>$E8*$G$9</f>
        <v>110.29499999999999</v>
      </c>
      <c r="G8" s="100">
        <f>IF(MROUND(F8,2.5)&gt;F8,MROUND(F8-1.25,2.5),MROUND(F8,2.5))</f>
        <v>110</v>
      </c>
      <c r="H8" s="160"/>
      <c r="I8" s="155" t="s">
        <v>125</v>
      </c>
      <c r="J8" s="156">
        <v>1</v>
      </c>
      <c r="K8" s="156">
        <v>8</v>
      </c>
      <c r="L8" s="99">
        <v>0.75</v>
      </c>
      <c r="M8" s="100">
        <f>L8*$G$9</f>
        <v>87.074999999999989</v>
      </c>
      <c r="N8" s="100">
        <f>IF(MROUND(M8,2.5)&gt;M8,MROUND(M8-1.25,2.5),MROUND(M8,2.5))</f>
        <v>85</v>
      </c>
      <c r="O8" s="8"/>
      <c r="P8" s="155" t="s">
        <v>125</v>
      </c>
      <c r="Q8" s="156">
        <v>1</v>
      </c>
      <c r="R8" s="156">
        <v>8</v>
      </c>
      <c r="S8" s="99">
        <v>0.75</v>
      </c>
      <c r="T8" s="100">
        <f>S8*$G$9</f>
        <v>87.074999999999989</v>
      </c>
      <c r="U8" s="100">
        <f>IF(MROUND(T8,2.5)&gt;T8,MROUND(T8-1.25,2.5),MROUND(T8,2.5))</f>
        <v>85</v>
      </c>
      <c r="W8" s="155" t="s">
        <v>125</v>
      </c>
      <c r="X8" s="156">
        <v>1</v>
      </c>
      <c r="Y8" s="156">
        <v>8</v>
      </c>
      <c r="Z8" s="99">
        <v>0.75</v>
      </c>
      <c r="AA8" s="100">
        <f>Z8*$G$9</f>
        <v>87.074999999999989</v>
      </c>
      <c r="AB8" s="100">
        <f>IF(MROUND(AA8,2.5)&gt;AA8,MROUND(AA8-1.25,2.5),MROUND(AA8,2.5))</f>
        <v>85</v>
      </c>
      <c r="AD8" s="155" t="s">
        <v>125</v>
      </c>
      <c r="AE8" s="156">
        <v>1</v>
      </c>
      <c r="AF8" s="156">
        <v>8</v>
      </c>
      <c r="AG8" s="99">
        <v>0.75</v>
      </c>
      <c r="AH8" s="100">
        <f>AG8*$G$9</f>
        <v>87.074999999999989</v>
      </c>
      <c r="AI8" s="100">
        <f>IF(MROUND(AH8,2.5)&gt;AH8,MROUND(AH8-1.25,2.5),MROUND(AH8,2.5))</f>
        <v>85</v>
      </c>
      <c r="AJ8" s="161"/>
      <c r="AK8" s="162"/>
      <c r="AL8" s="132"/>
      <c r="AM8" s="139"/>
      <c r="AN8" s="132"/>
      <c r="AO8" s="132"/>
      <c r="AP8" s="132"/>
      <c r="AQ8" s="153"/>
      <c r="AR8" s="154"/>
      <c r="AS8" s="153"/>
      <c r="AT8" s="132"/>
      <c r="AU8" s="153"/>
      <c r="AV8" s="154"/>
      <c r="AW8" s="153"/>
      <c r="AX8" s="132"/>
    </row>
    <row r="9" spans="1:50" ht="35.1" customHeight="1">
      <c r="A9" s="8"/>
      <c r="B9" s="163" t="s">
        <v>105</v>
      </c>
      <c r="C9" s="164"/>
      <c r="D9" s="164"/>
      <c r="E9" s="165" t="s">
        <v>104</v>
      </c>
      <c r="F9" s="166"/>
      <c r="G9" s="167">
        <v>116.1</v>
      </c>
      <c r="H9" s="130"/>
      <c r="AI9" s="132"/>
      <c r="AJ9" s="168"/>
      <c r="AK9" s="153"/>
      <c r="AL9" s="132"/>
      <c r="AM9" s="153"/>
      <c r="AN9" s="132"/>
      <c r="AO9" s="132"/>
      <c r="AP9" s="132"/>
      <c r="AQ9" s="132"/>
      <c r="AR9" s="132"/>
      <c r="AS9" s="132"/>
      <c r="AT9" s="132"/>
      <c r="AU9" s="132"/>
      <c r="AV9" s="132"/>
      <c r="AW9" s="132"/>
      <c r="AX9" s="132"/>
    </row>
    <row r="10" spans="1:50" ht="35.1" customHeight="1">
      <c r="A10" s="7"/>
      <c r="B10" s="8"/>
      <c r="C10" s="8"/>
      <c r="D10" s="8"/>
      <c r="E10" s="8"/>
      <c r="F10" s="8"/>
      <c r="G10" s="169" t="str">
        <f>"Rechnerergebnis: "&amp;ROUND(Rechner!$F$4,1)&amp;" kg"</f>
        <v>Rechnerergebnis: 116,1 kg</v>
      </c>
      <c r="H10" s="130"/>
      <c r="J10" s="170"/>
      <c r="AI10" s="132"/>
      <c r="AJ10" s="171"/>
      <c r="AK10" s="172"/>
      <c r="AL10" s="132"/>
      <c r="AM10" s="132"/>
      <c r="AN10" s="132"/>
      <c r="AO10" s="132"/>
      <c r="AP10" s="132"/>
      <c r="AQ10" s="132"/>
      <c r="AR10" s="132"/>
      <c r="AS10" s="132"/>
      <c r="AT10" s="132"/>
      <c r="AU10" s="132"/>
      <c r="AV10" s="132"/>
      <c r="AW10" s="132"/>
      <c r="AX10" s="132"/>
    </row>
    <row r="11" spans="1:50" ht="35.1" customHeight="1">
      <c r="A11" s="7"/>
      <c r="B11" s="8"/>
      <c r="C11" s="8"/>
      <c r="D11" s="8"/>
      <c r="E11" s="8"/>
      <c r="F11" s="8"/>
      <c r="G11" s="7"/>
      <c r="I11" s="7"/>
      <c r="J11" s="125"/>
      <c r="K11" s="8"/>
      <c r="L11" s="8"/>
      <c r="M11" s="8"/>
      <c r="N11" s="8"/>
      <c r="O11" s="8"/>
      <c r="P11" s="7"/>
      <c r="Q11" s="7"/>
      <c r="R11" s="173"/>
      <c r="S11" s="140"/>
      <c r="T11" s="174"/>
      <c r="U11" s="174"/>
      <c r="V11" s="132"/>
      <c r="W11" s="132"/>
      <c r="X11" s="175"/>
      <c r="Y11" s="176"/>
      <c r="Z11" s="177"/>
      <c r="AA11" s="132"/>
      <c r="AB11" s="132"/>
      <c r="AC11" s="178"/>
      <c r="AD11" s="178"/>
      <c r="AE11" s="121"/>
      <c r="AF11" s="121"/>
      <c r="AH11" s="132"/>
      <c r="AI11" s="132"/>
      <c r="AJ11" s="132"/>
      <c r="AK11" s="132"/>
      <c r="AL11" s="132"/>
      <c r="AM11" s="132"/>
      <c r="AN11" s="132"/>
      <c r="AO11" s="132"/>
      <c r="AP11" s="132"/>
      <c r="AQ11" s="132"/>
      <c r="AR11" s="132"/>
      <c r="AS11" s="132"/>
      <c r="AT11" s="132"/>
      <c r="AU11" s="132"/>
      <c r="AV11" s="132"/>
      <c r="AW11" s="132"/>
      <c r="AX11" s="132"/>
    </row>
    <row r="12" spans="1:50" ht="35.1" customHeight="1">
      <c r="A12" s="7"/>
      <c r="B12" s="8"/>
      <c r="C12" s="8"/>
      <c r="D12" s="8"/>
      <c r="E12" s="8"/>
      <c r="F12" s="8"/>
      <c r="G12" s="51"/>
      <c r="H12" s="7"/>
      <c r="I12" s="7"/>
      <c r="M12" s="7"/>
      <c r="N12" s="7"/>
      <c r="O12" s="7"/>
      <c r="P12" s="7"/>
      <c r="Q12" s="7"/>
      <c r="R12" s="130"/>
      <c r="S12" s="132"/>
      <c r="T12" s="132"/>
      <c r="U12" s="132"/>
      <c r="V12" s="132"/>
      <c r="W12" s="132"/>
      <c r="X12" s="132"/>
      <c r="Y12" s="132"/>
      <c r="Z12" s="132"/>
      <c r="AA12" s="132"/>
      <c r="AB12" s="132"/>
      <c r="AC12" s="132"/>
      <c r="AD12" s="132"/>
      <c r="AH12" s="132"/>
      <c r="AI12" s="132"/>
      <c r="AJ12" s="132"/>
      <c r="AK12" s="132"/>
      <c r="AL12" s="132"/>
      <c r="AM12" s="132"/>
      <c r="AN12" s="132"/>
      <c r="AO12" s="132"/>
      <c r="AP12" s="132"/>
      <c r="AQ12" s="132"/>
      <c r="AR12" s="132"/>
      <c r="AS12" s="132"/>
      <c r="AT12" s="132"/>
      <c r="AU12" s="132"/>
      <c r="AV12" s="132"/>
      <c r="AW12" s="132"/>
      <c r="AX12" s="132"/>
    </row>
    <row r="13" spans="1:50" ht="35.1" customHeight="1">
      <c r="A13" s="7"/>
      <c r="B13" s="8"/>
      <c r="C13" s="8"/>
      <c r="D13" s="8"/>
      <c r="E13" s="8"/>
      <c r="F13" s="8"/>
      <c r="G13" s="7"/>
      <c r="I13" s="127"/>
      <c r="M13" s="7"/>
      <c r="N13" s="7"/>
      <c r="O13" s="7"/>
      <c r="P13" s="7"/>
      <c r="Q13" s="7"/>
      <c r="R13" s="7"/>
      <c r="AH13" s="132"/>
      <c r="AI13" s="132"/>
      <c r="AJ13" s="132"/>
      <c r="AK13" s="132"/>
      <c r="AL13" s="132"/>
      <c r="AM13" s="132"/>
      <c r="AN13" s="132"/>
      <c r="AO13" s="132"/>
      <c r="AP13" s="132"/>
      <c r="AQ13" s="132"/>
      <c r="AR13" s="132"/>
      <c r="AS13" s="132"/>
      <c r="AT13" s="132"/>
      <c r="AU13" s="132"/>
      <c r="AV13" s="132"/>
      <c r="AW13" s="132"/>
      <c r="AX13" s="132"/>
    </row>
    <row r="14" spans="1:50" ht="35.1" customHeight="1">
      <c r="A14" s="7"/>
      <c r="B14" s="8"/>
      <c r="C14" s="8"/>
      <c r="D14" s="8"/>
      <c r="E14" s="8"/>
      <c r="F14" s="8"/>
      <c r="G14" s="8"/>
      <c r="H14" s="8"/>
      <c r="I14" s="8"/>
      <c r="J14" s="8"/>
      <c r="K14" s="8"/>
      <c r="L14" s="8"/>
      <c r="M14" s="8"/>
      <c r="N14" s="8"/>
      <c r="O14" s="8"/>
      <c r="P14" s="8"/>
      <c r="Q14" s="8"/>
      <c r="R14" s="7"/>
      <c r="AH14" s="132"/>
      <c r="AI14" s="132"/>
      <c r="AJ14" s="132"/>
      <c r="AK14" s="132"/>
      <c r="AL14" s="132"/>
      <c r="AM14" s="132"/>
      <c r="AN14" s="132"/>
      <c r="AO14" s="132"/>
      <c r="AP14" s="132"/>
      <c r="AQ14" s="132"/>
      <c r="AR14" s="132"/>
      <c r="AS14" s="132"/>
      <c r="AT14" s="132"/>
      <c r="AU14" s="132"/>
      <c r="AV14" s="132"/>
      <c r="AW14" s="132"/>
      <c r="AX14" s="132"/>
    </row>
    <row r="15" spans="1:50" ht="35.1" customHeight="1">
      <c r="A15" s="7"/>
      <c r="AH15" s="132"/>
      <c r="AI15" s="132"/>
      <c r="AJ15" s="132"/>
      <c r="AK15" s="140"/>
      <c r="AL15" s="140"/>
      <c r="AM15" s="140"/>
      <c r="AN15" s="140"/>
      <c r="AO15" s="132"/>
      <c r="AP15" s="132"/>
      <c r="AQ15" s="132"/>
      <c r="AR15" s="132"/>
      <c r="AS15" s="132"/>
      <c r="AT15" s="132"/>
      <c r="AU15" s="132"/>
      <c r="AV15" s="132"/>
      <c r="AW15" s="132"/>
      <c r="AX15" s="132"/>
    </row>
    <row r="16" spans="1:50" ht="32.1" customHeight="1">
      <c r="A16" s="7"/>
      <c r="AH16" s="132"/>
      <c r="AI16" s="132"/>
      <c r="AJ16" s="132"/>
      <c r="AK16" s="179"/>
      <c r="AL16" s="180"/>
      <c r="AM16" s="181"/>
      <c r="AN16" s="180"/>
      <c r="AO16" s="132"/>
      <c r="AP16" s="132"/>
      <c r="AQ16" s="132"/>
      <c r="AR16" s="132"/>
      <c r="AS16" s="132"/>
      <c r="AT16" s="132"/>
      <c r="AU16" s="132"/>
      <c r="AV16" s="132"/>
      <c r="AW16" s="132"/>
      <c r="AX16" s="132"/>
    </row>
    <row r="17" spans="1:50" ht="32.1" customHeight="1">
      <c r="A17" s="7"/>
      <c r="AH17" s="132"/>
      <c r="AI17" s="132"/>
      <c r="AJ17" s="132"/>
      <c r="AK17" s="132"/>
      <c r="AL17" s="132"/>
      <c r="AM17" s="132"/>
      <c r="AN17" s="132"/>
      <c r="AO17" s="132"/>
      <c r="AP17" s="132"/>
      <c r="AQ17" s="132"/>
      <c r="AR17" s="132"/>
      <c r="AS17" s="132"/>
      <c r="AT17" s="132"/>
      <c r="AU17" s="132"/>
      <c r="AV17" s="132"/>
      <c r="AW17" s="132"/>
      <c r="AX17" s="132"/>
    </row>
    <row r="18" spans="1:50" ht="32.1" customHeight="1">
      <c r="A18" s="8"/>
      <c r="AH18" s="132"/>
      <c r="AI18" s="132"/>
      <c r="AJ18" s="132"/>
      <c r="AK18" s="132"/>
      <c r="AL18" s="132"/>
      <c r="AM18" s="132"/>
      <c r="AN18" s="132"/>
      <c r="AO18" s="132"/>
      <c r="AP18" s="132"/>
      <c r="AQ18" s="132"/>
      <c r="AR18" s="132"/>
      <c r="AS18" s="132"/>
      <c r="AT18" s="132"/>
      <c r="AU18" s="132"/>
      <c r="AV18" s="132"/>
      <c r="AW18" s="132"/>
      <c r="AX18" s="132"/>
    </row>
    <row r="19" spans="1:50" ht="32.1" customHeight="1">
      <c r="A19" s="8"/>
      <c r="AH19" s="132"/>
      <c r="AI19" s="132"/>
      <c r="AJ19" s="132"/>
      <c r="AK19" s="132"/>
      <c r="AL19" s="132"/>
      <c r="AM19" s="132"/>
      <c r="AN19" s="132"/>
      <c r="AO19" s="132"/>
      <c r="AP19" s="132"/>
      <c r="AQ19" s="132"/>
      <c r="AR19" s="132"/>
      <c r="AS19" s="132"/>
      <c r="AT19" s="132"/>
      <c r="AU19" s="132"/>
      <c r="AV19" s="132"/>
      <c r="AW19" s="132"/>
      <c r="AX19" s="132"/>
    </row>
    <row r="20" spans="1:50" ht="32.1" customHeight="1">
      <c r="A20" s="8"/>
    </row>
    <row r="21" spans="1:50" ht="32.1" customHeight="1">
      <c r="A21" s="8"/>
    </row>
    <row r="22" spans="1:50" ht="32.1" customHeight="1">
      <c r="A22" s="8"/>
    </row>
    <row r="23" spans="1:50" ht="32.1" customHeight="1">
      <c r="A23" s="8"/>
    </row>
    <row r="24" spans="1:50" ht="19.5" customHeight="1">
      <c r="A24" s="7"/>
      <c r="B24" s="8"/>
      <c r="C24" s="8"/>
      <c r="D24" s="8"/>
      <c r="E24" s="8"/>
      <c r="F24" s="8"/>
      <c r="G24" s="8"/>
      <c r="H24" s="8"/>
      <c r="I24" s="7"/>
      <c r="J24" s="7"/>
      <c r="K24" s="7"/>
      <c r="L24" s="7"/>
      <c r="M24" s="7"/>
      <c r="N24" s="7"/>
      <c r="O24" s="7"/>
      <c r="P24" s="7"/>
      <c r="Q24" s="7"/>
      <c r="R24" s="7"/>
      <c r="S24" s="7"/>
      <c r="T24" s="7"/>
      <c r="U24" s="7"/>
      <c r="V24" s="7"/>
      <c r="W24" s="7"/>
      <c r="X24" s="7"/>
    </row>
    <row r="25" spans="1:50" ht="19.5" customHeight="1">
      <c r="A25" s="7"/>
      <c r="B25" s="7"/>
      <c r="C25" s="7"/>
      <c r="D25" s="7"/>
      <c r="E25" s="7"/>
      <c r="F25" s="7"/>
      <c r="G25" s="7"/>
      <c r="H25" s="7"/>
      <c r="I25" s="7"/>
      <c r="J25" s="7"/>
      <c r="K25" s="7"/>
      <c r="L25" s="7"/>
      <c r="M25" s="7"/>
      <c r="N25" s="7"/>
      <c r="O25" s="7"/>
      <c r="P25" s="7"/>
      <c r="Q25" s="7"/>
      <c r="R25" s="7"/>
      <c r="S25" s="7"/>
      <c r="T25" s="7"/>
      <c r="U25" s="7"/>
      <c r="V25" s="7"/>
      <c r="W25" s="7"/>
      <c r="X25" s="7"/>
    </row>
    <row r="26" spans="1:50" ht="19.5" customHeight="1">
      <c r="A26" s="7"/>
      <c r="B26" s="7"/>
      <c r="C26" s="7"/>
      <c r="D26" s="7"/>
      <c r="E26" s="7"/>
      <c r="F26" s="7"/>
      <c r="G26" s="7"/>
      <c r="H26" s="7"/>
      <c r="I26" s="7"/>
      <c r="J26" s="7"/>
      <c r="K26" s="7"/>
      <c r="L26" s="7"/>
      <c r="M26" s="7"/>
      <c r="N26" s="7"/>
      <c r="O26" s="7"/>
      <c r="P26" s="7"/>
      <c r="Q26" s="7"/>
      <c r="R26" s="7"/>
      <c r="S26" s="7"/>
      <c r="T26" s="7"/>
      <c r="U26" s="7"/>
      <c r="V26" s="7"/>
      <c r="W26" s="7"/>
      <c r="X26" s="7"/>
    </row>
    <row r="27" spans="1:50" ht="19.5" customHeight="1">
      <c r="A27" s="7"/>
      <c r="B27" s="7"/>
      <c r="C27" s="7"/>
      <c r="D27" s="7"/>
      <c r="E27" s="7"/>
      <c r="F27" s="7"/>
      <c r="G27" s="7"/>
      <c r="H27" s="7"/>
      <c r="I27" s="7"/>
      <c r="J27" s="7"/>
      <c r="K27" s="7"/>
      <c r="L27" s="7"/>
      <c r="M27" s="7"/>
      <c r="N27" s="7"/>
      <c r="O27" s="7"/>
      <c r="P27" s="7"/>
      <c r="Q27" s="7"/>
      <c r="R27" s="7"/>
      <c r="S27" s="7"/>
      <c r="T27" s="7"/>
      <c r="U27" s="7"/>
      <c r="V27" s="7"/>
      <c r="W27" s="7"/>
      <c r="X27" s="7"/>
    </row>
    <row r="28" spans="1:50" ht="19.5" customHeight="1">
      <c r="A28" s="7"/>
      <c r="B28" s="7"/>
      <c r="C28" s="7"/>
      <c r="D28" s="7"/>
      <c r="E28" s="7"/>
      <c r="F28" s="7"/>
      <c r="G28" s="7"/>
      <c r="H28" s="7"/>
      <c r="I28" s="7"/>
      <c r="J28" s="7"/>
      <c r="K28" s="7"/>
      <c r="L28" s="7"/>
      <c r="M28" s="7"/>
      <c r="N28" s="7"/>
      <c r="O28" s="7"/>
      <c r="P28" s="7"/>
      <c r="Q28" s="7"/>
      <c r="R28" s="7"/>
      <c r="S28" s="7"/>
      <c r="T28" s="7"/>
      <c r="U28" s="7"/>
      <c r="V28" s="7"/>
      <c r="W28" s="7"/>
      <c r="X28" s="7"/>
    </row>
    <row r="29" spans="1:50" ht="19.5" customHeight="1">
      <c r="A29" s="7"/>
      <c r="B29" s="7"/>
      <c r="C29" s="7"/>
      <c r="D29" s="7"/>
      <c r="E29" s="7"/>
      <c r="F29" s="7"/>
      <c r="G29" s="7"/>
      <c r="H29" s="7"/>
      <c r="I29" s="7"/>
      <c r="J29" s="7"/>
      <c r="K29" s="7"/>
      <c r="L29" s="7"/>
      <c r="M29" s="7"/>
      <c r="N29" s="7"/>
      <c r="O29" s="7"/>
      <c r="P29" s="7"/>
      <c r="Q29" s="7"/>
      <c r="R29" s="7"/>
      <c r="S29" s="7"/>
      <c r="T29" s="7"/>
      <c r="U29" s="7"/>
      <c r="V29" s="7"/>
      <c r="W29" s="7"/>
      <c r="X29" s="7"/>
    </row>
    <row r="30" spans="1:50" ht="19.5" customHeight="1">
      <c r="A30" s="7"/>
      <c r="B30" s="7"/>
      <c r="C30" s="7"/>
      <c r="D30" s="7"/>
      <c r="E30" s="7"/>
      <c r="F30" s="7"/>
      <c r="G30" s="7"/>
      <c r="H30" s="7"/>
      <c r="I30" s="7"/>
      <c r="J30" s="7"/>
      <c r="K30" s="7"/>
      <c r="L30" s="7"/>
      <c r="M30" s="7"/>
      <c r="N30" s="7"/>
      <c r="O30" s="7"/>
      <c r="P30" s="7"/>
      <c r="Q30" s="7"/>
      <c r="R30" s="7"/>
      <c r="S30" s="7"/>
      <c r="T30" s="7"/>
      <c r="U30" s="7"/>
      <c r="V30" s="7"/>
      <c r="W30" s="7"/>
      <c r="X30" s="7"/>
    </row>
    <row r="31" spans="1:50" ht="19.5" customHeight="1">
      <c r="A31" s="7"/>
      <c r="B31" s="7"/>
      <c r="C31" s="7"/>
      <c r="D31" s="7"/>
      <c r="E31" s="7"/>
      <c r="F31" s="7"/>
      <c r="G31" s="7"/>
      <c r="H31" s="7"/>
      <c r="I31" s="7"/>
      <c r="J31" s="7"/>
      <c r="K31" s="7"/>
      <c r="L31" s="7"/>
      <c r="M31" s="7"/>
      <c r="N31" s="7"/>
      <c r="O31" s="7"/>
      <c r="P31" s="7"/>
      <c r="Q31" s="7"/>
      <c r="R31" s="7"/>
      <c r="S31" s="7"/>
      <c r="T31" s="7"/>
      <c r="U31" s="7"/>
      <c r="V31" s="7"/>
      <c r="W31" s="7"/>
      <c r="X31" s="7"/>
    </row>
    <row r="32" spans="1:50" ht="19.5" customHeight="1">
      <c r="A32" s="7"/>
      <c r="B32" s="7"/>
      <c r="C32" s="7"/>
      <c r="D32" s="7"/>
      <c r="E32" s="7"/>
      <c r="F32" s="7"/>
      <c r="G32" s="7"/>
      <c r="H32" s="7"/>
      <c r="I32" s="7"/>
      <c r="J32" s="7"/>
      <c r="K32" s="7"/>
      <c r="L32" s="7"/>
      <c r="M32" s="7"/>
      <c r="N32" s="7"/>
      <c r="O32" s="7"/>
      <c r="P32" s="7"/>
      <c r="Q32" s="7"/>
      <c r="R32" s="7"/>
      <c r="S32" s="7"/>
      <c r="T32" s="7"/>
      <c r="U32" s="7"/>
      <c r="V32" s="7"/>
      <c r="W32" s="7"/>
      <c r="X32" s="7"/>
    </row>
    <row r="33" spans="1:24" ht="19.5" customHeight="1">
      <c r="A33" s="7"/>
      <c r="B33" s="7"/>
      <c r="C33" s="7"/>
      <c r="D33" s="7"/>
      <c r="E33" s="7"/>
      <c r="F33" s="7"/>
      <c r="G33" s="7"/>
      <c r="H33" s="7"/>
      <c r="I33" s="7"/>
      <c r="J33" s="7"/>
      <c r="K33" s="7"/>
      <c r="L33" s="7"/>
      <c r="M33" s="7"/>
      <c r="N33" s="7"/>
      <c r="O33" s="7"/>
      <c r="P33" s="7"/>
      <c r="Q33" s="7"/>
      <c r="R33" s="7"/>
      <c r="S33" s="7"/>
      <c r="T33" s="7"/>
      <c r="U33" s="7"/>
      <c r="V33" s="7"/>
      <c r="W33" s="7"/>
      <c r="X33" s="7"/>
    </row>
    <row r="34" spans="1:24" ht="19.5" customHeight="1">
      <c r="A34" s="7"/>
      <c r="B34" s="7"/>
      <c r="C34" s="7"/>
      <c r="D34" s="7"/>
      <c r="E34" s="7"/>
      <c r="F34" s="7"/>
      <c r="G34" s="7"/>
      <c r="H34" s="7"/>
      <c r="I34" s="7"/>
      <c r="J34" s="7"/>
      <c r="K34" s="7"/>
      <c r="L34" s="7"/>
      <c r="M34" s="7"/>
      <c r="N34" s="7"/>
      <c r="O34" s="7"/>
      <c r="P34" s="7"/>
      <c r="Q34" s="7"/>
      <c r="R34" s="7"/>
      <c r="S34" s="7"/>
      <c r="T34" s="7"/>
      <c r="U34" s="7"/>
      <c r="V34" s="7"/>
      <c r="W34" s="7"/>
      <c r="X34" s="7"/>
    </row>
    <row r="35" spans="1:24" ht="19.5" customHeight="1">
      <c r="A35" s="7"/>
      <c r="B35" s="7"/>
      <c r="C35" s="7"/>
      <c r="D35" s="7"/>
      <c r="E35" s="7"/>
      <c r="F35" s="7"/>
      <c r="G35" s="7"/>
      <c r="H35" s="7"/>
      <c r="I35" s="7"/>
      <c r="J35" s="7"/>
      <c r="K35" s="7"/>
      <c r="L35" s="7"/>
      <c r="M35" s="7"/>
      <c r="N35" s="7"/>
      <c r="O35" s="7"/>
      <c r="P35" s="7"/>
      <c r="Q35" s="7"/>
      <c r="R35" s="7"/>
      <c r="S35" s="7"/>
      <c r="T35" s="7"/>
      <c r="U35" s="7"/>
      <c r="V35" s="7"/>
      <c r="W35" s="7"/>
      <c r="X35" s="7"/>
    </row>
    <row r="36" spans="1:24" ht="19.5" customHeight="1">
      <c r="A36" s="7"/>
      <c r="B36" s="7"/>
      <c r="C36" s="7"/>
      <c r="D36" s="7"/>
      <c r="E36" s="7"/>
      <c r="F36" s="7"/>
      <c r="G36" s="7"/>
      <c r="H36" s="7"/>
      <c r="I36" s="7"/>
      <c r="J36" s="7"/>
      <c r="K36" s="7"/>
      <c r="L36" s="7"/>
      <c r="M36" s="7"/>
      <c r="N36" s="7"/>
      <c r="O36" s="7"/>
      <c r="P36" s="7"/>
      <c r="Q36" s="7"/>
      <c r="R36" s="7"/>
      <c r="S36" s="7"/>
      <c r="T36" s="7"/>
      <c r="U36" s="7"/>
      <c r="V36" s="7"/>
      <c r="W36" s="7"/>
      <c r="X36" s="7"/>
    </row>
    <row r="37" spans="1:24" ht="19.5" customHeight="1">
      <c r="A37" s="7"/>
      <c r="B37" s="7"/>
      <c r="C37" s="7"/>
      <c r="D37" s="7"/>
      <c r="E37" s="7"/>
      <c r="F37" s="7"/>
      <c r="G37" s="7"/>
      <c r="H37" s="7"/>
      <c r="I37" s="7"/>
      <c r="J37" s="7"/>
      <c r="K37" s="7"/>
      <c r="L37" s="7"/>
      <c r="M37" s="7"/>
      <c r="N37" s="7"/>
      <c r="O37" s="7"/>
      <c r="P37" s="7"/>
      <c r="Q37" s="7"/>
      <c r="R37" s="7"/>
      <c r="S37" s="7"/>
      <c r="T37" s="7"/>
      <c r="U37" s="7"/>
      <c r="V37" s="7"/>
      <c r="W37" s="7"/>
      <c r="X37" s="7"/>
    </row>
    <row r="38" spans="1:24" ht="19.5" customHeight="1">
      <c r="A38" s="7"/>
      <c r="B38" s="7"/>
      <c r="C38" s="7"/>
      <c r="D38" s="7"/>
      <c r="E38" s="7"/>
      <c r="F38" s="7"/>
      <c r="G38" s="7"/>
      <c r="H38" s="7"/>
      <c r="I38" s="7"/>
      <c r="J38" s="7"/>
      <c r="K38" s="7"/>
      <c r="L38" s="7"/>
      <c r="M38" s="7"/>
      <c r="N38" s="7"/>
      <c r="O38" s="7"/>
      <c r="P38" s="7"/>
      <c r="Q38" s="7"/>
      <c r="R38" s="7"/>
      <c r="S38" s="7"/>
      <c r="T38" s="7"/>
      <c r="U38" s="7"/>
      <c r="V38" s="7"/>
      <c r="W38" s="7"/>
      <c r="X38" s="7"/>
    </row>
    <row r="39" spans="1:24" ht="19.5" customHeight="1">
      <c r="A39" s="7"/>
      <c r="B39" s="7"/>
      <c r="C39" s="7"/>
      <c r="D39" s="7"/>
      <c r="E39" s="7"/>
      <c r="F39" s="7"/>
      <c r="G39" s="7"/>
      <c r="H39" s="7"/>
      <c r="I39" s="7"/>
      <c r="J39" s="7"/>
      <c r="K39" s="7"/>
      <c r="L39" s="7"/>
      <c r="M39" s="7"/>
      <c r="N39" s="7"/>
      <c r="O39" s="7"/>
      <c r="P39" s="7"/>
      <c r="Q39" s="7"/>
      <c r="R39" s="7"/>
      <c r="S39" s="7"/>
      <c r="T39" s="7"/>
      <c r="U39" s="7"/>
      <c r="V39" s="7"/>
      <c r="W39" s="7"/>
      <c r="X39" s="7"/>
    </row>
    <row r="40" spans="1:24" ht="19.5" customHeight="1">
      <c r="A40" s="7"/>
      <c r="B40" s="7"/>
      <c r="C40" s="7"/>
      <c r="D40" s="7"/>
      <c r="E40" s="7"/>
      <c r="F40" s="7"/>
      <c r="G40" s="7"/>
      <c r="H40" s="7"/>
      <c r="I40" s="7"/>
      <c r="J40" s="7"/>
      <c r="K40" s="7"/>
      <c r="L40" s="7"/>
      <c r="M40" s="7"/>
      <c r="N40" s="7"/>
      <c r="O40" s="7"/>
      <c r="P40" s="7"/>
      <c r="Q40" s="7"/>
      <c r="R40" s="7"/>
      <c r="S40" s="7"/>
      <c r="T40" s="7"/>
      <c r="U40" s="7"/>
      <c r="V40" s="7"/>
      <c r="W40" s="7"/>
      <c r="X40" s="7"/>
    </row>
    <row r="41" spans="1:24" ht="19.5" customHeight="1">
      <c r="A41" s="7"/>
      <c r="B41" s="7"/>
      <c r="C41" s="7"/>
      <c r="D41" s="7"/>
      <c r="E41" s="7"/>
      <c r="F41" s="7"/>
      <c r="G41" s="7"/>
      <c r="H41" s="7"/>
      <c r="I41" s="7"/>
      <c r="J41" s="7"/>
      <c r="K41" s="7"/>
      <c r="L41" s="7"/>
      <c r="M41" s="7"/>
      <c r="N41" s="7"/>
      <c r="O41" s="7"/>
      <c r="P41" s="7"/>
      <c r="Q41" s="7"/>
      <c r="R41" s="7"/>
      <c r="S41" s="7"/>
      <c r="T41" s="7"/>
      <c r="U41" s="7"/>
      <c r="V41" s="7"/>
      <c r="W41" s="7"/>
      <c r="X41" s="7"/>
    </row>
    <row r="42" spans="1:24" ht="19.5" customHeight="1">
      <c r="A42" s="7"/>
      <c r="B42" s="7"/>
      <c r="C42" s="7"/>
      <c r="D42" s="7"/>
      <c r="E42" s="7"/>
      <c r="F42" s="7"/>
      <c r="G42" s="7"/>
      <c r="H42" s="7"/>
      <c r="I42" s="7"/>
      <c r="J42" s="7"/>
      <c r="K42" s="7"/>
      <c r="L42" s="7"/>
      <c r="M42" s="7"/>
      <c r="N42" s="7"/>
      <c r="O42" s="7"/>
      <c r="P42" s="7"/>
      <c r="Q42" s="7"/>
      <c r="R42" s="7"/>
      <c r="S42" s="7"/>
      <c r="T42" s="7"/>
      <c r="U42" s="7"/>
      <c r="V42" s="7"/>
      <c r="W42" s="7"/>
      <c r="X42" s="7"/>
    </row>
    <row r="43" spans="1:24" ht="19.5" customHeight="1">
      <c r="A43" s="7"/>
      <c r="B43" s="7"/>
      <c r="C43" s="7"/>
      <c r="D43" s="7"/>
      <c r="E43" s="7"/>
      <c r="F43" s="7"/>
      <c r="G43" s="7"/>
      <c r="H43" s="7"/>
      <c r="I43" s="7"/>
      <c r="J43" s="7"/>
      <c r="K43" s="7"/>
      <c r="L43" s="7"/>
      <c r="M43" s="7"/>
      <c r="N43" s="7"/>
      <c r="O43" s="7"/>
      <c r="P43" s="7"/>
      <c r="Q43" s="7"/>
      <c r="R43" s="7"/>
      <c r="S43" s="7"/>
      <c r="T43" s="7"/>
      <c r="U43" s="7"/>
      <c r="V43" s="7"/>
      <c r="W43" s="7"/>
      <c r="X43" s="7"/>
    </row>
    <row r="44" spans="1:24" ht="19.5" customHeight="1">
      <c r="A44" s="7"/>
      <c r="B44" s="7"/>
      <c r="C44" s="7"/>
      <c r="D44" s="7"/>
      <c r="E44" s="7"/>
      <c r="F44" s="7"/>
      <c r="G44" s="7"/>
      <c r="H44" s="7"/>
      <c r="I44" s="7"/>
      <c r="J44" s="7"/>
      <c r="K44" s="7"/>
      <c r="L44" s="7"/>
      <c r="M44" s="7"/>
      <c r="N44" s="7"/>
      <c r="O44" s="7"/>
      <c r="P44" s="7"/>
      <c r="Q44" s="7"/>
      <c r="R44" s="7"/>
      <c r="S44" s="7"/>
      <c r="T44" s="7"/>
      <c r="U44" s="7"/>
      <c r="V44" s="7"/>
      <c r="W44" s="7"/>
      <c r="X44" s="7"/>
    </row>
    <row r="45" spans="1:24" ht="19.5" customHeight="1">
      <c r="A45" s="7"/>
      <c r="B45" s="7"/>
      <c r="C45" s="7"/>
      <c r="D45" s="7"/>
      <c r="E45" s="7"/>
      <c r="F45" s="7"/>
      <c r="G45" s="7"/>
      <c r="H45" s="7"/>
      <c r="I45" s="7"/>
      <c r="J45" s="7"/>
      <c r="K45" s="7"/>
      <c r="L45" s="7"/>
      <c r="M45" s="7"/>
      <c r="N45" s="7"/>
      <c r="O45" s="7"/>
      <c r="P45" s="7"/>
      <c r="Q45" s="7"/>
      <c r="R45" s="7"/>
      <c r="S45" s="7"/>
      <c r="T45" s="7"/>
      <c r="U45" s="7"/>
      <c r="V45" s="7"/>
      <c r="W45" s="7"/>
      <c r="X45" s="7"/>
    </row>
    <row r="46" spans="1:24" ht="19.5" customHeight="1">
      <c r="A46" s="7"/>
      <c r="B46" s="7"/>
      <c r="C46" s="7"/>
      <c r="D46" s="7"/>
      <c r="E46" s="7"/>
      <c r="F46" s="7"/>
      <c r="G46" s="7"/>
      <c r="H46" s="7"/>
      <c r="I46" s="7"/>
      <c r="J46" s="7"/>
      <c r="K46" s="7"/>
      <c r="L46" s="7"/>
      <c r="M46" s="7"/>
      <c r="N46" s="7"/>
      <c r="O46" s="7"/>
      <c r="P46" s="7"/>
      <c r="Q46" s="7"/>
      <c r="R46" s="7"/>
      <c r="S46" s="7"/>
      <c r="T46" s="7"/>
      <c r="U46" s="7"/>
      <c r="V46" s="7"/>
      <c r="W46" s="7"/>
      <c r="X46" s="7"/>
    </row>
    <row r="47" spans="1:24" ht="19.5" customHeight="1">
      <c r="A47" s="7"/>
      <c r="B47" s="7"/>
      <c r="C47" s="7"/>
      <c r="D47" s="7"/>
      <c r="E47" s="7"/>
      <c r="F47" s="7"/>
      <c r="G47" s="7"/>
      <c r="H47" s="7"/>
      <c r="I47" s="7"/>
      <c r="J47" s="7"/>
      <c r="K47" s="7"/>
      <c r="L47" s="7"/>
      <c r="M47" s="7"/>
      <c r="N47" s="7"/>
      <c r="O47" s="7"/>
      <c r="P47" s="7"/>
      <c r="Q47" s="7"/>
      <c r="R47" s="7"/>
      <c r="S47" s="7"/>
      <c r="T47" s="7"/>
      <c r="U47" s="7"/>
      <c r="V47" s="7"/>
      <c r="W47" s="7"/>
      <c r="X47" s="7"/>
    </row>
    <row r="48" spans="1:24" ht="19.5" customHeight="1">
      <c r="A48" s="7"/>
      <c r="B48" s="7"/>
      <c r="C48" s="7"/>
      <c r="D48" s="7"/>
      <c r="E48" s="7"/>
      <c r="F48" s="7"/>
      <c r="G48" s="7"/>
      <c r="H48" s="7"/>
      <c r="I48" s="7"/>
      <c r="J48" s="7"/>
      <c r="K48" s="7"/>
      <c r="L48" s="7"/>
      <c r="M48" s="7"/>
      <c r="N48" s="7"/>
      <c r="O48" s="7"/>
      <c r="P48" s="7"/>
      <c r="Q48" s="7"/>
      <c r="R48" s="7"/>
      <c r="S48" s="7"/>
      <c r="T48" s="7"/>
      <c r="U48" s="7"/>
      <c r="V48" s="7"/>
      <c r="W48" s="7"/>
      <c r="X48" s="7"/>
    </row>
    <row r="49" spans="1:24" ht="19.5" customHeight="1">
      <c r="A49" s="7"/>
      <c r="B49" s="7"/>
      <c r="C49" s="7"/>
      <c r="D49" s="7"/>
      <c r="E49" s="7"/>
      <c r="F49" s="7"/>
      <c r="G49" s="7"/>
      <c r="H49" s="7"/>
      <c r="I49" s="7"/>
      <c r="J49" s="7"/>
      <c r="K49" s="7"/>
      <c r="L49" s="7"/>
      <c r="M49" s="7"/>
      <c r="N49" s="7"/>
      <c r="O49" s="7"/>
      <c r="P49" s="7"/>
      <c r="Q49" s="7"/>
      <c r="R49" s="7"/>
      <c r="S49" s="7"/>
      <c r="T49" s="7"/>
      <c r="U49" s="7"/>
      <c r="V49" s="7"/>
      <c r="W49" s="7"/>
      <c r="X49" s="7"/>
    </row>
    <row r="50" spans="1:24" ht="19.5" customHeight="1">
      <c r="A50" s="7"/>
      <c r="B50" s="7"/>
      <c r="C50" s="7"/>
      <c r="D50" s="7"/>
      <c r="E50" s="7"/>
      <c r="F50" s="7"/>
      <c r="G50" s="7"/>
      <c r="H50" s="7"/>
      <c r="I50" s="7"/>
      <c r="J50" s="7"/>
      <c r="K50" s="7"/>
      <c r="L50" s="7"/>
      <c r="M50" s="7"/>
      <c r="N50" s="7"/>
      <c r="O50" s="7"/>
      <c r="P50" s="7"/>
      <c r="Q50" s="7"/>
      <c r="R50" s="7"/>
      <c r="S50" s="7"/>
      <c r="T50" s="7"/>
      <c r="U50" s="7"/>
      <c r="V50" s="7"/>
      <c r="W50" s="7"/>
      <c r="X50" s="7"/>
    </row>
    <row r="51" spans="1:24" ht="19.5" customHeight="1">
      <c r="A51" s="7"/>
      <c r="B51" s="7"/>
      <c r="C51" s="7"/>
      <c r="D51" s="7"/>
      <c r="E51" s="7"/>
      <c r="F51" s="7"/>
      <c r="G51" s="7"/>
      <c r="H51" s="7"/>
      <c r="I51" s="7"/>
      <c r="J51" s="7"/>
      <c r="K51" s="7"/>
      <c r="L51" s="7"/>
      <c r="M51" s="7"/>
      <c r="N51" s="7"/>
      <c r="O51" s="7"/>
      <c r="P51" s="7"/>
      <c r="Q51" s="7"/>
      <c r="R51" s="7"/>
      <c r="S51" s="7"/>
      <c r="T51" s="7"/>
      <c r="U51" s="7"/>
      <c r="V51" s="7"/>
      <c r="W51" s="7"/>
      <c r="X51" s="7"/>
    </row>
    <row r="52" spans="1:24" ht="19.5" customHeight="1">
      <c r="A52" s="7"/>
      <c r="B52" s="7"/>
      <c r="C52" s="7"/>
      <c r="D52" s="7"/>
      <c r="E52" s="7"/>
      <c r="F52" s="7"/>
      <c r="G52" s="7"/>
      <c r="H52" s="7"/>
      <c r="I52" s="7"/>
      <c r="J52" s="7"/>
      <c r="K52" s="7"/>
      <c r="L52" s="7"/>
      <c r="M52" s="7"/>
      <c r="N52" s="7"/>
      <c r="O52" s="7"/>
      <c r="P52" s="7"/>
      <c r="Q52" s="7"/>
      <c r="R52" s="7"/>
      <c r="S52" s="7"/>
      <c r="T52" s="7"/>
      <c r="U52" s="7"/>
      <c r="V52" s="7"/>
      <c r="W52" s="7"/>
      <c r="X52" s="7"/>
    </row>
    <row r="53" spans="1:24" ht="19.5" customHeight="1">
      <c r="A53" s="7"/>
      <c r="B53" s="7"/>
      <c r="C53" s="7"/>
      <c r="D53" s="7"/>
      <c r="E53" s="7"/>
      <c r="F53" s="7"/>
      <c r="G53" s="7"/>
      <c r="H53" s="7"/>
      <c r="I53" s="7"/>
      <c r="J53" s="7"/>
      <c r="K53" s="7"/>
      <c r="L53" s="7"/>
      <c r="M53" s="7"/>
      <c r="N53" s="7"/>
      <c r="O53" s="7"/>
      <c r="P53" s="7"/>
      <c r="Q53" s="7"/>
      <c r="R53" s="7"/>
      <c r="S53" s="7"/>
      <c r="T53" s="7"/>
      <c r="U53" s="7"/>
      <c r="V53" s="7"/>
      <c r="W53" s="7"/>
      <c r="X53" s="7"/>
    </row>
    <row r="54" spans="1:24" ht="19.5" customHeight="1">
      <c r="A54" s="7"/>
      <c r="B54" s="7"/>
      <c r="C54" s="7"/>
      <c r="D54" s="7"/>
      <c r="E54" s="7"/>
      <c r="F54" s="7"/>
      <c r="G54" s="7"/>
      <c r="H54" s="7"/>
      <c r="I54" s="7"/>
      <c r="J54" s="7"/>
      <c r="K54" s="7"/>
      <c r="L54" s="7"/>
      <c r="M54" s="7"/>
      <c r="N54" s="7"/>
      <c r="O54" s="7"/>
      <c r="P54" s="7"/>
      <c r="Q54" s="7"/>
      <c r="R54" s="7"/>
      <c r="S54" s="7"/>
      <c r="T54" s="7"/>
      <c r="U54" s="7"/>
      <c r="V54" s="7"/>
      <c r="W54" s="7"/>
      <c r="X54" s="7"/>
    </row>
    <row r="55" spans="1:24" ht="19.5" customHeight="1">
      <c r="A55" s="7"/>
      <c r="B55" s="7"/>
      <c r="C55" s="7"/>
      <c r="D55" s="7"/>
      <c r="E55" s="7"/>
      <c r="F55" s="7"/>
      <c r="G55" s="7"/>
      <c r="H55" s="7"/>
      <c r="I55" s="7"/>
      <c r="J55" s="7"/>
      <c r="K55" s="7"/>
      <c r="L55" s="7"/>
      <c r="M55" s="7"/>
      <c r="N55" s="7"/>
      <c r="O55" s="7"/>
      <c r="P55" s="7"/>
      <c r="Q55" s="7"/>
      <c r="R55" s="7"/>
      <c r="S55" s="7"/>
      <c r="T55" s="7"/>
      <c r="U55" s="7"/>
      <c r="V55" s="7"/>
      <c r="W55" s="7"/>
      <c r="X55" s="7"/>
    </row>
    <row r="56" spans="1:24" ht="19.5" customHeight="1">
      <c r="A56" s="7"/>
      <c r="B56" s="7"/>
      <c r="C56" s="7"/>
      <c r="D56" s="7"/>
      <c r="E56" s="7"/>
      <c r="F56" s="7"/>
      <c r="G56" s="7"/>
      <c r="H56" s="7"/>
      <c r="I56" s="7"/>
      <c r="J56" s="7"/>
      <c r="K56" s="7"/>
      <c r="L56" s="7"/>
      <c r="M56" s="7"/>
      <c r="N56" s="7"/>
      <c r="O56" s="7"/>
      <c r="P56" s="7"/>
      <c r="Q56" s="7"/>
      <c r="R56" s="7"/>
      <c r="S56" s="7"/>
      <c r="T56" s="7"/>
      <c r="U56" s="7"/>
      <c r="V56" s="7"/>
      <c r="W56" s="7"/>
      <c r="X56" s="7"/>
    </row>
    <row r="57" spans="1:24" ht="19.5" customHeight="1">
      <c r="A57" s="7"/>
      <c r="B57" s="7"/>
      <c r="C57" s="7"/>
      <c r="D57" s="7"/>
      <c r="E57" s="7"/>
      <c r="F57" s="7"/>
      <c r="G57" s="7"/>
      <c r="H57" s="7"/>
      <c r="I57" s="7"/>
      <c r="J57" s="7"/>
      <c r="K57" s="7"/>
      <c r="L57" s="7"/>
      <c r="M57" s="7"/>
      <c r="N57" s="7"/>
      <c r="O57" s="7"/>
      <c r="P57" s="7"/>
      <c r="Q57" s="7"/>
      <c r="R57" s="7"/>
      <c r="S57" s="7"/>
      <c r="T57" s="7"/>
      <c r="U57" s="7"/>
      <c r="V57" s="7"/>
      <c r="W57" s="7"/>
      <c r="X57" s="7"/>
    </row>
    <row r="58" spans="1:24" ht="19.5" customHeight="1">
      <c r="A58" s="7"/>
      <c r="B58" s="7"/>
      <c r="C58" s="7"/>
      <c r="D58" s="7"/>
      <c r="E58" s="7"/>
      <c r="F58" s="7"/>
      <c r="G58" s="7"/>
      <c r="H58" s="7"/>
      <c r="I58" s="7"/>
      <c r="J58" s="7"/>
      <c r="K58" s="7"/>
      <c r="L58" s="7"/>
      <c r="M58" s="7"/>
      <c r="N58" s="7"/>
      <c r="O58" s="7"/>
      <c r="P58" s="7"/>
      <c r="Q58" s="7"/>
      <c r="R58" s="7"/>
      <c r="S58" s="7"/>
      <c r="T58" s="7"/>
      <c r="U58" s="7"/>
      <c r="V58" s="7"/>
      <c r="W58" s="7"/>
      <c r="X58" s="7"/>
    </row>
    <row r="59" spans="1:24" ht="19.5" customHeight="1">
      <c r="A59" s="7"/>
      <c r="B59" s="7"/>
      <c r="C59" s="7"/>
      <c r="D59" s="7"/>
      <c r="E59" s="7"/>
      <c r="F59" s="7"/>
      <c r="G59" s="7"/>
      <c r="H59" s="7"/>
      <c r="I59" s="7"/>
      <c r="J59" s="7"/>
      <c r="K59" s="7"/>
      <c r="L59" s="7"/>
      <c r="M59" s="7"/>
      <c r="N59" s="7"/>
      <c r="O59" s="7"/>
      <c r="P59" s="7"/>
      <c r="Q59" s="7"/>
      <c r="R59" s="7"/>
      <c r="S59" s="7"/>
      <c r="T59" s="7"/>
      <c r="U59" s="7"/>
      <c r="V59" s="7"/>
      <c r="W59" s="7"/>
      <c r="X59" s="7"/>
    </row>
    <row r="60" spans="1:24" ht="19.5" customHeight="1">
      <c r="A60" s="7"/>
      <c r="B60" s="7"/>
      <c r="C60" s="7"/>
      <c r="D60" s="7"/>
      <c r="E60" s="7"/>
      <c r="F60" s="7"/>
      <c r="G60" s="7"/>
      <c r="H60" s="7"/>
      <c r="I60" s="7"/>
      <c r="J60" s="7"/>
      <c r="K60" s="7"/>
      <c r="L60" s="7"/>
      <c r="M60" s="7"/>
      <c r="N60" s="7"/>
      <c r="O60" s="7"/>
      <c r="P60" s="7"/>
      <c r="Q60" s="7"/>
      <c r="R60" s="7"/>
      <c r="S60" s="7"/>
      <c r="T60" s="7"/>
      <c r="U60" s="7"/>
      <c r="V60" s="7"/>
      <c r="W60" s="7"/>
      <c r="X60" s="7"/>
    </row>
    <row r="61" spans="1:24" ht="19.5" customHeight="1">
      <c r="A61" s="7"/>
      <c r="B61" s="7"/>
      <c r="C61" s="7"/>
      <c r="D61" s="7"/>
      <c r="E61" s="7"/>
      <c r="F61" s="7"/>
      <c r="G61" s="7"/>
      <c r="H61" s="7"/>
      <c r="I61" s="7"/>
      <c r="J61" s="7"/>
      <c r="K61" s="7"/>
      <c r="L61" s="7"/>
      <c r="M61" s="7"/>
      <c r="N61" s="7"/>
      <c r="O61" s="7"/>
      <c r="P61" s="7"/>
      <c r="Q61" s="7"/>
      <c r="R61" s="7"/>
      <c r="S61" s="7"/>
      <c r="T61" s="7"/>
      <c r="U61" s="7"/>
      <c r="V61" s="7"/>
      <c r="W61" s="7"/>
      <c r="X61" s="7"/>
    </row>
    <row r="62" spans="1:24" ht="19.5" customHeight="1">
      <c r="A62" s="7"/>
      <c r="B62" s="7"/>
      <c r="C62" s="7"/>
      <c r="D62" s="7"/>
      <c r="E62" s="7"/>
      <c r="F62" s="7"/>
      <c r="G62" s="7"/>
      <c r="H62" s="7"/>
      <c r="I62" s="7"/>
      <c r="J62" s="7"/>
      <c r="K62" s="7"/>
      <c r="L62" s="7"/>
      <c r="M62" s="7"/>
      <c r="N62" s="7"/>
      <c r="O62" s="7"/>
      <c r="P62" s="7"/>
      <c r="Q62" s="7"/>
      <c r="R62" s="7"/>
      <c r="S62" s="7"/>
      <c r="T62" s="7"/>
      <c r="U62" s="7"/>
      <c r="V62" s="7"/>
      <c r="W62" s="7"/>
      <c r="X62" s="7"/>
    </row>
    <row r="63" spans="1:24" ht="19.5" customHeight="1">
      <c r="A63" s="7"/>
      <c r="B63" s="7"/>
      <c r="C63" s="7"/>
      <c r="D63" s="7"/>
      <c r="E63" s="7"/>
      <c r="F63" s="7"/>
      <c r="G63" s="7"/>
      <c r="H63" s="7"/>
      <c r="I63" s="7"/>
      <c r="J63" s="7"/>
      <c r="K63" s="7"/>
      <c r="L63" s="7"/>
      <c r="M63" s="7"/>
      <c r="N63" s="7"/>
      <c r="O63" s="7"/>
      <c r="P63" s="7"/>
      <c r="Q63" s="7"/>
      <c r="R63" s="7"/>
      <c r="S63" s="7"/>
      <c r="T63" s="7"/>
      <c r="U63" s="7"/>
      <c r="V63" s="7"/>
      <c r="W63" s="7"/>
      <c r="X63" s="7"/>
    </row>
    <row r="64" spans="1:24" ht="19.5" customHeight="1">
      <c r="A64" s="7"/>
      <c r="B64" s="7"/>
      <c r="C64" s="7"/>
      <c r="D64" s="7"/>
      <c r="E64" s="7"/>
      <c r="F64" s="7"/>
      <c r="G64" s="7"/>
      <c r="H64" s="7"/>
      <c r="I64" s="7"/>
      <c r="J64" s="7"/>
      <c r="K64" s="7"/>
      <c r="L64" s="7"/>
      <c r="M64" s="7"/>
      <c r="N64" s="7"/>
      <c r="O64" s="7"/>
      <c r="P64" s="7"/>
      <c r="Q64" s="7"/>
      <c r="R64" s="7"/>
      <c r="S64" s="7"/>
      <c r="T64" s="7"/>
      <c r="U64" s="7"/>
      <c r="V64" s="7"/>
      <c r="W64" s="7"/>
      <c r="X64" s="7"/>
    </row>
    <row r="65" spans="1:24" ht="19.5" customHeight="1">
      <c r="A65" s="7"/>
      <c r="B65" s="7"/>
      <c r="C65" s="7"/>
      <c r="D65" s="7"/>
      <c r="E65" s="7"/>
      <c r="F65" s="7"/>
      <c r="G65" s="7"/>
      <c r="H65" s="7"/>
      <c r="I65" s="7"/>
      <c r="J65" s="7"/>
      <c r="K65" s="7"/>
      <c r="L65" s="7"/>
      <c r="M65" s="7"/>
      <c r="N65" s="7"/>
      <c r="O65" s="7"/>
      <c r="P65" s="7"/>
      <c r="Q65" s="7"/>
      <c r="R65" s="7"/>
      <c r="S65" s="7"/>
      <c r="T65" s="7"/>
      <c r="U65" s="7"/>
      <c r="V65" s="7"/>
      <c r="W65" s="7"/>
      <c r="X65" s="7"/>
    </row>
    <row r="66" spans="1:24" ht="19.5" customHeight="1">
      <c r="A66" s="7"/>
      <c r="B66" s="7"/>
      <c r="C66" s="7"/>
      <c r="D66" s="7"/>
      <c r="E66" s="7"/>
      <c r="F66" s="7"/>
      <c r="G66" s="7"/>
      <c r="H66" s="7"/>
      <c r="I66" s="7"/>
      <c r="J66" s="7"/>
      <c r="K66" s="7"/>
      <c r="L66" s="7"/>
      <c r="M66" s="7"/>
      <c r="N66" s="7"/>
      <c r="O66" s="7"/>
      <c r="P66" s="7"/>
      <c r="Q66" s="7"/>
      <c r="R66" s="7"/>
      <c r="S66" s="7"/>
      <c r="T66" s="7"/>
      <c r="U66" s="7"/>
      <c r="V66" s="7"/>
      <c r="W66" s="7"/>
      <c r="X66" s="7"/>
    </row>
    <row r="67" spans="1:24" ht="19.5" customHeight="1">
      <c r="A67" s="7"/>
      <c r="B67" s="7"/>
      <c r="C67" s="7"/>
      <c r="D67" s="7"/>
      <c r="E67" s="7"/>
      <c r="F67" s="7"/>
      <c r="G67" s="7"/>
      <c r="H67" s="7"/>
      <c r="I67" s="7"/>
      <c r="J67" s="7"/>
      <c r="K67" s="7"/>
      <c r="L67" s="7"/>
      <c r="M67" s="7"/>
      <c r="N67" s="7"/>
      <c r="O67" s="7"/>
      <c r="P67" s="7"/>
      <c r="Q67" s="7"/>
      <c r="R67" s="7"/>
      <c r="S67" s="7"/>
      <c r="T67" s="7"/>
      <c r="U67" s="7"/>
      <c r="V67" s="7"/>
      <c r="W67" s="7"/>
      <c r="X67" s="7"/>
    </row>
    <row r="68" spans="1:24" ht="19.5" customHeight="1">
      <c r="A68" s="7"/>
      <c r="B68" s="7"/>
      <c r="C68" s="7"/>
      <c r="D68" s="7"/>
      <c r="E68" s="7"/>
      <c r="F68" s="7"/>
      <c r="G68" s="7"/>
      <c r="H68" s="7"/>
      <c r="I68" s="7"/>
      <c r="J68" s="7"/>
      <c r="K68" s="7"/>
      <c r="L68" s="7"/>
      <c r="M68" s="7"/>
      <c r="N68" s="7"/>
      <c r="O68" s="7"/>
      <c r="P68" s="7"/>
      <c r="Q68" s="7"/>
      <c r="R68" s="7"/>
      <c r="S68" s="7"/>
      <c r="T68" s="7"/>
      <c r="U68" s="7"/>
      <c r="V68" s="7"/>
      <c r="W68" s="7"/>
      <c r="X68" s="7"/>
    </row>
    <row r="69" spans="1:24" ht="19.5" customHeight="1">
      <c r="A69" s="7"/>
      <c r="B69" s="7"/>
      <c r="C69" s="7"/>
      <c r="D69" s="7"/>
      <c r="E69" s="7"/>
      <c r="F69" s="7"/>
      <c r="G69" s="7"/>
      <c r="H69" s="7"/>
      <c r="I69" s="7"/>
      <c r="J69" s="7"/>
      <c r="K69" s="7"/>
      <c r="L69" s="7"/>
      <c r="M69" s="7"/>
      <c r="N69" s="7"/>
      <c r="O69" s="7"/>
      <c r="P69" s="7"/>
      <c r="Q69" s="7"/>
      <c r="R69" s="7"/>
      <c r="S69" s="7"/>
      <c r="T69" s="7"/>
      <c r="U69" s="7"/>
      <c r="V69" s="7"/>
      <c r="W69" s="7"/>
      <c r="X69" s="7"/>
    </row>
    <row r="70" spans="1:24" ht="19.5" customHeight="1">
      <c r="A70" s="7"/>
      <c r="B70" s="7"/>
      <c r="C70" s="7"/>
      <c r="D70" s="7"/>
      <c r="E70" s="7"/>
      <c r="F70" s="7"/>
      <c r="G70" s="7"/>
      <c r="H70" s="7"/>
      <c r="I70" s="7"/>
      <c r="J70" s="7"/>
      <c r="K70" s="7"/>
      <c r="L70" s="7"/>
      <c r="M70" s="7"/>
      <c r="N70" s="7"/>
      <c r="O70" s="7"/>
      <c r="P70" s="7"/>
      <c r="Q70" s="7"/>
      <c r="R70" s="7"/>
      <c r="S70" s="7"/>
      <c r="T70" s="7"/>
      <c r="U70" s="7"/>
      <c r="V70" s="7"/>
      <c r="W70" s="7"/>
      <c r="X70" s="7"/>
    </row>
    <row r="71" spans="1:24" ht="19.5" customHeight="1">
      <c r="A71" s="7"/>
      <c r="B71" s="7"/>
      <c r="C71" s="7"/>
      <c r="D71" s="7"/>
      <c r="E71" s="7"/>
      <c r="F71" s="7"/>
      <c r="G71" s="7"/>
      <c r="H71" s="7"/>
      <c r="I71" s="7"/>
      <c r="J71" s="7"/>
      <c r="K71" s="7"/>
      <c r="L71" s="7"/>
      <c r="M71" s="7"/>
      <c r="N71" s="7"/>
      <c r="O71" s="7"/>
      <c r="P71" s="7"/>
      <c r="Q71" s="7"/>
      <c r="R71" s="7"/>
      <c r="S71" s="7"/>
      <c r="T71" s="7"/>
      <c r="U71" s="7"/>
      <c r="V71" s="7"/>
      <c r="W71" s="7"/>
      <c r="X71" s="7"/>
    </row>
    <row r="72" spans="1:24" ht="19.5" customHeight="1">
      <c r="A72" s="7"/>
      <c r="B72" s="7"/>
      <c r="C72" s="7"/>
      <c r="D72" s="7"/>
      <c r="E72" s="7"/>
      <c r="F72" s="7"/>
      <c r="G72" s="7"/>
      <c r="H72" s="7"/>
      <c r="I72" s="7"/>
      <c r="J72" s="7"/>
      <c r="K72" s="7"/>
      <c r="L72" s="7"/>
      <c r="M72" s="7"/>
      <c r="N72" s="7"/>
      <c r="O72" s="7"/>
      <c r="P72" s="7"/>
      <c r="Q72" s="7"/>
      <c r="R72" s="7"/>
      <c r="S72" s="7"/>
      <c r="T72" s="7"/>
      <c r="U72" s="7"/>
      <c r="V72" s="7"/>
      <c r="W72" s="7"/>
      <c r="X72" s="7"/>
    </row>
    <row r="73" spans="1:24" ht="19.5" customHeight="1">
      <c r="A73" s="7"/>
      <c r="B73" s="7"/>
      <c r="C73" s="7"/>
      <c r="D73" s="7"/>
      <c r="E73" s="7"/>
      <c r="F73" s="7"/>
      <c r="G73" s="7"/>
      <c r="H73" s="7"/>
      <c r="I73" s="7"/>
      <c r="J73" s="7"/>
      <c r="K73" s="7"/>
      <c r="L73" s="7"/>
      <c r="M73" s="7"/>
      <c r="N73" s="7"/>
      <c r="O73" s="7"/>
      <c r="P73" s="7"/>
      <c r="Q73" s="7"/>
      <c r="R73" s="7"/>
      <c r="S73" s="7"/>
      <c r="T73" s="7"/>
      <c r="U73" s="7"/>
      <c r="V73" s="7"/>
      <c r="W73" s="7"/>
      <c r="X73" s="7"/>
    </row>
    <row r="74" spans="1:24" ht="19.5" customHeight="1">
      <c r="A74" s="7"/>
      <c r="B74" s="7"/>
      <c r="C74" s="7"/>
      <c r="D74" s="7"/>
      <c r="E74" s="7"/>
      <c r="F74" s="7"/>
      <c r="G74" s="7"/>
      <c r="H74" s="7"/>
      <c r="I74" s="7"/>
      <c r="J74" s="7"/>
      <c r="K74" s="7"/>
      <c r="L74" s="7"/>
      <c r="M74" s="7"/>
      <c r="N74" s="7"/>
      <c r="O74" s="7"/>
      <c r="P74" s="7"/>
      <c r="Q74" s="7"/>
      <c r="R74" s="7"/>
      <c r="S74" s="7"/>
      <c r="T74" s="7"/>
      <c r="U74" s="7"/>
      <c r="V74" s="7"/>
      <c r="W74" s="7"/>
      <c r="X74" s="7"/>
    </row>
    <row r="75" spans="1:24" ht="19.5" customHeight="1">
      <c r="A75" s="7"/>
      <c r="B75" s="7"/>
      <c r="C75" s="7"/>
      <c r="D75" s="7"/>
      <c r="E75" s="7"/>
      <c r="F75" s="7"/>
      <c r="G75" s="7"/>
      <c r="H75" s="7"/>
      <c r="I75" s="7"/>
      <c r="J75" s="7"/>
      <c r="K75" s="7"/>
      <c r="L75" s="7"/>
      <c r="M75" s="7"/>
      <c r="N75" s="7"/>
      <c r="O75" s="7"/>
      <c r="P75" s="7"/>
      <c r="Q75" s="7"/>
      <c r="R75" s="7"/>
      <c r="S75" s="7"/>
      <c r="T75" s="7"/>
      <c r="U75" s="7"/>
      <c r="V75" s="7"/>
      <c r="W75" s="7"/>
      <c r="X75" s="7"/>
    </row>
    <row r="76" spans="1:24" ht="19.5" customHeight="1">
      <c r="A76" s="7"/>
      <c r="B76" s="7"/>
      <c r="C76" s="7"/>
      <c r="D76" s="7"/>
      <c r="E76" s="7"/>
      <c r="F76" s="7"/>
      <c r="G76" s="7"/>
      <c r="H76" s="7"/>
      <c r="I76" s="7"/>
      <c r="J76" s="7"/>
      <c r="K76" s="7"/>
      <c r="L76" s="7"/>
      <c r="M76" s="7"/>
      <c r="N76" s="7"/>
      <c r="O76" s="7"/>
      <c r="P76" s="7"/>
      <c r="Q76" s="7"/>
      <c r="R76" s="7"/>
      <c r="S76" s="7"/>
      <c r="T76" s="7"/>
      <c r="U76" s="7"/>
      <c r="V76" s="7"/>
      <c r="W76" s="7"/>
      <c r="X76" s="7"/>
    </row>
    <row r="77" spans="1:24" ht="19.5" customHeight="1">
      <c r="A77" s="7"/>
      <c r="B77" s="7"/>
      <c r="C77" s="7"/>
      <c r="D77" s="7"/>
      <c r="E77" s="7"/>
      <c r="F77" s="7"/>
      <c r="G77" s="7"/>
      <c r="H77" s="7"/>
      <c r="I77" s="7"/>
      <c r="J77" s="7"/>
      <c r="K77" s="7"/>
      <c r="L77" s="7"/>
      <c r="M77" s="7"/>
      <c r="N77" s="7"/>
      <c r="O77" s="7"/>
      <c r="P77" s="7"/>
      <c r="Q77" s="7"/>
      <c r="R77" s="7"/>
      <c r="S77" s="7"/>
      <c r="T77" s="7"/>
      <c r="U77" s="7"/>
      <c r="V77" s="7"/>
      <c r="W77" s="7"/>
      <c r="X77" s="7"/>
    </row>
    <row r="78" spans="1:24" ht="19.5" customHeight="1">
      <c r="A78" s="7"/>
      <c r="B78" s="7"/>
      <c r="C78" s="7"/>
      <c r="D78" s="7"/>
      <c r="E78" s="7"/>
      <c r="F78" s="7"/>
      <c r="G78" s="7"/>
      <c r="H78" s="7"/>
      <c r="I78" s="7"/>
      <c r="J78" s="7"/>
      <c r="K78" s="7"/>
      <c r="L78" s="7"/>
      <c r="M78" s="7"/>
      <c r="N78" s="7"/>
      <c r="O78" s="7"/>
      <c r="P78" s="7"/>
      <c r="Q78" s="7"/>
      <c r="R78" s="7"/>
      <c r="S78" s="7"/>
      <c r="T78" s="7"/>
      <c r="U78" s="7"/>
      <c r="V78" s="7"/>
      <c r="W78" s="7"/>
      <c r="X78" s="7"/>
    </row>
    <row r="79" spans="1:24" ht="19.5" customHeight="1">
      <c r="A79" s="7"/>
      <c r="B79" s="7"/>
      <c r="C79" s="7"/>
      <c r="D79" s="7"/>
      <c r="E79" s="7"/>
      <c r="F79" s="7"/>
      <c r="G79" s="7"/>
      <c r="H79" s="7"/>
      <c r="I79" s="7"/>
      <c r="J79" s="7"/>
      <c r="K79" s="7"/>
      <c r="L79" s="7"/>
      <c r="M79" s="7"/>
      <c r="N79" s="7"/>
      <c r="O79" s="7"/>
      <c r="P79" s="7"/>
      <c r="Q79" s="7"/>
      <c r="R79" s="7"/>
      <c r="S79" s="7"/>
      <c r="T79" s="7"/>
      <c r="U79" s="7"/>
      <c r="V79" s="7"/>
      <c r="W79" s="7"/>
      <c r="X79" s="7"/>
    </row>
    <row r="80" spans="1:24" ht="19.5" customHeight="1">
      <c r="A80" s="7"/>
      <c r="B80" s="7"/>
      <c r="C80" s="7"/>
      <c r="D80" s="7"/>
      <c r="E80" s="7"/>
      <c r="F80" s="7"/>
      <c r="G80" s="7"/>
      <c r="H80" s="7"/>
      <c r="I80" s="7"/>
      <c r="J80" s="7"/>
      <c r="K80" s="7"/>
      <c r="L80" s="7"/>
      <c r="M80" s="7"/>
      <c r="N80" s="7"/>
      <c r="O80" s="7"/>
      <c r="P80" s="7"/>
      <c r="Q80" s="7"/>
      <c r="R80" s="7"/>
      <c r="S80" s="7"/>
      <c r="T80" s="7"/>
      <c r="U80" s="7"/>
      <c r="V80" s="7"/>
      <c r="W80" s="7"/>
      <c r="X80" s="7"/>
    </row>
    <row r="81" spans="1:24" ht="19.5" customHeight="1">
      <c r="A81" s="7"/>
      <c r="B81" s="7"/>
      <c r="C81" s="7"/>
      <c r="D81" s="7"/>
      <c r="E81" s="7"/>
      <c r="F81" s="7"/>
      <c r="G81" s="7"/>
      <c r="H81" s="7"/>
      <c r="I81" s="7"/>
      <c r="J81" s="7"/>
      <c r="K81" s="7"/>
      <c r="L81" s="7"/>
      <c r="M81" s="7"/>
      <c r="N81" s="7"/>
      <c r="O81" s="7"/>
      <c r="P81" s="7"/>
      <c r="Q81" s="7"/>
      <c r="R81" s="7"/>
      <c r="S81" s="7"/>
      <c r="T81" s="7"/>
      <c r="U81" s="7"/>
      <c r="V81" s="7"/>
      <c r="W81" s="7"/>
      <c r="X81" s="7"/>
    </row>
    <row r="82" spans="1:24" ht="19.5" customHeight="1">
      <c r="A82" s="7"/>
      <c r="B82" s="7"/>
      <c r="C82" s="7"/>
      <c r="D82" s="7"/>
      <c r="E82" s="7"/>
      <c r="F82" s="7"/>
      <c r="G82" s="7"/>
      <c r="H82" s="7"/>
      <c r="I82" s="7"/>
      <c r="J82" s="7"/>
      <c r="K82" s="7"/>
      <c r="L82" s="7"/>
      <c r="M82" s="7"/>
      <c r="N82" s="7"/>
      <c r="O82" s="7"/>
      <c r="P82" s="7"/>
      <c r="Q82" s="7"/>
      <c r="R82" s="7"/>
      <c r="S82" s="7"/>
      <c r="T82" s="7"/>
      <c r="U82" s="7"/>
      <c r="V82" s="7"/>
      <c r="W82" s="7"/>
      <c r="X82" s="7"/>
    </row>
    <row r="83" spans="1:24" ht="19.5" customHeight="1">
      <c r="A83" s="7"/>
      <c r="B83" s="7"/>
      <c r="C83" s="7"/>
      <c r="D83" s="7"/>
      <c r="E83" s="7"/>
      <c r="F83" s="7"/>
      <c r="G83" s="7"/>
      <c r="H83" s="7"/>
      <c r="I83" s="7"/>
      <c r="J83" s="7"/>
      <c r="K83" s="7"/>
      <c r="L83" s="7"/>
      <c r="M83" s="7"/>
      <c r="N83" s="7"/>
      <c r="O83" s="7"/>
      <c r="P83" s="7"/>
      <c r="Q83" s="7"/>
      <c r="R83" s="7"/>
      <c r="S83" s="7"/>
      <c r="T83" s="7"/>
      <c r="U83" s="7"/>
      <c r="V83" s="7"/>
      <c r="W83" s="7"/>
      <c r="X83" s="7"/>
    </row>
    <row r="84" spans="1:24" ht="19.5" customHeight="1">
      <c r="A84" s="7"/>
      <c r="B84" s="7"/>
      <c r="C84" s="7"/>
      <c r="D84" s="7"/>
      <c r="E84" s="7"/>
      <c r="F84" s="7"/>
      <c r="G84" s="7"/>
      <c r="H84" s="7"/>
      <c r="I84" s="7"/>
      <c r="J84" s="7"/>
      <c r="K84" s="7"/>
      <c r="L84" s="7"/>
      <c r="M84" s="7"/>
      <c r="N84" s="7"/>
      <c r="O84" s="7"/>
      <c r="P84" s="7"/>
      <c r="Q84" s="7"/>
      <c r="R84" s="7"/>
      <c r="S84" s="7"/>
      <c r="T84" s="7"/>
      <c r="U84" s="7"/>
      <c r="V84" s="7"/>
      <c r="W84" s="7"/>
      <c r="X84" s="7"/>
    </row>
    <row r="85" spans="1:24" ht="19.5" customHeight="1">
      <c r="A85" s="7"/>
      <c r="B85" s="7"/>
      <c r="C85" s="7"/>
      <c r="D85" s="7"/>
      <c r="E85" s="7"/>
      <c r="F85" s="7"/>
      <c r="G85" s="7"/>
      <c r="H85" s="7"/>
      <c r="I85" s="7"/>
      <c r="J85" s="7"/>
      <c r="K85" s="7"/>
      <c r="L85" s="7"/>
      <c r="M85" s="7"/>
      <c r="N85" s="7"/>
      <c r="O85" s="7"/>
      <c r="P85" s="7"/>
      <c r="Q85" s="7"/>
      <c r="R85" s="7"/>
      <c r="S85" s="7"/>
      <c r="T85" s="7"/>
      <c r="U85" s="7"/>
      <c r="V85" s="7"/>
      <c r="W85" s="7"/>
      <c r="X85" s="7"/>
    </row>
    <row r="86" spans="1:24" ht="19.5" customHeight="1">
      <c r="A86" s="7"/>
      <c r="B86" s="7"/>
      <c r="C86" s="7"/>
      <c r="D86" s="7"/>
      <c r="E86" s="7"/>
      <c r="F86" s="7"/>
      <c r="G86" s="7"/>
      <c r="H86" s="7"/>
      <c r="I86" s="7"/>
      <c r="J86" s="7"/>
      <c r="K86" s="7"/>
      <c r="L86" s="7"/>
      <c r="M86" s="7"/>
      <c r="N86" s="7"/>
      <c r="O86" s="7"/>
      <c r="P86" s="7"/>
      <c r="Q86" s="7"/>
      <c r="R86" s="7"/>
      <c r="S86" s="7"/>
      <c r="T86" s="7"/>
      <c r="U86" s="7"/>
      <c r="V86" s="7"/>
      <c r="W86" s="7"/>
      <c r="X86" s="7"/>
    </row>
    <row r="87" spans="1:24" ht="19.5" customHeight="1">
      <c r="A87" s="7"/>
      <c r="B87" s="7"/>
      <c r="C87" s="7"/>
      <c r="D87" s="7"/>
      <c r="E87" s="7"/>
      <c r="F87" s="7"/>
      <c r="G87" s="7"/>
      <c r="H87" s="7"/>
      <c r="I87" s="7"/>
      <c r="J87" s="7"/>
      <c r="K87" s="7"/>
      <c r="L87" s="7"/>
      <c r="M87" s="7"/>
      <c r="N87" s="7"/>
      <c r="O87" s="7"/>
      <c r="P87" s="7"/>
      <c r="Q87" s="7"/>
      <c r="R87" s="7"/>
      <c r="S87" s="7"/>
      <c r="T87" s="7"/>
      <c r="U87" s="7"/>
      <c r="V87" s="7"/>
      <c r="W87" s="7"/>
      <c r="X87" s="7"/>
    </row>
    <row r="88" spans="1:24" ht="19.5" customHeight="1">
      <c r="A88" s="7"/>
      <c r="B88" s="7"/>
      <c r="C88" s="7"/>
      <c r="D88" s="7"/>
      <c r="E88" s="7"/>
      <c r="F88" s="7"/>
      <c r="G88" s="7"/>
      <c r="H88" s="7"/>
      <c r="I88" s="7"/>
      <c r="J88" s="7"/>
      <c r="K88" s="7"/>
      <c r="L88" s="7"/>
      <c r="M88" s="7"/>
      <c r="N88" s="7"/>
      <c r="O88" s="7"/>
      <c r="P88" s="7"/>
      <c r="Q88" s="7"/>
      <c r="R88" s="7"/>
      <c r="S88" s="7"/>
      <c r="T88" s="7"/>
      <c r="U88" s="7"/>
      <c r="V88" s="7"/>
      <c r="W88" s="7"/>
      <c r="X88" s="7"/>
    </row>
    <row r="89" spans="1:24" ht="19.5" customHeight="1">
      <c r="A89" s="7"/>
      <c r="B89" s="7"/>
      <c r="C89" s="7"/>
      <c r="D89" s="7"/>
      <c r="E89" s="7"/>
      <c r="F89" s="7"/>
      <c r="G89" s="7"/>
      <c r="H89" s="7"/>
      <c r="I89" s="7"/>
      <c r="J89" s="7"/>
      <c r="K89" s="7"/>
      <c r="L89" s="7"/>
      <c r="M89" s="7"/>
      <c r="N89" s="7"/>
      <c r="O89" s="7"/>
      <c r="P89" s="7"/>
      <c r="Q89" s="7"/>
      <c r="R89" s="7"/>
      <c r="S89" s="7"/>
      <c r="T89" s="7"/>
      <c r="U89" s="7"/>
      <c r="V89" s="7"/>
      <c r="W89" s="7"/>
      <c r="X89" s="7"/>
    </row>
    <row r="90" spans="1:24" ht="19.5" customHeight="1">
      <c r="A90" s="7"/>
      <c r="B90" s="7"/>
      <c r="C90" s="7"/>
      <c r="D90" s="7"/>
      <c r="E90" s="7"/>
      <c r="F90" s="7"/>
      <c r="G90" s="7"/>
      <c r="H90" s="7"/>
      <c r="I90" s="7"/>
      <c r="J90" s="7"/>
      <c r="K90" s="7"/>
      <c r="L90" s="7"/>
      <c r="M90" s="7"/>
      <c r="N90" s="7"/>
      <c r="O90" s="7"/>
      <c r="P90" s="7"/>
      <c r="Q90" s="7"/>
      <c r="R90" s="7"/>
      <c r="S90" s="7"/>
      <c r="T90" s="7"/>
      <c r="U90" s="7"/>
      <c r="V90" s="7"/>
      <c r="W90" s="7"/>
      <c r="X90" s="7"/>
    </row>
    <row r="91" spans="1:24" ht="19.5" customHeight="1">
      <c r="A91" s="7"/>
      <c r="B91" s="7"/>
      <c r="C91" s="7"/>
      <c r="D91" s="7"/>
      <c r="E91" s="7"/>
      <c r="F91" s="7"/>
      <c r="G91" s="7"/>
      <c r="H91" s="7"/>
      <c r="I91" s="7"/>
      <c r="J91" s="7"/>
      <c r="K91" s="7"/>
      <c r="L91" s="7"/>
      <c r="M91" s="7"/>
      <c r="N91" s="7"/>
      <c r="O91" s="7"/>
      <c r="P91" s="7"/>
      <c r="Q91" s="7"/>
      <c r="R91" s="7"/>
      <c r="S91" s="7"/>
      <c r="T91" s="7"/>
      <c r="U91" s="7"/>
      <c r="V91" s="7"/>
      <c r="W91" s="7"/>
      <c r="X91" s="7"/>
    </row>
    <row r="92" spans="1:24" ht="19.5" customHeight="1">
      <c r="A92" s="7"/>
      <c r="B92" s="7"/>
      <c r="C92" s="7"/>
      <c r="D92" s="7"/>
      <c r="E92" s="7"/>
      <c r="F92" s="7"/>
      <c r="G92" s="7"/>
      <c r="H92" s="7"/>
      <c r="I92" s="7"/>
      <c r="J92" s="7"/>
      <c r="K92" s="7"/>
      <c r="L92" s="7"/>
      <c r="M92" s="7"/>
      <c r="N92" s="7"/>
      <c r="O92" s="7"/>
      <c r="P92" s="7"/>
      <c r="Q92" s="7"/>
      <c r="R92" s="7"/>
      <c r="S92" s="7"/>
      <c r="T92" s="7"/>
      <c r="U92" s="7"/>
      <c r="V92" s="7"/>
      <c r="W92" s="7"/>
      <c r="X92" s="7"/>
    </row>
    <row r="93" spans="1:24" ht="19.5" customHeight="1">
      <c r="A93" s="7"/>
      <c r="B93" s="7"/>
      <c r="C93" s="7"/>
      <c r="D93" s="7"/>
      <c r="E93" s="7"/>
      <c r="F93" s="7"/>
      <c r="G93" s="7"/>
      <c r="H93" s="7"/>
      <c r="I93" s="7"/>
      <c r="J93" s="7"/>
      <c r="K93" s="7"/>
      <c r="L93" s="7"/>
      <c r="M93" s="7"/>
      <c r="N93" s="7"/>
      <c r="O93" s="7"/>
      <c r="P93" s="7"/>
      <c r="Q93" s="7"/>
      <c r="R93" s="7"/>
      <c r="S93" s="7"/>
      <c r="T93" s="7"/>
      <c r="U93" s="7"/>
      <c r="V93" s="7"/>
      <c r="W93" s="7"/>
      <c r="X93" s="7"/>
    </row>
    <row r="94" spans="1:24" ht="19.5" customHeight="1">
      <c r="A94" s="7"/>
      <c r="B94" s="7"/>
      <c r="C94" s="7"/>
      <c r="D94" s="7"/>
      <c r="E94" s="7"/>
      <c r="F94" s="7"/>
      <c r="G94" s="7"/>
      <c r="H94" s="7"/>
      <c r="I94" s="7"/>
      <c r="J94" s="7"/>
      <c r="K94" s="7"/>
      <c r="L94" s="7"/>
      <c r="M94" s="7"/>
      <c r="N94" s="7"/>
      <c r="O94" s="7"/>
      <c r="P94" s="7"/>
      <c r="Q94" s="7"/>
      <c r="R94" s="7"/>
      <c r="S94" s="7"/>
      <c r="T94" s="7"/>
      <c r="U94" s="7"/>
      <c r="V94" s="7"/>
      <c r="W94" s="7"/>
      <c r="X94" s="7"/>
    </row>
    <row r="95" spans="1:24" ht="19.5" customHeight="1">
      <c r="A95" s="7"/>
      <c r="B95" s="7"/>
      <c r="C95" s="7"/>
      <c r="D95" s="7"/>
      <c r="E95" s="7"/>
      <c r="F95" s="7"/>
      <c r="G95" s="7"/>
      <c r="H95" s="7"/>
      <c r="I95" s="7"/>
      <c r="J95" s="7"/>
      <c r="K95" s="7"/>
      <c r="L95" s="7"/>
      <c r="M95" s="7"/>
      <c r="N95" s="7"/>
      <c r="O95" s="7"/>
      <c r="P95" s="7"/>
      <c r="Q95" s="7"/>
      <c r="R95" s="7"/>
      <c r="S95" s="7"/>
      <c r="T95" s="7"/>
      <c r="U95" s="7"/>
      <c r="V95" s="7"/>
      <c r="W95" s="7"/>
      <c r="X95" s="7"/>
    </row>
    <row r="96" spans="1:24" ht="19.5" customHeight="1">
      <c r="A96" s="7"/>
      <c r="B96" s="7"/>
      <c r="C96" s="7"/>
      <c r="D96" s="7"/>
      <c r="E96" s="7"/>
      <c r="F96" s="7"/>
      <c r="G96" s="7"/>
      <c r="H96" s="7"/>
      <c r="I96" s="7"/>
      <c r="J96" s="7"/>
      <c r="K96" s="7"/>
      <c r="L96" s="7"/>
      <c r="M96" s="7"/>
      <c r="N96" s="7"/>
      <c r="O96" s="7"/>
      <c r="P96" s="7"/>
      <c r="Q96" s="7"/>
      <c r="R96" s="7"/>
      <c r="S96" s="7"/>
      <c r="T96" s="7"/>
      <c r="U96" s="7"/>
      <c r="V96" s="7"/>
      <c r="W96" s="7"/>
      <c r="X96" s="7"/>
    </row>
    <row r="97" spans="1:24" ht="19.5" customHeight="1">
      <c r="A97" s="7"/>
      <c r="B97" s="7"/>
      <c r="C97" s="7"/>
      <c r="D97" s="7"/>
      <c r="E97" s="7"/>
      <c r="F97" s="7"/>
      <c r="G97" s="7"/>
      <c r="H97" s="7"/>
      <c r="I97" s="7"/>
      <c r="J97" s="7"/>
      <c r="K97" s="7"/>
      <c r="L97" s="7"/>
      <c r="M97" s="7"/>
      <c r="N97" s="7"/>
      <c r="O97" s="7"/>
      <c r="P97" s="7"/>
      <c r="Q97" s="7"/>
      <c r="R97" s="7"/>
      <c r="S97" s="7"/>
      <c r="T97" s="7"/>
      <c r="U97" s="7"/>
      <c r="V97" s="7"/>
      <c r="W97" s="7"/>
      <c r="X97" s="7"/>
    </row>
    <row r="98" spans="1:24" ht="19.5" customHeight="1">
      <c r="A98" s="7"/>
      <c r="B98" s="7"/>
      <c r="C98" s="7"/>
      <c r="D98" s="7"/>
      <c r="E98" s="7"/>
      <c r="F98" s="7"/>
      <c r="G98" s="7"/>
      <c r="H98" s="7"/>
      <c r="I98" s="7"/>
      <c r="J98" s="7"/>
      <c r="K98" s="7"/>
      <c r="L98" s="7"/>
      <c r="M98" s="7"/>
      <c r="N98" s="7"/>
      <c r="O98" s="7"/>
      <c r="P98" s="7"/>
      <c r="Q98" s="7"/>
      <c r="R98" s="7"/>
      <c r="S98" s="7"/>
      <c r="T98" s="7"/>
      <c r="U98" s="7"/>
      <c r="V98" s="7"/>
      <c r="W98" s="7"/>
      <c r="X98" s="7"/>
    </row>
    <row r="99" spans="1:24" ht="19.5" customHeight="1">
      <c r="A99" s="7"/>
      <c r="B99" s="7"/>
      <c r="C99" s="7"/>
      <c r="D99" s="7"/>
      <c r="E99" s="7"/>
      <c r="F99" s="7"/>
      <c r="G99" s="7"/>
      <c r="H99" s="7"/>
      <c r="I99" s="7"/>
      <c r="J99" s="7"/>
      <c r="K99" s="7"/>
      <c r="L99" s="7"/>
      <c r="M99" s="7"/>
      <c r="N99" s="7"/>
      <c r="O99" s="7"/>
      <c r="P99" s="7"/>
      <c r="Q99" s="7"/>
      <c r="R99" s="7"/>
      <c r="S99" s="7"/>
      <c r="T99" s="7"/>
      <c r="U99" s="7"/>
      <c r="V99" s="7"/>
      <c r="W99" s="7"/>
      <c r="X99" s="7"/>
    </row>
    <row r="100" spans="1:24" ht="19.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row>
    <row r="101" spans="1:24" ht="19.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row>
    <row r="102" spans="1:24" ht="19.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row>
    <row r="103" spans="1:24" ht="19.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row>
    <row r="104" spans="1:24" ht="19.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row>
    <row r="105" spans="1:24" ht="19.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row>
    <row r="106" spans="1:24" ht="19.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row>
    <row r="107" spans="1:24" ht="19.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row>
    <row r="108" spans="1:24" ht="19.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row>
    <row r="109" spans="1:24" ht="19.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row>
    <row r="110" spans="1:24" ht="19.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row>
    <row r="111" spans="1:24" ht="19.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row>
    <row r="112" spans="1:24" ht="19.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row>
    <row r="113" spans="1:24" ht="19.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row>
    <row r="114" spans="1:24" ht="19.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row>
    <row r="115" spans="1:24" ht="19.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row>
    <row r="116" spans="1:24" ht="19.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row>
    <row r="117" spans="1:24" ht="19.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row>
    <row r="118" spans="1:24" ht="19.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row>
    <row r="119" spans="1:24" ht="19.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row>
    <row r="120" spans="1:24" ht="19.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row>
    <row r="121" spans="1:24" ht="19.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row>
    <row r="122" spans="1:24" ht="19.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row>
    <row r="123" spans="1:24" ht="19.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row>
    <row r="124" spans="1:24" ht="19.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row>
    <row r="125" spans="1:24" ht="19.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row>
    <row r="126" spans="1:24" ht="19.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row>
    <row r="127" spans="1:24" ht="19.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row>
    <row r="128" spans="1:24" ht="19.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row>
    <row r="129" spans="1:24" ht="19.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row>
    <row r="130" spans="1:24" ht="19.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row>
    <row r="131" spans="1:24" ht="19.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row>
    <row r="132" spans="1:24" ht="19.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row>
    <row r="133" spans="1:24" ht="19.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row>
    <row r="134" spans="1:24" ht="19.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row>
    <row r="135" spans="1:24" ht="19.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row>
    <row r="136" spans="1:24" ht="19.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row>
    <row r="137" spans="1:24" ht="19.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row>
    <row r="138" spans="1:24" ht="19.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row>
    <row r="139" spans="1:24" ht="19.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row>
    <row r="140" spans="1:24" ht="19.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row>
    <row r="141" spans="1:24" ht="19.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row>
    <row r="142" spans="1:24" ht="19.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row>
    <row r="143" spans="1:24" ht="19.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row>
    <row r="144" spans="1:24" ht="19.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row>
    <row r="145" spans="1:24" ht="19.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row>
    <row r="146" spans="1:24" ht="19.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row>
    <row r="147" spans="1:24" ht="19.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row>
    <row r="148" spans="1:24" ht="19.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row>
    <row r="149" spans="1:24" ht="19.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row>
    <row r="150" spans="1:24" ht="19.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row>
    <row r="151" spans="1:24" ht="19.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row>
    <row r="152" spans="1:24" ht="19.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row>
    <row r="153" spans="1:24" ht="19.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row>
    <row r="154" spans="1:24" ht="19.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row>
    <row r="155" spans="1:24" ht="19.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row>
    <row r="156" spans="1:24" ht="19.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row>
    <row r="157" spans="1:24" ht="19.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row>
    <row r="158" spans="1:24" ht="19.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row>
    <row r="159" spans="1:24" ht="19.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row>
    <row r="160" spans="1:24" ht="19.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row>
    <row r="161" spans="1:24" ht="19.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row>
    <row r="162" spans="1:24" ht="19.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row>
    <row r="163" spans="1:24" ht="19.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row>
    <row r="164" spans="1:24" ht="19.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row>
    <row r="165" spans="1:24" ht="19.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row>
    <row r="166" spans="1:24" ht="19.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row>
    <row r="167" spans="1:24" ht="19.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row>
    <row r="168" spans="1:24" ht="19.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row>
    <row r="169" spans="1:24" ht="19.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row>
    <row r="170" spans="1:24" ht="19.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row>
    <row r="171" spans="1:24" ht="19.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row>
    <row r="172" spans="1:24" ht="19.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row>
    <row r="173" spans="1:24" ht="19.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row>
    <row r="174" spans="1:24" ht="19.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row>
    <row r="175" spans="1:24" ht="19.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row>
    <row r="176" spans="1:24" ht="19.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row>
    <row r="177" spans="1:24" ht="19.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row>
    <row r="178" spans="1:24" ht="19.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row>
    <row r="179" spans="1:24" ht="19.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row>
    <row r="180" spans="1:24" ht="19.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row>
    <row r="181" spans="1:24" ht="19.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row>
    <row r="182" spans="1:24" ht="19.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row>
    <row r="183" spans="1:24" ht="19.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row>
    <row r="184" spans="1:24" ht="19.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row>
    <row r="185" spans="1:24" ht="19.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row>
    <row r="186" spans="1:24" ht="19.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row>
    <row r="187" spans="1:24" ht="19.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row>
    <row r="188" spans="1:24" ht="19.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row>
    <row r="189" spans="1:24" ht="19.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row>
    <row r="190" spans="1:24" ht="19.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row>
    <row r="191" spans="1:24" ht="19.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row>
    <row r="192" spans="1:24" ht="19.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row>
    <row r="193" spans="1:24" ht="19.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row>
    <row r="194" spans="1:24" ht="19.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row>
    <row r="195" spans="1:24" ht="19.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row>
    <row r="196" spans="1:24" ht="19.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row>
    <row r="197" spans="1:24" ht="19.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row>
    <row r="198" spans="1:24" ht="19.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row>
    <row r="199" spans="1:24" ht="19.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row>
    <row r="200" spans="1:24" ht="19.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row>
    <row r="201" spans="1:24" ht="19.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row>
    <row r="202" spans="1:24" ht="19.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row>
    <row r="203" spans="1:24" ht="19.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row>
    <row r="204" spans="1:24" ht="19.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row>
    <row r="205" spans="1:24" ht="19.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row>
    <row r="206" spans="1:24" ht="19.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row>
    <row r="207" spans="1:24" ht="19.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row>
    <row r="208" spans="1:24" ht="19.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row>
    <row r="209" spans="1:24" ht="19.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row>
    <row r="210" spans="1:24" ht="19.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row>
    <row r="211" spans="1:24" ht="19.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row>
    <row r="212" spans="1:24" ht="19.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row>
    <row r="213" spans="1:24" ht="19.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row>
    <row r="214" spans="1:24" ht="19.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row>
    <row r="215" spans="1:24" ht="19.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row>
    <row r="216" spans="1:24" ht="19.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row>
    <row r="217" spans="1:24" ht="19.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row>
    <row r="218" spans="1:24" ht="19.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row>
    <row r="219" spans="1:24" ht="19.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row>
    <row r="220" spans="1:24" ht="19.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row>
    <row r="221" spans="1:24" ht="19.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row>
    <row r="222" spans="1:24" ht="19.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row>
    <row r="223" spans="1:24" ht="19.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row>
    <row r="224" spans="1:24" ht="19.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row>
    <row r="225" spans="1:24" ht="19.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row>
    <row r="226" spans="1:24" ht="19.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row>
    <row r="227" spans="1:24" ht="19.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row>
    <row r="228" spans="1:24" ht="19.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row>
    <row r="229" spans="1:24" ht="19.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row>
    <row r="230" spans="1:24" ht="19.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row>
    <row r="231" spans="1:24" ht="19.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row>
    <row r="232" spans="1:24" ht="19.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row>
    <row r="233" spans="1:24" ht="19.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row>
    <row r="234" spans="1:24" ht="19.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row>
    <row r="235" spans="1:24" ht="19.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row>
    <row r="236" spans="1:24" ht="19.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row>
    <row r="237" spans="1:24" ht="19.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row>
    <row r="238" spans="1:24" ht="19.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row>
    <row r="239" spans="1:24" ht="19.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row>
    <row r="240" spans="1:24" ht="19.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row>
    <row r="241" spans="1:24" ht="19.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row>
    <row r="242" spans="1:24" ht="19.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row>
    <row r="243" spans="1:24" ht="19.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row>
    <row r="244" spans="1:24" ht="19.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row>
    <row r="245" spans="1:24" ht="19.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row>
    <row r="246" spans="1:24" ht="19.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row>
    <row r="247" spans="1:24" ht="19.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row>
    <row r="248" spans="1:24" ht="19.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row>
    <row r="249" spans="1:24" ht="19.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row>
    <row r="250" spans="1:24" ht="19.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row>
    <row r="251" spans="1:24" ht="19.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row>
    <row r="252" spans="1:24" ht="19.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row>
    <row r="253" spans="1:24" ht="19.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row>
    <row r="254" spans="1:24" ht="19.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row>
    <row r="255" spans="1:24" ht="19.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row>
    <row r="256" spans="1:24" ht="19.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row>
    <row r="257" spans="1:24" ht="19.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row>
    <row r="258" spans="1:24" ht="19.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row>
    <row r="259" spans="1:24" ht="19.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row>
    <row r="260" spans="1:24" ht="19.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row>
    <row r="261" spans="1:24" ht="19.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row>
    <row r="262" spans="1:24" ht="19.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row>
    <row r="263" spans="1:24" ht="19.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row>
    <row r="264" spans="1:24" ht="19.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row>
    <row r="265" spans="1:24" ht="19.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row>
    <row r="266" spans="1:24" ht="19.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row>
    <row r="267" spans="1:24" ht="19.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row>
    <row r="268" spans="1:24" ht="19.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row>
    <row r="269" spans="1:24" ht="19.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row>
    <row r="270" spans="1:24" ht="19.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row>
    <row r="271" spans="1:24" ht="19.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row>
    <row r="272" spans="1:24" ht="19.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row>
    <row r="273" spans="1:24" ht="19.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row>
    <row r="274" spans="1:24" ht="19.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row>
    <row r="275" spans="1:24" ht="19.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row>
    <row r="276" spans="1:24" ht="19.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row>
    <row r="277" spans="1:24" ht="19.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row>
    <row r="278" spans="1:24" ht="19.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row>
    <row r="279" spans="1:24" ht="19.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row>
    <row r="280" spans="1:24" ht="19.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row>
    <row r="281" spans="1:24" ht="19.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row>
    <row r="282" spans="1:24" ht="19.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row>
    <row r="283" spans="1:24" ht="19.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row>
    <row r="284" spans="1:24" ht="19.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row>
    <row r="285" spans="1:24" ht="19.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row>
    <row r="286" spans="1:24" ht="19.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row>
    <row r="287" spans="1:24" ht="19.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row>
    <row r="288" spans="1:24" ht="19.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row>
    <row r="289" spans="1:24" ht="19.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row>
    <row r="290" spans="1:24" ht="19.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row>
    <row r="291" spans="1:24" ht="19.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row>
    <row r="292" spans="1:24" ht="19.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row>
    <row r="293" spans="1:24" ht="19.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row>
    <row r="294" spans="1:24" ht="19.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row>
    <row r="295" spans="1:24" ht="19.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row>
    <row r="296" spans="1:24" ht="19.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row>
    <row r="297" spans="1:24" ht="19.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row>
    <row r="298" spans="1:24" ht="19.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row>
    <row r="299" spans="1:24" ht="19.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row>
    <row r="300" spans="1:24" ht="19.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row>
    <row r="301" spans="1:24" ht="19.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row>
    <row r="302" spans="1:24" ht="19.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row>
    <row r="303" spans="1:24" ht="19.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row>
    <row r="304" spans="1:24" ht="19.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row>
    <row r="305" spans="1:24" ht="19.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row>
    <row r="306" spans="1:24" ht="19.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row>
    <row r="307" spans="1:24" ht="19.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row>
    <row r="308" spans="1:24" ht="19.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row>
    <row r="309" spans="1:24" ht="19.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row>
    <row r="310" spans="1:24" ht="19.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row>
    <row r="311" spans="1:24" ht="19.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row>
    <row r="312" spans="1:24" ht="19.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row>
    <row r="313" spans="1:24" ht="19.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row>
    <row r="314" spans="1:24" ht="19.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row>
    <row r="315" spans="1:24" ht="19.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row>
    <row r="316" spans="1:24" ht="19.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row>
    <row r="317" spans="1:24" ht="19.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row>
    <row r="318" spans="1:24" ht="19.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row>
    <row r="319" spans="1:24" ht="19.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row>
    <row r="320" spans="1:24" ht="19.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row>
    <row r="321" spans="1:24" ht="19.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row>
    <row r="322" spans="1:24" ht="19.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row>
    <row r="323" spans="1:24" ht="19.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row>
    <row r="324" spans="1:24" ht="19.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row>
    <row r="325" spans="1:24" ht="19.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row>
    <row r="326" spans="1:24" ht="19.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row>
    <row r="327" spans="1:24" ht="19.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row>
    <row r="328" spans="1:24" ht="19.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row>
    <row r="329" spans="1:24" ht="19.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row>
    <row r="330" spans="1:24" ht="19.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row>
    <row r="331" spans="1:24" ht="19.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row>
    <row r="332" spans="1:24" ht="19.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row>
    <row r="333" spans="1:24" ht="19.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row>
    <row r="334" spans="1:24" ht="19.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row>
    <row r="335" spans="1:24" ht="19.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row>
    <row r="336" spans="1:24" ht="19.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row>
    <row r="337" spans="1:24" ht="19.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row>
    <row r="338" spans="1:24" ht="19.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row>
    <row r="339" spans="1:24" ht="19.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row>
    <row r="340" spans="1:24" ht="19.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row>
    <row r="341" spans="1:24" ht="19.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row>
    <row r="342" spans="1:24" ht="19.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row>
    <row r="343" spans="1:24" ht="19.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row>
    <row r="344" spans="1:24" ht="19.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row>
    <row r="345" spans="1:24" ht="19.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row>
    <row r="346" spans="1:24" ht="19.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row>
    <row r="347" spans="1:24" ht="19.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row>
    <row r="348" spans="1:24" ht="19.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row>
    <row r="349" spans="1:24" ht="19.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row>
    <row r="350" spans="1:24" ht="19.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row>
    <row r="351" spans="1:24" ht="19.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row>
    <row r="352" spans="1:24" ht="19.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row>
    <row r="353" spans="1:24" ht="19.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row>
    <row r="354" spans="1:24" ht="19.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row>
    <row r="355" spans="1:24" ht="19.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row>
    <row r="356" spans="1:24" ht="19.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row>
    <row r="357" spans="1:24" ht="19.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row>
    <row r="358" spans="1:24" ht="19.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row>
    <row r="359" spans="1:24" ht="19.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row>
    <row r="360" spans="1:24" ht="19.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row>
    <row r="361" spans="1:24" ht="19.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row>
    <row r="362" spans="1:24" ht="19.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row>
    <row r="363" spans="1:24" ht="19.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row>
    <row r="364" spans="1:24" ht="19.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row>
    <row r="365" spans="1:24" ht="19.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row>
    <row r="366" spans="1:24" ht="19.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row>
    <row r="367" spans="1:24" ht="19.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row>
    <row r="368" spans="1:24" ht="19.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row>
    <row r="369" spans="1:24" ht="19.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row>
    <row r="370" spans="1:24" ht="19.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row>
    <row r="371" spans="1:24" ht="19.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row>
    <row r="372" spans="1:24" ht="19.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row>
    <row r="373" spans="1:24" ht="19.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row>
    <row r="374" spans="1:24" ht="19.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row>
    <row r="375" spans="1:24" ht="19.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row>
    <row r="376" spans="1:24" ht="19.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row>
    <row r="377" spans="1:24" ht="19.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row>
    <row r="378" spans="1:24" ht="19.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row>
    <row r="379" spans="1:24" ht="19.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row>
    <row r="380" spans="1:24" ht="19.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row>
    <row r="381" spans="1:24" ht="19.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row>
    <row r="382" spans="1:24" ht="19.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row>
    <row r="383" spans="1:24" ht="19.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row>
    <row r="384" spans="1:24" ht="19.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row>
    <row r="385" spans="1:24" ht="19.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row>
    <row r="386" spans="1:24" ht="19.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row>
    <row r="387" spans="1:24" ht="19.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row>
    <row r="388" spans="1:24" ht="19.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row>
    <row r="389" spans="1:24" ht="19.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row>
    <row r="390" spans="1:24" ht="19.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row>
    <row r="391" spans="1:24" ht="19.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row>
    <row r="392" spans="1:24" ht="19.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row>
    <row r="393" spans="1:24" ht="19.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row>
    <row r="394" spans="1:24" ht="19.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row>
    <row r="395" spans="1:24" ht="19.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row>
    <row r="396" spans="1:24" ht="19.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row>
    <row r="397" spans="1:24" ht="19.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row>
    <row r="398" spans="1:24" ht="19.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row>
    <row r="399" spans="1:24" ht="19.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row>
    <row r="400" spans="1:24" ht="19.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row>
    <row r="401" spans="1:24" ht="19.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row>
    <row r="402" spans="1:24" ht="19.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row>
    <row r="403" spans="1:24" ht="19.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row>
    <row r="404" spans="1:24" ht="19.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row>
    <row r="405" spans="1:24" ht="19.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row>
    <row r="406" spans="1:24" ht="19.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row>
    <row r="407" spans="1:24" ht="19.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row>
    <row r="408" spans="1:24" ht="19.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row>
    <row r="409" spans="1:24" ht="19.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row>
    <row r="410" spans="1:24" ht="19.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row>
    <row r="411" spans="1:24" ht="19.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row>
    <row r="412" spans="1:24" ht="19.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row>
    <row r="413" spans="1:24" ht="19.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row>
    <row r="414" spans="1:24" ht="19.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row>
    <row r="415" spans="1:24" ht="19.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row>
    <row r="416" spans="1:24" ht="19.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row>
    <row r="417" spans="1:24" ht="19.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row>
    <row r="418" spans="1:24" ht="19.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row>
    <row r="419" spans="1:24" ht="19.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row>
    <row r="420" spans="1:24" ht="19.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row>
    <row r="421" spans="1:24" ht="19.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row>
    <row r="422" spans="1:24" ht="19.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row>
    <row r="423" spans="1:24" ht="19.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row>
    <row r="424" spans="1:24" ht="19.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row>
    <row r="425" spans="1:24" ht="19.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row>
    <row r="426" spans="1:24" ht="19.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row>
    <row r="427" spans="1:24" ht="19.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row>
    <row r="428" spans="1:24" ht="19.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row>
    <row r="429" spans="1:24" ht="19.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row>
    <row r="430" spans="1:24" ht="19.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row>
    <row r="431" spans="1:24" ht="19.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row>
    <row r="432" spans="1:24" ht="19.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row>
    <row r="433" spans="1:24" ht="19.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row>
    <row r="434" spans="1:24" ht="19.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row>
    <row r="435" spans="1:24" ht="19.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row>
    <row r="436" spans="1:24" ht="19.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row>
    <row r="437" spans="1:24" ht="19.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row>
    <row r="438" spans="1:24" ht="19.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row>
    <row r="439" spans="1:24" ht="19.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row>
    <row r="440" spans="1:24" ht="19.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row>
    <row r="441" spans="1:24" ht="19.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row>
    <row r="442" spans="1:24" ht="19.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row>
    <row r="443" spans="1:24" ht="19.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row>
    <row r="444" spans="1:24" ht="19.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row>
    <row r="445" spans="1:24" ht="19.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row>
    <row r="446" spans="1:24" ht="19.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row>
    <row r="447" spans="1:24" ht="19.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row>
    <row r="448" spans="1:24" ht="19.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row>
    <row r="449" spans="1:24" ht="19.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row>
    <row r="450" spans="1:24" ht="19.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row>
    <row r="451" spans="1:24" ht="19.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row>
    <row r="452" spans="1:24" ht="19.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row>
    <row r="453" spans="1:24" ht="19.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row>
    <row r="454" spans="1:24" ht="19.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row>
    <row r="455" spans="1:24" ht="19.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row>
    <row r="456" spans="1:24" ht="19.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row>
    <row r="457" spans="1:24" ht="19.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row>
    <row r="458" spans="1:24" ht="19.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row>
    <row r="459" spans="1:24" ht="19.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row>
    <row r="460" spans="1:24" ht="19.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row>
    <row r="461" spans="1:24" ht="19.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row>
    <row r="462" spans="1:24" ht="19.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row>
    <row r="463" spans="1:24" ht="19.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row>
    <row r="464" spans="1:24" ht="19.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row>
    <row r="465" spans="1:24" ht="19.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row>
    <row r="466" spans="1:24" ht="19.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row>
    <row r="467" spans="1:24" ht="19.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row>
    <row r="468" spans="1:24" ht="19.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row>
    <row r="469" spans="1:24" ht="19.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row>
    <row r="470" spans="1:24" ht="19.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row>
    <row r="471" spans="1:24" ht="19.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row>
    <row r="472" spans="1:24" ht="19.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row>
    <row r="473" spans="1:24" ht="19.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row>
    <row r="474" spans="1:24" ht="19.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row>
    <row r="475" spans="1:24" ht="19.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row>
    <row r="476" spans="1:24" ht="19.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row>
    <row r="477" spans="1:24" ht="19.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row>
    <row r="478" spans="1:24" ht="19.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row>
    <row r="479" spans="1:24" ht="19.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row>
    <row r="480" spans="1:24" ht="19.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row>
    <row r="481" spans="1:24" ht="19.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row>
    <row r="482" spans="1:24" ht="19.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row>
    <row r="483" spans="1:24" ht="19.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row>
    <row r="484" spans="1:24" ht="19.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row>
    <row r="485" spans="1:24" ht="19.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row>
    <row r="486" spans="1:24" ht="19.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row>
    <row r="487" spans="1:24" ht="19.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row>
    <row r="488" spans="1:24" ht="19.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row>
    <row r="489" spans="1:24" ht="19.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row>
    <row r="490" spans="1:24" ht="19.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row>
    <row r="491" spans="1:24" ht="19.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row>
    <row r="492" spans="1:24" ht="19.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row>
    <row r="493" spans="1:24" ht="19.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row>
    <row r="494" spans="1:24" ht="19.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row>
    <row r="495" spans="1:24" ht="19.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row>
    <row r="496" spans="1:24" ht="19.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row>
    <row r="497" spans="1:24" ht="19.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row>
    <row r="498" spans="1:24" ht="19.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row>
    <row r="499" spans="1:24" ht="19.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row>
    <row r="500" spans="1:24" ht="19.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row>
    <row r="501" spans="1:24" ht="19.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row>
    <row r="502" spans="1:24" ht="19.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row>
    <row r="503" spans="1:24" ht="19.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row>
    <row r="504" spans="1:24" ht="19.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row>
    <row r="505" spans="1:24" ht="19.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row>
    <row r="506" spans="1:24" ht="19.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row>
    <row r="507" spans="1:24" ht="19.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row>
    <row r="508" spans="1:24" ht="19.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row>
    <row r="509" spans="1:24" ht="19.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row>
    <row r="510" spans="1:24" ht="19.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row>
    <row r="511" spans="1:24" ht="19.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row>
    <row r="512" spans="1:24" ht="19.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row>
    <row r="513" spans="1:24" ht="19.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row>
    <row r="514" spans="1:24" ht="19.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row>
    <row r="515" spans="1:24" ht="19.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row>
    <row r="516" spans="1:24" ht="19.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row>
    <row r="517" spans="1:24" ht="19.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row>
    <row r="518" spans="1:24" ht="19.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row>
    <row r="519" spans="1:24" ht="19.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row>
    <row r="520" spans="1:24" ht="19.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row>
    <row r="521" spans="1:24" ht="19.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row>
    <row r="522" spans="1:24" ht="19.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row>
    <row r="523" spans="1:24" ht="19.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row>
    <row r="524" spans="1:24" ht="19.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row>
    <row r="525" spans="1:24" ht="19.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row>
    <row r="526" spans="1:24" ht="19.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row>
    <row r="527" spans="1:24" ht="19.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row>
    <row r="528" spans="1:24" ht="19.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row>
    <row r="529" spans="1:24" ht="19.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row>
    <row r="530" spans="1:24" ht="19.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row>
    <row r="531" spans="1:24" ht="19.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row>
    <row r="532" spans="1:24" ht="19.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row>
    <row r="533" spans="1:24" ht="19.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row>
    <row r="534" spans="1:24" ht="19.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row>
    <row r="535" spans="1:24" ht="19.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row>
    <row r="536" spans="1:24" ht="19.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row>
    <row r="537" spans="1:24" ht="19.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row>
    <row r="538" spans="1:24" ht="19.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row>
    <row r="539" spans="1:24" ht="19.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row>
    <row r="540" spans="1:24" ht="19.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row>
    <row r="541" spans="1:24" ht="19.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row>
    <row r="542" spans="1:24" ht="19.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row>
    <row r="543" spans="1:24" ht="19.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row>
    <row r="544" spans="1:24" ht="19.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row>
    <row r="545" spans="1:24" ht="19.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row>
    <row r="546" spans="1:24" ht="19.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row>
    <row r="547" spans="1:24" ht="19.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row>
    <row r="548" spans="1:24" ht="19.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row>
    <row r="549" spans="1:24" ht="19.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row>
    <row r="550" spans="1:24" ht="19.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row>
    <row r="551" spans="1:24" ht="19.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row>
    <row r="552" spans="1:24" ht="19.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row>
    <row r="553" spans="1:24" ht="19.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row>
    <row r="554" spans="1:24" ht="19.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row>
    <row r="555" spans="1:24" ht="19.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row>
    <row r="556" spans="1:24" ht="19.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row>
    <row r="557" spans="1:24" ht="19.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row>
    <row r="558" spans="1:24" ht="19.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row>
    <row r="559" spans="1:24" ht="19.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row>
    <row r="560" spans="1:24" ht="19.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row>
    <row r="561" spans="1:24" ht="19.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row>
    <row r="562" spans="1:24" ht="19.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row>
    <row r="563" spans="1:24" ht="19.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row>
    <row r="564" spans="1:24" ht="19.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row>
    <row r="565" spans="1:24" ht="19.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row>
    <row r="566" spans="1:24" ht="19.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row>
    <row r="567" spans="1:24" ht="19.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row>
    <row r="568" spans="1:24" ht="19.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row>
    <row r="569" spans="1:24" ht="19.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row>
    <row r="570" spans="1:24" ht="19.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row>
    <row r="571" spans="1:24" ht="19.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row>
    <row r="572" spans="1:24" ht="19.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row>
    <row r="573" spans="1:24" ht="19.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row>
    <row r="574" spans="1:24" ht="19.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row>
    <row r="575" spans="1:24" ht="19.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row>
    <row r="576" spans="1:24" ht="19.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row>
    <row r="577" spans="1:24" ht="19.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row>
    <row r="578" spans="1:24" ht="19.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row>
    <row r="579" spans="1:24" ht="19.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row>
    <row r="580" spans="1:24" ht="19.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row>
    <row r="581" spans="1:24" ht="19.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row>
    <row r="582" spans="1:24" ht="19.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row>
    <row r="583" spans="1:24" ht="19.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row>
    <row r="584" spans="1:24" ht="19.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row>
    <row r="585" spans="1:24" ht="19.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row>
    <row r="586" spans="1:24" ht="19.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row>
    <row r="587" spans="1:24" ht="19.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row>
    <row r="588" spans="1:24" ht="19.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row>
    <row r="589" spans="1:24" ht="19.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row>
    <row r="590" spans="1:24" ht="19.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row>
    <row r="591" spans="1:24" ht="19.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row>
    <row r="592" spans="1:24" ht="19.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row>
    <row r="593" spans="1:24" ht="19.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row>
    <row r="594" spans="1:24" ht="19.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row>
    <row r="595" spans="1:24" ht="19.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row>
    <row r="596" spans="1:24" ht="19.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row>
    <row r="597" spans="1:24" ht="19.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row>
    <row r="598" spans="1:24" ht="19.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row>
    <row r="599" spans="1:24" ht="19.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row>
    <row r="600" spans="1:24" ht="19.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row>
    <row r="601" spans="1:24" ht="19.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row>
    <row r="602" spans="1:24" ht="19.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row>
    <row r="603" spans="1:24" ht="19.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row>
    <row r="604" spans="1:24" ht="19.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row>
    <row r="605" spans="1:24" ht="19.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row>
    <row r="606" spans="1:24" ht="19.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row>
    <row r="607" spans="1:24" ht="19.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row>
    <row r="608" spans="1:24" ht="19.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row>
    <row r="609" spans="1:24" ht="19.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row>
    <row r="610" spans="1:24" ht="19.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row>
    <row r="611" spans="1:24" ht="19.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row>
    <row r="612" spans="1:24" ht="19.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row>
    <row r="613" spans="1:24" ht="19.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row>
    <row r="614" spans="1:24" ht="19.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row>
    <row r="615" spans="1:24" ht="19.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row>
    <row r="616" spans="1:24" ht="19.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row>
    <row r="617" spans="1:24" ht="19.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row>
    <row r="618" spans="1:24" ht="19.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row>
    <row r="619" spans="1:24" ht="19.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row>
    <row r="620" spans="1:24" ht="19.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row>
    <row r="621" spans="1:24" ht="19.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row>
    <row r="622" spans="1:24" ht="19.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row>
    <row r="623" spans="1:24" ht="19.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row>
    <row r="624" spans="1:24" ht="19.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row>
    <row r="625" spans="1:24" ht="19.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row>
    <row r="626" spans="1:24" ht="19.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row>
    <row r="627" spans="1:24" ht="19.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row>
    <row r="628" spans="1:24" ht="19.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row>
    <row r="629" spans="1:24" ht="19.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row>
    <row r="630" spans="1:24" ht="19.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row>
    <row r="631" spans="1:24" ht="19.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row>
    <row r="632" spans="1:24" ht="19.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row>
    <row r="633" spans="1:24" ht="19.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row>
    <row r="634" spans="1:24" ht="19.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row>
    <row r="635" spans="1:24" ht="19.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row>
    <row r="636" spans="1:24" ht="19.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row>
    <row r="637" spans="1:24" ht="19.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row>
    <row r="638" spans="1:24" ht="19.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row>
    <row r="639" spans="1:24" ht="19.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row>
    <row r="640" spans="1:24" ht="19.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row>
    <row r="641" spans="1:24" ht="19.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row>
    <row r="642" spans="1:24" ht="19.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row>
    <row r="643" spans="1:24" ht="19.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row>
    <row r="644" spans="1:24" ht="19.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row>
    <row r="645" spans="1:24" ht="19.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row>
    <row r="646" spans="1:24" ht="19.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row>
    <row r="647" spans="1:24" ht="19.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row>
    <row r="648" spans="1:24" ht="19.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row>
    <row r="649" spans="1:24" ht="19.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row>
    <row r="650" spans="1:24" ht="19.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row>
    <row r="651" spans="1:24" ht="19.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row>
    <row r="652" spans="1:24" ht="19.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row>
    <row r="653" spans="1:24" ht="19.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row>
    <row r="654" spans="1:24" ht="19.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row>
    <row r="655" spans="1:24" ht="19.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row>
    <row r="656" spans="1:24" ht="19.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row>
    <row r="657" spans="1:24" ht="19.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row>
    <row r="658" spans="1:24" ht="19.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row>
    <row r="659" spans="1:24" ht="19.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row>
    <row r="660" spans="1:24" ht="19.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row>
    <row r="661" spans="1:24" ht="19.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row>
    <row r="662" spans="1:24" ht="19.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row>
    <row r="663" spans="1:24" ht="19.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row>
    <row r="664" spans="1:24" ht="19.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row>
    <row r="665" spans="1:24" ht="19.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row>
    <row r="666" spans="1:24" ht="19.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row>
    <row r="667" spans="1:24" ht="19.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row>
    <row r="668" spans="1:24" ht="19.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row>
    <row r="669" spans="1:24" ht="19.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row>
    <row r="670" spans="1:24" ht="19.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row>
    <row r="671" spans="1:24" ht="19.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row>
    <row r="672" spans="1:24" ht="19.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row>
    <row r="673" spans="1:24" ht="19.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row>
    <row r="674" spans="1:24" ht="19.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row>
    <row r="675" spans="1:24" ht="19.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row>
    <row r="676" spans="1:24" ht="19.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row>
    <row r="677" spans="1:24" ht="19.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row>
    <row r="678" spans="1:24" ht="19.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row>
    <row r="679" spans="1:24" ht="19.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row>
    <row r="680" spans="1:24" ht="19.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row>
    <row r="681" spans="1:24" ht="19.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row>
    <row r="682" spans="1:24" ht="19.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row>
    <row r="683" spans="1:24" ht="19.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row>
    <row r="684" spans="1:24" ht="19.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row>
    <row r="685" spans="1:24" ht="19.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row>
    <row r="686" spans="1:24" ht="19.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row>
    <row r="687" spans="1:24" ht="19.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row>
    <row r="688" spans="1:24" ht="19.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row>
    <row r="689" spans="1:24" ht="19.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row>
    <row r="690" spans="1:24" ht="19.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row>
    <row r="691" spans="1:24" ht="19.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row>
    <row r="692" spans="1:24" ht="19.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row>
    <row r="693" spans="1:24" ht="19.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row>
    <row r="694" spans="1:24" ht="19.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row>
    <row r="695" spans="1:24" ht="19.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row>
    <row r="696" spans="1:24" ht="19.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row>
    <row r="697" spans="1:24" ht="19.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row>
    <row r="698" spans="1:24" ht="19.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row>
    <row r="699" spans="1:24" ht="19.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row>
    <row r="700" spans="1:24" ht="19.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row>
    <row r="701" spans="1:24" ht="19.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row>
    <row r="702" spans="1:24" ht="19.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row>
    <row r="703" spans="1:24" ht="19.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row>
    <row r="704" spans="1:24" ht="19.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row>
    <row r="705" spans="1:24" ht="19.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row>
    <row r="706" spans="1:24" ht="19.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row>
    <row r="707" spans="1:24" ht="19.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row>
    <row r="708" spans="1:24" ht="19.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row>
    <row r="709" spans="1:24" ht="19.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row>
    <row r="710" spans="1:24" ht="19.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row>
    <row r="711" spans="1:24" ht="19.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row>
    <row r="712" spans="1:24" ht="19.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row>
    <row r="713" spans="1:24" ht="19.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row>
    <row r="714" spans="1:24" ht="19.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row>
    <row r="715" spans="1:24" ht="19.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row>
    <row r="716" spans="1:24" ht="19.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row>
    <row r="717" spans="1:24" ht="19.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row>
    <row r="718" spans="1:24" ht="19.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row>
    <row r="719" spans="1:24" ht="19.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row>
    <row r="720" spans="1:24" ht="19.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row>
    <row r="721" spans="1:24" ht="19.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row>
    <row r="722" spans="1:24" ht="19.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row>
    <row r="723" spans="1:24" ht="19.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row>
    <row r="724" spans="1:24" ht="19.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row>
    <row r="725" spans="1:24" ht="19.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row>
    <row r="726" spans="1:24" ht="19.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row>
    <row r="727" spans="1:24" ht="19.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row>
    <row r="728" spans="1:24" ht="19.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row>
    <row r="729" spans="1:24" ht="19.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row>
    <row r="730" spans="1:24" ht="19.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row>
    <row r="731" spans="1:24" ht="19.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row>
    <row r="732" spans="1:24" ht="19.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row>
    <row r="733" spans="1:24" ht="19.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row>
    <row r="734" spans="1:24" ht="19.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row>
    <row r="735" spans="1:24" ht="19.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row>
    <row r="736" spans="1:24" ht="19.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row>
    <row r="737" spans="1:24" ht="19.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row>
    <row r="738" spans="1:24" ht="19.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row>
    <row r="739" spans="1:24" ht="19.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row>
    <row r="740" spans="1:24" ht="19.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row>
    <row r="741" spans="1:24" ht="19.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row>
    <row r="742" spans="1:24" ht="19.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row>
    <row r="743" spans="1:24" ht="19.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row>
    <row r="744" spans="1:24" ht="19.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row>
    <row r="745" spans="1:24" ht="19.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row>
    <row r="746" spans="1:24" ht="19.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row>
    <row r="747" spans="1:24" ht="19.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row>
    <row r="748" spans="1:24" ht="19.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row>
    <row r="749" spans="1:24" ht="19.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row>
    <row r="750" spans="1:24" ht="19.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row>
    <row r="751" spans="1:24" ht="19.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row>
    <row r="752" spans="1:24" ht="19.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row>
    <row r="753" spans="1:24" ht="19.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row>
    <row r="754" spans="1:24" ht="19.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row>
    <row r="755" spans="1:24" ht="19.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row>
    <row r="756" spans="1:24" ht="19.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row>
    <row r="757" spans="1:24" ht="19.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row>
    <row r="758" spans="1:24" ht="19.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row>
    <row r="759" spans="1:24" ht="19.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row>
    <row r="760" spans="1:24" ht="19.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row>
    <row r="761" spans="1:24" ht="19.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row>
    <row r="762" spans="1:24" ht="19.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row>
    <row r="763" spans="1:24" ht="19.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row>
    <row r="764" spans="1:24" ht="19.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row>
    <row r="765" spans="1:24" ht="19.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row>
    <row r="766" spans="1:24" ht="12.75"/>
    <row r="767" spans="1:24" ht="12.75"/>
    <row r="768" spans="1:24" ht="12.75"/>
    <row r="769" ht="12.75"/>
    <row r="770" ht="12.75"/>
    <row r="771" ht="12.75"/>
    <row r="772" ht="12.75"/>
    <row r="773" ht="12.75"/>
    <row r="777" ht="12.75"/>
    <row r="778" ht="12.75"/>
    <row r="780" ht="12.75"/>
    <row r="781"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sheetData>
  <mergeCells count="6">
    <mergeCell ref="B2:D2"/>
    <mergeCell ref="AE4:AI4"/>
    <mergeCell ref="J4:N4"/>
    <mergeCell ref="Q4:U4"/>
    <mergeCell ref="X4:AB4"/>
    <mergeCell ref="J2:L2"/>
  </mergeCells>
  <hyperlinks>
    <hyperlink ref="B7" r:id="rId1" xr:uid="{00000000-0004-0000-0300-000000000000}"/>
    <hyperlink ref="I7" r:id="rId2" xr:uid="{00000000-0004-0000-0300-000001000000}"/>
    <hyperlink ref="P7" r:id="rId3" xr:uid="{00000000-0004-0000-0300-000002000000}"/>
    <hyperlink ref="W7" r:id="rId4" xr:uid="{00000000-0004-0000-0300-000003000000}"/>
    <hyperlink ref="AD7" r:id="rId5" xr:uid="{00000000-0004-0000-0300-000004000000}"/>
    <hyperlink ref="P4" location="ZYKLUS!H23" display="B2" xr:uid="{00000000-0004-0000-0300-000005000000}"/>
    <hyperlink ref="W4" location="ZYKLUS!L23" display="C2" xr:uid="{00000000-0004-0000-0300-000006000000}"/>
    <hyperlink ref="AD4" location="ZYKLUS!P23" display="D2" xr:uid="{00000000-0004-0000-0300-000007000000}"/>
    <hyperlink ref="I4" location="Zyklus!C23" display="A2" xr:uid="{00000000-0004-0000-0300-000008000000}"/>
  </hyperlinks>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AC317-E865-47B3-BB5A-6C8EED5C86A5}">
  <dimension ref="B2:S29"/>
  <sheetViews>
    <sheetView workbookViewId="0">
      <selection activeCell="I15" sqref="I15"/>
    </sheetView>
  </sheetViews>
  <sheetFormatPr baseColWidth="10" defaultRowHeight="12.75"/>
  <cols>
    <col min="15" max="15" width="14" customWidth="1"/>
    <col min="16" max="16" width="13.28515625" customWidth="1"/>
    <col min="17" max="17" width="22.5703125" customWidth="1"/>
  </cols>
  <sheetData>
    <row r="2" spans="2:19">
      <c r="N2" s="825"/>
      <c r="O2" s="826"/>
      <c r="P2" s="826"/>
      <c r="Q2" s="826"/>
      <c r="R2" s="826"/>
      <c r="S2" s="827"/>
    </row>
    <row r="3" spans="2:19">
      <c r="N3" s="828"/>
      <c r="O3" s="829"/>
      <c r="P3" s="829"/>
      <c r="Q3" s="829"/>
      <c r="R3" s="829"/>
      <c r="S3" s="830"/>
    </row>
    <row r="4" spans="2:19">
      <c r="C4" s="626" t="s">
        <v>3</v>
      </c>
      <c r="D4" s="626" t="s">
        <v>12</v>
      </c>
      <c r="E4" s="626" t="s">
        <v>389</v>
      </c>
      <c r="F4" s="626" t="s">
        <v>390</v>
      </c>
      <c r="G4" s="626" t="s">
        <v>18</v>
      </c>
      <c r="H4" s="626" t="s">
        <v>42</v>
      </c>
      <c r="I4" s="626" t="s">
        <v>39</v>
      </c>
      <c r="J4" s="626" t="s">
        <v>20</v>
      </c>
      <c r="K4" s="626" t="s">
        <v>28</v>
      </c>
      <c r="L4" s="626" t="s">
        <v>44</v>
      </c>
      <c r="M4" s="626" t="s">
        <v>46</v>
      </c>
      <c r="N4" s="828"/>
      <c r="O4" s="831"/>
      <c r="P4" s="832"/>
      <c r="Q4" s="833"/>
      <c r="R4" s="834"/>
      <c r="S4" s="830"/>
    </row>
    <row r="5" spans="2:19">
      <c r="B5" t="s">
        <v>91</v>
      </c>
      <c r="C5" s="626">
        <v>8</v>
      </c>
      <c r="D5" s="626">
        <v>8</v>
      </c>
      <c r="E5" s="626">
        <v>6</v>
      </c>
      <c r="F5" s="626">
        <v>0</v>
      </c>
      <c r="G5" s="626">
        <v>0</v>
      </c>
      <c r="H5" s="626" t="s">
        <v>239</v>
      </c>
      <c r="I5" s="626">
        <v>4</v>
      </c>
      <c r="J5" s="626">
        <v>6</v>
      </c>
      <c r="K5" s="626">
        <v>4</v>
      </c>
      <c r="L5" s="626">
        <v>6</v>
      </c>
      <c r="M5" s="626">
        <v>0</v>
      </c>
      <c r="N5" s="828"/>
      <c r="O5" s="831"/>
      <c r="P5" s="832"/>
      <c r="Q5" s="833"/>
      <c r="R5" s="834"/>
      <c r="S5" s="830"/>
    </row>
    <row r="6" spans="2:19">
      <c r="B6" t="s">
        <v>94</v>
      </c>
      <c r="C6" s="626">
        <v>10</v>
      </c>
      <c r="D6" s="626">
        <v>10</v>
      </c>
      <c r="E6" s="626">
        <v>8</v>
      </c>
      <c r="F6" s="626">
        <v>6</v>
      </c>
      <c r="G6" s="626">
        <v>0</v>
      </c>
      <c r="H6" s="626">
        <v>8</v>
      </c>
      <c r="I6" s="626">
        <v>6</v>
      </c>
      <c r="J6" s="626">
        <v>8</v>
      </c>
      <c r="K6" s="626">
        <v>6</v>
      </c>
      <c r="L6" s="626">
        <v>8</v>
      </c>
      <c r="M6" s="626">
        <v>0</v>
      </c>
      <c r="N6" s="828"/>
      <c r="O6" s="831"/>
      <c r="P6" s="832"/>
      <c r="Q6" s="833"/>
      <c r="R6" s="834"/>
      <c r="S6" s="830"/>
    </row>
    <row r="7" spans="2:19">
      <c r="B7" t="s">
        <v>92</v>
      </c>
      <c r="C7" s="626" t="s">
        <v>241</v>
      </c>
      <c r="D7" s="626" t="s">
        <v>89</v>
      </c>
      <c r="E7" s="626" t="s">
        <v>90</v>
      </c>
      <c r="F7" s="626" t="s">
        <v>90</v>
      </c>
      <c r="G7" s="626" t="s">
        <v>158</v>
      </c>
      <c r="H7" s="626" t="s">
        <v>240</v>
      </c>
      <c r="I7" s="626" t="s">
        <v>242</v>
      </c>
      <c r="J7" s="626" t="s">
        <v>243</v>
      </c>
      <c r="K7" s="626" t="s">
        <v>244</v>
      </c>
      <c r="L7" s="626" t="s">
        <v>157</v>
      </c>
      <c r="M7" s="626" t="s">
        <v>156</v>
      </c>
      <c r="N7" s="828"/>
      <c r="O7" s="831"/>
      <c r="P7" s="832"/>
      <c r="Q7" s="833"/>
      <c r="R7" s="834"/>
      <c r="S7" s="830"/>
    </row>
    <row r="8" spans="2:19">
      <c r="B8" t="s">
        <v>93</v>
      </c>
      <c r="C8" s="626">
        <v>22</v>
      </c>
      <c r="D8" s="626">
        <v>25</v>
      </c>
      <c r="E8" s="626">
        <v>26</v>
      </c>
      <c r="F8" s="626">
        <v>24</v>
      </c>
      <c r="G8" s="626">
        <v>26</v>
      </c>
      <c r="H8" s="626" t="s">
        <v>246</v>
      </c>
      <c r="I8" s="626" t="s">
        <v>245</v>
      </c>
      <c r="J8" s="626">
        <v>20</v>
      </c>
      <c r="K8" s="626">
        <v>20</v>
      </c>
      <c r="L8" s="626">
        <v>20</v>
      </c>
      <c r="M8" s="626">
        <v>25</v>
      </c>
      <c r="N8" s="828"/>
      <c r="O8" s="831"/>
      <c r="P8" s="832"/>
      <c r="Q8" s="833"/>
      <c r="R8" s="834"/>
      <c r="S8" s="830"/>
    </row>
    <row r="9" spans="2:19">
      <c r="C9" s="626"/>
      <c r="D9" s="626"/>
      <c r="E9" s="626"/>
      <c r="F9" s="626"/>
      <c r="G9" s="626"/>
      <c r="H9" s="626"/>
      <c r="I9" s="626"/>
      <c r="J9" s="626"/>
      <c r="K9" s="626"/>
      <c r="L9" s="626"/>
      <c r="M9" s="626"/>
      <c r="N9" s="828"/>
      <c r="O9" s="831"/>
      <c r="P9" s="832"/>
      <c r="Q9" s="833" t="s">
        <v>393</v>
      </c>
      <c r="R9" s="834"/>
      <c r="S9" s="830"/>
    </row>
    <row r="10" spans="2:19">
      <c r="N10" s="828"/>
      <c r="O10" s="831"/>
      <c r="P10" s="832"/>
      <c r="Q10" s="833"/>
      <c r="R10" s="834"/>
      <c r="S10" s="830"/>
    </row>
    <row r="11" spans="2:19">
      <c r="N11" s="828"/>
      <c r="O11" s="831"/>
      <c r="P11" s="832"/>
      <c r="Q11" s="833"/>
      <c r="R11" s="834"/>
      <c r="S11" s="830"/>
    </row>
    <row r="12" spans="2:19">
      <c r="N12" s="828"/>
      <c r="O12" s="831"/>
      <c r="P12" s="832"/>
      <c r="Q12" s="833"/>
      <c r="R12" s="834"/>
      <c r="S12" s="830"/>
    </row>
    <row r="13" spans="2:19">
      <c r="N13" s="828"/>
      <c r="O13" s="831"/>
      <c r="P13" s="832"/>
      <c r="Q13" s="833" t="s">
        <v>392</v>
      </c>
      <c r="R13" s="834"/>
      <c r="S13" s="830"/>
    </row>
    <row r="14" spans="2:19">
      <c r="B14" s="1044" t="s">
        <v>274</v>
      </c>
      <c r="C14" s="1044"/>
      <c r="D14" s="1044"/>
      <c r="G14" t="s">
        <v>255</v>
      </c>
      <c r="N14" s="828"/>
      <c r="O14" s="831"/>
      <c r="P14" s="832"/>
      <c r="Q14" s="833"/>
      <c r="R14" s="834"/>
      <c r="S14" s="830"/>
    </row>
    <row r="15" spans="2:19">
      <c r="B15" s="302">
        <f>MATCH("GB+",Übungsübersicht!$J$8:$J$50,0)</f>
        <v>2</v>
      </c>
      <c r="C15" s="1217" t="str" cm="1">
        <f t="array" ref="C15">IF(ISNA(INDEX(Übungsübersicht!$E$8:$E$83,B15)),"",INDEX(Übungsübersicht!$E$8:$E$83,B15))</f>
        <v>Bein Presse</v>
      </c>
      <c r="D15" s="1217"/>
      <c r="E15" s="844">
        <f>IF(ISNA(MAX(VLOOKUP($C15,Zyklus!$A$14:$U$68,9,FALSE),VLOOKUP($C15,Zyklus!$A$14:$U$68,13,FALSE),VLOOKUP($C15,Zyklus!$A$14:$U$68,17,FALSE))),"",MAX(VLOOKUP($C15,Zyklus!$A$14:$U$68,9,FALSE),VLOOKUP($C15,Zyklus!$A$14:$U$68,13,FALSE),VLOOKUP($C15,Zyklus!$A$14:$U$68,17,FALSE)))</f>
        <v>240</v>
      </c>
      <c r="F15" s="844">
        <f>IF(ISNA(VLOOKUP($C15,Maximalkraftwerte!$D$9:$I$23,2,FALSE)),"",VLOOKUP($C15,Maximalkraftwerte!$D$9:$I$23,2,FALSE))</f>
        <v>336</v>
      </c>
      <c r="G15" s="845">
        <f>IF(ISERROR($E15/$F15),"",$E15/$F15)</f>
        <v>0.7142857142857143</v>
      </c>
      <c r="N15" s="828"/>
      <c r="O15" s="831"/>
      <c r="P15" s="832"/>
      <c r="Q15" s="833"/>
      <c r="R15" s="834"/>
      <c r="S15" s="830"/>
    </row>
    <row r="16" spans="2:19">
      <c r="B16" s="303">
        <f ca="1">MATCH("GB+",OFFSET(Übungsübersicht!$J$8:$J$50,B15,0),0)+B15</f>
        <v>8</v>
      </c>
      <c r="C16" s="1215" t="str" cm="1">
        <f t="array" aca="1" ref="C16" ca="1">IF(ISNA(INDEX(Übungsübersicht!$E$8:$E$83,B16)),"",INDEX(Übungsübersicht!$E$8:$E$83,B16))</f>
        <v>Brust Presse</v>
      </c>
      <c r="D16" s="1215"/>
      <c r="E16" s="844">
        <f ca="1">IF(ISNA(MAX(VLOOKUP($C16,Zyklus!$A$14:$U$68,9,FALSE),VLOOKUP($C16,Zyklus!$A$14:$U$68,13,FALSE),VLOOKUP($C16,Zyklus!$A$14:$U$68,17,FALSE))),"",MAX(VLOOKUP($C16,Zyklus!$A$14:$U$68,9,FALSE),VLOOKUP($C16,Zyklus!$A$14:$U$68,13,FALSE),VLOOKUP($C16,Zyklus!$A$14:$U$68,17,FALSE)))</f>
        <v>102.5</v>
      </c>
      <c r="F16" s="844">
        <f ca="1">IF(ISNA(VLOOKUP($C16,Maximalkraftwerte!$D$9:$I$23,2,FALSE)),"",VLOOKUP($C16,Maximalkraftwerte!$D$9:$I$23,2,FALSE))</f>
        <v>136.66666666666666</v>
      </c>
      <c r="G16" s="845">
        <f t="shared" ref="G16:G29" ca="1" si="0">IF(ISERROR($E16/$F16),"",$E16/$F16)</f>
        <v>0.75</v>
      </c>
      <c r="N16" s="828"/>
      <c r="O16" s="831"/>
      <c r="P16" s="832"/>
      <c r="Q16" s="833"/>
      <c r="R16" s="834"/>
      <c r="S16" s="830"/>
    </row>
    <row r="17" spans="2:19">
      <c r="B17" s="305">
        <f ca="1">MATCH("GB+",OFFSET(Übungsübersicht!$J$8:$J$50,B16,0),0)+B16</f>
        <v>17</v>
      </c>
      <c r="C17" s="1216" t="str" cm="1">
        <f t="array" aca="1" ref="C17" ca="1">IF(ISNA(INDEX(Übungsübersicht!$E$8:$E$83,B17)),"",INDEX(Übungsübersicht!$E$8:$E$83,B17))</f>
        <v>KH Bankdrücken</v>
      </c>
      <c r="D17" s="1216"/>
      <c r="E17" s="844">
        <f ca="1">IF(ISNA(MAX(VLOOKUP($C17,Zyklus!$A$14:$U$68,9,FALSE),VLOOKUP($C17,Zyklus!$A$14:$U$68,13,FALSE),VLOOKUP($C17,Zyklus!$A$14:$U$68,17,FALSE))),"",MAX(VLOOKUP($C17,Zyklus!$A$14:$U$68,9,FALSE),VLOOKUP($C17,Zyklus!$A$14:$U$68,13,FALSE),VLOOKUP($C17,Zyklus!$A$14:$U$68,17,FALSE)))</f>
        <v>44</v>
      </c>
      <c r="F17" s="844">
        <f ca="1">IF(ISNA(VLOOKUP($C17,Maximalkraftwerte!$D$9:$I$23,2,FALSE)),"",VLOOKUP($C17,Maximalkraftwerte!$D$9:$I$23,2,FALSE))</f>
        <v>54</v>
      </c>
      <c r="G17" s="845">
        <f t="shared" ca="1" si="0"/>
        <v>0.81481481481481477</v>
      </c>
      <c r="N17" s="828"/>
      <c r="O17" s="831"/>
      <c r="P17" s="832" t="s">
        <v>391</v>
      </c>
      <c r="Q17" s="833"/>
      <c r="R17" s="834"/>
      <c r="S17" s="830"/>
    </row>
    <row r="18" spans="2:19">
      <c r="B18" s="303">
        <f ca="1">MATCH("GB+",OFFSET(Übungsübersicht!$J$8:$J$50,B17,0),0)+B17</f>
        <v>19</v>
      </c>
      <c r="C18" s="1215" t="str" cm="1">
        <f t="array" aca="1" ref="C18" ca="1">IF(ISNA(INDEX(Übungsübersicht!$E$8:$E$83,B18)),"",INDEX(Übungsübersicht!$E$8:$E$83,B18))</f>
        <v>Kniebeuge UK1</v>
      </c>
      <c r="D18" s="1215"/>
      <c r="E18" s="844">
        <f ca="1">IF(ISNA(MAX(VLOOKUP($C18,Zyklus!$A$14:$U$68,9,FALSE),VLOOKUP($C18,Zyklus!$A$14:$U$68,13,FALSE),VLOOKUP($C18,Zyklus!$A$14:$U$68,17,FALSE))),"",MAX(VLOOKUP($C18,Zyklus!$A$14:$U$68,9,FALSE),VLOOKUP($C18,Zyklus!$A$14:$U$68,13,FALSE),VLOOKUP($C18,Zyklus!$A$14:$U$68,17,FALSE)))</f>
        <v>117.5</v>
      </c>
      <c r="F18" s="844">
        <f ca="1">IF(ISNA(VLOOKUP($C18,Maximalkraftwerte!$D$9:$I$23,2,FALSE)),"",VLOOKUP($C18,Maximalkraftwerte!$D$9:$I$23,2,FALSE))</f>
        <v>142.75862068965517</v>
      </c>
      <c r="G18" s="845">
        <f t="shared" ca="1" si="0"/>
        <v>0.82306763285024154</v>
      </c>
      <c r="N18" s="828"/>
      <c r="O18" s="831"/>
      <c r="P18" s="832"/>
      <c r="Q18" s="833"/>
      <c r="R18" s="834"/>
      <c r="S18" s="830"/>
    </row>
    <row r="19" spans="2:19">
      <c r="B19" s="305">
        <f ca="1">MATCH("GB+",OFFSET(Übungsübersicht!$J$8:$J$50,B18,0),0)+B18</f>
        <v>20</v>
      </c>
      <c r="C19" s="1216" t="str" cm="1">
        <f t="array" aca="1" ref="C19" ca="1">IF(ISNA(INDEX(Übungsübersicht!$E$8:$E$83,B19)),"",INDEX(Übungsübersicht!$E$8:$E$83,B19))</f>
        <v>Kniebeuge</v>
      </c>
      <c r="D19" s="1216"/>
      <c r="E19" s="844">
        <f ca="1">IF(ISNA(MAX(VLOOKUP($C19,Zyklus!$A$14:$U$68,9,FALSE),VLOOKUP($C19,Zyklus!$A$14:$U$68,13,FALSE),VLOOKUP($C19,Zyklus!$A$14:$U$68,17,FALSE))),"",MAX(VLOOKUP($C19,Zyklus!$A$14:$U$68,9,FALSE),VLOOKUP($C19,Zyklus!$A$14:$U$68,13,FALSE),VLOOKUP($C19,Zyklus!$A$14:$U$68,17,FALSE)))</f>
        <v>117.5</v>
      </c>
      <c r="F19" s="844">
        <f ca="1">IF(ISNA(VLOOKUP($C19,Maximalkraftwerte!$D$9:$I$23,2,FALSE)),"",VLOOKUP($C19,Maximalkraftwerte!$D$9:$I$23,2,FALSE))</f>
        <v>142.75862068965517</v>
      </c>
      <c r="G19" s="845">
        <f t="shared" ca="1" si="0"/>
        <v>0.82306763285024154</v>
      </c>
      <c r="N19" s="828"/>
      <c r="O19" s="831" t="s">
        <v>394</v>
      </c>
      <c r="P19" s="832"/>
      <c r="Q19" s="833"/>
      <c r="R19" s="834"/>
      <c r="S19" s="830"/>
    </row>
    <row r="20" spans="2:19">
      <c r="B20" s="303">
        <f ca="1">MATCH("GB+",OFFSET(Übungsübersicht!$J$8:$J$50,B19,0),0)+B19</f>
        <v>21</v>
      </c>
      <c r="C20" s="1215" t="str" cm="1">
        <f t="array" aca="1" ref="C20" ca="1">IF(ISNA(INDEX(Übungsübersicht!$E$8:$E$83,B20)),"",INDEX(Übungsübersicht!$E$8:$E$83,B20))</f>
        <v>Kreuzheben</v>
      </c>
      <c r="D20" s="1215"/>
      <c r="E20" s="844" t="str">
        <f ca="1">IF(ISNA(MAX(VLOOKUP($C20,Zyklus!$A$14:$U$68,9,FALSE),VLOOKUP($C20,Zyklus!$A$14:$U$68,13,FALSE),VLOOKUP($C20,Zyklus!$A$14:$U$68,17,FALSE))),"",MAX(VLOOKUP($C20,Zyklus!$A$14:$U$68,9,FALSE),VLOOKUP($C20,Zyklus!$A$14:$U$68,13,FALSE),VLOOKUP($C20,Zyklus!$A$14:$U$68,17,FALSE)))</f>
        <v/>
      </c>
      <c r="F20" s="844" t="str">
        <f ca="1">IF(ISNA(VLOOKUP($C20,Maximalkraftwerte!$D$9:$I$23,2,FALSE)),"",VLOOKUP($C20,Maximalkraftwerte!$D$9:$I$23,2,FALSE))</f>
        <v/>
      </c>
      <c r="G20" s="845" t="str">
        <f t="shared" ca="1" si="0"/>
        <v/>
      </c>
      <c r="N20" s="828"/>
      <c r="O20" s="831"/>
      <c r="P20" s="832"/>
      <c r="Q20" s="833"/>
      <c r="R20" s="834"/>
      <c r="S20" s="830"/>
    </row>
    <row r="21" spans="2:19">
      <c r="B21" s="305">
        <f ca="1">MATCH("GB+",OFFSET(Übungsübersicht!$J$8:$J$50,B20,0),0)+B20</f>
        <v>22</v>
      </c>
      <c r="C21" s="1216" t="str" cm="1">
        <f t="array" aca="1" ref="C21" ca="1">IF(ISNA(INDEX(Übungsübersicht!$E$8:$E$83,B21)),"",INDEX(Übungsübersicht!$E$8:$E$83,B21))</f>
        <v>Latzug</v>
      </c>
      <c r="D21" s="1216"/>
      <c r="E21" s="844">
        <f ca="1">IF(ISNA(MAX(VLOOKUP($C21,Zyklus!$A$14:$U$68,9,FALSE),VLOOKUP($C21,Zyklus!$A$14:$U$68,13,FALSE),VLOOKUP($C21,Zyklus!$A$14:$U$68,17,FALSE))),"",MAX(VLOOKUP($C21,Zyklus!$A$14:$U$68,9,FALSE),VLOOKUP($C21,Zyklus!$A$14:$U$68,13,FALSE),VLOOKUP($C21,Zyklus!$A$14:$U$68,17,FALSE)))</f>
        <v>87.5</v>
      </c>
      <c r="F21" s="844">
        <f ca="1">IF(ISNA(VLOOKUP($C21,Maximalkraftwerte!$D$9:$I$23,2,FALSE)),"",VLOOKUP($C21,Maximalkraftwerte!$D$9:$I$23,2,FALSE))</f>
        <v>109.28571428571429</v>
      </c>
      <c r="G21" s="845">
        <f t="shared" ca="1" si="0"/>
        <v>0.80065359477124176</v>
      </c>
      <c r="N21" s="828"/>
      <c r="O21" s="831"/>
      <c r="P21" s="832"/>
      <c r="Q21" s="833"/>
      <c r="R21" s="834"/>
      <c r="S21" s="830"/>
    </row>
    <row r="22" spans="2:19">
      <c r="B22" s="303">
        <f ca="1">MATCH("GB+",OFFSET(Übungsübersicht!$J$8:$J$50,B21,0),0)+B21</f>
        <v>24</v>
      </c>
      <c r="C22" s="1215" t="str" cm="1">
        <f t="array" aca="1" ref="C22" ca="1">IF(ISNA(INDEX(Übungsübersicht!$E$8:$E$83,B22)),"",INDEX(Übungsübersicht!$E$8:$E$83,B22))</f>
        <v>LH Bankdrücken</v>
      </c>
      <c r="D22" s="1215"/>
      <c r="E22" s="844">
        <f ca="1">IF(ISNA(MAX(VLOOKUP($C22,Zyklus!$A$14:$U$68,9,FALSE),VLOOKUP($C22,Zyklus!$A$14:$U$68,13,FALSE),VLOOKUP($C22,Zyklus!$A$14:$U$68,17,FALSE))),"",MAX(VLOOKUP($C22,Zyklus!$A$14:$U$68,9,FALSE),VLOOKUP($C22,Zyklus!$A$14:$U$68,13,FALSE),VLOOKUP($C22,Zyklus!$A$14:$U$68,17,FALSE)))</f>
        <v>100</v>
      </c>
      <c r="F22" s="844">
        <f ca="1">IF(ISNA(VLOOKUP($C22,Maximalkraftwerte!$D$9:$I$23,2,FALSE)),"",VLOOKUP($C22,Maximalkraftwerte!$D$9:$I$23,2,FALSE))</f>
        <v>116.12903225806451</v>
      </c>
      <c r="G22" s="845">
        <f t="shared" ca="1" si="0"/>
        <v>0.86111111111111116</v>
      </c>
      <c r="N22" s="828"/>
      <c r="O22" s="831"/>
      <c r="P22" s="832"/>
      <c r="Q22" s="833"/>
      <c r="R22" s="834"/>
      <c r="S22" s="830"/>
    </row>
    <row r="23" spans="2:19">
      <c r="B23" s="305">
        <f ca="1">MATCH("GB+",OFFSET(Übungsübersicht!$J$8:$J$50,B22,0),0)+B22</f>
        <v>25</v>
      </c>
      <c r="C23" s="1216" t="str" cm="1">
        <f t="array" aca="1" ref="C23" ca="1">IF(ISNA(INDEX(Übungsübersicht!$E$8:$E$83,B23)),"",INDEX(Übungsübersicht!$E$8:$E$83,B23))</f>
        <v>LH Rudern</v>
      </c>
      <c r="D23" s="1216"/>
      <c r="E23" s="844">
        <f ca="1">IF(ISNA(MAX(VLOOKUP($C23,Zyklus!$A$14:$U$68,9,FALSE),VLOOKUP($C23,Zyklus!$A$14:$U$68,13,FALSE),VLOOKUP($C23,Zyklus!$A$14:$U$68,17,FALSE))),"",MAX(VLOOKUP($C23,Zyklus!$A$14:$U$68,9,FALSE),VLOOKUP($C23,Zyklus!$A$14:$U$68,13,FALSE),VLOOKUP($C23,Zyklus!$A$14:$U$68,17,FALSE)))</f>
        <v>95</v>
      </c>
      <c r="F23" s="844">
        <f ca="1">IF(ISNA(VLOOKUP($C23,Maximalkraftwerte!$D$9:$I$23,2,FALSE)),"",VLOOKUP($C23,Maximalkraftwerte!$D$9:$I$23,2,FALSE))</f>
        <v>122.14285714285714</v>
      </c>
      <c r="G23" s="845">
        <f t="shared" ca="1" si="0"/>
        <v>0.77777777777777779</v>
      </c>
      <c r="N23" s="828"/>
      <c r="O23" s="842" t="s">
        <v>396</v>
      </c>
      <c r="P23" s="838" t="s">
        <v>397</v>
      </c>
      <c r="Q23" s="839" t="s">
        <v>398</v>
      </c>
      <c r="R23" s="840" t="s">
        <v>399</v>
      </c>
      <c r="S23" s="830"/>
    </row>
    <row r="24" spans="2:19">
      <c r="B24" s="303">
        <f ca="1">MATCH("GB+",OFFSET(Übungsübersicht!$J$8:$J$50,B23,0),0)+B23</f>
        <v>27</v>
      </c>
      <c r="C24" s="1215" t="str" cm="1">
        <f t="array" aca="1" ref="C24" ca="1">IF(ISNA(INDEX(Übungsübersicht!$E$8:$E$83,B24)),"",INDEX(Übungsübersicht!$E$8:$E$83,B24))</f>
        <v>LH Schulterdrücken</v>
      </c>
      <c r="D24" s="1215"/>
      <c r="E24" s="844">
        <f ca="1">IF(ISNA(MAX(VLOOKUP($C24,Zyklus!$A$14:$U$68,9,FALSE),VLOOKUP($C24,Zyklus!$A$14:$U$68,13,FALSE),VLOOKUP($C24,Zyklus!$A$14:$U$68,17,FALSE))),"",MAX(VLOOKUP($C24,Zyklus!$A$14:$U$68,9,FALSE),VLOOKUP($C24,Zyklus!$A$14:$U$68,13,FALSE),VLOOKUP($C24,Zyklus!$A$14:$U$68,17,FALSE)))</f>
        <v>75</v>
      </c>
      <c r="F24" s="844">
        <f ca="1">IF(ISNA(VLOOKUP($C24,Maximalkraftwerte!$D$9:$I$23,2,FALSE)),"",VLOOKUP($C24,Maximalkraftwerte!$D$9:$I$23,2,FALSE))</f>
        <v>93.103448275862064</v>
      </c>
      <c r="G24" s="845">
        <f t="shared" ca="1" si="0"/>
        <v>0.80555555555555558</v>
      </c>
      <c r="N24" s="828"/>
      <c r="O24" s="841" t="s">
        <v>395</v>
      </c>
      <c r="P24" s="838" t="s">
        <v>396</v>
      </c>
      <c r="Q24" s="839" t="s">
        <v>396</v>
      </c>
      <c r="R24" s="840" t="s">
        <v>400</v>
      </c>
      <c r="S24" s="830"/>
    </row>
    <row r="25" spans="2:19">
      <c r="B25" s="305">
        <f ca="1">MATCH("GB+",OFFSET(Übungsübersicht!$J$8:$J$50,B24,0),0)+B24</f>
        <v>29</v>
      </c>
      <c r="C25" s="1216" t="str" cm="1">
        <f t="array" aca="1" ref="C25" ca="1">IF(ISNA(INDEX(Übungsübersicht!$E$8:$E$83,B25)),"",INDEX(Übungsübersicht!$E$8:$E$83,B25))</f>
        <v>Rudern Kabelzug</v>
      </c>
      <c r="D25" s="1216"/>
      <c r="E25" s="844">
        <f ca="1">IF(ISNA(MAX(VLOOKUP($C25,Zyklus!$A$14:$U$68,9,FALSE),VLOOKUP($C25,Zyklus!$A$14:$U$68,13,FALSE),VLOOKUP($C25,Zyklus!$A$14:$U$68,17,FALSE))),"",MAX(VLOOKUP($C25,Zyklus!$A$14:$U$68,9,FALSE),VLOOKUP($C25,Zyklus!$A$14:$U$68,13,FALSE),VLOOKUP($C25,Zyklus!$A$14:$U$68,17,FALSE)))</f>
        <v>70</v>
      </c>
      <c r="F25" s="844">
        <f ca="1">IF(ISNA(VLOOKUP($C25,Maximalkraftwerte!$D$9:$I$23,2,FALSE)),"",VLOOKUP($C25,Maximalkraftwerte!$D$9:$I$23,2,FALSE))</f>
        <v>83.571428571428569</v>
      </c>
      <c r="G25" s="845">
        <f t="shared" ca="1" si="0"/>
        <v>0.83760683760683763</v>
      </c>
      <c r="N25" s="828"/>
      <c r="O25" s="831"/>
      <c r="P25" s="832"/>
      <c r="Q25" s="833"/>
      <c r="R25" s="840" t="s">
        <v>401</v>
      </c>
      <c r="S25" s="830"/>
    </row>
    <row r="26" spans="2:19">
      <c r="B26" s="303">
        <f ca="1">MATCH("GB+",OFFSET(Übungsübersicht!$J$8:$J$50,B25,0),0)+B25</f>
        <v>31</v>
      </c>
      <c r="C26" s="1215" t="str" cm="1">
        <f t="array" aca="1" ref="C26" ca="1">IF(ISNA(INDEX(Übungsübersicht!$E$8:$E$83,B26)),"",INDEX(Übungsübersicht!$E$8:$E$83,B26))</f>
        <v>Rumänisches Kreuzheben</v>
      </c>
      <c r="D26" s="1215"/>
      <c r="E26" s="844">
        <f ca="1">IF(ISNA(MAX(VLOOKUP($C26,Zyklus!$A$14:$U$68,9,FALSE),VLOOKUP($C26,Zyklus!$A$14:$U$68,13,FALSE),VLOOKUP($C26,Zyklus!$A$14:$U$68,17,FALSE))),"",MAX(VLOOKUP($C26,Zyklus!$A$14:$U$68,9,FALSE),VLOOKUP($C26,Zyklus!$A$14:$U$68,13,FALSE),VLOOKUP($C26,Zyklus!$A$14:$U$68,17,FALSE)))</f>
        <v>110</v>
      </c>
      <c r="F26" s="844">
        <f ca="1">IF(ISNA(VLOOKUP($C26,Maximalkraftwerte!$D$9:$I$23,2,FALSE)),"",VLOOKUP($C26,Maximalkraftwerte!$D$9:$I$23,2,FALSE))</f>
        <v>160</v>
      </c>
      <c r="G26" s="845">
        <f t="shared" ca="1" si="0"/>
        <v>0.6875</v>
      </c>
      <c r="N26" s="828"/>
      <c r="O26" s="831"/>
      <c r="P26" s="832"/>
      <c r="Q26" s="833"/>
      <c r="R26" s="840" t="s">
        <v>396</v>
      </c>
      <c r="S26" s="830"/>
    </row>
    <row r="27" spans="2:19">
      <c r="B27" s="305" t="e">
        <f ca="1">MATCH("GB+",OFFSET(Übungsübersicht!$J$8:$J$50,B26,0),0)+B26</f>
        <v>#N/A</v>
      </c>
      <c r="C27" s="1216" t="str" cm="1">
        <f t="array" aca="1" ref="C27" ca="1">IF(ISNA(INDEX(Übungsübersicht!$E$8:$E$83,B27)),"",INDEX(Übungsübersicht!$E$8:$E$83,B27))</f>
        <v/>
      </c>
      <c r="D27" s="1216"/>
      <c r="E27" s="844">
        <f ca="1">IF(ISNA(MAX(VLOOKUP($C27,Zyklus!$A$14:$U$68,9,FALSE),VLOOKUP($C27,Zyklus!$A$14:$U$68,13,FALSE),VLOOKUP($C27,Zyklus!$A$14:$U$68,17,FALSE))),"",MAX(VLOOKUP($C27,Zyklus!$A$14:$U$68,9,FALSE),VLOOKUP($C27,Zyklus!$A$14:$U$68,13,FALSE),VLOOKUP($C27,Zyklus!$A$14:$U$68,17,FALSE)))</f>
        <v>0</v>
      </c>
      <c r="F27" s="844" t="str">
        <f ca="1">IF(ISNA(VLOOKUP($C27,Maximalkraftwerte!$D$9:$I$23,2,FALSE)),"",VLOOKUP($C27,Maximalkraftwerte!$D$9:$I$23,2,FALSE))</f>
        <v/>
      </c>
      <c r="G27" s="845" t="str">
        <f t="shared" ca="1" si="0"/>
        <v/>
      </c>
      <c r="N27" s="828"/>
      <c r="O27" s="829"/>
      <c r="P27" s="829"/>
      <c r="Q27" s="829"/>
      <c r="R27" s="829"/>
      <c r="S27" s="830"/>
    </row>
    <row r="28" spans="2:19">
      <c r="B28" s="303" t="e">
        <f ca="1">MATCH("GB+",OFFSET(Übungsübersicht!$J$8:$J$50,B27,0),0)+B27</f>
        <v>#N/A</v>
      </c>
      <c r="C28" s="1215" t="str" cm="1">
        <f t="array" aca="1" ref="C28" ca="1">IF(ISNA(INDEX(Übungsübersicht!$E$8:$E$83,B28)),"",INDEX(Übungsübersicht!$E$8:$E$83,B28))</f>
        <v/>
      </c>
      <c r="D28" s="1215"/>
      <c r="E28" s="844">
        <f ca="1">IF(ISNA(MAX(VLOOKUP($C28,Zyklus!$A$14:$U$68,9,FALSE),VLOOKUP($C28,Zyklus!$A$14:$U$68,13,FALSE),VLOOKUP($C28,Zyklus!$A$14:$U$68,17,FALSE))),"",MAX(VLOOKUP($C28,Zyklus!$A$14:$U$68,9,FALSE),VLOOKUP($C28,Zyklus!$A$14:$U$68,13,FALSE),VLOOKUP($C28,Zyklus!$A$14:$U$68,17,FALSE)))</f>
        <v>0</v>
      </c>
      <c r="F28" s="844" t="str">
        <f ca="1">IF(ISNA(VLOOKUP($C28,Maximalkraftwerte!$D$9:$I$23,2,FALSE)),"",VLOOKUP($C28,Maximalkraftwerte!$D$9:$I$23,2,FALSE))</f>
        <v/>
      </c>
      <c r="G28" s="845" t="str">
        <f t="shared" ca="1" si="0"/>
        <v/>
      </c>
      <c r="N28" s="828"/>
      <c r="O28" s="829"/>
      <c r="P28" s="829"/>
      <c r="Q28" s="829"/>
      <c r="R28" s="829"/>
      <c r="S28" s="830"/>
    </row>
    <row r="29" spans="2:19">
      <c r="B29" s="305" t="e">
        <f ca="1">MATCH("GB+",OFFSET(Übungsübersicht!$J$8:$J$50,B28,0),0)+B28</f>
        <v>#N/A</v>
      </c>
      <c r="C29" s="1216" t="str" cm="1">
        <f t="array" aca="1" ref="C29" ca="1">IF(ISNA(INDEX(Übungsübersicht!$E$8:$E$83,B29)),"",INDEX(Übungsübersicht!$E$8:$E$83,B29))</f>
        <v/>
      </c>
      <c r="D29" s="1216"/>
      <c r="E29" s="844">
        <f ca="1">IF(ISNA(MAX(VLOOKUP($C29,Zyklus!$A$14:$U$68,9,FALSE),VLOOKUP($C29,Zyklus!$A$14:$U$68,13,FALSE),VLOOKUP($C29,Zyklus!$A$14:$U$68,17,FALSE))),"",MAX(VLOOKUP($C29,Zyklus!$A$14:$U$68,9,FALSE),VLOOKUP($C29,Zyklus!$A$14:$U$68,13,FALSE),VLOOKUP($C29,Zyklus!$A$14:$U$68,17,FALSE)))</f>
        <v>0</v>
      </c>
      <c r="F29" s="844" t="str">
        <f ca="1">IF(ISNA(VLOOKUP($C29,Maximalkraftwerte!$D$9:$I$23,2,FALSE)),"",VLOOKUP($C29,Maximalkraftwerte!$D$9:$I$23,2,FALSE))</f>
        <v/>
      </c>
      <c r="G29" s="845" t="str">
        <f t="shared" ca="1" si="0"/>
        <v/>
      </c>
      <c r="N29" s="835"/>
      <c r="O29" s="836"/>
      <c r="P29" s="836"/>
      <c r="Q29" s="836"/>
      <c r="R29" s="836"/>
      <c r="S29" s="837"/>
    </row>
  </sheetData>
  <mergeCells count="16">
    <mergeCell ref="C26:D26"/>
    <mergeCell ref="C27:D27"/>
    <mergeCell ref="C28:D28"/>
    <mergeCell ref="C29:D29"/>
    <mergeCell ref="B14:D14"/>
    <mergeCell ref="C20:D20"/>
    <mergeCell ref="C21:D21"/>
    <mergeCell ref="C22:D22"/>
    <mergeCell ref="C23:D23"/>
    <mergeCell ref="C24:D24"/>
    <mergeCell ref="C25:D25"/>
    <mergeCell ref="C15:D15"/>
    <mergeCell ref="C16:D16"/>
    <mergeCell ref="C17:D17"/>
    <mergeCell ref="C18:D18"/>
    <mergeCell ref="C19:D19"/>
  </mergeCells>
  <pageMargins left="0.7" right="0.7" top="0.78740157499999996" bottom="0.78740157499999996" header="0.3" footer="0.3"/>
  <pageSetup paperSize="9" orientation="portrait" horizontalDpi="300" verticalDpi="300" r:id="rId1"/>
  <ignoredErrors>
    <ignoredError sqref="C7 G7 I7:J7 K7:L7" twoDigitTextYear="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7"/>
  <sheetViews>
    <sheetView workbookViewId="0"/>
  </sheetViews>
  <sheetFormatPr baseColWidth="10" defaultColWidth="9" defaultRowHeight="15" customHeight="1"/>
  <cols>
    <col min="1" max="1" width="23.7109375" customWidth="1"/>
    <col min="2" max="2" width="19.140625" customWidth="1"/>
    <col min="3" max="256" width="14" customWidth="1"/>
  </cols>
  <sheetData>
    <row r="1" spans="1:2" ht="12.75">
      <c r="A1" s="220" t="s">
        <v>0</v>
      </c>
      <c r="B1" s="221" t="s">
        <v>1</v>
      </c>
    </row>
    <row r="2" spans="1:2" ht="12.75">
      <c r="A2" s="222" t="s">
        <v>2</v>
      </c>
      <c r="B2" s="221" t="s">
        <v>3</v>
      </c>
    </row>
    <row r="3" spans="1:2" ht="12.75">
      <c r="A3" s="222" t="s">
        <v>4</v>
      </c>
      <c r="B3" s="221" t="s">
        <v>3</v>
      </c>
    </row>
    <row r="4" spans="1:2" ht="12.75">
      <c r="A4" s="222" t="s">
        <v>5</v>
      </c>
      <c r="B4" s="221" t="s">
        <v>3</v>
      </c>
    </row>
    <row r="5" spans="1:2" ht="12.75">
      <c r="A5" s="222" t="s">
        <v>6</v>
      </c>
      <c r="B5" s="221" t="s">
        <v>3</v>
      </c>
    </row>
    <row r="6" spans="1:2" ht="12.75">
      <c r="A6" s="222" t="s">
        <v>7</v>
      </c>
      <c r="B6" s="221" t="s">
        <v>3</v>
      </c>
    </row>
    <row r="7" spans="1:2" ht="12.75">
      <c r="A7" s="222" t="s">
        <v>8</v>
      </c>
      <c r="B7" s="221" t="s">
        <v>3</v>
      </c>
    </row>
    <row r="8" spans="1:2" ht="12.75">
      <c r="A8" s="223" t="s">
        <v>9</v>
      </c>
      <c r="B8" s="221" t="s">
        <v>3</v>
      </c>
    </row>
    <row r="9" spans="1:2" ht="12.75">
      <c r="A9" s="223" t="s">
        <v>10</v>
      </c>
      <c r="B9" s="221" t="s">
        <v>3</v>
      </c>
    </row>
    <row r="10" spans="1:2" ht="12.75">
      <c r="A10" s="220" t="s">
        <v>11</v>
      </c>
      <c r="B10" s="221" t="s">
        <v>12</v>
      </c>
    </row>
    <row r="11" spans="1:2" ht="12.75">
      <c r="A11" s="220" t="s">
        <v>13</v>
      </c>
      <c r="B11" s="221" t="s">
        <v>12</v>
      </c>
    </row>
    <row r="12" spans="1:2" ht="12.75">
      <c r="A12" s="220" t="s">
        <v>14</v>
      </c>
      <c r="B12" s="221" t="s">
        <v>12</v>
      </c>
    </row>
    <row r="13" spans="1:2" ht="12.75">
      <c r="A13" s="222" t="s">
        <v>15</v>
      </c>
      <c r="B13" s="221" t="s">
        <v>12</v>
      </c>
    </row>
    <row r="14" spans="1:2" ht="12.75">
      <c r="A14" s="222" t="s">
        <v>16</v>
      </c>
      <c r="B14" s="221" t="s">
        <v>12</v>
      </c>
    </row>
    <row r="15" spans="1:2" ht="12.75">
      <c r="A15" s="224" t="s">
        <v>17</v>
      </c>
      <c r="B15" s="221" t="s">
        <v>18</v>
      </c>
    </row>
    <row r="16" spans="1:2" ht="12.75">
      <c r="A16" s="220" t="s">
        <v>19</v>
      </c>
      <c r="B16" s="221" t="s">
        <v>20</v>
      </c>
    </row>
    <row r="17" spans="1:2" ht="12.75">
      <c r="A17" s="222" t="s">
        <v>21</v>
      </c>
      <c r="B17" s="221" t="s">
        <v>20</v>
      </c>
    </row>
    <row r="18" spans="1:2" ht="12.75">
      <c r="A18" s="222" t="s">
        <v>22</v>
      </c>
      <c r="B18" s="221" t="s">
        <v>20</v>
      </c>
    </row>
    <row r="19" spans="1:2" ht="15" customHeight="1">
      <c r="A19" s="222" t="s">
        <v>23</v>
      </c>
      <c r="B19" s="221" t="s">
        <v>20</v>
      </c>
    </row>
    <row r="20" spans="1:2" ht="12.75">
      <c r="A20" s="220" t="s">
        <v>24</v>
      </c>
      <c r="B20" s="221" t="s">
        <v>20</v>
      </c>
    </row>
    <row r="21" spans="1:2" ht="12.75">
      <c r="A21" s="222" t="s">
        <v>25</v>
      </c>
      <c r="B21" s="221" t="s">
        <v>20</v>
      </c>
    </row>
    <row r="22" spans="1:2" ht="12.75">
      <c r="A22" s="222" t="s">
        <v>26</v>
      </c>
      <c r="B22" s="221" t="s">
        <v>20</v>
      </c>
    </row>
    <row r="23" spans="1:2" ht="12.75">
      <c r="A23" s="220" t="s">
        <v>27</v>
      </c>
      <c r="B23" s="221" t="s">
        <v>28</v>
      </c>
    </row>
    <row r="24" spans="1:2" ht="12.75">
      <c r="A24" s="224" t="s">
        <v>29</v>
      </c>
      <c r="B24" s="221" t="s">
        <v>28</v>
      </c>
    </row>
    <row r="25" spans="1:2" ht="12.75">
      <c r="A25" s="224" t="s">
        <v>30</v>
      </c>
      <c r="B25" s="221" t="s">
        <v>31</v>
      </c>
    </row>
    <row r="26" spans="1:2" ht="12.75">
      <c r="A26" s="224" t="s">
        <v>32</v>
      </c>
      <c r="B26" s="221" t="s">
        <v>33</v>
      </c>
    </row>
    <row r="27" spans="1:2" ht="12.75">
      <c r="A27" s="224" t="s">
        <v>34</v>
      </c>
      <c r="B27" s="221" t="s">
        <v>33</v>
      </c>
    </row>
    <row r="28" spans="1:2" ht="12.75">
      <c r="A28" s="222" t="s">
        <v>35</v>
      </c>
      <c r="B28" s="221" t="s">
        <v>31</v>
      </c>
    </row>
    <row r="29" spans="1:2" ht="12.75">
      <c r="A29" s="222" t="s">
        <v>36</v>
      </c>
      <c r="B29" s="221" t="s">
        <v>31</v>
      </c>
    </row>
    <row r="30" spans="1:2" ht="12.75">
      <c r="A30" s="222" t="s">
        <v>37</v>
      </c>
      <c r="B30" s="221" t="s">
        <v>31</v>
      </c>
    </row>
    <row r="31" spans="1:2" ht="12.75">
      <c r="A31" s="224" t="s">
        <v>30</v>
      </c>
      <c r="B31" s="221" t="s">
        <v>31</v>
      </c>
    </row>
    <row r="32" spans="1:2" ht="12.75">
      <c r="A32" s="224" t="s">
        <v>38</v>
      </c>
      <c r="B32" s="221" t="s">
        <v>39</v>
      </c>
    </row>
    <row r="33" spans="1:2" ht="12.75">
      <c r="A33" s="224" t="s">
        <v>40</v>
      </c>
      <c r="B33" s="221" t="s">
        <v>39</v>
      </c>
    </row>
    <row r="34" spans="1:2" ht="12.75">
      <c r="A34" s="224" t="s">
        <v>41</v>
      </c>
      <c r="B34" s="221" t="s">
        <v>42</v>
      </c>
    </row>
    <row r="35" spans="1:2" ht="12.75">
      <c r="A35" s="224" t="s">
        <v>41</v>
      </c>
      <c r="B35" s="221" t="s">
        <v>42</v>
      </c>
    </row>
    <row r="36" spans="1:2" ht="12.75">
      <c r="A36" s="224" t="s">
        <v>43</v>
      </c>
      <c r="B36" s="221" t="s">
        <v>44</v>
      </c>
    </row>
    <row r="37" spans="1:2" ht="12.75">
      <c r="A37" s="224" t="s">
        <v>45</v>
      </c>
      <c r="B37" s="221" t="s">
        <v>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baseColWidth="10" defaultColWidth="9"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Arbeitsblätter</vt:lpstr>
      </vt:variant>
      <vt:variant>
        <vt:i4>15</vt:i4>
      </vt:variant>
      <vt:variant>
        <vt:lpstr>Benannte Bereiche</vt:lpstr>
      </vt:variant>
      <vt:variant>
        <vt:i4>6</vt:i4>
      </vt:variant>
    </vt:vector>
  </HeadingPairs>
  <TitlesOfParts>
    <vt:vector size="21" baseType="lpstr">
      <vt:lpstr>Dashboard</vt:lpstr>
      <vt:lpstr>Übungsübersicht</vt:lpstr>
      <vt:lpstr>Maximalkraftwerte</vt:lpstr>
      <vt:lpstr>Zyklus</vt:lpstr>
      <vt:lpstr>Kalender</vt:lpstr>
      <vt:lpstr>WarmUps</vt:lpstr>
      <vt:lpstr>Gewichts- Calculator</vt:lpstr>
      <vt:lpstr>Strength Calculator</vt:lpstr>
      <vt:lpstr>Ziele Mesozyklus</vt:lpstr>
      <vt:lpstr>Funktions-Tabelle</vt:lpstr>
      <vt:lpstr>Rechner</vt:lpstr>
      <vt:lpstr>TopSets</vt:lpstr>
      <vt:lpstr>Dashboard Daten</vt:lpstr>
      <vt:lpstr>Übungsauswahl</vt:lpstr>
      <vt:lpstr>Tabelle1</vt:lpstr>
      <vt:lpstr>a</vt:lpstr>
      <vt:lpstr>Daten</vt:lpstr>
      <vt:lpstr>Volumen</vt:lpstr>
      <vt:lpstr>w</vt:lpstr>
      <vt:lpstr>x</vt:lpstr>
      <vt:lps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Weber</dc:creator>
  <cp:lastModifiedBy>Thomas</cp:lastModifiedBy>
  <dcterms:created xsi:type="dcterms:W3CDTF">2019-05-08T03:30:24Z</dcterms:created>
  <dcterms:modified xsi:type="dcterms:W3CDTF">2020-04-30T13:56:26Z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ies>
</file>