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bweg\Dropbox\UMCG\PKU\manuscript\"/>
    </mc:Choice>
  </mc:AlternateContent>
  <xr:revisionPtr revIDLastSave="0" documentId="13_ncr:1_{3E00FB1E-B16F-480F-8B35-939BA10E868C}" xr6:coauthVersionLast="47" xr6:coauthVersionMax="47" xr10:uidLastSave="{00000000-0000-0000-0000-000000000000}"/>
  <bookViews>
    <workbookView xWindow="510" yWindow="525" windowWidth="28290" windowHeight="15075" xr2:uid="{79C0B623-7BAA-491E-AB07-BFE468B2E6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1" l="1"/>
  <c r="E24" i="1"/>
  <c r="E25" i="1"/>
  <c r="E26" i="1"/>
  <c r="E27" i="1"/>
  <c r="E28" i="1"/>
  <c r="E22" i="1"/>
  <c r="I3" i="1" l="1"/>
  <c r="P25" i="1"/>
  <c r="Q27" i="1" s="1"/>
  <c r="P24" i="1"/>
  <c r="R28" i="1" l="1"/>
  <c r="R27" i="1"/>
  <c r="S27" i="1" s="1"/>
  <c r="Q28" i="1"/>
  <c r="S28" i="1" l="1"/>
  <c r="S21" i="1"/>
  <c r="Q22" i="1"/>
  <c r="S22" i="1" s="1"/>
  <c r="Q21" i="1"/>
  <c r="K28" i="1"/>
  <c r="J28" i="1"/>
  <c r="K27" i="1"/>
  <c r="J27" i="1"/>
  <c r="K25" i="1"/>
  <c r="J25" i="1"/>
  <c r="K24" i="1"/>
  <c r="J24" i="1"/>
  <c r="K23" i="1"/>
  <c r="J23" i="1"/>
  <c r="K22" i="1"/>
  <c r="J22" i="1"/>
  <c r="G23" i="1"/>
  <c r="G22" i="1"/>
  <c r="I28" i="1"/>
  <c r="I27" i="1"/>
  <c r="I26" i="1"/>
  <c r="I25" i="1"/>
  <c r="I24" i="1"/>
  <c r="I23" i="1"/>
  <c r="I22" i="1"/>
  <c r="H22" i="1"/>
  <c r="L4" i="1"/>
  <c r="L3" i="1"/>
  <c r="F3" i="1"/>
  <c r="R6" i="1"/>
  <c r="Q6" i="1"/>
  <c r="R9" i="1"/>
  <c r="R8" i="1"/>
  <c r="Q9" i="1"/>
  <c r="Q8" i="1"/>
  <c r="R5" i="1"/>
  <c r="Q5" i="1"/>
  <c r="R3" i="1"/>
  <c r="Q3" i="1"/>
  <c r="R4" i="1"/>
  <c r="Q4" i="1"/>
  <c r="I9" i="1"/>
  <c r="I8" i="1"/>
  <c r="I7" i="1"/>
  <c r="I6" i="1"/>
  <c r="I5" i="1"/>
  <c r="I4" i="1"/>
  <c r="R24" i="1" l="1"/>
  <c r="S24" i="1" s="1"/>
</calcChain>
</file>

<file path=xl/sharedStrings.xml><?xml version="1.0" encoding="utf-8"?>
<sst xmlns="http://schemas.openxmlformats.org/spreadsheetml/2006/main" count="124" uniqueCount="93">
  <si>
    <t>model</t>
  </si>
  <si>
    <t>van Vliet</t>
  </si>
  <si>
    <t>Phenylalanine</t>
  </si>
  <si>
    <t>Tyrosine</t>
  </si>
  <si>
    <t>Tryptophan</t>
  </si>
  <si>
    <t>Dopamine</t>
  </si>
  <si>
    <t>108.8 ± 6.7 μM</t>
  </si>
  <si>
    <t>743.7 ± 37.4 μM</t>
  </si>
  <si>
    <t>99.0 ± 2.6 μM</t>
  </si>
  <si>
    <r>
      <t>While plasma Tyr remained low in all </t>
    </r>
    <r>
      <rPr>
        <i/>
        <sz val="11"/>
        <color rgb="FF2E2E2E"/>
        <rFont val="Calibri"/>
        <family val="2"/>
        <scheme val="minor"/>
      </rPr>
      <t>Pahenu2</t>
    </r>
    <r>
      <rPr>
        <sz val="11"/>
        <color rgb="FF2E2E2E"/>
        <rFont val="Calibri"/>
        <family val="2"/>
        <scheme val="minor"/>
      </rPr>
      <t> groups relative to </t>
    </r>
    <r>
      <rPr>
        <i/>
        <sz val="11"/>
        <color rgb="FF2E2E2E"/>
        <rFont val="Calibri"/>
        <family val="2"/>
        <scheme val="minor"/>
      </rPr>
      <t>Pahwt</t>
    </r>
    <r>
      <rPr>
        <sz val="11"/>
        <color rgb="FF2E2E2E"/>
        <rFont val="Calibri"/>
        <family val="2"/>
        <scheme val="minor"/>
      </rPr>
      <t> (</t>
    </r>
    <r>
      <rPr>
        <sz val="11"/>
        <color rgb="FF0C7DBB"/>
        <rFont val="Calibri"/>
        <family val="2"/>
        <scheme val="minor"/>
      </rPr>
      <t>Fig. 2</t>
    </r>
    <r>
      <rPr>
        <sz val="11"/>
        <color rgb="FF2E2E2E"/>
        <rFont val="Calibri"/>
        <family val="2"/>
        <scheme val="minor"/>
      </rPr>
      <t>D), brain Tyr in pegvaliase treated </t>
    </r>
    <r>
      <rPr>
        <i/>
        <sz val="11"/>
        <color rgb="FF2E2E2E"/>
        <rFont val="Calibri"/>
        <family val="2"/>
        <scheme val="minor"/>
      </rPr>
      <t>Pahenu2</t>
    </r>
    <r>
      <rPr>
        <sz val="11"/>
        <color rgb="FF2E2E2E"/>
        <rFont val="Calibri"/>
        <family val="2"/>
        <scheme val="minor"/>
      </rPr>
      <t> mice increased from 68.8 ± 2.9 to 85.1 ± 6.1 μM (</t>
    </r>
    <r>
      <rPr>
        <i/>
        <sz val="11"/>
        <color rgb="FF2E2E2E"/>
        <rFont val="Calibri"/>
        <family val="2"/>
        <scheme val="minor"/>
      </rPr>
      <t>Pahwt</t>
    </r>
    <r>
      <rPr>
        <sz val="11"/>
        <color rgb="FF2E2E2E"/>
        <rFont val="Calibri"/>
        <family val="2"/>
        <scheme val="minor"/>
      </rPr>
      <t> = 99.0 ± 2.6 μM) (</t>
    </r>
    <r>
      <rPr>
        <sz val="11"/>
        <color rgb="FF0C7DBB"/>
        <rFont val="Calibri"/>
        <family val="2"/>
        <scheme val="minor"/>
      </rPr>
      <t>Fig. 2</t>
    </r>
    <r>
      <rPr>
        <sz val="11"/>
        <color rgb="FF2E2E2E"/>
        <rFont val="Calibri"/>
        <family val="2"/>
        <scheme val="minor"/>
      </rPr>
      <t>E). Brain Tyr correlated with a reduction in brain Phe below 400 μM (</t>
    </r>
    <r>
      <rPr>
        <sz val="11"/>
        <color rgb="FF0C7DBB"/>
        <rFont val="Calibri"/>
        <family val="2"/>
        <scheme val="minor"/>
      </rPr>
      <t>Fig. 2</t>
    </r>
    <r>
      <rPr>
        <sz val="11"/>
        <color rgb="FF2E2E2E"/>
        <rFont val="Calibri"/>
        <family val="2"/>
        <scheme val="minor"/>
      </rPr>
      <t>F).</t>
    </r>
  </si>
  <si>
    <r>
      <t>Plasma Trp levels remained normal in all treatment groups (</t>
    </r>
    <r>
      <rPr>
        <sz val="11"/>
        <color rgb="FF0C7DBB"/>
        <rFont val="Calibri"/>
        <family val="2"/>
        <scheme val="minor"/>
      </rPr>
      <t>Fig. 2</t>
    </r>
    <r>
      <rPr>
        <sz val="11"/>
        <color rgb="FF2E2E2E"/>
        <rFont val="Calibri"/>
        <family val="2"/>
        <scheme val="minor"/>
      </rPr>
      <t>G). Interestingly, brain Trp in </t>
    </r>
    <r>
      <rPr>
        <i/>
        <sz val="11"/>
        <color rgb="FF2E2E2E"/>
        <rFont val="Calibri"/>
        <family val="2"/>
        <scheme val="minor"/>
      </rPr>
      <t>Pahenu2</t>
    </r>
    <r>
      <rPr>
        <sz val="11"/>
        <color rgb="FF2E2E2E"/>
        <rFont val="Calibri"/>
        <family val="2"/>
        <scheme val="minor"/>
      </rPr>
      <t> mice treated with pegvaliase normalized relative to </t>
    </r>
    <r>
      <rPr>
        <i/>
        <sz val="11"/>
        <color rgb="FF2E2E2E"/>
        <rFont val="Calibri"/>
        <family val="2"/>
        <scheme val="minor"/>
      </rPr>
      <t>Pahwt</t>
    </r>
    <r>
      <rPr>
        <sz val="11"/>
        <color rgb="FF2E2E2E"/>
        <rFont val="Calibri"/>
        <family val="2"/>
        <scheme val="minor"/>
      </rPr>
      <t>, and increased from 20.4 ± 1.1 μM to 30.5 ± 0.8 μM (</t>
    </r>
    <r>
      <rPr>
        <i/>
        <sz val="11"/>
        <color rgb="FF2E2E2E"/>
        <rFont val="Calibri"/>
        <family val="2"/>
        <scheme val="minor"/>
      </rPr>
      <t>Pahwt</t>
    </r>
    <r>
      <rPr>
        <sz val="11"/>
        <color rgb="FF2E2E2E"/>
        <rFont val="Calibri"/>
        <family val="2"/>
        <scheme val="minor"/>
      </rPr>
      <t> = 29.2 ± 0.7 μM) (</t>
    </r>
    <r>
      <rPr>
        <sz val="11"/>
        <color rgb="FF0C7DBB"/>
        <rFont val="Calibri"/>
        <family val="2"/>
        <scheme val="minor"/>
      </rPr>
      <t>Fig. 2</t>
    </r>
    <r>
      <rPr>
        <sz val="11"/>
        <color rgb="FF2E2E2E"/>
        <rFont val="Calibri"/>
        <family val="2"/>
        <scheme val="minor"/>
      </rPr>
      <t>H). Brain Trp levels were normalized when brain Phe dropped below 400 μM (</t>
    </r>
    <r>
      <rPr>
        <sz val="11"/>
        <color rgb="FF0C7DBB"/>
        <rFont val="Calibri"/>
        <family val="2"/>
        <scheme val="minor"/>
      </rPr>
      <t>Fig. 2</t>
    </r>
    <r>
      <rPr>
        <sz val="11"/>
        <color rgb="FF2E2E2E"/>
        <rFont val="Calibri"/>
        <family val="2"/>
        <scheme val="minor"/>
      </rPr>
      <t>I).</t>
    </r>
  </si>
  <si>
    <t>68.8 ± 2.9 μM</t>
  </si>
  <si>
    <t>20.4 ± 1.1 μM</t>
  </si>
  <si>
    <t>29.2 ± 0.7 μM</t>
  </si>
  <si>
    <t>1492 ± 138.4 nM</t>
  </si>
  <si>
    <t>Norepinephrine</t>
  </si>
  <si>
    <t>2247 ± 54.9 nM</t>
  </si>
  <si>
    <t>502 ± 47.6 nM</t>
  </si>
  <si>
    <t>1115 ± 78.6 nM</t>
  </si>
  <si>
    <t>1335 ± 54.0 nM</t>
  </si>
  <si>
    <t>166 ± 12.5 nM</t>
  </si>
  <si>
    <t>Brain dopamine, norepinephrine, and serotonin correlated inversely with brain Phe</t>
  </si>
  <si>
    <t>280.2 ± 20.2</t>
  </si>
  <si>
    <t>5-HIAA</t>
  </si>
  <si>
    <t>~2500 nM</t>
  </si>
  <si>
    <t>79 ± 18 nmol/gm</t>
  </si>
  <si>
    <t>91 ± 13 nmol/gm</t>
  </si>
  <si>
    <t>101 ± 22 nmol/gm</t>
  </si>
  <si>
    <t>88 ± 11 nmol/gm</t>
  </si>
  <si>
    <t>Pah/WT male</t>
  </si>
  <si>
    <t>Pah/WT female</t>
  </si>
  <si>
    <t>85 ± 15 nmol/gm</t>
  </si>
  <si>
    <t>110 ± 28 nmol/gm</t>
  </si>
  <si>
    <t>713 ± 18 nmol/gm</t>
  </si>
  <si>
    <t>811 ± 17 nmol/gm</t>
  </si>
  <si>
    <t>Extra notes:</t>
  </si>
  <si>
    <t>Berguig 2019</t>
  </si>
  <si>
    <t>Winn 2018</t>
  </si>
  <si>
    <t>(...) these data suggest that Phe-mediated competitive inhibition of TH activity rather than substrate availability is likely responsible for the minimal deficiency in brain dopamine content and turnover measured in hyperphenylalaninemic (and particularly in female) Pah-/- mice</t>
  </si>
  <si>
    <t>The severe deficiency of the brain serotonin pathway in Pah-/- mice is associated with extreme HPA and elevated brain Phe content but normal brain Trp content. Our interpretation of these data, similar to our conclusions from the dopamine pathway data, is that Phe-mediated competitive inhibition of brain TPH2 activity rather than deficiency of the substrate L-tryptophan is primarily responsible for serotonin deficiency in murine PKU.</t>
  </si>
  <si>
    <t>20 ± 4 nmol/gm</t>
  </si>
  <si>
    <t>19 ± 2 nmol/gm</t>
  </si>
  <si>
    <t>14 ± 2 nmol/gm</t>
  </si>
  <si>
    <t>17 ± 2 nmol/gm</t>
  </si>
  <si>
    <t>80 ± 2.9</t>
  </si>
  <si>
    <t>75 ± 6.2</t>
  </si>
  <si>
    <t>Serotonin</t>
  </si>
  <si>
    <t>38 ± 2.4</t>
  </si>
  <si>
    <t>43 ± 5.3</t>
  </si>
  <si>
    <t>51 ± 2.3 (pmol/mg protein)</t>
  </si>
  <si>
    <t>22 ± 3.3 (pmol/mg protein)</t>
  </si>
  <si>
    <t>17 ± 1.6 (pmol/mg protein)</t>
  </si>
  <si>
    <t>210 ± 19</t>
  </si>
  <si>
    <t>156 ± 16</t>
  </si>
  <si>
    <t>203 ± 21</t>
  </si>
  <si>
    <t>201 ± 15</t>
  </si>
  <si>
    <t>N/A</t>
  </si>
  <si>
    <t>Winn et al. 2018 (C57BL/6 mice, male and female)</t>
  </si>
  <si>
    <t>Berguig et al. 2019 (C57BL6 mice, male only)</t>
  </si>
  <si>
    <t>0.53 ± 0.02 nmol/mg</t>
  </si>
  <si>
    <t>WT</t>
  </si>
  <si>
    <t>PAH</t>
  </si>
  <si>
    <t>PAH male</t>
  </si>
  <si>
    <t>PAH female</t>
  </si>
  <si>
    <t>WT female</t>
  </si>
  <si>
    <t>WT male</t>
  </si>
  <si>
    <t>3.23 ± 0.77 nmol/mg protein</t>
  </si>
  <si>
    <t>reduced</t>
  </si>
  <si>
    <t>Scherer et al. 2018 (C57BL/6 mice)</t>
  </si>
  <si>
    <t>Pascucci et al. 2018 (BTBR mice, male)</t>
  </si>
  <si>
    <t>PKU/WT</t>
  </si>
  <si>
    <t>PKU</t>
  </si>
  <si>
    <t>PKU (Phe loading)</t>
  </si>
  <si>
    <t>43.6 ± 0.9 nmol/g wet weight</t>
  </si>
  <si>
    <t>9.3 ± 0.6 nmol/g wet weight</t>
  </si>
  <si>
    <t>3.6 ± 0.5 nmol/g wet weight</t>
  </si>
  <si>
    <t>6.0 ± 0.2 nmol/g wet weight</t>
  </si>
  <si>
    <t>Scherer et al. 2018</t>
  </si>
  <si>
    <t>van Vliet et al.</t>
  </si>
  <si>
    <t>Berguig et al. 2019</t>
  </si>
  <si>
    <t>Pascucci et al. 2018</t>
  </si>
  <si>
    <t>Winn et al. 2018</t>
  </si>
  <si>
    <t>C57BL/6 male</t>
  </si>
  <si>
    <t>C57BL/6 female</t>
  </si>
  <si>
    <t>BTBR, male and female</t>
  </si>
  <si>
    <t>BTBR male</t>
  </si>
  <si>
    <t>brain</t>
  </si>
  <si>
    <t>cell</t>
  </si>
  <si>
    <t>Protein synthesis rate</t>
  </si>
  <si>
    <t>BBB</t>
  </si>
  <si>
    <t>Brain</t>
  </si>
  <si>
    <t>tyr</t>
  </si>
  <si>
    <t>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</si>
</sst>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E2E2E"/>
      <name val="Calibri"/>
      <family val="2"/>
      <scheme val="minor"/>
    </font>
    <font>
      <i/>
      <sz val="11"/>
      <color rgb="FF2E2E2E"/>
      <name val="Calibri"/>
      <family val="2"/>
      <scheme val="minor"/>
    </font>
    <font>
      <sz val="11"/>
      <color rgb="FF0C7DBB"/>
      <name val="Calibri"/>
      <family val="2"/>
      <scheme val="minor"/>
    </font>
    <font>
      <sz val="12"/>
      <color rgb="FF000000"/>
      <name val="Times New Roman"/>
      <family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9" fontId="0" fillId="0" borderId="0" xfId="0" applyNumberFormat="1"/>
    <xf numFmtId="9" fontId="1" fillId="0" borderId="0" xfId="0" applyNumberFormat="1" applyFont="1"/>
    <xf numFmtId="0" fontId="4" fillId="0" borderId="0" xfId="0" applyFont="1"/>
    <xf numFmtId="0" fontId="5" fillId="0" borderId="0" xfId="0" applyFont="1"/>
    <xf numFmtId="9" fontId="5" fillId="0" borderId="0" xfId="0" applyNumberFormat="1" applyFont="1"/>
    <xf numFmtId="11" fontId="0" fillId="0" borderId="0" xfId="0" applyNumberFormat="1"/>
    <xf numFmtId="2" fontId="0" fillId="0" borderId="0" xfId="0" applyNumberForma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88A0B-8FF8-4FDF-80A2-B1AA7D50A36F}">
  <dimension ref="A1:S28"/>
  <sheetViews>
    <sheetView tabSelected="1" workbookViewId="0">
      <selection activeCell="E11" sqref="E11"/>
    </sheetView>
  </sheetViews>
  <sheetFormatPr defaultRowHeight="15" x14ac:dyDescent="0.25"/>
  <cols>
    <col min="1" max="1" width="13.85546875" bestFit="1" customWidth="1"/>
    <col min="7" max="7" width="18.42578125" bestFit="1" customWidth="1"/>
    <col min="8" max="8" width="13.42578125" bestFit="1" customWidth="1"/>
    <col min="9" max="9" width="11" bestFit="1" customWidth="1"/>
    <col min="10" max="10" width="11" customWidth="1"/>
    <col min="19" max="19" width="12" bestFit="1" customWidth="1"/>
  </cols>
  <sheetData>
    <row r="1" spans="1:19" x14ac:dyDescent="0.25">
      <c r="B1" t="s">
        <v>0</v>
      </c>
      <c r="C1" t="s">
        <v>1</v>
      </c>
      <c r="D1" s="10" t="s">
        <v>68</v>
      </c>
      <c r="E1" s="10"/>
      <c r="F1" s="10"/>
      <c r="G1" s="10" t="s">
        <v>58</v>
      </c>
      <c r="H1" s="10"/>
      <c r="I1" s="10"/>
      <c r="J1" t="s">
        <v>69</v>
      </c>
      <c r="M1" s="11" t="s">
        <v>57</v>
      </c>
      <c r="N1" s="11"/>
      <c r="O1" s="11"/>
      <c r="P1" s="11"/>
      <c r="Q1" s="11"/>
      <c r="R1" s="11"/>
      <c r="S1" s="1"/>
    </row>
    <row r="2" spans="1:19" x14ac:dyDescent="0.25">
      <c r="B2" t="s">
        <v>70</v>
      </c>
      <c r="C2" t="s">
        <v>70</v>
      </c>
      <c r="D2" t="s">
        <v>60</v>
      </c>
      <c r="E2" t="s">
        <v>72</v>
      </c>
      <c r="F2" t="s">
        <v>70</v>
      </c>
      <c r="G2" t="s">
        <v>60</v>
      </c>
      <c r="H2" t="s">
        <v>71</v>
      </c>
      <c r="I2" t="s">
        <v>70</v>
      </c>
      <c r="J2" t="s">
        <v>60</v>
      </c>
      <c r="K2" t="s">
        <v>61</v>
      </c>
      <c r="L2" t="s">
        <v>70</v>
      </c>
      <c r="M2" t="s">
        <v>65</v>
      </c>
      <c r="N2" t="s">
        <v>64</v>
      </c>
      <c r="O2" t="s">
        <v>62</v>
      </c>
      <c r="P2" t="s">
        <v>63</v>
      </c>
      <c r="Q2" t="s">
        <v>29</v>
      </c>
      <c r="R2" t="s">
        <v>30</v>
      </c>
    </row>
    <row r="3" spans="1:19" ht="15.75" x14ac:dyDescent="0.25">
      <c r="A3" t="s">
        <v>2</v>
      </c>
      <c r="B3" s="6">
        <v>7.7833419119075531</v>
      </c>
      <c r="C3" s="6">
        <v>4.1444405929999997</v>
      </c>
      <c r="D3" s="5" t="s">
        <v>59</v>
      </c>
      <c r="E3" s="5" t="s">
        <v>66</v>
      </c>
      <c r="F3" s="3">
        <f>3.23/0.53</f>
        <v>6.0943396226415087</v>
      </c>
      <c r="G3" s="1" t="s">
        <v>6</v>
      </c>
      <c r="H3" s="1" t="s">
        <v>7</v>
      </c>
      <c r="I3" s="4">
        <f>743.7/108.8</f>
        <v>6.835477941176471</v>
      </c>
      <c r="J3" t="s">
        <v>74</v>
      </c>
      <c r="K3" t="s">
        <v>73</v>
      </c>
      <c r="L3" s="3">
        <f>43.6/9.3</f>
        <v>4.6881720430107521</v>
      </c>
      <c r="M3" t="s">
        <v>32</v>
      </c>
      <c r="N3" t="s">
        <v>31</v>
      </c>
      <c r="O3" t="s">
        <v>33</v>
      </c>
      <c r="P3" t="s">
        <v>34</v>
      </c>
      <c r="Q3" s="3">
        <f>713/110</f>
        <v>6.4818181818181815</v>
      </c>
      <c r="R3" s="3">
        <f>811/85</f>
        <v>9.5411764705882351</v>
      </c>
    </row>
    <row r="4" spans="1:19" x14ac:dyDescent="0.25">
      <c r="A4" t="s">
        <v>3</v>
      </c>
      <c r="B4" s="6">
        <v>0.58841801788389891</v>
      </c>
      <c r="C4" s="6">
        <v>0.662242424</v>
      </c>
      <c r="G4" s="1" t="s">
        <v>8</v>
      </c>
      <c r="H4" s="1" t="s">
        <v>11</v>
      </c>
      <c r="I4" s="4">
        <f>68.8/99</f>
        <v>0.69494949494949487</v>
      </c>
      <c r="J4" t="s">
        <v>76</v>
      </c>
      <c r="K4" t="s">
        <v>75</v>
      </c>
      <c r="L4" s="3">
        <f>3.6/6</f>
        <v>0.6</v>
      </c>
      <c r="M4" t="s">
        <v>27</v>
      </c>
      <c r="N4" t="s">
        <v>28</v>
      </c>
      <c r="O4" t="s">
        <v>25</v>
      </c>
      <c r="P4" t="s">
        <v>26</v>
      </c>
      <c r="Q4" s="3">
        <f>79/101</f>
        <v>0.78217821782178221</v>
      </c>
      <c r="R4" s="3">
        <f>91/88</f>
        <v>1.0340909090909092</v>
      </c>
    </row>
    <row r="5" spans="1:19" x14ac:dyDescent="0.25">
      <c r="A5" t="s">
        <v>4</v>
      </c>
      <c r="B5" s="6">
        <v>0.8683954269059001</v>
      </c>
      <c r="C5" s="6">
        <v>0.69461077800000004</v>
      </c>
      <c r="G5" t="s">
        <v>13</v>
      </c>
      <c r="H5" t="s">
        <v>12</v>
      </c>
      <c r="I5" s="3">
        <f>20.4/29.2</f>
        <v>0.69863013698630139</v>
      </c>
      <c r="L5" s="3" t="s">
        <v>56</v>
      </c>
      <c r="M5" t="s">
        <v>40</v>
      </c>
      <c r="N5" t="s">
        <v>41</v>
      </c>
      <c r="O5" t="s">
        <v>42</v>
      </c>
      <c r="P5" t="s">
        <v>43</v>
      </c>
      <c r="Q5" s="3">
        <f>14/20</f>
        <v>0.7</v>
      </c>
      <c r="R5" s="3">
        <f>17/19</f>
        <v>0.89473684210526316</v>
      </c>
    </row>
    <row r="6" spans="1:19" x14ac:dyDescent="0.25">
      <c r="A6" t="s">
        <v>5</v>
      </c>
      <c r="B6" s="6">
        <v>0.47950867895913502</v>
      </c>
      <c r="C6" s="6">
        <v>0.85297184599999998</v>
      </c>
      <c r="G6" s="1" t="s">
        <v>14</v>
      </c>
      <c r="H6" s="1" t="s">
        <v>18</v>
      </c>
      <c r="I6" s="4">
        <f>1115/1492</f>
        <v>0.74731903485254692</v>
      </c>
      <c r="L6" s="3">
        <v>0.6</v>
      </c>
      <c r="M6" t="s">
        <v>54</v>
      </c>
      <c r="N6" t="s">
        <v>55</v>
      </c>
      <c r="O6" t="s">
        <v>52</v>
      </c>
      <c r="P6" t="s">
        <v>53</v>
      </c>
      <c r="Q6" s="3">
        <f>210/203</f>
        <v>1.0344827586206897</v>
      </c>
      <c r="R6" s="3">
        <f>156/201</f>
        <v>0.77611940298507465</v>
      </c>
    </row>
    <row r="7" spans="1:19" x14ac:dyDescent="0.25">
      <c r="A7" t="s">
        <v>15</v>
      </c>
      <c r="B7" s="6">
        <v>0.47178334156920881</v>
      </c>
      <c r="C7" s="6">
        <v>0.61227922599999995</v>
      </c>
      <c r="E7" s="6"/>
      <c r="G7" s="1" t="s">
        <v>16</v>
      </c>
      <c r="H7" s="1" t="s">
        <v>19</v>
      </c>
      <c r="I7" s="4">
        <f>1335/2247</f>
        <v>0.59412550066755676</v>
      </c>
      <c r="L7" s="3">
        <v>0.5</v>
      </c>
      <c r="M7" t="s">
        <v>56</v>
      </c>
      <c r="N7" t="s">
        <v>56</v>
      </c>
      <c r="O7" t="s">
        <v>56</v>
      </c>
      <c r="P7" t="s">
        <v>56</v>
      </c>
      <c r="Q7" t="s">
        <v>56</v>
      </c>
      <c r="R7" t="s">
        <v>56</v>
      </c>
    </row>
    <row r="8" spans="1:19" x14ac:dyDescent="0.25">
      <c r="A8" t="s">
        <v>46</v>
      </c>
      <c r="B8" s="6">
        <v>0.2304175063151023</v>
      </c>
      <c r="C8" s="6">
        <v>0.45911621400000002</v>
      </c>
      <c r="F8" t="s">
        <v>67</v>
      </c>
      <c r="G8" s="1" t="s">
        <v>17</v>
      </c>
      <c r="H8" s="1" t="s">
        <v>20</v>
      </c>
      <c r="I8" s="4">
        <f>166/502</f>
        <v>0.33067729083665337</v>
      </c>
      <c r="L8" s="3">
        <v>0.35</v>
      </c>
      <c r="M8" t="s">
        <v>45</v>
      </c>
      <c r="N8" t="s">
        <v>44</v>
      </c>
      <c r="O8" t="s">
        <v>48</v>
      </c>
      <c r="P8" t="s">
        <v>47</v>
      </c>
      <c r="Q8" s="3">
        <f>43/75</f>
        <v>0.57333333333333336</v>
      </c>
      <c r="R8" s="3">
        <f>38/80</f>
        <v>0.47499999999999998</v>
      </c>
    </row>
    <row r="9" spans="1:19" x14ac:dyDescent="0.25">
      <c r="A9" t="s">
        <v>23</v>
      </c>
      <c r="B9" s="6">
        <v>0.23098179142345768</v>
      </c>
      <c r="C9" s="6">
        <v>0.27510917000000001</v>
      </c>
      <c r="F9" t="s">
        <v>67</v>
      </c>
      <c r="G9" s="1" t="s">
        <v>24</v>
      </c>
      <c r="H9" s="1" t="s">
        <v>22</v>
      </c>
      <c r="I9" s="4">
        <f>280/2500</f>
        <v>0.112</v>
      </c>
      <c r="L9" s="3" t="s">
        <v>56</v>
      </c>
      <c r="M9" t="s">
        <v>49</v>
      </c>
      <c r="N9" t="s">
        <v>49</v>
      </c>
      <c r="O9" t="s">
        <v>50</v>
      </c>
      <c r="P9" t="s">
        <v>51</v>
      </c>
      <c r="Q9" s="3">
        <f>22/51</f>
        <v>0.43137254901960786</v>
      </c>
      <c r="R9" s="3">
        <f>17/51</f>
        <v>0.33333333333333331</v>
      </c>
    </row>
    <row r="10" spans="1:19" x14ac:dyDescent="0.25">
      <c r="G10" s="1"/>
      <c r="H10" s="1"/>
      <c r="I10" s="1"/>
    </row>
    <row r="11" spans="1:19" x14ac:dyDescent="0.25">
      <c r="A11" t="s">
        <v>35</v>
      </c>
      <c r="H11" s="1"/>
      <c r="I11" s="1"/>
      <c r="J11" s="1"/>
    </row>
    <row r="12" spans="1:19" x14ac:dyDescent="0.25">
      <c r="A12" t="s">
        <v>36</v>
      </c>
      <c r="B12" s="2" t="s">
        <v>9</v>
      </c>
    </row>
    <row r="13" spans="1:19" x14ac:dyDescent="0.25">
      <c r="B13" s="2" t="s">
        <v>10</v>
      </c>
    </row>
    <row r="14" spans="1:19" x14ac:dyDescent="0.25">
      <c r="B14" s="1" t="s">
        <v>21</v>
      </c>
    </row>
    <row r="16" spans="1:19" x14ac:dyDescent="0.25">
      <c r="A16" t="s">
        <v>37</v>
      </c>
      <c r="B16" t="s">
        <v>38</v>
      </c>
    </row>
    <row r="17" spans="2:19" x14ac:dyDescent="0.25">
      <c r="B17" t="s">
        <v>39</v>
      </c>
    </row>
    <row r="19" spans="2:19" x14ac:dyDescent="0.25">
      <c r="N19" t="s">
        <v>88</v>
      </c>
    </row>
    <row r="20" spans="2:19" x14ac:dyDescent="0.25">
      <c r="E20" t="s">
        <v>0</v>
      </c>
      <c r="F20" t="s">
        <v>78</v>
      </c>
      <c r="G20" t="s">
        <v>80</v>
      </c>
      <c r="H20" t="s">
        <v>77</v>
      </c>
      <c r="I20" t="s">
        <v>79</v>
      </c>
      <c r="J20" s="10" t="s">
        <v>81</v>
      </c>
      <c r="K20" s="10"/>
      <c r="O20" t="s">
        <v>60</v>
      </c>
      <c r="P20" t="s">
        <v>71</v>
      </c>
    </row>
    <row r="21" spans="2:19" x14ac:dyDescent="0.25">
      <c r="F21" t="s">
        <v>84</v>
      </c>
      <c r="G21" t="s">
        <v>85</v>
      </c>
      <c r="H21" t="s">
        <v>82</v>
      </c>
      <c r="I21" t="s">
        <v>82</v>
      </c>
      <c r="J21" t="s">
        <v>82</v>
      </c>
      <c r="K21" t="s">
        <v>83</v>
      </c>
      <c r="N21" t="s">
        <v>86</v>
      </c>
      <c r="O21" s="6">
        <v>1.0377900000000001E-2</v>
      </c>
      <c r="P21" s="6">
        <v>8.5909699999999999E-3</v>
      </c>
      <c r="Q21">
        <f>P21/O21</f>
        <v>0.82781391225585133</v>
      </c>
      <c r="S21">
        <f>1-Q21</f>
        <v>0.17218608774414867</v>
      </c>
    </row>
    <row r="22" spans="2:19" x14ac:dyDescent="0.25">
      <c r="D22" t="s">
        <v>2</v>
      </c>
      <c r="E22" s="7">
        <f>B3</f>
        <v>7.7833419119075531</v>
      </c>
      <c r="F22" s="7">
        <v>4.1444405929999997</v>
      </c>
      <c r="G22" s="3">
        <f>43.6/9.3</f>
        <v>4.6881720430107521</v>
      </c>
      <c r="H22" s="3">
        <f>3.23/0.53</f>
        <v>6.0943396226415087</v>
      </c>
      <c r="I22" s="4">
        <f>743.7/108.8</f>
        <v>6.835477941176471</v>
      </c>
      <c r="J22" s="3">
        <f>713/110</f>
        <v>6.4818181818181815</v>
      </c>
      <c r="K22" s="3">
        <f>811/85</f>
        <v>9.5411764705882351</v>
      </c>
      <c r="N22" t="s">
        <v>87</v>
      </c>
      <c r="O22" s="6">
        <v>1.9580400000000001E-2</v>
      </c>
      <c r="P22" s="6">
        <v>1.4105400000000001E-2</v>
      </c>
      <c r="Q22">
        <f>P22/O22</f>
        <v>0.72038364895507756</v>
      </c>
      <c r="S22">
        <f>1-Q22</f>
        <v>0.27961635104492244</v>
      </c>
    </row>
    <row r="23" spans="2:19" x14ac:dyDescent="0.25">
      <c r="D23" t="s">
        <v>3</v>
      </c>
      <c r="E23" s="7">
        <f t="shared" ref="E23:E28" si="0">B4</f>
        <v>0.58841801788389891</v>
      </c>
      <c r="F23" s="7">
        <v>0.662242424</v>
      </c>
      <c r="G23" s="3">
        <f>3.6/6</f>
        <v>0.6</v>
      </c>
      <c r="I23" s="4">
        <f>68.8/99</f>
        <v>0.69494949494949487</v>
      </c>
      <c r="J23" s="3">
        <f>79/101</f>
        <v>0.78217821782178221</v>
      </c>
      <c r="K23" s="3">
        <f>91/88</f>
        <v>1.0340909090909092</v>
      </c>
    </row>
    <row r="24" spans="2:19" x14ac:dyDescent="0.25">
      <c r="D24" t="s">
        <v>4</v>
      </c>
      <c r="E24" s="7">
        <f t="shared" si="0"/>
        <v>0.8683954269059001</v>
      </c>
      <c r="F24" s="7">
        <v>0.69461077800000004</v>
      </c>
      <c r="G24" s="3"/>
      <c r="I24" s="3">
        <f>20.4/29.2</f>
        <v>0.69863013698630139</v>
      </c>
      <c r="J24" s="3">
        <f>14/20</f>
        <v>0.7</v>
      </c>
      <c r="K24" s="3">
        <f>17/19</f>
        <v>0.89473684210526316</v>
      </c>
      <c r="N24" t="s">
        <v>89</v>
      </c>
      <c r="O24" s="8">
        <v>7.4699999999999996E-6</v>
      </c>
      <c r="P24" s="9">
        <f>O24/SUM(O24:O25)</f>
        <v>1.6215512188768533E-2</v>
      </c>
      <c r="R24">
        <f>(Q21*P25) + (Q22*P24)</f>
        <v>0.82607187551185501</v>
      </c>
      <c r="S24">
        <f>1-R24</f>
        <v>0.17392812448814499</v>
      </c>
    </row>
    <row r="25" spans="2:19" x14ac:dyDescent="0.25">
      <c r="D25" t="s">
        <v>5</v>
      </c>
      <c r="E25" s="7">
        <f t="shared" si="0"/>
        <v>0.47950867895913502</v>
      </c>
      <c r="F25" s="7">
        <v>0.85297184599999998</v>
      </c>
      <c r="G25" s="3">
        <v>0.6</v>
      </c>
      <c r="I25" s="4">
        <f>1115/1492</f>
        <v>0.74731903485254692</v>
      </c>
      <c r="J25" s="3">
        <f>210/203</f>
        <v>1.0344827586206897</v>
      </c>
      <c r="K25" s="3">
        <f>156/201</f>
        <v>0.77611940298507465</v>
      </c>
      <c r="N25" t="s">
        <v>90</v>
      </c>
      <c r="O25">
        <v>4.5320000000000001E-4</v>
      </c>
      <c r="P25" s="9">
        <f>O25/SUM(O24:O25)</f>
        <v>0.98378448781123151</v>
      </c>
    </row>
    <row r="26" spans="2:19" x14ac:dyDescent="0.25">
      <c r="D26" t="s">
        <v>15</v>
      </c>
      <c r="E26" s="7">
        <f t="shared" si="0"/>
        <v>0.47178334156920881</v>
      </c>
      <c r="F26" s="7">
        <v>0.61227922599999995</v>
      </c>
      <c r="G26" s="3">
        <v>0.5</v>
      </c>
      <c r="I26" s="4">
        <f>1335/2247</f>
        <v>0.59412550066755676</v>
      </c>
      <c r="Q26" t="s">
        <v>60</v>
      </c>
      <c r="R26" t="s">
        <v>71</v>
      </c>
    </row>
    <row r="27" spans="2:19" x14ac:dyDescent="0.25">
      <c r="D27" t="s">
        <v>46</v>
      </c>
      <c r="E27" s="7">
        <f t="shared" si="0"/>
        <v>0.2304175063151023</v>
      </c>
      <c r="F27" s="7">
        <v>0.45911621400000002</v>
      </c>
      <c r="G27" s="3">
        <v>0.35</v>
      </c>
      <c r="H27" t="s">
        <v>67</v>
      </c>
      <c r="I27" s="4">
        <f>166/502</f>
        <v>0.33067729083665337</v>
      </c>
      <c r="J27" s="3">
        <f>43/75</f>
        <v>0.57333333333333336</v>
      </c>
      <c r="K27" s="3">
        <f>38/80</f>
        <v>0.47499999999999998</v>
      </c>
      <c r="N27" t="s">
        <v>91</v>
      </c>
      <c r="O27">
        <v>3.5000000000000003E-2</v>
      </c>
      <c r="Q27">
        <f>$O$27*O21*$P$25+$O$27*O22*$P$24</f>
        <v>3.684493137821001E-4</v>
      </c>
      <c r="R27">
        <f>$O$27*P21*$P$25+$O$27*P22*$P$24</f>
        <v>3.0381362574076893E-4</v>
      </c>
      <c r="S27">
        <f>(Q27-R27)*1000</f>
        <v>6.4635688041331171E-2</v>
      </c>
    </row>
    <row r="28" spans="2:19" x14ac:dyDescent="0.25">
      <c r="D28" t="s">
        <v>23</v>
      </c>
      <c r="E28" s="7">
        <f t="shared" si="0"/>
        <v>0.23098179142345768</v>
      </c>
      <c r="F28" s="7">
        <v>0.27510917000000001</v>
      </c>
      <c r="G28" s="3"/>
      <c r="H28" t="s">
        <v>67</v>
      </c>
      <c r="I28" s="4">
        <f>280/2500</f>
        <v>0.112</v>
      </c>
      <c r="J28" s="3">
        <f>22/51</f>
        <v>0.43137254901960786</v>
      </c>
      <c r="K28" s="3">
        <f>17/51</f>
        <v>0.33333333333333331</v>
      </c>
      <c r="N28" t="s">
        <v>92</v>
      </c>
      <c r="O28">
        <v>4.4999999999999998E-2</v>
      </c>
      <c r="Q28">
        <f>$O$28*O21*$P$25+$O$28*O22*$P$24</f>
        <v>4.737205462912714E-4</v>
      </c>
      <c r="R28">
        <f>$O$28*P21*$P$25+$O$28*P22*$P$24</f>
        <v>3.9061751880955999E-4</v>
      </c>
      <c r="S28">
        <f>(Q28-R28)*1000</f>
        <v>8.3103027481711417E-2</v>
      </c>
    </row>
  </sheetData>
  <mergeCells count="4">
    <mergeCell ref="J20:K20"/>
    <mergeCell ref="D1:F1"/>
    <mergeCell ref="G1:I1"/>
    <mergeCell ref="M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Nibi</dc:creator>
  <cp:lastModifiedBy>Agnieszka Wegrzyn</cp:lastModifiedBy>
  <dcterms:created xsi:type="dcterms:W3CDTF">2020-02-06T20:57:10Z</dcterms:created>
  <dcterms:modified xsi:type="dcterms:W3CDTF">2024-01-05T14:47:21Z</dcterms:modified>
</cp:coreProperties>
</file>