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stew\Desktop\"/>
    </mc:Choice>
  </mc:AlternateContent>
  <bookViews>
    <workbookView xWindow="0" yWindow="0" windowWidth="19140" windowHeight="8250" tabRatio="684"/>
  </bookViews>
  <sheets>
    <sheet name="The Puzzle and FCST" sheetId="2" r:id="rId1"/>
    <sheet name="Data Entry==&gt;" sheetId="8" r:id="rId2"/>
    <sheet name="Buidup Materials" sheetId="3" r:id="rId3"/>
    <sheet name="Shares and Price" sheetId="7" r:id="rId4"/>
  </sheets>
  <calcPr calcId="152511"/>
</workbook>
</file>

<file path=xl/calcChain.xml><?xml version="1.0" encoding="utf-8"?>
<calcChain xmlns="http://schemas.openxmlformats.org/spreadsheetml/2006/main">
  <c r="Q37" i="2" l="1"/>
  <c r="Q19" i="2"/>
  <c r="G15" i="2"/>
  <c r="G14" i="2"/>
  <c r="G13" i="2"/>
  <c r="G12" i="2"/>
  <c r="G11" i="2"/>
  <c r="G10" i="2"/>
  <c r="G9" i="2"/>
  <c r="G8" i="2"/>
  <c r="G7" i="2"/>
  <c r="O19" i="2"/>
  <c r="I15" i="2" l="1"/>
  <c r="I14" i="2"/>
  <c r="I13" i="2"/>
  <c r="I12" i="2"/>
  <c r="I11" i="2"/>
  <c r="I10" i="2"/>
  <c r="I9" i="2"/>
  <c r="I8" i="2"/>
  <c r="I7" i="2"/>
  <c r="F15" i="7"/>
  <c r="F14" i="7"/>
  <c r="F13" i="7"/>
  <c r="F12" i="7"/>
  <c r="F11" i="7"/>
  <c r="F10" i="7"/>
  <c r="F9" i="7"/>
  <c r="F8" i="7"/>
  <c r="F7" i="7"/>
  <c r="I15" i="7"/>
  <c r="I14" i="7"/>
  <c r="I13" i="7"/>
  <c r="I12" i="7"/>
  <c r="I11" i="7"/>
  <c r="I10" i="7"/>
  <c r="I9" i="7"/>
  <c r="I8" i="7"/>
  <c r="I7" i="7"/>
  <c r="W16" i="3" l="1"/>
  <c r="W15" i="3"/>
  <c r="D32" i="2" s="1"/>
  <c r="W14" i="3"/>
  <c r="D31" i="2" s="1"/>
  <c r="W13" i="3"/>
  <c r="D30" i="2" s="1"/>
  <c r="W12" i="3"/>
  <c r="D29" i="2" s="1"/>
  <c r="W11" i="3"/>
  <c r="D28" i="2" s="1"/>
  <c r="W10" i="3"/>
  <c r="D27" i="2" s="1"/>
  <c r="W9" i="3"/>
  <c r="D26" i="2" s="1"/>
  <c r="W8" i="3"/>
  <c r="D25" i="2" s="1"/>
  <c r="P16" i="3"/>
  <c r="P15" i="3"/>
  <c r="E14" i="2" s="1"/>
  <c r="P14" i="3"/>
  <c r="E13" i="2" s="1"/>
  <c r="P13" i="3"/>
  <c r="E12" i="2" s="1"/>
  <c r="P12" i="3"/>
  <c r="E11" i="2" s="1"/>
  <c r="P11" i="3"/>
  <c r="E10" i="2" s="1"/>
  <c r="P10" i="3"/>
  <c r="E9" i="2" s="1"/>
  <c r="P9" i="3"/>
  <c r="E8" i="2" s="1"/>
  <c r="P8" i="3"/>
  <c r="E7" i="2" s="1"/>
  <c r="K16" i="3"/>
  <c r="G16" i="3"/>
  <c r="K15" i="3"/>
  <c r="G32" i="2" s="1"/>
  <c r="G15" i="3"/>
  <c r="F32" i="2" s="1"/>
  <c r="K32" i="2" s="1"/>
  <c r="K14" i="3"/>
  <c r="G31" i="2" s="1"/>
  <c r="G14" i="3"/>
  <c r="F31" i="2" s="1"/>
  <c r="K13" i="3"/>
  <c r="G30" i="2" s="1"/>
  <c r="G13" i="3"/>
  <c r="F30" i="2" s="1"/>
  <c r="K12" i="3"/>
  <c r="G29" i="2" s="1"/>
  <c r="G12" i="3"/>
  <c r="F29" i="2" s="1"/>
  <c r="K11" i="3"/>
  <c r="G28" i="2" s="1"/>
  <c r="G11" i="3"/>
  <c r="F28" i="2" s="1"/>
  <c r="K28" i="2" s="1"/>
  <c r="K10" i="3"/>
  <c r="G27" i="2" s="1"/>
  <c r="G10" i="3"/>
  <c r="F27" i="2" s="1"/>
  <c r="K9" i="3"/>
  <c r="G26" i="2" s="1"/>
  <c r="G9" i="3"/>
  <c r="F26" i="2" s="1"/>
  <c r="K8" i="3"/>
  <c r="G25" i="2" s="1"/>
  <c r="G8" i="3"/>
  <c r="F25" i="2" s="1"/>
  <c r="E15" i="2" l="1"/>
  <c r="G33" i="2"/>
  <c r="F33" i="2"/>
  <c r="K26" i="2"/>
  <c r="K30" i="2"/>
  <c r="D33" i="2"/>
  <c r="K25" i="2"/>
  <c r="K27" i="2"/>
  <c r="K29" i="2"/>
  <c r="K31" i="2"/>
  <c r="G35" i="2"/>
  <c r="F35" i="2" l="1"/>
  <c r="K33" i="2"/>
  <c r="B8" i="2"/>
  <c r="B9" i="2" s="1"/>
  <c r="B10" i="2" s="1"/>
  <c r="B11" i="2" s="1"/>
  <c r="B12" i="2" s="1"/>
  <c r="B13" i="2" s="1"/>
  <c r="B14" i="2" s="1"/>
  <c r="B15" i="2" s="1"/>
  <c r="H33" i="2" l="1"/>
  <c r="H32" i="2"/>
  <c r="H31" i="2"/>
  <c r="H30" i="2"/>
  <c r="H29" i="2"/>
  <c r="H28" i="2"/>
  <c r="H27" i="2"/>
  <c r="H26" i="2"/>
  <c r="I26" i="2" s="1"/>
  <c r="H25" i="2"/>
  <c r="K35" i="2" l="1"/>
  <c r="H35" i="2"/>
  <c r="Q42" i="2"/>
  <c r="C35" i="2" l="1"/>
  <c r="G17" i="2"/>
  <c r="D17" i="2"/>
  <c r="C17" i="2"/>
  <c r="V7" i="2" l="1"/>
  <c r="V31" i="2"/>
  <c r="I27" i="2" l="1"/>
  <c r="Q23" i="2"/>
  <c r="P23" i="2"/>
  <c r="I33" i="2"/>
  <c r="I32" i="2"/>
  <c r="I31" i="2"/>
  <c r="I30" i="2"/>
  <c r="I29" i="2"/>
  <c r="I28" i="2"/>
  <c r="I25" i="2"/>
  <c r="B33" i="2"/>
  <c r="B32" i="2"/>
  <c r="B15" i="3" s="1"/>
  <c r="B31" i="2"/>
  <c r="B14" i="3" s="1"/>
  <c r="B30" i="2"/>
  <c r="B13" i="3" s="1"/>
  <c r="B29" i="2"/>
  <c r="B12" i="3" s="1"/>
  <c r="B28" i="2"/>
  <c r="B11" i="3" s="1"/>
  <c r="B27" i="2"/>
  <c r="B10" i="3" s="1"/>
  <c r="B26" i="2"/>
  <c r="B9" i="3" s="1"/>
  <c r="B25" i="2"/>
  <c r="B8" i="3" s="1"/>
  <c r="T5" i="2"/>
  <c r="U5" i="2"/>
  <c r="F15" i="2"/>
  <c r="F14" i="2"/>
  <c r="H14" i="2" s="1"/>
  <c r="J14" i="2" s="1"/>
  <c r="F13" i="2"/>
  <c r="H13" i="2" s="1"/>
  <c r="F12" i="2"/>
  <c r="H12" i="2" s="1"/>
  <c r="J12" i="2" s="1"/>
  <c r="F11" i="2"/>
  <c r="H11" i="2" s="1"/>
  <c r="J11" i="2" s="1"/>
  <c r="F10" i="2"/>
  <c r="H10" i="2" s="1"/>
  <c r="J10" i="2" s="1"/>
  <c r="F9" i="2"/>
  <c r="H9" i="2" s="1"/>
  <c r="F8" i="2"/>
  <c r="H8" i="2" s="1"/>
  <c r="J8" i="2" s="1"/>
  <c r="F7" i="2"/>
  <c r="H7" i="2" s="1"/>
  <c r="J7" i="2" s="1"/>
  <c r="H15" i="2" l="1"/>
  <c r="O25" i="2"/>
  <c r="O26" i="2" s="1"/>
  <c r="O27" i="2" s="1"/>
  <c r="O28" i="2" s="1"/>
  <c r="O29" i="2" s="1"/>
  <c r="O30" i="2" s="1"/>
  <c r="O31" i="2" s="1"/>
  <c r="O32" i="2" s="1"/>
  <c r="O33" i="2" s="1"/>
  <c r="O34" i="2" s="1"/>
  <c r="T30" i="2" s="1"/>
  <c r="B16" i="3"/>
  <c r="J13" i="2"/>
  <c r="P7" i="2"/>
  <c r="I35" i="2"/>
  <c r="J9" i="2"/>
  <c r="J25" i="2"/>
  <c r="O43" i="2"/>
  <c r="O37" i="2"/>
  <c r="O7" i="2"/>
  <c r="J15" i="2" l="1"/>
  <c r="J17" i="2"/>
  <c r="E26" i="2"/>
  <c r="J26" i="2"/>
  <c r="O8" i="2"/>
  <c r="O9" i="2" s="1"/>
  <c r="O10" i="2" s="1"/>
  <c r="O11" i="2" s="1"/>
  <c r="O12" i="2" s="1"/>
  <c r="O13" i="2" s="1"/>
  <c r="O14" i="2" s="1"/>
  <c r="O15" i="2" s="1"/>
  <c r="O16" i="2" s="1"/>
  <c r="T29" i="2" s="1"/>
  <c r="T7" i="2"/>
  <c r="T8" i="2" s="1"/>
  <c r="T9" i="2" s="1"/>
  <c r="T10" i="2" s="1"/>
  <c r="T11" i="2" s="1"/>
  <c r="T12" i="2" s="1"/>
  <c r="T13" i="2" s="1"/>
  <c r="T14" i="2" s="1"/>
  <c r="T15" i="2" s="1"/>
  <c r="T16" i="2" s="1"/>
  <c r="J27" i="2"/>
  <c r="E27" i="2"/>
  <c r="E28" i="2"/>
  <c r="J28" i="2"/>
  <c r="Q18" i="2" l="1"/>
  <c r="E29" i="2"/>
  <c r="J29" i="2"/>
  <c r="E30" i="2" l="1"/>
  <c r="J30" i="2"/>
  <c r="J31" i="2" l="1"/>
  <c r="E31" i="2"/>
  <c r="E33" i="2" l="1"/>
  <c r="J33" i="2"/>
  <c r="E32" i="2"/>
  <c r="J32" i="2"/>
  <c r="J35" i="2" l="1"/>
  <c r="E35" i="2"/>
  <c r="Q25" i="2" s="1"/>
  <c r="Q7" i="2" l="1"/>
  <c r="Q26" i="2"/>
  <c r="P25" i="2"/>
  <c r="U7" i="2" l="1"/>
  <c r="W7" i="2" s="1"/>
  <c r="Q27" i="2"/>
  <c r="Q8" i="2"/>
  <c r="P8" i="2" s="1"/>
  <c r="P26" i="2"/>
  <c r="U8" i="2" l="1"/>
  <c r="W8" i="2" s="1"/>
  <c r="Q28" i="2"/>
  <c r="Q9" i="2"/>
  <c r="P9" i="2" s="1"/>
  <c r="P27" i="2"/>
  <c r="U9" i="2" l="1"/>
  <c r="W9" i="2" s="1"/>
  <c r="Q29" i="2"/>
  <c r="Q10" i="2"/>
  <c r="P10" i="2" s="1"/>
  <c r="P28" i="2"/>
  <c r="U10" i="2" l="1"/>
  <c r="W10" i="2" s="1"/>
  <c r="Q30" i="2"/>
  <c r="Q11" i="2"/>
  <c r="P11" i="2" s="1"/>
  <c r="P29" i="2"/>
  <c r="P30" i="2" l="1"/>
  <c r="U11" i="2"/>
  <c r="W11" i="2" s="1"/>
  <c r="Q31" i="2"/>
  <c r="Q12" i="2"/>
  <c r="P12" i="2" s="1"/>
  <c r="Q32" i="2" l="1"/>
  <c r="Q13" i="2"/>
  <c r="P13" i="2" s="1"/>
  <c r="P31" i="2"/>
  <c r="U12" i="2"/>
  <c r="P32" i="2" l="1"/>
  <c r="U13" i="2"/>
  <c r="W13" i="2" s="1"/>
  <c r="W12" i="2"/>
  <c r="Q33" i="2"/>
  <c r="Q14" i="2"/>
  <c r="P14" i="2" s="1"/>
  <c r="P33" i="2" l="1"/>
  <c r="U14" i="2"/>
  <c r="Q34" i="2"/>
  <c r="Q16" i="2" s="1"/>
  <c r="Q15" i="2"/>
  <c r="P15" i="2" s="1"/>
  <c r="P16" i="2" l="1"/>
  <c r="U15" i="2"/>
  <c r="W14" i="2"/>
  <c r="P34" i="2"/>
  <c r="W15" i="2" l="1"/>
  <c r="Q38" i="2"/>
  <c r="Q39" i="2"/>
  <c r="W29" i="2"/>
  <c r="U16" i="2"/>
  <c r="Q40" i="2" l="1"/>
  <c r="Q43" i="2" s="1"/>
  <c r="W30" i="2" s="1"/>
  <c r="W31" i="2" s="1"/>
  <c r="V16" i="2" s="1"/>
  <c r="W20" i="2" s="1"/>
  <c r="W19" i="2"/>
  <c r="W21" i="2" l="1"/>
  <c r="W22" i="2"/>
  <c r="W16" i="2"/>
  <c r="W18" i="2" s="1"/>
  <c r="Z10" i="2" l="1"/>
  <c r="Z9" i="2"/>
</calcChain>
</file>

<file path=xl/sharedStrings.xml><?xml version="1.0" encoding="utf-8"?>
<sst xmlns="http://schemas.openxmlformats.org/spreadsheetml/2006/main" count="101" uniqueCount="81">
  <si>
    <t>Year</t>
  </si>
  <si>
    <t>Total Gain</t>
  </si>
  <si>
    <t>IRR</t>
  </si>
  <si>
    <t>CFO</t>
  </si>
  <si>
    <t>CAPEX</t>
  </si>
  <si>
    <t>Shares</t>
  </si>
  <si>
    <t>FCFE</t>
  </si>
  <si>
    <t>FCFE/shr</t>
  </si>
  <si>
    <t>FCFE  Yield</t>
  </si>
  <si>
    <t>Avg</t>
  </si>
  <si>
    <t>HISTORICAL INFORMATION</t>
  </si>
  <si>
    <t>FUTURE VALUE</t>
  </si>
  <si>
    <t>EBITDA</t>
  </si>
  <si>
    <t>Market Cap</t>
  </si>
  <si>
    <t>Market 
Cap</t>
  </si>
  <si>
    <t>EV / EBITDA</t>
  </si>
  <si>
    <t>EBITDA 
Growth</t>
  </si>
  <si>
    <t>Less:
Excess Cash</t>
  </si>
  <si>
    <t>-</t>
  </si>
  <si>
    <t>Less: Debt</t>
  </si>
  <si>
    <t>Plus: Cash</t>
  </si>
  <si>
    <t>Fully Diluted Shares</t>
  </si>
  <si>
    <t>Numbers in $ Millions (Except per share)</t>
  </si>
  <si>
    <t>Purchase $/Shr Price</t>
  </si>
  <si>
    <t>Weighting</t>
  </si>
  <si>
    <t>$ / shr</t>
  </si>
  <si>
    <t>Total 
Cash Flow</t>
  </si>
  <si>
    <t>Cash Distributed</t>
  </si>
  <si>
    <t>Stock Gain</t>
  </si>
  <si>
    <t>Cash on Cash Return</t>
  </si>
  <si>
    <t>IRR CALCULATION</t>
  </si>
  <si>
    <t xml:space="preserve">Price $/Share </t>
  </si>
  <si>
    <t>Revenue</t>
  </si>
  <si>
    <t>Debt 
ST + LT</t>
  </si>
  <si>
    <t>Enterprise 
Value</t>
  </si>
  <si>
    <t>Net Debt / EBITDA</t>
  </si>
  <si>
    <t>Growth 
Rate</t>
  </si>
  <si>
    <t>Apple</t>
  </si>
  <si>
    <t>Fiscal Year Ending September 30,</t>
  </si>
  <si>
    <t>Marketable Securities</t>
  </si>
  <si>
    <t>Total</t>
  </si>
  <si>
    <t>Other</t>
  </si>
  <si>
    <t>In</t>
  </si>
  <si>
    <t>Out</t>
  </si>
  <si>
    <t>Long Term Debt Debt In / (Out) Flows</t>
  </si>
  <si>
    <t>Cash Flow Statement</t>
  </si>
  <si>
    <t>Debt and Capital Lease Obligations</t>
  </si>
  <si>
    <t xml:space="preserve">Balance Sheet </t>
  </si>
  <si>
    <t>Net Interest 
Expenses</t>
  </si>
  <si>
    <t>Other Non 
Operating Expenses</t>
  </si>
  <si>
    <t>Depreciation 
&amp; Amortization</t>
  </si>
  <si>
    <t xml:space="preserve">Short 
Term </t>
  </si>
  <si>
    <t>Long 
Term</t>
  </si>
  <si>
    <t>Capital 
Lease</t>
  </si>
  <si>
    <t>Income Statement + Cash Flow Statement</t>
  </si>
  <si>
    <t xml:space="preserve">EBITDA Buildup </t>
  </si>
  <si>
    <t>Fiscal
Year</t>
  </si>
  <si>
    <t>Taxes</t>
  </si>
  <si>
    <t>Net 
Income</t>
  </si>
  <si>
    <t>Fiscal 
Year</t>
  </si>
  <si>
    <t>7:1 
Split</t>
  </si>
  <si>
    <t>4:1 
Split</t>
  </si>
  <si>
    <t>Adjusted 
Shares</t>
  </si>
  <si>
    <t>Month</t>
  </si>
  <si>
    <t>4:1 Stock Split</t>
  </si>
  <si>
    <t>7:1 Stock Split</t>
  </si>
  <si>
    <t>Historical Stock Split and Monthly Pricing (Yahoo Finance)</t>
  </si>
  <si>
    <t>Stock Split Date</t>
  </si>
  <si>
    <t>Average 
Price</t>
  </si>
  <si>
    <t>Stock Purchase Price and Forecast Price</t>
  </si>
  <si>
    <t>Shares
Outstanding</t>
  </si>
  <si>
    <t xml:space="preserve">Month of Fiscal Year </t>
  </si>
  <si>
    <t>Avg Share 
Price</t>
  </si>
  <si>
    <t>FCFE per
Share</t>
  </si>
  <si>
    <t>Long Term Multiple</t>
  </si>
  <si>
    <t>Price per Share</t>
  </si>
  <si>
    <t>Long Term FCFE Yield</t>
  </si>
  <si>
    <t>Debt 
Issue (PMT)</t>
  </si>
  <si>
    <t xml:space="preserve">BLUE </t>
  </si>
  <si>
    <t>Numbers can be adjusted</t>
  </si>
  <si>
    <t>Stock Purchase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</si>
</sst>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0.0%"/>
    <numFmt numFmtId="165" formatCode="_(&quot;$&quot;* #,##0.00_);_(&quot;$&quot;* \(#,##0.00\);_(&quot;$&quot;* &quot;-&quot;_);_(@_)"/>
    <numFmt numFmtId="166" formatCode="0.0\x"/>
    <numFmt numFmtId="167" formatCode="_(&quot;$&quot;* #,##0_);_(&quot;$&quot;* \(#,##0\);_(&quot;$&quot;* &quot;-&quot;??_);_(@_)"/>
    <numFmt numFmtId="168" formatCode="_(* #,##0.0_);_(* \(#,##0.0\);_(* &quot;-&quot;_);_(@_)"/>
    <numFmt numFmtId="169" formatCode="[$-409]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434343"/>
      <name val="Trebuchet MS"/>
      <family val="2"/>
    </font>
    <font>
      <b/>
      <sz val="11"/>
      <color rgb="FF0000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3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42" fontId="0" fillId="0" borderId="0" xfId="0" applyNumberFormat="1"/>
    <xf numFmtId="4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42" fontId="16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wrapText="1"/>
    </xf>
    <xf numFmtId="164" fontId="16" fillId="0" borderId="10" xfId="0" applyNumberFormat="1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0" xfId="0" applyFill="1"/>
    <xf numFmtId="42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6" fillId="0" borderId="10" xfId="0" applyFont="1" applyBorder="1" applyAlignment="1">
      <alignment horizontal="centerContinuous"/>
    </xf>
    <xf numFmtId="42" fontId="0" fillId="0" borderId="10" xfId="0" applyNumberForma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164" fontId="0" fillId="0" borderId="10" xfId="0" applyNumberFormat="1" applyBorder="1" applyAlignment="1">
      <alignment horizontal="centerContinuous"/>
    </xf>
    <xf numFmtId="0" fontId="19" fillId="33" borderId="11" xfId="0" applyNumberFormat="1" applyFont="1" applyFill="1" applyBorder="1" applyAlignment="1">
      <alignment horizontal="center"/>
    </xf>
    <xf numFmtId="0" fontId="19" fillId="33" borderId="14" xfId="0" applyNumberFormat="1" applyFont="1" applyFill="1" applyBorder="1" applyAlignment="1">
      <alignment horizontal="center"/>
    </xf>
    <xf numFmtId="42" fontId="18" fillId="33" borderId="0" xfId="0" applyNumberFormat="1" applyFont="1" applyFill="1" applyBorder="1"/>
    <xf numFmtId="42" fontId="0" fillId="33" borderId="14" xfId="0" applyNumberFormat="1" applyFill="1" applyBorder="1"/>
    <xf numFmtId="0" fontId="0" fillId="33" borderId="0" xfId="0" applyFill="1" applyBorder="1"/>
    <xf numFmtId="42" fontId="0" fillId="33" borderId="10" xfId="0" applyNumberFormat="1" applyFill="1" applyBorder="1"/>
    <xf numFmtId="164" fontId="16" fillId="0" borderId="10" xfId="0" applyNumberFormat="1" applyFont="1" applyBorder="1" applyAlignment="1">
      <alignment horizontal="centerContinuous"/>
    </xf>
    <xf numFmtId="165" fontId="0" fillId="34" borderId="12" xfId="0" applyNumberFormat="1" applyFill="1" applyBorder="1"/>
    <xf numFmtId="0" fontId="0" fillId="34" borderId="14" xfId="0" applyFill="1" applyBorder="1"/>
    <xf numFmtId="165" fontId="0" fillId="34" borderId="0" xfId="0" applyNumberFormat="1" applyFill="1" applyBorder="1"/>
    <xf numFmtId="0" fontId="0" fillId="34" borderId="0" xfId="0" applyFill="1" applyBorder="1"/>
    <xf numFmtId="0" fontId="0" fillId="34" borderId="15" xfId="0" applyFill="1" applyBorder="1"/>
    <xf numFmtId="0" fontId="16" fillId="34" borderId="16" xfId="0" applyFont="1" applyFill="1" applyBorder="1"/>
    <xf numFmtId="165" fontId="0" fillId="34" borderId="10" xfId="0" applyNumberFormat="1" applyFill="1" applyBorder="1"/>
    <xf numFmtId="42" fontId="16" fillId="0" borderId="10" xfId="0" applyNumberFormat="1" applyFont="1" applyBorder="1" applyAlignment="1">
      <alignment horizontal="center" wrapText="1"/>
    </xf>
    <xf numFmtId="164" fontId="0" fillId="0" borderId="0" xfId="0" applyNumberFormat="1" applyFill="1"/>
    <xf numFmtId="164" fontId="16" fillId="0" borderId="0" xfId="0" applyNumberFormat="1" applyFont="1" applyFill="1" applyBorder="1" applyAlignment="1">
      <alignment horizontal="center" wrapText="1"/>
    </xf>
    <xf numFmtId="42" fontId="19" fillId="33" borderId="0" xfId="0" applyNumberFormat="1" applyFont="1" applyFill="1" applyBorder="1"/>
    <xf numFmtId="0" fontId="0" fillId="33" borderId="11" xfId="0" applyFill="1" applyBorder="1" applyAlignment="1">
      <alignment horizontal="center"/>
    </xf>
    <xf numFmtId="42" fontId="19" fillId="33" borderId="12" xfId="0" applyNumberFormat="1" applyFont="1" applyFill="1" applyBorder="1"/>
    <xf numFmtId="0" fontId="0" fillId="33" borderId="14" xfId="0" applyFill="1" applyBorder="1" applyAlignment="1">
      <alignment horizontal="center"/>
    </xf>
    <xf numFmtId="0" fontId="0" fillId="33" borderId="14" xfId="0" applyFill="1" applyBorder="1"/>
    <xf numFmtId="164" fontId="0" fillId="33" borderId="10" xfId="0" applyNumberFormat="1" applyFill="1" applyBorder="1" applyAlignment="1">
      <alignment horizontal="right"/>
    </xf>
    <xf numFmtId="167" fontId="0" fillId="34" borderId="12" xfId="0" applyNumberFormat="1" applyFill="1" applyBorder="1"/>
    <xf numFmtId="167" fontId="0" fillId="34" borderId="0" xfId="0" applyNumberFormat="1" applyFont="1" applyFill="1" applyBorder="1"/>
    <xf numFmtId="0" fontId="0" fillId="34" borderId="11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4" xfId="0" applyFill="1" applyBorder="1" applyAlignment="1">
      <alignment horizontal="left" indent="1"/>
    </xf>
    <xf numFmtId="167" fontId="0" fillId="34" borderId="15" xfId="0" applyNumberFormat="1" applyFont="1" applyFill="1" applyBorder="1"/>
    <xf numFmtId="167" fontId="0" fillId="34" borderId="17" xfId="0" applyNumberFormat="1" applyFont="1" applyFill="1" applyBorder="1"/>
    <xf numFmtId="167" fontId="0" fillId="34" borderId="15" xfId="0" applyNumberFormat="1" applyFill="1" applyBorder="1"/>
    <xf numFmtId="44" fontId="0" fillId="34" borderId="17" xfId="0" applyNumberFormat="1" applyFill="1" applyBorder="1"/>
    <xf numFmtId="0" fontId="0" fillId="34" borderId="10" xfId="0" applyFill="1" applyBorder="1"/>
    <xf numFmtId="0" fontId="16" fillId="34" borderId="10" xfId="0" applyFont="1" applyFill="1" applyBorder="1"/>
    <xf numFmtId="44" fontId="16" fillId="34" borderId="17" xfId="0" applyNumberFormat="1" applyFont="1" applyFill="1" applyBorder="1"/>
    <xf numFmtId="164" fontId="18" fillId="34" borderId="13" xfId="0" applyNumberFormat="1" applyFont="1" applyFill="1" applyBorder="1" applyAlignment="1">
      <alignment horizontal="center"/>
    </xf>
    <xf numFmtId="164" fontId="18" fillId="34" borderId="15" xfId="0" applyNumberFormat="1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64" fontId="0" fillId="34" borderId="11" xfId="0" applyNumberFormat="1" applyFill="1" applyBorder="1"/>
    <xf numFmtId="0" fontId="0" fillId="34" borderId="12" xfId="0" applyFill="1" applyBorder="1"/>
    <xf numFmtId="165" fontId="18" fillId="34" borderId="13" xfId="0" applyNumberFormat="1" applyFont="1" applyFill="1" applyBorder="1"/>
    <xf numFmtId="164" fontId="0" fillId="34" borderId="14" xfId="0" applyNumberFormat="1" applyFill="1" applyBorder="1"/>
    <xf numFmtId="0" fontId="16" fillId="34" borderId="17" xfId="0" applyFont="1" applyFill="1" applyBorder="1" applyAlignment="1">
      <alignment horizontal="center"/>
    </xf>
    <xf numFmtId="164" fontId="16" fillId="34" borderId="14" xfId="0" applyNumberFormat="1" applyFont="1" applyFill="1" applyBorder="1"/>
    <xf numFmtId="9" fontId="18" fillId="34" borderId="0" xfId="0" applyNumberFormat="1" applyFont="1" applyFill="1" applyBorder="1" applyAlignment="1">
      <alignment horizontal="center"/>
    </xf>
    <xf numFmtId="44" fontId="0" fillId="34" borderId="15" xfId="0" applyNumberFormat="1" applyFill="1" applyBorder="1"/>
    <xf numFmtId="164" fontId="0" fillId="34" borderId="16" xfId="0" applyNumberFormat="1" applyFill="1" applyBorder="1"/>
    <xf numFmtId="44" fontId="0" fillId="34" borderId="18" xfId="0" applyNumberFormat="1" applyFill="1" applyBorder="1"/>
    <xf numFmtId="164" fontId="13" fillId="35" borderId="19" xfId="0" applyNumberFormat="1" applyFont="1" applyFill="1" applyBorder="1" applyAlignment="1">
      <alignment horizontal="centerContinuous"/>
    </xf>
    <xf numFmtId="0" fontId="13" fillId="35" borderId="20" xfId="0" applyFont="1" applyFill="1" applyBorder="1" applyAlignment="1">
      <alignment horizontal="centerContinuous"/>
    </xf>
    <xf numFmtId="0" fontId="13" fillId="35" borderId="18" xfId="0" applyFont="1" applyFill="1" applyBorder="1" applyAlignment="1">
      <alignment horizontal="centerContinuous"/>
    </xf>
    <xf numFmtId="44" fontId="0" fillId="36" borderId="10" xfId="0" applyNumberFormat="1" applyFill="1" applyBorder="1"/>
    <xf numFmtId="0" fontId="0" fillId="36" borderId="11" xfId="0" applyFill="1" applyBorder="1" applyAlignment="1">
      <alignment horizontal="center"/>
    </xf>
    <xf numFmtId="165" fontId="0" fillId="36" borderId="12" xfId="0" applyNumberFormat="1" applyFill="1" applyBorder="1"/>
    <xf numFmtId="44" fontId="0" fillId="36" borderId="12" xfId="0" applyNumberFormat="1" applyFill="1" applyBorder="1"/>
    <xf numFmtId="44" fontId="0" fillId="36" borderId="13" xfId="0" applyNumberFormat="1" applyFill="1" applyBorder="1"/>
    <xf numFmtId="0" fontId="0" fillId="36" borderId="14" xfId="0" applyFill="1" applyBorder="1" applyAlignment="1">
      <alignment horizontal="center"/>
    </xf>
    <xf numFmtId="165" fontId="0" fillId="36" borderId="0" xfId="0" applyNumberFormat="1" applyFill="1" applyBorder="1"/>
    <xf numFmtId="44" fontId="0" fillId="36" borderId="0" xfId="0" applyNumberFormat="1" applyFill="1" applyBorder="1"/>
    <xf numFmtId="44" fontId="0" fillId="36" borderId="15" xfId="0" applyNumberFormat="1" applyFill="1" applyBorder="1"/>
    <xf numFmtId="0" fontId="0" fillId="36" borderId="14" xfId="0" applyFill="1" applyBorder="1"/>
    <xf numFmtId="0" fontId="0" fillId="36" borderId="0" xfId="0" applyFill="1" applyBorder="1"/>
    <xf numFmtId="0" fontId="0" fillId="36" borderId="15" xfId="0" applyFill="1" applyBorder="1"/>
    <xf numFmtId="44" fontId="0" fillId="36" borderId="17" xfId="0" applyNumberFormat="1" applyFill="1" applyBorder="1"/>
    <xf numFmtId="0" fontId="16" fillId="36" borderId="14" xfId="0" applyFont="1" applyFill="1" applyBorder="1"/>
    <xf numFmtId="0" fontId="16" fillId="36" borderId="0" xfId="0" applyFont="1" applyFill="1" applyBorder="1"/>
    <xf numFmtId="9" fontId="16" fillId="36" borderId="15" xfId="0" applyNumberFormat="1" applyFont="1" applyFill="1" applyBorder="1"/>
    <xf numFmtId="165" fontId="16" fillId="36" borderId="15" xfId="0" applyNumberFormat="1" applyFont="1" applyFill="1" applyBorder="1"/>
    <xf numFmtId="44" fontId="16" fillId="36" borderId="17" xfId="0" applyNumberFormat="1" applyFont="1" applyFill="1" applyBorder="1"/>
    <xf numFmtId="44" fontId="16" fillId="36" borderId="15" xfId="0" applyNumberFormat="1" applyFont="1" applyFill="1" applyBorder="1"/>
    <xf numFmtId="0" fontId="16" fillId="36" borderId="16" xfId="0" applyFont="1" applyFill="1" applyBorder="1"/>
    <xf numFmtId="0" fontId="16" fillId="36" borderId="10" xfId="0" applyFont="1" applyFill="1" applyBorder="1"/>
    <xf numFmtId="0" fontId="0" fillId="36" borderId="16" xfId="0" applyFill="1" applyBorder="1" applyAlignment="1">
      <alignment horizontal="center"/>
    </xf>
    <xf numFmtId="165" fontId="0" fillId="36" borderId="10" xfId="0" applyNumberFormat="1" applyFill="1" applyBorder="1"/>
    <xf numFmtId="0" fontId="16" fillId="36" borderId="14" xfId="0" applyFont="1" applyFill="1" applyBorder="1" applyAlignment="1">
      <alignment horizontal="left" indent="1"/>
    </xf>
    <xf numFmtId="9" fontId="18" fillId="34" borderId="10" xfId="0" applyNumberFormat="1" applyFont="1" applyFill="1" applyBorder="1" applyAlignment="1">
      <alignment horizontal="center"/>
    </xf>
    <xf numFmtId="9" fontId="0" fillId="34" borderId="10" xfId="0" applyNumberFormat="1" applyFill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0" xfId="0" applyFont="1" applyFill="1"/>
    <xf numFmtId="164" fontId="18" fillId="0" borderId="0" xfId="0" applyNumberFormat="1" applyFont="1" applyFill="1" applyBorder="1" applyAlignment="1">
      <alignment horizontal="center"/>
    </xf>
    <xf numFmtId="44" fontId="16" fillId="0" borderId="0" xfId="0" applyNumberFormat="1" applyFont="1" applyFill="1" applyBorder="1"/>
    <xf numFmtId="42" fontId="16" fillId="0" borderId="0" xfId="0" applyNumberFormat="1" applyFont="1" applyFill="1" applyBorder="1" applyAlignment="1">
      <alignment horizontal="center" wrapText="1"/>
    </xf>
    <xf numFmtId="9" fontId="18" fillId="0" borderId="0" xfId="0" applyNumberFormat="1" applyFont="1" applyFill="1" applyBorder="1" applyAlignment="1">
      <alignment horizontal="center"/>
    </xf>
    <xf numFmtId="167" fontId="0" fillId="0" borderId="0" xfId="0" applyNumberFormat="1" applyFont="1" applyFill="1" applyBorder="1"/>
    <xf numFmtId="167" fontId="0" fillId="0" borderId="0" xfId="0" applyNumberFormat="1" applyFill="1" applyBorder="1"/>
    <xf numFmtId="168" fontId="18" fillId="0" borderId="0" xfId="0" applyNumberFormat="1" applyFont="1" applyFill="1" applyBorder="1"/>
    <xf numFmtId="9" fontId="0" fillId="33" borderId="10" xfId="0" applyNumberFormat="1" applyFill="1" applyBorder="1"/>
    <xf numFmtId="0" fontId="0" fillId="33" borderId="16" xfId="0" applyFill="1" applyBorder="1" applyAlignment="1">
      <alignment horizontal="center"/>
    </xf>
    <xf numFmtId="9" fontId="17" fillId="0" borderId="0" xfId="0" applyNumberFormat="1" applyFont="1"/>
    <xf numFmtId="166" fontId="16" fillId="36" borderId="17" xfId="0" applyNumberFormat="1" applyFont="1" applyFill="1" applyBorder="1"/>
    <xf numFmtId="41" fontId="19" fillId="33" borderId="12" xfId="0" applyNumberFormat="1" applyFont="1" applyFill="1" applyBorder="1"/>
    <xf numFmtId="165" fontId="19" fillId="33" borderId="12" xfId="0" applyNumberFormat="1" applyFont="1" applyFill="1" applyBorder="1"/>
    <xf numFmtId="41" fontId="19" fillId="33" borderId="0" xfId="0" applyNumberFormat="1" applyFont="1" applyFill="1" applyBorder="1"/>
    <xf numFmtId="165" fontId="19" fillId="33" borderId="0" xfId="0" applyNumberFormat="1" applyFont="1" applyFill="1" applyBorder="1"/>
    <xf numFmtId="0" fontId="19" fillId="33" borderId="0" xfId="0" applyFont="1" applyFill="1" applyBorder="1"/>
    <xf numFmtId="9" fontId="19" fillId="33" borderId="10" xfId="0" applyNumberFormat="1" applyFont="1" applyFill="1" applyBorder="1"/>
    <xf numFmtId="0" fontId="19" fillId="33" borderId="10" xfId="0" applyFont="1" applyFill="1" applyBorder="1"/>
    <xf numFmtId="165" fontId="19" fillId="33" borderId="10" xfId="0" applyNumberFormat="1" applyFont="1" applyFill="1" applyBorder="1"/>
    <xf numFmtId="0" fontId="19" fillId="33" borderId="10" xfId="0" applyFont="1" applyFill="1" applyBorder="1" applyAlignment="1">
      <alignment horizontal="right"/>
    </xf>
    <xf numFmtId="42" fontId="19" fillId="0" borderId="0" xfId="0" applyNumberFormat="1" applyFont="1" applyFill="1" applyBorder="1"/>
    <xf numFmtId="0" fontId="19" fillId="0" borderId="0" xfId="0" applyFont="1" applyFill="1" applyBorder="1"/>
    <xf numFmtId="165" fontId="19" fillId="0" borderId="0" xfId="0" applyNumberFormat="1" applyFont="1" applyFill="1" applyBorder="1"/>
    <xf numFmtId="42" fontId="19" fillId="0" borderId="0" xfId="0" applyNumberFormat="1" applyFont="1"/>
    <xf numFmtId="0" fontId="19" fillId="0" borderId="0" xfId="0" applyFont="1"/>
    <xf numFmtId="0" fontId="19" fillId="0" borderId="0" xfId="0" quotePrefix="1" applyFont="1" applyAlignment="1">
      <alignment horizontal="center"/>
    </xf>
    <xf numFmtId="0" fontId="20" fillId="0" borderId="0" xfId="0" applyFont="1" applyAlignment="1">
      <alignment horizontal="center"/>
    </xf>
    <xf numFmtId="42" fontId="20" fillId="0" borderId="10" xfId="0" applyNumberFormat="1" applyFont="1" applyBorder="1" applyAlignment="1">
      <alignment horizontal="center"/>
    </xf>
    <xf numFmtId="42" fontId="20" fillId="0" borderId="10" xfId="0" applyNumberFormat="1" applyFont="1" applyBorder="1" applyAlignment="1">
      <alignment horizontal="center" wrapText="1"/>
    </xf>
    <xf numFmtId="164" fontId="19" fillId="0" borderId="0" xfId="0" applyNumberFormat="1" applyFont="1"/>
    <xf numFmtId="166" fontId="19" fillId="33" borderId="12" xfId="0" applyNumberFormat="1" applyFont="1" applyFill="1" applyBorder="1" applyAlignment="1">
      <alignment horizontal="center"/>
    </xf>
    <xf numFmtId="166" fontId="19" fillId="33" borderId="0" xfId="0" applyNumberFormat="1" applyFont="1" applyFill="1" applyBorder="1" applyAlignment="1">
      <alignment horizontal="center"/>
    </xf>
    <xf numFmtId="166" fontId="19" fillId="33" borderId="15" xfId="0" applyNumberFormat="1" applyFont="1" applyFill="1" applyBorder="1" applyAlignment="1">
      <alignment horizontal="center"/>
    </xf>
    <xf numFmtId="42" fontId="18" fillId="33" borderId="15" xfId="0" applyNumberFormat="1" applyFont="1" applyFill="1" applyBorder="1" applyAlignment="1">
      <alignment horizontal="center"/>
    </xf>
    <xf numFmtId="166" fontId="19" fillId="33" borderId="10" xfId="0" applyNumberFormat="1" applyFont="1" applyFill="1" applyBorder="1" applyAlignment="1">
      <alignment horizontal="center"/>
    </xf>
    <xf numFmtId="166" fontId="19" fillId="33" borderId="17" xfId="0" applyNumberFormat="1" applyFont="1" applyFill="1" applyBorder="1" applyAlignment="1">
      <alignment horizontal="center"/>
    </xf>
    <xf numFmtId="164" fontId="19" fillId="33" borderId="12" xfId="0" applyNumberFormat="1" applyFont="1" applyFill="1" applyBorder="1" applyAlignment="1">
      <alignment horizontal="center"/>
    </xf>
    <xf numFmtId="164" fontId="19" fillId="33" borderId="0" xfId="0" applyNumberFormat="1" applyFont="1" applyFill="1" applyBorder="1" applyAlignment="1">
      <alignment horizontal="center"/>
    </xf>
    <xf numFmtId="42" fontId="18" fillId="33" borderId="0" xfId="0" applyNumberFormat="1" applyFont="1" applyFill="1" applyBorder="1" applyAlignment="1">
      <alignment horizontal="center"/>
    </xf>
    <xf numFmtId="164" fontId="19" fillId="33" borderId="10" xfId="0" applyNumberFormat="1" applyFont="1" applyFill="1" applyBorder="1" applyAlignment="1">
      <alignment horizontal="center"/>
    </xf>
    <xf numFmtId="166" fontId="19" fillId="33" borderId="13" xfId="0" applyNumberFormat="1" applyFont="1" applyFill="1" applyBorder="1" applyAlignment="1">
      <alignment horizontal="center"/>
    </xf>
    <xf numFmtId="44" fontId="0" fillId="0" borderId="0" xfId="0" applyNumberFormat="1"/>
    <xf numFmtId="9" fontId="0" fillId="0" borderId="0" xfId="0" applyNumberFormat="1"/>
    <xf numFmtId="4" fontId="19" fillId="0" borderId="0" xfId="0" applyNumberFormat="1" applyFont="1"/>
    <xf numFmtId="41" fontId="0" fillId="0" borderId="0" xfId="0" applyNumberFormat="1"/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164" fontId="16" fillId="0" borderId="20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Continuous"/>
    </xf>
    <xf numFmtId="164" fontId="16" fillId="0" borderId="19" xfId="0" applyNumberFormat="1" applyFont="1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21" fillId="0" borderId="19" xfId="0" applyFont="1" applyBorder="1" applyAlignment="1">
      <alignment horizontal="center" wrapText="1"/>
    </xf>
    <xf numFmtId="42" fontId="16" fillId="0" borderId="0" xfId="0" applyNumberFormat="1" applyFont="1"/>
    <xf numFmtId="42" fontId="16" fillId="0" borderId="14" xfId="0" applyNumberFormat="1" applyFont="1" applyBorder="1"/>
    <xf numFmtId="0" fontId="16" fillId="0" borderId="20" xfId="0" applyFont="1" applyBorder="1" applyAlignment="1">
      <alignment horizontal="center" wrapText="1"/>
    </xf>
    <xf numFmtId="0" fontId="16" fillId="0" borderId="0" xfId="0" applyNumberFormat="1" applyFont="1" applyAlignment="1">
      <alignment horizontal="center"/>
    </xf>
    <xf numFmtId="164" fontId="0" fillId="33" borderId="13" xfId="0" applyNumberFormat="1" applyFill="1" applyBorder="1" applyAlignment="1">
      <alignment horizontal="center"/>
    </xf>
    <xf numFmtId="164" fontId="0" fillId="33" borderId="15" xfId="0" applyNumberFormat="1" applyFill="1" applyBorder="1" applyAlignment="1">
      <alignment horizontal="center"/>
    </xf>
    <xf numFmtId="164" fontId="0" fillId="33" borderId="17" xfId="0" applyNumberFormat="1" applyFill="1" applyBorder="1" applyAlignment="1">
      <alignment horizontal="center"/>
    </xf>
    <xf numFmtId="0" fontId="16" fillId="0" borderId="0" xfId="0" applyFont="1" applyBorder="1" applyAlignment="1">
      <alignment horizontal="left"/>
    </xf>
    <xf numFmtId="42" fontId="0" fillId="0" borderId="0" xfId="0" applyNumberForma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1" fillId="0" borderId="20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/>
    <xf numFmtId="0" fontId="0" fillId="0" borderId="10" xfId="0" applyBorder="1"/>
    <xf numFmtId="0" fontId="16" fillId="0" borderId="10" xfId="0" applyFont="1" applyBorder="1"/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 wrapText="1"/>
    </xf>
    <xf numFmtId="3" fontId="0" fillId="33" borderId="13" xfId="0" applyNumberFormat="1" applyFill="1" applyBorder="1"/>
    <xf numFmtId="3" fontId="0" fillId="33" borderId="15" xfId="0" applyNumberFormat="1" applyFill="1" applyBorder="1"/>
    <xf numFmtId="0" fontId="19" fillId="33" borderId="16" xfId="0" applyNumberFormat="1" applyFont="1" applyFill="1" applyBorder="1" applyAlignment="1">
      <alignment horizontal="center"/>
    </xf>
    <xf numFmtId="3" fontId="0" fillId="33" borderId="17" xfId="0" applyNumberFormat="1" applyFill="1" applyBorder="1"/>
    <xf numFmtId="44" fontId="0" fillId="33" borderId="13" xfId="0" applyNumberFormat="1" applyFill="1" applyBorder="1"/>
    <xf numFmtId="44" fontId="0" fillId="33" borderId="15" xfId="0" applyNumberFormat="1" applyFill="1" applyBorder="1"/>
    <xf numFmtId="44" fontId="0" fillId="33" borderId="17" xfId="0" applyNumberFormat="1" applyFill="1" applyBorder="1"/>
    <xf numFmtId="14" fontId="16" fillId="0" borderId="0" xfId="0" applyNumberFormat="1" applyFont="1" applyAlignment="1">
      <alignment horizontal="center"/>
    </xf>
    <xf numFmtId="164" fontId="16" fillId="0" borderId="0" xfId="0" applyNumberFormat="1" applyFont="1" applyBorder="1" applyAlignment="1">
      <alignment horizontal="centerContinuous"/>
    </xf>
    <xf numFmtId="164" fontId="0" fillId="0" borderId="0" xfId="0" applyNumberFormat="1" applyBorder="1" applyAlignment="1">
      <alignment horizontal="centerContinuous"/>
    </xf>
    <xf numFmtId="164" fontId="16" fillId="0" borderId="0" xfId="0" applyNumberFormat="1" applyFont="1" applyAlignment="1">
      <alignment horizontal="center"/>
    </xf>
    <xf numFmtId="0" fontId="0" fillId="34" borderId="14" xfId="0" applyFont="1" applyFill="1" applyBorder="1" applyAlignment="1">
      <alignment horizontal="left" indent="1"/>
    </xf>
    <xf numFmtId="166" fontId="18" fillId="34" borderId="17" xfId="0" applyNumberFormat="1" applyFont="1" applyFill="1" applyBorder="1"/>
    <xf numFmtId="9" fontId="18" fillId="34" borderId="17" xfId="0" applyNumberFormat="1" applyFont="1" applyFill="1" applyBorder="1" applyAlignment="1">
      <alignment horizontal="center"/>
    </xf>
    <xf numFmtId="168" fontId="18" fillId="34" borderId="17" xfId="0" applyNumberFormat="1" applyFont="1" applyFill="1" applyBorder="1"/>
    <xf numFmtId="42" fontId="18" fillId="0" borderId="0" xfId="0" applyNumberFormat="1" applyFont="1"/>
    <xf numFmtId="42" fontId="18" fillId="0" borderId="15" xfId="0" applyNumberFormat="1" applyFont="1" applyBorder="1"/>
    <xf numFmtId="41" fontId="18" fillId="33" borderId="12" xfId="0" applyNumberFormat="1" applyFont="1" applyFill="1" applyBorder="1" applyAlignment="1">
      <alignment horizontal="center"/>
    </xf>
    <xf numFmtId="41" fontId="18" fillId="33" borderId="0" xfId="0" applyNumberFormat="1" applyFont="1" applyFill="1" applyBorder="1" applyAlignment="1">
      <alignment horizontal="center"/>
    </xf>
    <xf numFmtId="41" fontId="18" fillId="33" borderId="10" xfId="0" applyNumberFormat="1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169" fontId="18" fillId="33" borderId="11" xfId="0" applyNumberFormat="1" applyFont="1" applyFill="1" applyBorder="1" applyAlignment="1">
      <alignment horizontal="center"/>
    </xf>
    <xf numFmtId="169" fontId="18" fillId="33" borderId="14" xfId="0" applyNumberFormat="1" applyFont="1" applyFill="1" applyBorder="1" applyAlignment="1">
      <alignment horizontal="center"/>
    </xf>
    <xf numFmtId="169" fontId="18" fillId="33" borderId="16" xfId="0" applyNumberFormat="1" applyFont="1" applyFill="1" applyBorder="1" applyAlignment="1">
      <alignment horizontal="center"/>
    </xf>
    <xf numFmtId="0" fontId="22" fillId="0" borderId="19" xfId="0" applyFont="1" applyBorder="1" applyAlignment="1">
      <alignment horizontal="right"/>
    </xf>
    <xf numFmtId="0" fontId="16" fillId="0" borderId="20" xfId="0" applyFont="1" applyBorder="1"/>
    <xf numFmtId="0" fontId="16" fillId="0" borderId="18" xfId="0" applyFont="1" applyBorder="1"/>
    <xf numFmtId="0" fontId="13" fillId="35" borderId="0" xfId="0" applyFont="1" applyFill="1" applyAlignment="1">
      <alignment horizontal="centerContinuous"/>
    </xf>
    <xf numFmtId="167" fontId="13" fillId="35" borderId="0" xfId="0" applyNumberFormat="1" applyFont="1" applyFill="1"/>
    <xf numFmtId="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0.39997558519241921"/>
  </sheetPr>
  <dimension ref="A1:AG47"/>
  <sheetViews>
    <sheetView showGridLines="0" tabSelected="1" zoomScale="130" zoomScaleNormal="130" workbookViewId="0"/>
  </sheetViews>
  <sheetFormatPr defaultRowHeight="15" x14ac:dyDescent="0.25"/>
  <cols>
    <col min="2" max="2" width="10.7109375" customWidth="1"/>
    <col min="3" max="4" width="10.7109375" style="4" customWidth="1"/>
    <col min="5" max="5" width="11.140625" customWidth="1"/>
    <col min="6" max="7" width="10.7109375" customWidth="1"/>
    <col min="8" max="9" width="12.28515625" customWidth="1"/>
    <col min="10" max="10" width="10.7109375" customWidth="1"/>
    <col min="11" max="11" width="10.7109375" style="2" customWidth="1"/>
    <col min="12" max="12" width="3" style="34" customWidth="1"/>
    <col min="13" max="14" width="3" customWidth="1"/>
    <col min="15" max="17" width="12.7109375" customWidth="1"/>
    <col min="18" max="18" width="2.7109375" style="11" customWidth="1"/>
    <col min="19" max="19" width="2.7109375" customWidth="1"/>
    <col min="20" max="20" width="11" customWidth="1"/>
    <col min="21" max="21" width="10.7109375" customWidth="1"/>
    <col min="22" max="22" width="11.140625" customWidth="1"/>
    <col min="23" max="23" width="13.42578125" customWidth="1"/>
  </cols>
  <sheetData>
    <row r="1" spans="1:33" x14ac:dyDescent="0.25">
      <c r="A1" s="3" t="s">
        <v>37</v>
      </c>
      <c r="G1" s="197" t="s">
        <v>78</v>
      </c>
      <c r="H1" s="198" t="s">
        <v>79</v>
      </c>
      <c r="I1" s="198"/>
      <c r="J1" s="199"/>
    </row>
    <row r="2" spans="1:33" x14ac:dyDescent="0.25">
      <c r="A2" s="3" t="s">
        <v>22</v>
      </c>
    </row>
    <row r="3" spans="1:33" x14ac:dyDescent="0.25">
      <c r="A3" s="96" t="s">
        <v>38</v>
      </c>
      <c r="B3" s="15"/>
      <c r="C3" s="16"/>
      <c r="D3" s="159"/>
      <c r="E3" s="160"/>
      <c r="F3" s="158"/>
      <c r="G3" s="160"/>
      <c r="H3" s="160"/>
      <c r="I3" s="160"/>
      <c r="J3" s="160"/>
      <c r="O3" s="179"/>
      <c r="P3" s="180"/>
      <c r="Q3" s="180"/>
      <c r="R3" s="13"/>
      <c r="T3" s="179"/>
      <c r="U3" s="180"/>
      <c r="V3" s="180"/>
      <c r="W3" s="180"/>
      <c r="X3" s="162"/>
    </row>
    <row r="4" spans="1:33" x14ac:dyDescent="0.25">
      <c r="A4" s="158"/>
      <c r="B4" s="15"/>
      <c r="C4" s="16"/>
      <c r="D4" s="16"/>
      <c r="E4" s="17"/>
      <c r="F4" s="96" t="s">
        <v>10</v>
      </c>
      <c r="G4" s="17"/>
      <c r="H4" s="17"/>
      <c r="I4" s="17"/>
      <c r="J4" s="17"/>
      <c r="O4" s="25" t="s">
        <v>11</v>
      </c>
      <c r="P4" s="18"/>
      <c r="Q4" s="18"/>
      <c r="T4" s="25" t="s">
        <v>30</v>
      </c>
      <c r="U4" s="18"/>
      <c r="V4" s="18"/>
      <c r="W4" s="18"/>
    </row>
    <row r="5" spans="1:33" s="3" customFormat="1" ht="30.75" customHeight="1" x14ac:dyDescent="0.25">
      <c r="B5" s="5" t="s">
        <v>0</v>
      </c>
      <c r="C5" s="5" t="s">
        <v>3</v>
      </c>
      <c r="D5" s="5" t="s">
        <v>4</v>
      </c>
      <c r="E5" s="6" t="s">
        <v>77</v>
      </c>
      <c r="F5" s="6" t="s">
        <v>6</v>
      </c>
      <c r="G5" s="6" t="s">
        <v>5</v>
      </c>
      <c r="H5" s="6" t="s">
        <v>7</v>
      </c>
      <c r="I5" s="6" t="s">
        <v>31</v>
      </c>
      <c r="J5" s="6" t="s">
        <v>8</v>
      </c>
      <c r="K5" s="2"/>
      <c r="L5" s="34"/>
      <c r="O5" s="9" t="s">
        <v>59</v>
      </c>
      <c r="P5" s="9" t="s">
        <v>73</v>
      </c>
      <c r="Q5" s="9" t="s">
        <v>36</v>
      </c>
      <c r="R5" s="35"/>
      <c r="S5"/>
      <c r="T5" s="9" t="str">
        <f>+O5</f>
        <v>Fiscal 
Year</v>
      </c>
      <c r="U5" s="9" t="str">
        <f>+P5</f>
        <v>FCFE per
Share</v>
      </c>
      <c r="V5" s="9" t="s">
        <v>75</v>
      </c>
      <c r="W5" s="9" t="s">
        <v>26</v>
      </c>
    </row>
    <row r="6" spans="1:33" s="3" customFormat="1" ht="5.0999999999999996" customHeight="1" x14ac:dyDescent="0.25">
      <c r="C6" s="7"/>
      <c r="D6" s="7"/>
      <c r="E6" s="8"/>
      <c r="F6" s="8"/>
      <c r="G6" s="8"/>
      <c r="H6" s="8"/>
      <c r="I6" s="8"/>
      <c r="J6" s="8"/>
      <c r="K6" s="2"/>
      <c r="L6" s="34"/>
      <c r="R6" s="97"/>
      <c r="S6"/>
    </row>
    <row r="7" spans="1:33" x14ac:dyDescent="0.25">
      <c r="A7" s="1"/>
      <c r="B7" s="19">
        <v>2012</v>
      </c>
      <c r="C7" s="38">
        <v>50856</v>
      </c>
      <c r="D7" s="38">
        <v>-8295</v>
      </c>
      <c r="E7" s="38">
        <f>+'Buidup Materials'!P8</f>
        <v>-1698</v>
      </c>
      <c r="F7" s="38">
        <f>SUM(C7:E7)</f>
        <v>40863</v>
      </c>
      <c r="G7" s="109">
        <f>+'Shares and Price'!F7</f>
        <v>26174.903999999999</v>
      </c>
      <c r="H7" s="110">
        <f>+F7/G7</f>
        <v>1.5611518575197068</v>
      </c>
      <c r="I7" s="110">
        <f>+'Shares and Price'!I7</f>
        <v>23.825001</v>
      </c>
      <c r="J7" s="155">
        <f>+H7/I7</f>
        <v>6.5525783504466875E-2</v>
      </c>
      <c r="O7" s="44">
        <f>+B15+1</f>
        <v>2021</v>
      </c>
      <c r="P7" s="26">
        <f>+AVERAGE(H13:H15)</f>
        <v>3.5916319123441398</v>
      </c>
      <c r="Q7" s="54">
        <f>+Q25</f>
        <v>3.5481023403509004E-2</v>
      </c>
      <c r="R7" s="98"/>
      <c r="T7" s="71">
        <f>+O7</f>
        <v>2021</v>
      </c>
      <c r="U7" s="72">
        <f>+P7</f>
        <v>3.5916319123441398</v>
      </c>
      <c r="V7" s="73">
        <f>-W26</f>
        <v>-132</v>
      </c>
      <c r="W7" s="74">
        <f>+U7+V7</f>
        <v>-128.40836808765587</v>
      </c>
      <c r="AA7" s="200" t="s">
        <v>80</v>
      </c>
      <c r="AB7" s="200"/>
      <c r="AC7" s="200"/>
      <c r="AD7" s="200"/>
      <c r="AE7" s="200"/>
      <c r="AF7" s="200"/>
      <c r="AG7" s="200"/>
    </row>
    <row r="8" spans="1:33" x14ac:dyDescent="0.25">
      <c r="B8" s="20">
        <f>+B7+1</f>
        <v>2013</v>
      </c>
      <c r="C8" s="36">
        <v>53666</v>
      </c>
      <c r="D8" s="36">
        <v>-8165</v>
      </c>
      <c r="E8" s="36">
        <f>+'Buidup Materials'!P9</f>
        <v>16896</v>
      </c>
      <c r="F8" s="36">
        <f t="shared" ref="F8:F15" si="0">SUM(C8:E8)</f>
        <v>62397</v>
      </c>
      <c r="G8" s="111">
        <f>+'Shares and Price'!F8</f>
        <v>25909.268</v>
      </c>
      <c r="H8" s="112">
        <f t="shared" ref="H8:H15" si="1">+F8/G8</f>
        <v>2.4082888022926778</v>
      </c>
      <c r="I8" s="112">
        <f>+'Shares and Price'!I8</f>
        <v>17.026785</v>
      </c>
      <c r="J8" s="156">
        <f t="shared" ref="J8:J15" si="2">+H8/I8</f>
        <v>0.1414411941122577</v>
      </c>
      <c r="O8" s="45">
        <f>+O7+1</f>
        <v>2022</v>
      </c>
      <c r="P8" s="28">
        <f t="shared" ref="P8:P16" si="3">+P7*(1+Q8)</f>
        <v>3.7190666882828118</v>
      </c>
      <c r="Q8" s="55">
        <f t="shared" ref="Q8:Q16" si="4">+Q26</f>
        <v>3.5481023403509004E-2</v>
      </c>
      <c r="R8" s="98"/>
      <c r="T8" s="75">
        <f>+T7+1</f>
        <v>2022</v>
      </c>
      <c r="U8" s="76">
        <f t="shared" ref="U8:U16" si="5">+P8</f>
        <v>3.7190666882828118</v>
      </c>
      <c r="V8" s="77"/>
      <c r="W8" s="78">
        <f t="shared" ref="W8:W16" si="6">+U8+V8</f>
        <v>3.7190666882828118</v>
      </c>
      <c r="AA8" s="201">
        <v>96.228000000000009</v>
      </c>
      <c r="AB8" s="201">
        <v>106.92</v>
      </c>
      <c r="AC8" s="201">
        <v>118.8</v>
      </c>
      <c r="AD8" s="201">
        <v>132</v>
      </c>
      <c r="AE8" s="201">
        <v>145.20000000000002</v>
      </c>
      <c r="AF8" s="201">
        <v>159.72000000000003</v>
      </c>
      <c r="AG8" s="201">
        <v>175.69200000000004</v>
      </c>
    </row>
    <row r="9" spans="1:33" x14ac:dyDescent="0.25">
      <c r="B9" s="20">
        <f t="shared" ref="B9:B15" si="7">+B8+1</f>
        <v>2014</v>
      </c>
      <c r="C9" s="36">
        <v>59713</v>
      </c>
      <c r="D9" s="36">
        <v>-9571</v>
      </c>
      <c r="E9" s="36">
        <f>+'Buidup Materials'!P10</f>
        <v>11960</v>
      </c>
      <c r="F9" s="36">
        <f t="shared" si="0"/>
        <v>62102</v>
      </c>
      <c r="G9" s="111">
        <f>+'Shares and Price'!F9</f>
        <v>24342.288</v>
      </c>
      <c r="H9" s="112">
        <f t="shared" si="1"/>
        <v>2.5511981453838684</v>
      </c>
      <c r="I9" s="112">
        <f>+'Shares and Price'!I9</f>
        <v>25.1875</v>
      </c>
      <c r="J9" s="156">
        <f t="shared" si="2"/>
        <v>0.10128826383658038</v>
      </c>
      <c r="O9" s="45">
        <f t="shared" ref="O9:O16" si="8">+O8+1</f>
        <v>2023</v>
      </c>
      <c r="P9" s="28">
        <f t="shared" si="3"/>
        <v>3.8510229804889851</v>
      </c>
      <c r="Q9" s="55">
        <f t="shared" si="4"/>
        <v>3.5481023403509004E-2</v>
      </c>
      <c r="R9" s="98"/>
      <c r="T9" s="75">
        <f t="shared" ref="T9:T16" si="9">+T8+1</f>
        <v>2023</v>
      </c>
      <c r="U9" s="76">
        <f t="shared" si="5"/>
        <v>3.8510229804889851</v>
      </c>
      <c r="V9" s="77"/>
      <c r="W9" s="78">
        <f t="shared" si="6"/>
        <v>3.8510229804889851</v>
      </c>
      <c r="Z9" s="107">
        <f>W18</f>
        <v>1.8445026430400357E-2</v>
      </c>
      <c r="AA9" s="202">
        <f t="dataTable" ref="AA9:AG9" dt2D="0" dtr="1" r1="W26"/>
        <v>6.1825169297497595E-2</v>
      </c>
      <c r="AB9" s="202">
        <v>4.697324074064424E-2</v>
      </c>
      <c r="AC9" s="202">
        <v>3.2522970629075498E-2</v>
      </c>
      <c r="AD9" s="202">
        <v>1.8445026430400357E-2</v>
      </c>
      <c r="AE9" s="202">
        <v>6.0090681665398993E-3</v>
      </c>
      <c r="AF9" s="202">
        <v>-6.160503801415973E-3</v>
      </c>
      <c r="AG9" s="202">
        <v>-1.8079041955567088E-2</v>
      </c>
    </row>
    <row r="10" spans="1:33" x14ac:dyDescent="0.25">
      <c r="B10" s="20">
        <f t="shared" si="7"/>
        <v>2015</v>
      </c>
      <c r="C10" s="36">
        <v>81266</v>
      </c>
      <c r="D10" s="36">
        <v>-11247</v>
      </c>
      <c r="E10" s="36">
        <f>+'Buidup Materials'!P11</f>
        <v>27114</v>
      </c>
      <c r="F10" s="36">
        <f t="shared" si="0"/>
        <v>97133</v>
      </c>
      <c r="G10" s="111">
        <f>+'Shares and Price'!F10</f>
        <v>23013.684000000001</v>
      </c>
      <c r="H10" s="112">
        <f t="shared" si="1"/>
        <v>4.2206628021832575</v>
      </c>
      <c r="I10" s="112">
        <f>+'Shares and Price'!I10</f>
        <v>27.575001</v>
      </c>
      <c r="J10" s="156">
        <f t="shared" si="2"/>
        <v>0.15306120214404553</v>
      </c>
      <c r="O10" s="45">
        <f t="shared" si="8"/>
        <v>2024</v>
      </c>
      <c r="P10" s="28">
        <f t="shared" si="3"/>
        <v>3.9876612169871657</v>
      </c>
      <c r="Q10" s="55">
        <f t="shared" si="4"/>
        <v>3.5481023403509004E-2</v>
      </c>
      <c r="R10" s="98"/>
      <c r="T10" s="75">
        <f t="shared" si="9"/>
        <v>2024</v>
      </c>
      <c r="U10" s="76">
        <f t="shared" si="5"/>
        <v>3.9876612169871657</v>
      </c>
      <c r="V10" s="77"/>
      <c r="W10" s="78">
        <f t="shared" si="6"/>
        <v>3.9876612169871657</v>
      </c>
      <c r="Z10" s="107">
        <f>+W18</f>
        <v>1.8445026430400357E-2</v>
      </c>
    </row>
    <row r="11" spans="1:33" x14ac:dyDescent="0.25">
      <c r="B11" s="20">
        <f t="shared" si="7"/>
        <v>2016</v>
      </c>
      <c r="C11" s="36">
        <v>65824</v>
      </c>
      <c r="D11" s="36">
        <v>-12734</v>
      </c>
      <c r="E11" s="36">
        <f>+'Buidup Materials'!P12</f>
        <v>22454</v>
      </c>
      <c r="F11" s="36">
        <f t="shared" si="0"/>
        <v>75544</v>
      </c>
      <c r="G11" s="111">
        <f>+'Shares and Price'!F11</f>
        <v>21883.279999999999</v>
      </c>
      <c r="H11" s="112">
        <f t="shared" si="1"/>
        <v>3.4521333182228626</v>
      </c>
      <c r="I11" s="112">
        <f>+'Shares and Price'!I11</f>
        <v>28.262501</v>
      </c>
      <c r="J11" s="156">
        <f t="shared" si="2"/>
        <v>0.12214535855205676</v>
      </c>
      <c r="O11" s="45">
        <f t="shared" si="8"/>
        <v>2025</v>
      </c>
      <c r="P11" s="28">
        <f t="shared" si="3"/>
        <v>4.1291475179523527</v>
      </c>
      <c r="Q11" s="55">
        <f t="shared" si="4"/>
        <v>3.5481023403509004E-2</v>
      </c>
      <c r="R11" s="98"/>
      <c r="T11" s="75">
        <f t="shared" si="9"/>
        <v>2025</v>
      </c>
      <c r="U11" s="76">
        <f t="shared" si="5"/>
        <v>4.1291475179523527</v>
      </c>
      <c r="V11" s="77"/>
      <c r="W11" s="78">
        <f t="shared" si="6"/>
        <v>4.1291475179523527</v>
      </c>
    </row>
    <row r="12" spans="1:33" x14ac:dyDescent="0.25">
      <c r="B12" s="20">
        <f t="shared" si="7"/>
        <v>2017</v>
      </c>
      <c r="C12" s="36">
        <v>63598</v>
      </c>
      <c r="D12" s="36">
        <v>-12451</v>
      </c>
      <c r="E12" s="36">
        <f>+'Buidup Materials'!P13</f>
        <v>25162</v>
      </c>
      <c r="F12" s="36">
        <f t="shared" si="0"/>
        <v>76309</v>
      </c>
      <c r="G12" s="111">
        <f>+'Shares and Price'!F12</f>
        <v>20868.968000000001</v>
      </c>
      <c r="H12" s="112">
        <f t="shared" si="1"/>
        <v>3.6565775557277198</v>
      </c>
      <c r="I12" s="112">
        <f>+'Shares and Price'!I12</f>
        <v>38.529998999999997</v>
      </c>
      <c r="J12" s="156">
        <f t="shared" si="2"/>
        <v>9.490209319049607E-2</v>
      </c>
      <c r="O12" s="45">
        <f t="shared" si="8"/>
        <v>2026</v>
      </c>
      <c r="P12" s="28">
        <f t="shared" si="3"/>
        <v>4.2756538976733616</v>
      </c>
      <c r="Q12" s="55">
        <f t="shared" si="4"/>
        <v>3.5481023403509004E-2</v>
      </c>
      <c r="R12" s="98"/>
      <c r="T12" s="75">
        <f t="shared" si="9"/>
        <v>2026</v>
      </c>
      <c r="U12" s="76">
        <f t="shared" si="5"/>
        <v>4.2756538976733616</v>
      </c>
      <c r="V12" s="77"/>
      <c r="W12" s="78">
        <f t="shared" si="6"/>
        <v>4.2756538976733616</v>
      </c>
    </row>
    <row r="13" spans="1:33" x14ac:dyDescent="0.25">
      <c r="B13" s="20">
        <f t="shared" si="7"/>
        <v>2018</v>
      </c>
      <c r="C13" s="36">
        <v>77434</v>
      </c>
      <c r="D13" s="36">
        <v>-13313</v>
      </c>
      <c r="E13" s="36">
        <f>+'Buidup Materials'!P14</f>
        <v>469</v>
      </c>
      <c r="F13" s="36">
        <f t="shared" si="0"/>
        <v>64590</v>
      </c>
      <c r="G13" s="111">
        <f>+'Shares and Price'!F13</f>
        <v>19821.508000000002</v>
      </c>
      <c r="H13" s="112">
        <f t="shared" si="1"/>
        <v>3.2585815367831747</v>
      </c>
      <c r="I13" s="112">
        <f>+'Shares and Price'!I13</f>
        <v>56.435001</v>
      </c>
      <c r="J13" s="156">
        <f t="shared" si="2"/>
        <v>5.7740435528355442E-2</v>
      </c>
      <c r="O13" s="45">
        <f t="shared" si="8"/>
        <v>2027</v>
      </c>
      <c r="P13" s="28">
        <f t="shared" si="3"/>
        <v>4.4273584736820144</v>
      </c>
      <c r="Q13" s="55">
        <f t="shared" si="4"/>
        <v>3.5481023403509004E-2</v>
      </c>
      <c r="R13" s="98"/>
      <c r="T13" s="75">
        <f t="shared" si="9"/>
        <v>2027</v>
      </c>
      <c r="U13" s="76">
        <f t="shared" si="5"/>
        <v>4.4273584736820144</v>
      </c>
      <c r="V13" s="77"/>
      <c r="W13" s="78">
        <f t="shared" si="6"/>
        <v>4.4273584736820144</v>
      </c>
    </row>
    <row r="14" spans="1:33" x14ac:dyDescent="0.25">
      <c r="B14" s="20">
        <f t="shared" si="7"/>
        <v>2019</v>
      </c>
      <c r="C14" s="36">
        <v>69391</v>
      </c>
      <c r="D14" s="36">
        <v>-10495</v>
      </c>
      <c r="E14" s="36">
        <f>+'Buidup Materials'!P15</f>
        <v>-1842</v>
      </c>
      <c r="F14" s="36">
        <f t="shared" si="0"/>
        <v>57054</v>
      </c>
      <c r="G14" s="111">
        <f>+'Shares and Price'!F14</f>
        <v>18471.335999999999</v>
      </c>
      <c r="H14" s="112">
        <f t="shared" si="1"/>
        <v>3.0887857813858188</v>
      </c>
      <c r="I14" s="112">
        <f>+'Shares and Price'!I14</f>
        <v>55.9925</v>
      </c>
      <c r="J14" s="156">
        <f t="shared" si="2"/>
        <v>5.5164277026134197E-2</v>
      </c>
      <c r="O14" s="45">
        <f t="shared" si="8"/>
        <v>2028</v>
      </c>
      <c r="P14" s="28">
        <f t="shared" si="3"/>
        <v>4.5844456833024498</v>
      </c>
      <c r="Q14" s="55">
        <f t="shared" si="4"/>
        <v>3.5481023403509004E-2</v>
      </c>
      <c r="R14" s="98"/>
      <c r="T14" s="75">
        <f t="shared" si="9"/>
        <v>2028</v>
      </c>
      <c r="U14" s="76">
        <f t="shared" si="5"/>
        <v>4.5844456833024498</v>
      </c>
      <c r="V14" s="77"/>
      <c r="W14" s="78">
        <f t="shared" si="6"/>
        <v>4.5844456833024498</v>
      </c>
    </row>
    <row r="15" spans="1:33" x14ac:dyDescent="0.25">
      <c r="B15" s="20">
        <f t="shared" si="7"/>
        <v>2020</v>
      </c>
      <c r="C15" s="36">
        <v>80674</v>
      </c>
      <c r="D15" s="36">
        <v>-7309</v>
      </c>
      <c r="E15" s="36">
        <f>+'Buidup Materials'!P16</f>
        <v>3462</v>
      </c>
      <c r="F15" s="36">
        <f t="shared" si="0"/>
        <v>76827</v>
      </c>
      <c r="G15" s="111">
        <f>+'Shares and Price'!F15</f>
        <v>17352.118999999999</v>
      </c>
      <c r="H15" s="112">
        <f t="shared" si="1"/>
        <v>4.4275284188634254</v>
      </c>
      <c r="I15" s="112">
        <f>+'Shares and Price'!I15</f>
        <v>115.80999799999999</v>
      </c>
      <c r="J15" s="156">
        <f t="shared" si="2"/>
        <v>3.8230968787888467E-2</v>
      </c>
      <c r="O15" s="45">
        <f t="shared" si="8"/>
        <v>2029</v>
      </c>
      <c r="P15" s="28">
        <f t="shared" si="3"/>
        <v>4.7471065078838199</v>
      </c>
      <c r="Q15" s="55">
        <f t="shared" si="4"/>
        <v>3.5481023403509004E-2</v>
      </c>
      <c r="R15" s="98"/>
      <c r="T15" s="75">
        <f t="shared" si="9"/>
        <v>2029</v>
      </c>
      <c r="U15" s="76">
        <f t="shared" si="5"/>
        <v>4.7471065078838199</v>
      </c>
      <c r="V15" s="77"/>
      <c r="W15" s="78">
        <f t="shared" si="6"/>
        <v>4.7471065078838199</v>
      </c>
    </row>
    <row r="16" spans="1:33" x14ac:dyDescent="0.25">
      <c r="B16" s="22"/>
      <c r="C16" s="36"/>
      <c r="D16" s="36"/>
      <c r="E16" s="113"/>
      <c r="F16" s="113"/>
      <c r="G16" s="113"/>
      <c r="H16" s="113"/>
      <c r="I16" s="113"/>
      <c r="J16" s="156"/>
      <c r="O16" s="45">
        <f t="shared" si="8"/>
        <v>2030</v>
      </c>
      <c r="P16" s="28">
        <f t="shared" si="3"/>
        <v>4.9155387049889958</v>
      </c>
      <c r="Q16" s="55">
        <f t="shared" si="4"/>
        <v>3.5481023403509004E-2</v>
      </c>
      <c r="R16" s="98"/>
      <c r="T16" s="91">
        <f t="shared" si="9"/>
        <v>2030</v>
      </c>
      <c r="U16" s="92">
        <f t="shared" si="5"/>
        <v>4.9155387049889958</v>
      </c>
      <c r="V16" s="70">
        <f>+W31</f>
        <v>109.92963812174366</v>
      </c>
      <c r="W16" s="82">
        <f t="shared" si="6"/>
        <v>114.84517682673265</v>
      </c>
    </row>
    <row r="17" spans="1:23" x14ac:dyDescent="0.25">
      <c r="B17" s="106" t="s">
        <v>9</v>
      </c>
      <c r="C17" s="114">
        <f>(C15/C7)^(1/8)-1</f>
        <v>5.9373058712978155E-2</v>
      </c>
      <c r="D17" s="114">
        <f>(D15/D7)^(1/8)-1</f>
        <v>-1.5693854918205186E-2</v>
      </c>
      <c r="E17" s="115"/>
      <c r="F17" s="115"/>
      <c r="G17" s="114">
        <f>(G15/G7)^(1/8)-1</f>
        <v>-5.0087883109927955E-2</v>
      </c>
      <c r="H17" s="116"/>
      <c r="I17" s="117"/>
      <c r="J17" s="157">
        <f>+AVERAGE(J7:J15)</f>
        <v>9.2166619631364591E-2</v>
      </c>
      <c r="O17" s="27"/>
      <c r="P17" s="29"/>
      <c r="Q17" s="30"/>
      <c r="R17" s="13"/>
      <c r="T17" s="79"/>
      <c r="U17" s="80"/>
      <c r="V17" s="80"/>
      <c r="W17" s="81"/>
    </row>
    <row r="18" spans="1:23" s="11" customFormat="1" x14ac:dyDescent="0.25">
      <c r="B18" s="12"/>
      <c r="C18" s="118"/>
      <c r="D18" s="118"/>
      <c r="E18" s="119"/>
      <c r="F18" s="119"/>
      <c r="G18" s="119"/>
      <c r="H18" s="120"/>
      <c r="I18" s="119"/>
      <c r="J18" s="14"/>
      <c r="K18" s="2"/>
      <c r="L18" s="34"/>
      <c r="O18" s="182" t="s">
        <v>76</v>
      </c>
      <c r="P18" s="29"/>
      <c r="Q18" s="184">
        <f>+AVERAGE(J13:J15)</f>
        <v>5.0378560447459364E-2</v>
      </c>
      <c r="R18" s="99"/>
      <c r="S18"/>
      <c r="T18" s="83" t="s">
        <v>2</v>
      </c>
      <c r="U18" s="84"/>
      <c r="V18" s="84"/>
      <c r="W18" s="85">
        <f>+IRR(W7:W16)</f>
        <v>1.8445026430400357E-2</v>
      </c>
    </row>
    <row r="19" spans="1:23" x14ac:dyDescent="0.25">
      <c r="C19" s="121"/>
      <c r="D19" s="121"/>
      <c r="E19" s="122"/>
      <c r="F19" s="122"/>
      <c r="G19" s="123"/>
      <c r="H19" s="124"/>
      <c r="I19" s="123"/>
      <c r="O19" s="31" t="str">
        <f>"Stock Price "&amp;+O16</f>
        <v>Stock Price 2030</v>
      </c>
      <c r="P19" s="32"/>
      <c r="Q19" s="53">
        <f>+P16/Q18</f>
        <v>97.572035828921557</v>
      </c>
      <c r="T19" s="93" t="s">
        <v>27</v>
      </c>
      <c r="U19" s="84"/>
      <c r="V19" s="84"/>
      <c r="W19" s="86">
        <f>+SUM(U7:U16)</f>
        <v>42.228633583586095</v>
      </c>
    </row>
    <row r="20" spans="1:23" x14ac:dyDescent="0.25">
      <c r="C20" s="121"/>
      <c r="D20" s="121"/>
      <c r="E20" s="122"/>
      <c r="F20" s="122"/>
      <c r="G20" s="123"/>
      <c r="H20" s="124"/>
      <c r="I20" s="123"/>
      <c r="T20" s="93" t="s">
        <v>28</v>
      </c>
      <c r="U20" s="84"/>
      <c r="V20" s="84"/>
      <c r="W20" s="87">
        <f>+V16+V7</f>
        <v>-22.070361878256335</v>
      </c>
    </row>
    <row r="21" spans="1:23" x14ac:dyDescent="0.25">
      <c r="C21" s="121"/>
      <c r="D21" s="121"/>
      <c r="E21" s="122"/>
      <c r="F21" s="122"/>
      <c r="G21" s="123"/>
      <c r="H21" s="124"/>
      <c r="I21" s="123"/>
      <c r="T21" s="83" t="s">
        <v>1</v>
      </c>
      <c r="U21" s="84"/>
      <c r="V21" s="84"/>
      <c r="W21" s="88">
        <f>+W19+W20</f>
        <v>20.15827170532976</v>
      </c>
    </row>
    <row r="22" spans="1:23" x14ac:dyDescent="0.25">
      <c r="C22" s="122"/>
      <c r="D22" s="141"/>
      <c r="E22" s="121"/>
      <c r="F22" s="122"/>
      <c r="G22" s="122"/>
      <c r="H22" s="123"/>
      <c r="I22" s="124"/>
      <c r="J22" s="10"/>
      <c r="K22"/>
      <c r="L22" s="2"/>
      <c r="O22" s="25" t="s">
        <v>11</v>
      </c>
      <c r="P22" s="18"/>
      <c r="Q22" s="18"/>
      <c r="T22" s="89" t="s">
        <v>29</v>
      </c>
      <c r="U22" s="90"/>
      <c r="V22" s="90"/>
      <c r="W22" s="108">
        <f>-SUM(U7:U16,V16)/V7</f>
        <v>1.1527141795858316</v>
      </c>
    </row>
    <row r="23" spans="1:23" ht="45" x14ac:dyDescent="0.25">
      <c r="B23" s="5" t="s">
        <v>0</v>
      </c>
      <c r="C23" s="125" t="s">
        <v>32</v>
      </c>
      <c r="D23" s="126" t="s">
        <v>12</v>
      </c>
      <c r="E23" s="126" t="s">
        <v>16</v>
      </c>
      <c r="F23" s="126" t="s">
        <v>33</v>
      </c>
      <c r="G23" s="126" t="s">
        <v>17</v>
      </c>
      <c r="H23" s="126" t="s">
        <v>14</v>
      </c>
      <c r="I23" s="126" t="s">
        <v>34</v>
      </c>
      <c r="J23" s="33" t="s">
        <v>15</v>
      </c>
      <c r="K23" s="33" t="s">
        <v>35</v>
      </c>
      <c r="L23"/>
      <c r="O23" s="33" t="s">
        <v>59</v>
      </c>
      <c r="P23" s="33" t="str">
        <f>+D23</f>
        <v>EBITDA</v>
      </c>
      <c r="Q23" s="33" t="str">
        <f>+E23</f>
        <v>EBITDA 
Growth</v>
      </c>
      <c r="R23" s="100"/>
    </row>
    <row r="24" spans="1:23" ht="5.0999999999999996" customHeight="1" x14ac:dyDescent="0.25">
      <c r="C24" s="121"/>
      <c r="D24" s="122"/>
      <c r="E24" s="127"/>
      <c r="F24" s="122"/>
      <c r="G24" s="122"/>
      <c r="H24" s="122"/>
      <c r="I24" s="122"/>
      <c r="J24" s="34"/>
      <c r="K24" s="34"/>
      <c r="L24"/>
    </row>
    <row r="25" spans="1:23" x14ac:dyDescent="0.25">
      <c r="B25" s="37">
        <f t="shared" ref="B25:B33" si="10">+B7</f>
        <v>2012</v>
      </c>
      <c r="C25" s="38">
        <v>156508</v>
      </c>
      <c r="D25" s="38">
        <f>+'Buidup Materials'!W8</f>
        <v>58518</v>
      </c>
      <c r="E25" s="134" t="s">
        <v>18</v>
      </c>
      <c r="F25" s="38">
        <f>+'Buidup Materials'!G8</f>
        <v>0</v>
      </c>
      <c r="G25" s="38">
        <f>+'Buidup Materials'!K8</f>
        <v>110505</v>
      </c>
      <c r="H25" s="38">
        <f>+G7*I7</f>
        <v>623617.11397490394</v>
      </c>
      <c r="I25" s="38">
        <f>+F25-G25+H25</f>
        <v>513112.11397490394</v>
      </c>
      <c r="J25" s="128">
        <f>+I25/D25</f>
        <v>8.7684492630456266</v>
      </c>
      <c r="K25" s="138">
        <f>+MAX(0,(F25-G25)/D25)</f>
        <v>0</v>
      </c>
      <c r="L25"/>
      <c r="O25" s="44">
        <f>+B33+1</f>
        <v>2021</v>
      </c>
      <c r="P25" s="42">
        <f>+D33*(1+Q25)</f>
        <v>80088.244274120996</v>
      </c>
      <c r="Q25" s="54">
        <f>+E35</f>
        <v>3.5481023403509004E-2</v>
      </c>
      <c r="R25" s="101"/>
      <c r="T25" s="67" t="s">
        <v>69</v>
      </c>
      <c r="U25" s="68"/>
      <c r="V25" s="68"/>
      <c r="W25" s="69"/>
    </row>
    <row r="26" spans="1:23" x14ac:dyDescent="0.25">
      <c r="A26" s="140"/>
      <c r="B26" s="39">
        <f t="shared" si="10"/>
        <v>2013</v>
      </c>
      <c r="C26" s="36">
        <v>170910</v>
      </c>
      <c r="D26" s="36">
        <f>+'Buidup Materials'!W9</f>
        <v>55756</v>
      </c>
      <c r="E26" s="135">
        <f>+D26/D25-1</f>
        <v>-4.7199152397552901E-2</v>
      </c>
      <c r="F26" s="36">
        <f>+'Buidup Materials'!G9</f>
        <v>16960</v>
      </c>
      <c r="G26" s="36">
        <f>+'Buidup Materials'!K9</f>
        <v>132502</v>
      </c>
      <c r="H26" s="36">
        <f t="shared" ref="H26:H33" si="11">+G8*I8</f>
        <v>441151.53574338002</v>
      </c>
      <c r="I26" s="36">
        <f>+F26-G26+H26</f>
        <v>325609.53574338002</v>
      </c>
      <c r="J26" s="129">
        <f t="shared" ref="J26:J33" si="12">+I26/D26</f>
        <v>5.8399012795641729</v>
      </c>
      <c r="K26" s="130">
        <f t="shared" ref="K26:K33" si="13">+MAX(0,(F26-G26)/D26)</f>
        <v>0</v>
      </c>
      <c r="L26"/>
      <c r="O26" s="45">
        <f>+O25+1</f>
        <v>2022</v>
      </c>
      <c r="P26" s="43">
        <f>+P25*(1+Q26)</f>
        <v>82929.857143557034</v>
      </c>
      <c r="Q26" s="55">
        <f>+Q25</f>
        <v>3.5481023403509004E-2</v>
      </c>
      <c r="R26" s="101"/>
      <c r="T26" s="57" t="s">
        <v>23</v>
      </c>
      <c r="U26" s="58"/>
      <c r="V26" s="58"/>
      <c r="W26" s="59">
        <v>132</v>
      </c>
    </row>
    <row r="27" spans="1:23" x14ac:dyDescent="0.25">
      <c r="A27" s="140"/>
      <c r="B27" s="39">
        <f t="shared" si="10"/>
        <v>2014</v>
      </c>
      <c r="C27" s="36">
        <v>182795</v>
      </c>
      <c r="D27" s="36">
        <f>+'Buidup Materials'!W10</f>
        <v>60449</v>
      </c>
      <c r="E27" s="135">
        <f>+D27/D26-1</f>
        <v>8.4170313508860062E-2</v>
      </c>
      <c r="F27" s="36">
        <f>+'Buidup Materials'!G10</f>
        <v>28987</v>
      </c>
      <c r="G27" s="36">
        <f>+'Buidup Materials'!K10</f>
        <v>141395</v>
      </c>
      <c r="H27" s="36">
        <f t="shared" si="11"/>
        <v>613121.37899999996</v>
      </c>
      <c r="I27" s="36">
        <f t="shared" ref="I27:I33" si="14">+F27-G27+H27</f>
        <v>500713.37899999996</v>
      </c>
      <c r="J27" s="129">
        <f t="shared" si="12"/>
        <v>8.2832367615676024</v>
      </c>
      <c r="K27" s="130">
        <f t="shared" si="13"/>
        <v>0</v>
      </c>
      <c r="L27"/>
      <c r="O27" s="45">
        <f t="shared" ref="O27:O34" si="15">+O26+1</f>
        <v>2023</v>
      </c>
      <c r="P27" s="43">
        <f t="shared" ref="P27:P34" si="16">+P26*(1+Q27)</f>
        <v>85872.293345717233</v>
      </c>
      <c r="Q27" s="55">
        <f t="shared" ref="Q27:Q34" si="17">+Q26</f>
        <v>3.5481023403509004E-2</v>
      </c>
      <c r="R27" s="101"/>
      <c r="T27" s="60"/>
      <c r="U27" s="29"/>
      <c r="V27" s="29"/>
      <c r="W27" s="30"/>
    </row>
    <row r="28" spans="1:23" x14ac:dyDescent="0.25">
      <c r="A28" s="140"/>
      <c r="B28" s="39">
        <f t="shared" si="10"/>
        <v>2015</v>
      </c>
      <c r="C28" s="36">
        <v>233715</v>
      </c>
      <c r="D28" s="36">
        <f>+'Buidup Materials'!W11</f>
        <v>82487</v>
      </c>
      <c r="E28" s="135">
        <f t="shared" ref="E28:E33" si="18">+D28/D27-1</f>
        <v>0.36457178778805277</v>
      </c>
      <c r="F28" s="36">
        <f>+'Buidup Materials'!G11</f>
        <v>53713</v>
      </c>
      <c r="G28" s="36">
        <f>+'Buidup Materials'!K11</f>
        <v>184546</v>
      </c>
      <c r="H28" s="36">
        <f t="shared" si="11"/>
        <v>634602.35931368405</v>
      </c>
      <c r="I28" s="36">
        <f t="shared" si="14"/>
        <v>503769.35931368405</v>
      </c>
      <c r="J28" s="129">
        <f t="shared" si="12"/>
        <v>6.1072576201544972</v>
      </c>
      <c r="K28" s="130">
        <f t="shared" si="13"/>
        <v>0</v>
      </c>
      <c r="L28"/>
      <c r="O28" s="45">
        <f t="shared" si="15"/>
        <v>2024</v>
      </c>
      <c r="P28" s="43">
        <f t="shared" si="16"/>
        <v>88919.130195629623</v>
      </c>
      <c r="Q28" s="55">
        <f t="shared" si="17"/>
        <v>3.5481023403509004E-2</v>
      </c>
      <c r="R28" s="101"/>
      <c r="T28" s="27"/>
      <c r="U28" s="29"/>
      <c r="V28" s="56" t="s">
        <v>24</v>
      </c>
      <c r="W28" s="61" t="s">
        <v>25</v>
      </c>
    </row>
    <row r="29" spans="1:23" x14ac:dyDescent="0.25">
      <c r="A29" s="140"/>
      <c r="B29" s="39">
        <f t="shared" si="10"/>
        <v>2016</v>
      </c>
      <c r="C29" s="36">
        <v>215639</v>
      </c>
      <c r="D29" s="36">
        <f>+'Buidup Materials'!W12</f>
        <v>70529</v>
      </c>
      <c r="E29" s="135">
        <f t="shared" si="18"/>
        <v>-0.1449682980348419</v>
      </c>
      <c r="F29" s="36">
        <f>+'Buidup Materials'!G12</f>
        <v>78927</v>
      </c>
      <c r="G29" s="36">
        <f>+'Buidup Materials'!K12</f>
        <v>217101</v>
      </c>
      <c r="H29" s="36">
        <f t="shared" si="11"/>
        <v>618476.22288328002</v>
      </c>
      <c r="I29" s="36">
        <f t="shared" si="14"/>
        <v>480302.22288328002</v>
      </c>
      <c r="J29" s="129">
        <f t="shared" si="12"/>
        <v>6.8099962126682643</v>
      </c>
      <c r="K29" s="130">
        <f t="shared" si="13"/>
        <v>0</v>
      </c>
      <c r="L29"/>
      <c r="O29" s="45">
        <f t="shared" si="15"/>
        <v>2025</v>
      </c>
      <c r="P29" s="43">
        <f t="shared" si="16"/>
        <v>92074.071935120417</v>
      </c>
      <c r="Q29" s="55">
        <f t="shared" si="17"/>
        <v>3.5481023403509004E-2</v>
      </c>
      <c r="R29" s="101"/>
      <c r="T29" s="62" t="str">
        <f>+"FCFE Price "&amp;O16</f>
        <v>FCFE Price 2030</v>
      </c>
      <c r="U29" s="29"/>
      <c r="V29" s="63">
        <v>0.5</v>
      </c>
      <c r="W29" s="64">
        <f>+Q19</f>
        <v>97.572035828921557</v>
      </c>
    </row>
    <row r="30" spans="1:23" x14ac:dyDescent="0.25">
      <c r="A30" s="140"/>
      <c r="B30" s="39">
        <f t="shared" si="10"/>
        <v>2017</v>
      </c>
      <c r="C30" s="36">
        <v>229234</v>
      </c>
      <c r="D30" s="36">
        <f>+'Buidup Materials'!W13</f>
        <v>71501</v>
      </c>
      <c r="E30" s="135">
        <f t="shared" si="18"/>
        <v>1.378156502998773E-2</v>
      </c>
      <c r="F30" s="36">
        <f>+'Buidup Materials'!G13</f>
        <v>103703</v>
      </c>
      <c r="G30" s="36">
        <f>+'Buidup Materials'!K13</f>
        <v>248606</v>
      </c>
      <c r="H30" s="36">
        <f t="shared" si="11"/>
        <v>804081.31617103191</v>
      </c>
      <c r="I30" s="36">
        <f t="shared" si="14"/>
        <v>659178.31617103191</v>
      </c>
      <c r="J30" s="129">
        <f t="shared" si="12"/>
        <v>9.2191482101093953</v>
      </c>
      <c r="K30" s="130">
        <f t="shared" si="13"/>
        <v>0</v>
      </c>
      <c r="L30"/>
      <c r="O30" s="45">
        <f t="shared" si="15"/>
        <v>2026</v>
      </c>
      <c r="P30" s="43">
        <f t="shared" si="16"/>
        <v>95340.954236306803</v>
      </c>
      <c r="Q30" s="55">
        <f t="shared" si="17"/>
        <v>3.5481023403509004E-2</v>
      </c>
      <c r="R30" s="101"/>
      <c r="T30" s="62" t="str">
        <f>+"EV Multiple "&amp;O34</f>
        <v>EV Multiple 2030</v>
      </c>
      <c r="U30" s="29"/>
      <c r="V30" s="94">
        <v>0.5</v>
      </c>
      <c r="W30" s="50">
        <f>+Q43</f>
        <v>122.28724041456579</v>
      </c>
    </row>
    <row r="31" spans="1:23" x14ac:dyDescent="0.25">
      <c r="A31" s="140"/>
      <c r="B31" s="39">
        <f t="shared" si="10"/>
        <v>2018</v>
      </c>
      <c r="C31" s="36">
        <v>265595</v>
      </c>
      <c r="D31" s="36">
        <f>+'Buidup Materials'!W14</f>
        <v>81801</v>
      </c>
      <c r="E31" s="135">
        <f t="shared" si="18"/>
        <v>0.14405392931567396</v>
      </c>
      <c r="F31" s="36">
        <f>+'Buidup Materials'!G14</f>
        <v>102519</v>
      </c>
      <c r="G31" s="36">
        <f>+'Buidup Materials'!K14</f>
        <v>211187</v>
      </c>
      <c r="H31" s="36">
        <f t="shared" si="11"/>
        <v>1118626.8238015082</v>
      </c>
      <c r="I31" s="36">
        <f t="shared" si="14"/>
        <v>1009958.8238015082</v>
      </c>
      <c r="J31" s="129">
        <f t="shared" si="12"/>
        <v>12.346533951926116</v>
      </c>
      <c r="K31" s="130">
        <f t="shared" si="13"/>
        <v>0</v>
      </c>
      <c r="L31"/>
      <c r="O31" s="45">
        <f t="shared" si="15"/>
        <v>2027</v>
      </c>
      <c r="P31" s="43">
        <f t="shared" si="16"/>
        <v>98723.748864878085</v>
      </c>
      <c r="Q31" s="55">
        <f t="shared" si="17"/>
        <v>3.5481023403509004E-2</v>
      </c>
      <c r="R31" s="101"/>
      <c r="T31" s="65"/>
      <c r="U31" s="51"/>
      <c r="V31" s="95">
        <f>SUM(V29:V30)</f>
        <v>1</v>
      </c>
      <c r="W31" s="66">
        <f>+SUMPRODUCT(V29:V30,W29:W30)</f>
        <v>109.92963812174366</v>
      </c>
    </row>
    <row r="32" spans="1:23" x14ac:dyDescent="0.25">
      <c r="A32" s="140"/>
      <c r="B32" s="39">
        <f t="shared" si="10"/>
        <v>2019</v>
      </c>
      <c r="C32" s="36">
        <v>260174</v>
      </c>
      <c r="D32" s="36">
        <f>+'Buidup Materials'!W15</f>
        <v>76477</v>
      </c>
      <c r="E32" s="135">
        <f t="shared" si="18"/>
        <v>-6.5084778914683228E-2</v>
      </c>
      <c r="F32" s="36">
        <f>+'Buidup Materials'!G15</f>
        <v>102067</v>
      </c>
      <c r="G32" s="36">
        <f>+'Buidup Materials'!K15</f>
        <v>157054</v>
      </c>
      <c r="H32" s="36">
        <f t="shared" si="11"/>
        <v>1034256.2809799999</v>
      </c>
      <c r="I32" s="36">
        <f t="shared" si="14"/>
        <v>979269.28097999992</v>
      </c>
      <c r="J32" s="129">
        <f t="shared" si="12"/>
        <v>12.804755429475527</v>
      </c>
      <c r="K32" s="130">
        <f t="shared" si="13"/>
        <v>0</v>
      </c>
      <c r="L32"/>
      <c r="O32" s="45">
        <f t="shared" si="15"/>
        <v>2028</v>
      </c>
      <c r="P32" s="43">
        <f t="shared" si="16"/>
        <v>102226.56850883497</v>
      </c>
      <c r="Q32" s="55">
        <f t="shared" si="17"/>
        <v>3.5481023403509004E-2</v>
      </c>
      <c r="R32" s="101"/>
      <c r="T32" s="2"/>
    </row>
    <row r="33" spans="1:20" x14ac:dyDescent="0.25">
      <c r="A33" s="140"/>
      <c r="B33" s="39">
        <f t="shared" si="10"/>
        <v>2020</v>
      </c>
      <c r="C33" s="36">
        <v>274515</v>
      </c>
      <c r="D33" s="36">
        <f>+'Buidup Materials'!W16</f>
        <v>77344</v>
      </c>
      <c r="E33" s="135">
        <f t="shared" si="18"/>
        <v>1.1336741765498148E-2</v>
      </c>
      <c r="F33" s="36">
        <f>+'Buidup Materials'!G16</f>
        <v>107440</v>
      </c>
      <c r="G33" s="36">
        <f>+'Buidup Materials'!K16</f>
        <v>153814</v>
      </c>
      <c r="H33" s="36">
        <f t="shared" si="11"/>
        <v>2009548.8666857618</v>
      </c>
      <c r="I33" s="36">
        <f t="shared" si="14"/>
        <v>1963174.8666857618</v>
      </c>
      <c r="J33" s="129">
        <f t="shared" si="12"/>
        <v>25.382380878746403</v>
      </c>
      <c r="K33" s="130">
        <f t="shared" si="13"/>
        <v>0</v>
      </c>
      <c r="L33"/>
      <c r="O33" s="45">
        <f t="shared" si="15"/>
        <v>2029</v>
      </c>
      <c r="P33" s="43">
        <f t="shared" si="16"/>
        <v>105853.67177855736</v>
      </c>
      <c r="Q33" s="55">
        <f t="shared" si="17"/>
        <v>3.5481023403509004E-2</v>
      </c>
      <c r="R33" s="101"/>
      <c r="T33" s="2"/>
    </row>
    <row r="34" spans="1:20" x14ac:dyDescent="0.25">
      <c r="B34" s="40"/>
      <c r="C34" s="23"/>
      <c r="D34" s="36"/>
      <c r="E34" s="136"/>
      <c r="F34" s="21"/>
      <c r="G34" s="36"/>
      <c r="H34" s="21"/>
      <c r="I34" s="36"/>
      <c r="J34" s="129"/>
      <c r="K34" s="131"/>
      <c r="L34" s="11"/>
      <c r="M34" s="11"/>
      <c r="N34" s="11"/>
      <c r="O34" s="45">
        <f t="shared" si="15"/>
        <v>2030</v>
      </c>
      <c r="P34" s="43">
        <f t="shared" si="16"/>
        <v>109609.46838427971</v>
      </c>
      <c r="Q34" s="55">
        <f t="shared" si="17"/>
        <v>3.5481023403509004E-2</v>
      </c>
      <c r="R34" s="101"/>
      <c r="T34" s="2"/>
    </row>
    <row r="35" spans="1:20" x14ac:dyDescent="0.25">
      <c r="B35" s="106" t="s">
        <v>9</v>
      </c>
      <c r="C35" s="105">
        <f>(C33/C25)^(1/8)-1</f>
        <v>7.276276825018102E-2</v>
      </c>
      <c r="D35" s="41"/>
      <c r="E35" s="137">
        <f>+((1+E26)*(1+E27)*(1+E28)*(1+E29)*(1+E30)*(1+E31)*(1+E32)*(1+E33))^(1/8)-1</f>
        <v>3.5481023403509004E-2</v>
      </c>
      <c r="F35" s="24">
        <f>+AVERAGE(F25:F33)</f>
        <v>66035.111111111109</v>
      </c>
      <c r="G35" s="24">
        <f t="shared" ref="G35:K35" si="19">+AVERAGE(G25:G33)</f>
        <v>172967.77777777778</v>
      </c>
      <c r="H35" s="24">
        <f t="shared" si="19"/>
        <v>877497.98872817226</v>
      </c>
      <c r="I35" s="24">
        <f t="shared" si="19"/>
        <v>770565.32206150563</v>
      </c>
      <c r="J35" s="132">
        <f t="shared" si="19"/>
        <v>10.617962178584179</v>
      </c>
      <c r="K35" s="133">
        <f t="shared" si="19"/>
        <v>0</v>
      </c>
      <c r="L35"/>
      <c r="O35" s="27"/>
      <c r="P35" s="29"/>
      <c r="Q35" s="30"/>
      <c r="R35" s="13"/>
      <c r="T35" s="2"/>
    </row>
    <row r="36" spans="1:20" x14ac:dyDescent="0.25">
      <c r="C36"/>
      <c r="D36"/>
      <c r="I36" s="2"/>
      <c r="J36" s="34"/>
      <c r="K36" s="34"/>
      <c r="L36"/>
      <c r="O36" s="46" t="s">
        <v>74</v>
      </c>
      <c r="P36" s="29"/>
      <c r="Q36" s="183">
        <v>17</v>
      </c>
      <c r="R36" s="102"/>
      <c r="T36" s="2"/>
    </row>
    <row r="37" spans="1:20" x14ac:dyDescent="0.25">
      <c r="C37"/>
      <c r="D37"/>
      <c r="F37" s="1"/>
      <c r="I37" s="2"/>
      <c r="J37" s="34"/>
      <c r="K37" s="34"/>
      <c r="L37"/>
      <c r="O37" s="27" t="str">
        <f>+"EV "&amp;+O34</f>
        <v>EV 2030</v>
      </c>
      <c r="P37" s="29"/>
      <c r="Q37" s="47">
        <f>+P34*Q36</f>
        <v>1863360.962532755</v>
      </c>
      <c r="R37" s="102"/>
      <c r="T37" s="2"/>
    </row>
    <row r="38" spans="1:20" x14ac:dyDescent="0.25">
      <c r="C38"/>
      <c r="D38"/>
      <c r="F38" s="4"/>
      <c r="I38" s="2"/>
      <c r="J38" s="34"/>
      <c r="K38" s="34"/>
      <c r="L38"/>
      <c r="O38" s="46" t="s">
        <v>19</v>
      </c>
      <c r="P38" s="29"/>
      <c r="Q38" s="47">
        <f>+Q37*(F35/I35)</f>
        <v>159684.38324186087</v>
      </c>
      <c r="R38" s="102"/>
      <c r="T38" s="2"/>
    </row>
    <row r="39" spans="1:20" x14ac:dyDescent="0.25">
      <c r="C39"/>
      <c r="D39"/>
      <c r="F39" s="1"/>
      <c r="I39" s="2"/>
      <c r="J39" s="34"/>
      <c r="K39" s="34"/>
      <c r="L39"/>
      <c r="O39" s="46" t="s">
        <v>20</v>
      </c>
      <c r="P39" s="29"/>
      <c r="Q39" s="48">
        <f>+Q37*(G35/I35)</f>
        <v>418266.16856426088</v>
      </c>
      <c r="R39" s="103"/>
      <c r="T39" s="2"/>
    </row>
    <row r="40" spans="1:20" x14ac:dyDescent="0.25">
      <c r="C40"/>
      <c r="D40"/>
      <c r="I40" s="2"/>
      <c r="J40" s="34"/>
      <c r="K40" s="34"/>
      <c r="L40"/>
      <c r="O40" s="27" t="s">
        <v>13</v>
      </c>
      <c r="P40" s="29"/>
      <c r="Q40" s="49">
        <f>+Q37-Q38+Q39</f>
        <v>2121942.7478551548</v>
      </c>
      <c r="R40" s="104"/>
      <c r="T40" s="2"/>
    </row>
    <row r="41" spans="1:20" ht="5.0999999999999996" customHeight="1" x14ac:dyDescent="0.25">
      <c r="C41"/>
      <c r="D41"/>
      <c r="I41" s="2"/>
      <c r="J41" s="34"/>
      <c r="K41" s="34"/>
      <c r="L41"/>
      <c r="O41" s="27"/>
      <c r="P41" s="29"/>
      <c r="Q41" s="49"/>
      <c r="R41" s="99"/>
      <c r="T41" s="2"/>
    </row>
    <row r="42" spans="1:20" x14ac:dyDescent="0.25">
      <c r="O42" s="46" t="s">
        <v>21</v>
      </c>
      <c r="P42" s="29"/>
      <c r="Q42" s="185">
        <f>+G15</f>
        <v>17352.118999999999</v>
      </c>
      <c r="T42" s="2"/>
    </row>
    <row r="43" spans="1:20" x14ac:dyDescent="0.25">
      <c r="O43" s="31" t="str">
        <f>+"Stock Price "&amp;+O34</f>
        <v>Stock Price 2030</v>
      </c>
      <c r="P43" s="52"/>
      <c r="Q43" s="53">
        <f>+Q40/Q42</f>
        <v>122.28724041456579</v>
      </c>
      <c r="R43"/>
    </row>
    <row r="44" spans="1:20" x14ac:dyDescent="0.25">
      <c r="O44" s="11"/>
      <c r="Q44" s="2"/>
      <c r="R44"/>
    </row>
    <row r="45" spans="1:20" x14ac:dyDescent="0.25">
      <c r="O45" s="11"/>
      <c r="P45" s="2"/>
      <c r="R45"/>
    </row>
    <row r="46" spans="1:20" x14ac:dyDescent="0.25">
      <c r="O46" s="11"/>
      <c r="P46" s="2"/>
      <c r="R46"/>
    </row>
    <row r="47" spans="1:20" x14ac:dyDescent="0.25">
      <c r="S47" s="2"/>
    </row>
  </sheetData>
  <sortState ref="B4:K12">
    <sortCondition ref="B4"/>
  </sortState>
  <pageMargins left="0.7" right="0.7" top="0.75" bottom="0.75" header="0.3" footer="0.3"/>
  <pageSetup orientation="portrait" r:id="rId1"/>
  <ignoredErrors>
    <ignoredError sqref="I7:I1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workbookViewId="0">
      <selection activeCell="D2" sqref="D2"/>
    </sheetView>
  </sheetViews>
  <sheetFormatPr defaultRowHeight="15" x14ac:dyDescent="0.25"/>
  <cols>
    <col min="1" max="1" width="3.7109375" customWidth="1"/>
    <col min="2" max="2" width="9.140625" style="3"/>
    <col min="3" max="3" width="5.7109375" customWidth="1"/>
    <col min="4" max="7" width="15.7109375" customWidth="1"/>
    <col min="8" max="8" width="5.7109375" customWidth="1"/>
    <col min="9" max="11" width="15.7109375" customWidth="1"/>
    <col min="12" max="12" width="5.7109375" customWidth="1"/>
    <col min="13" max="16" width="15.7109375" customWidth="1"/>
    <col min="17" max="17" width="5.7109375" customWidth="1"/>
    <col min="18" max="23" width="15.7109375" customWidth="1"/>
  </cols>
  <sheetData>
    <row r="1" spans="1:23" x14ac:dyDescent="0.25">
      <c r="A1" s="3" t="s">
        <v>37</v>
      </c>
    </row>
    <row r="2" spans="1:23" x14ac:dyDescent="0.25">
      <c r="A2" s="3" t="s">
        <v>22</v>
      </c>
      <c r="G2" s="197" t="s">
        <v>78</v>
      </c>
      <c r="H2" s="198" t="s">
        <v>79</v>
      </c>
      <c r="I2" s="198"/>
      <c r="J2" s="199"/>
    </row>
    <row r="3" spans="1:23" x14ac:dyDescent="0.25">
      <c r="A3" s="96" t="s">
        <v>38</v>
      </c>
      <c r="B3" s="167"/>
      <c r="C3" s="166"/>
      <c r="D3" s="166"/>
    </row>
    <row r="5" spans="1:23" x14ac:dyDescent="0.25">
      <c r="D5" s="15" t="s">
        <v>47</v>
      </c>
      <c r="E5" s="17"/>
      <c r="F5" s="17"/>
      <c r="G5" s="17"/>
      <c r="I5" s="15" t="s">
        <v>47</v>
      </c>
      <c r="J5" s="17"/>
      <c r="K5" s="17"/>
      <c r="L5" s="34"/>
      <c r="M5" s="15" t="s">
        <v>45</v>
      </c>
      <c r="N5" s="17"/>
      <c r="O5" s="17"/>
      <c r="P5" s="18"/>
      <c r="R5" s="15" t="s">
        <v>54</v>
      </c>
      <c r="S5" s="15"/>
      <c r="T5" s="17"/>
      <c r="U5" s="17"/>
      <c r="V5" s="17"/>
      <c r="W5" s="17"/>
    </row>
    <row r="6" spans="1:23" x14ac:dyDescent="0.25">
      <c r="D6" s="146" t="s">
        <v>46</v>
      </c>
      <c r="E6" s="17"/>
      <c r="F6" s="17"/>
      <c r="G6" s="18"/>
      <c r="I6" s="146" t="s">
        <v>39</v>
      </c>
      <c r="J6" s="17"/>
      <c r="K6" s="18"/>
      <c r="L6" s="34"/>
      <c r="M6" s="17" t="s">
        <v>44</v>
      </c>
      <c r="N6" s="17"/>
      <c r="O6" s="17"/>
      <c r="P6" s="18"/>
      <c r="R6" s="17" t="s">
        <v>55</v>
      </c>
      <c r="S6" s="17"/>
      <c r="T6" s="17"/>
      <c r="U6" s="17"/>
      <c r="V6" s="17"/>
      <c r="W6" s="17"/>
    </row>
    <row r="7" spans="1:23" ht="45" x14ac:dyDescent="0.3">
      <c r="B7" s="153" t="s">
        <v>56</v>
      </c>
      <c r="D7" s="148" t="s">
        <v>51</v>
      </c>
      <c r="E7" s="148" t="s">
        <v>52</v>
      </c>
      <c r="F7" s="149" t="s">
        <v>53</v>
      </c>
      <c r="G7" s="145" t="s">
        <v>40</v>
      </c>
      <c r="I7" s="148" t="s">
        <v>51</v>
      </c>
      <c r="J7" s="148" t="s">
        <v>52</v>
      </c>
      <c r="K7" s="147" t="s">
        <v>40</v>
      </c>
      <c r="L7" s="34"/>
      <c r="M7" s="143" t="s">
        <v>42</v>
      </c>
      <c r="N7" s="143" t="s">
        <v>43</v>
      </c>
      <c r="O7" s="144" t="s">
        <v>41</v>
      </c>
      <c r="P7" s="145" t="s">
        <v>40</v>
      </c>
      <c r="R7" s="161" t="s">
        <v>58</v>
      </c>
      <c r="S7" s="161" t="s">
        <v>57</v>
      </c>
      <c r="T7" s="161" t="s">
        <v>48</v>
      </c>
      <c r="U7" s="161" t="s">
        <v>49</v>
      </c>
      <c r="V7" s="161" t="s">
        <v>50</v>
      </c>
      <c r="W7" s="150" t="s">
        <v>12</v>
      </c>
    </row>
    <row r="8" spans="1:23" s="4" customFormat="1" x14ac:dyDescent="0.25">
      <c r="A8"/>
      <c r="B8" s="154">
        <f>+'The Puzzle and FCST'!B25</f>
        <v>2012</v>
      </c>
      <c r="D8" s="186">
        <v>0</v>
      </c>
      <c r="E8" s="186">
        <v>0</v>
      </c>
      <c r="F8" s="187">
        <v>0</v>
      </c>
      <c r="G8" s="151">
        <f t="shared" ref="G8:G16" si="0">SUM(D8:F8)</f>
        <v>0</v>
      </c>
      <c r="I8" s="186">
        <v>18383</v>
      </c>
      <c r="J8" s="186">
        <v>92122</v>
      </c>
      <c r="K8" s="152">
        <f t="shared" ref="K8:K16" si="1">SUM(I8:J8)</f>
        <v>110505</v>
      </c>
      <c r="M8" s="186">
        <v>0</v>
      </c>
      <c r="N8" s="186">
        <v>-1698</v>
      </c>
      <c r="O8" s="187">
        <v>0</v>
      </c>
      <c r="P8" s="151">
        <f t="shared" ref="P8:P16" si="2">SUM(M8:O8)</f>
        <v>-1698</v>
      </c>
      <c r="R8" s="186">
        <v>41733</v>
      </c>
      <c r="S8" s="186">
        <v>14030</v>
      </c>
      <c r="T8" s="186">
        <v>-522</v>
      </c>
      <c r="U8" s="186">
        <v>0</v>
      </c>
      <c r="V8" s="186">
        <v>3277</v>
      </c>
      <c r="W8" s="152">
        <f t="shared" ref="W8:W16" si="3">SUM(R8:V8)</f>
        <v>58518</v>
      </c>
    </row>
    <row r="9" spans="1:23" s="4" customFormat="1" x14ac:dyDescent="0.25">
      <c r="A9"/>
      <c r="B9" s="154">
        <f>+'The Puzzle and FCST'!B26</f>
        <v>2013</v>
      </c>
      <c r="D9" s="186">
        <v>0</v>
      </c>
      <c r="E9" s="186">
        <v>16960</v>
      </c>
      <c r="F9" s="187">
        <v>0</v>
      </c>
      <c r="G9" s="151">
        <f t="shared" si="0"/>
        <v>16960</v>
      </c>
      <c r="I9" s="186">
        <v>26287</v>
      </c>
      <c r="J9" s="186">
        <v>106215</v>
      </c>
      <c r="K9" s="152">
        <f t="shared" si="1"/>
        <v>132502</v>
      </c>
      <c r="M9" s="186">
        <v>16896</v>
      </c>
      <c r="N9" s="186">
        <v>0</v>
      </c>
      <c r="O9" s="187">
        <v>0</v>
      </c>
      <c r="P9" s="151">
        <f t="shared" si="2"/>
        <v>16896</v>
      </c>
      <c r="R9" s="186">
        <v>37037</v>
      </c>
      <c r="S9" s="186">
        <v>13118</v>
      </c>
      <c r="T9" s="186">
        <v>-1156</v>
      </c>
      <c r="U9" s="186">
        <v>0</v>
      </c>
      <c r="V9" s="186">
        <v>6757</v>
      </c>
      <c r="W9" s="152">
        <f t="shared" si="3"/>
        <v>55756</v>
      </c>
    </row>
    <row r="10" spans="1:23" s="4" customFormat="1" x14ac:dyDescent="0.25">
      <c r="A10"/>
      <c r="B10" s="154">
        <f>+'The Puzzle and FCST'!B27</f>
        <v>2014</v>
      </c>
      <c r="D10" s="186">
        <v>0</v>
      </c>
      <c r="E10" s="186">
        <v>28987</v>
      </c>
      <c r="F10" s="187">
        <v>0</v>
      </c>
      <c r="G10" s="151">
        <f t="shared" si="0"/>
        <v>28987</v>
      </c>
      <c r="I10" s="186">
        <v>11233</v>
      </c>
      <c r="J10" s="186">
        <v>130162</v>
      </c>
      <c r="K10" s="152">
        <f t="shared" si="1"/>
        <v>141395</v>
      </c>
      <c r="M10" s="186">
        <v>11960</v>
      </c>
      <c r="N10" s="186">
        <v>0</v>
      </c>
      <c r="O10" s="187">
        <v>0</v>
      </c>
      <c r="P10" s="151">
        <f t="shared" si="2"/>
        <v>11960</v>
      </c>
      <c r="R10" s="186">
        <v>39510</v>
      </c>
      <c r="S10" s="186">
        <v>13973</v>
      </c>
      <c r="T10" s="186">
        <v>-980</v>
      </c>
      <c r="U10" s="186">
        <v>0</v>
      </c>
      <c r="V10" s="186">
        <v>7946</v>
      </c>
      <c r="W10" s="152">
        <f t="shared" si="3"/>
        <v>60449</v>
      </c>
    </row>
    <row r="11" spans="1:23" s="4" customFormat="1" x14ac:dyDescent="0.25">
      <c r="A11"/>
      <c r="B11" s="154">
        <f>+'The Puzzle and FCST'!B28</f>
        <v>2015</v>
      </c>
      <c r="D11" s="186">
        <v>250</v>
      </c>
      <c r="E11" s="186">
        <v>53463</v>
      </c>
      <c r="F11" s="187">
        <v>0</v>
      </c>
      <c r="G11" s="151">
        <f t="shared" si="0"/>
        <v>53713</v>
      </c>
      <c r="I11" s="186">
        <v>20481</v>
      </c>
      <c r="J11" s="186">
        <v>164065</v>
      </c>
      <c r="K11" s="152">
        <f t="shared" si="1"/>
        <v>184546</v>
      </c>
      <c r="M11" s="186">
        <v>27114</v>
      </c>
      <c r="N11" s="186">
        <v>0</v>
      </c>
      <c r="O11" s="187">
        <v>0</v>
      </c>
      <c r="P11" s="151">
        <f t="shared" si="2"/>
        <v>27114</v>
      </c>
      <c r="R11" s="186">
        <v>53394</v>
      </c>
      <c r="S11" s="186">
        <v>19121</v>
      </c>
      <c r="T11" s="186">
        <v>-1285</v>
      </c>
      <c r="U11" s="186">
        <v>0</v>
      </c>
      <c r="V11" s="186">
        <v>11257</v>
      </c>
      <c r="W11" s="152">
        <f t="shared" si="3"/>
        <v>82487</v>
      </c>
    </row>
    <row r="12" spans="1:23" s="4" customFormat="1" x14ac:dyDescent="0.25">
      <c r="A12"/>
      <c r="B12" s="154">
        <f>+'The Puzzle and FCST'!B29</f>
        <v>2016</v>
      </c>
      <c r="D12" s="186">
        <v>3500</v>
      </c>
      <c r="E12" s="186">
        <v>75427</v>
      </c>
      <c r="F12" s="187">
        <v>0</v>
      </c>
      <c r="G12" s="151">
        <f t="shared" si="0"/>
        <v>78927</v>
      </c>
      <c r="I12" s="186">
        <v>46671</v>
      </c>
      <c r="J12" s="186">
        <v>170430</v>
      </c>
      <c r="K12" s="152">
        <f t="shared" si="1"/>
        <v>217101</v>
      </c>
      <c r="M12" s="186">
        <v>24954</v>
      </c>
      <c r="N12" s="186">
        <v>-2500</v>
      </c>
      <c r="O12" s="187">
        <v>0</v>
      </c>
      <c r="P12" s="151">
        <f t="shared" si="2"/>
        <v>22454</v>
      </c>
      <c r="R12" s="186">
        <v>45687</v>
      </c>
      <c r="S12" s="186">
        <v>15685</v>
      </c>
      <c r="T12" s="186">
        <v>-1348</v>
      </c>
      <c r="U12" s="186">
        <v>0</v>
      </c>
      <c r="V12" s="186">
        <v>10505</v>
      </c>
      <c r="W12" s="152">
        <f t="shared" si="3"/>
        <v>70529</v>
      </c>
    </row>
    <row r="13" spans="1:23" s="4" customFormat="1" x14ac:dyDescent="0.25">
      <c r="A13"/>
      <c r="B13" s="154">
        <f>+'The Puzzle and FCST'!B30</f>
        <v>2017</v>
      </c>
      <c r="D13" s="186">
        <v>6496</v>
      </c>
      <c r="E13" s="186">
        <v>97207</v>
      </c>
      <c r="F13" s="187">
        <v>0</v>
      </c>
      <c r="G13" s="151">
        <f t="shared" si="0"/>
        <v>103703</v>
      </c>
      <c r="I13" s="186">
        <v>53892</v>
      </c>
      <c r="J13" s="186">
        <v>194714</v>
      </c>
      <c r="K13" s="152">
        <f t="shared" si="1"/>
        <v>248606</v>
      </c>
      <c r="M13" s="186">
        <v>28662</v>
      </c>
      <c r="N13" s="186">
        <v>-3500</v>
      </c>
      <c r="O13" s="187">
        <v>0</v>
      </c>
      <c r="P13" s="151">
        <f t="shared" si="2"/>
        <v>25162</v>
      </c>
      <c r="R13" s="186">
        <v>48351</v>
      </c>
      <c r="S13" s="186">
        <v>15738</v>
      </c>
      <c r="T13" s="186">
        <v>-2745</v>
      </c>
      <c r="U13" s="186">
        <v>0</v>
      </c>
      <c r="V13" s="186">
        <v>10157</v>
      </c>
      <c r="W13" s="152">
        <f t="shared" si="3"/>
        <v>71501</v>
      </c>
    </row>
    <row r="14" spans="1:23" s="4" customFormat="1" x14ac:dyDescent="0.25">
      <c r="A14"/>
      <c r="B14" s="154">
        <f>+'The Puzzle and FCST'!B31</f>
        <v>2018</v>
      </c>
      <c r="D14" s="186">
        <v>8784</v>
      </c>
      <c r="E14" s="186">
        <v>93735</v>
      </c>
      <c r="F14" s="187">
        <v>0</v>
      </c>
      <c r="G14" s="151">
        <f t="shared" si="0"/>
        <v>102519</v>
      </c>
      <c r="I14" s="186">
        <v>40388</v>
      </c>
      <c r="J14" s="186">
        <v>170799</v>
      </c>
      <c r="K14" s="152">
        <f t="shared" si="1"/>
        <v>211187</v>
      </c>
      <c r="M14" s="186">
        <v>6969</v>
      </c>
      <c r="N14" s="186">
        <v>-6500</v>
      </c>
      <c r="O14" s="187">
        <v>0</v>
      </c>
      <c r="P14" s="151">
        <f t="shared" si="2"/>
        <v>469</v>
      </c>
      <c r="R14" s="186">
        <v>59531</v>
      </c>
      <c r="S14" s="186">
        <v>13372</v>
      </c>
      <c r="T14" s="186">
        <v>-2005</v>
      </c>
      <c r="U14" s="186">
        <v>0</v>
      </c>
      <c r="V14" s="186">
        <v>10903</v>
      </c>
      <c r="W14" s="152">
        <f t="shared" si="3"/>
        <v>81801</v>
      </c>
    </row>
    <row r="15" spans="1:23" s="4" customFormat="1" x14ac:dyDescent="0.25">
      <c r="A15"/>
      <c r="B15" s="154">
        <f>+'The Puzzle and FCST'!B32</f>
        <v>2019</v>
      </c>
      <c r="D15" s="186">
        <v>10260</v>
      </c>
      <c r="E15" s="186">
        <v>91807</v>
      </c>
      <c r="F15" s="187">
        <v>0</v>
      </c>
      <c r="G15" s="151">
        <f t="shared" si="0"/>
        <v>102067</v>
      </c>
      <c r="I15" s="186">
        <v>51713</v>
      </c>
      <c r="J15" s="186">
        <v>105341</v>
      </c>
      <c r="K15" s="152">
        <f t="shared" si="1"/>
        <v>157054</v>
      </c>
      <c r="M15" s="186">
        <v>6963</v>
      </c>
      <c r="N15" s="186">
        <v>-8805</v>
      </c>
      <c r="O15" s="187">
        <v>0</v>
      </c>
      <c r="P15" s="151">
        <f t="shared" si="2"/>
        <v>-1842</v>
      </c>
      <c r="R15" s="186">
        <v>55256</v>
      </c>
      <c r="S15" s="186">
        <v>10481</v>
      </c>
      <c r="T15" s="186">
        <v>-1807</v>
      </c>
      <c r="U15" s="186">
        <v>0</v>
      </c>
      <c r="V15" s="186">
        <v>12547</v>
      </c>
      <c r="W15" s="152">
        <f t="shared" si="3"/>
        <v>76477</v>
      </c>
    </row>
    <row r="16" spans="1:23" s="4" customFormat="1" x14ac:dyDescent="0.25">
      <c r="A16"/>
      <c r="B16" s="154">
        <f>+'The Puzzle and FCST'!B33</f>
        <v>2020</v>
      </c>
      <c r="D16" s="186">
        <v>8773</v>
      </c>
      <c r="E16" s="186">
        <v>98667</v>
      </c>
      <c r="F16" s="187">
        <v>0</v>
      </c>
      <c r="G16" s="151">
        <f t="shared" si="0"/>
        <v>107440</v>
      </c>
      <c r="I16" s="186">
        <v>52927</v>
      </c>
      <c r="J16" s="186">
        <v>100887</v>
      </c>
      <c r="K16" s="152">
        <f t="shared" si="1"/>
        <v>153814</v>
      </c>
      <c r="M16" s="186">
        <v>16091</v>
      </c>
      <c r="N16" s="186">
        <v>-12629</v>
      </c>
      <c r="O16" s="187">
        <v>0</v>
      </c>
      <c r="P16" s="151">
        <f t="shared" si="2"/>
        <v>3462</v>
      </c>
      <c r="R16" s="186">
        <v>57411</v>
      </c>
      <c r="S16" s="186">
        <v>9680</v>
      </c>
      <c r="T16" s="186">
        <v>-803</v>
      </c>
      <c r="U16" s="186">
        <v>0</v>
      </c>
      <c r="V16" s="186">
        <v>11056</v>
      </c>
      <c r="W16" s="152">
        <f t="shared" si="3"/>
        <v>77344</v>
      </c>
    </row>
    <row r="17" spans="4:22" x14ac:dyDescent="0.25">
      <c r="D17" s="4"/>
      <c r="E17" s="4"/>
      <c r="F17" s="4"/>
      <c r="H17" s="142"/>
      <c r="L17" s="2"/>
    </row>
    <row r="18" spans="4:22" x14ac:dyDescent="0.25">
      <c r="D18" s="4"/>
      <c r="E18" s="4"/>
      <c r="J18" s="1"/>
      <c r="L18" s="2"/>
    </row>
    <row r="19" spans="4:22" x14ac:dyDescent="0.25">
      <c r="J19" s="1"/>
      <c r="L19" s="2"/>
      <c r="R19" s="1"/>
      <c r="S19" s="1"/>
      <c r="T19" s="1"/>
    </row>
    <row r="20" spans="4:22" x14ac:dyDescent="0.25">
      <c r="J20" s="1"/>
      <c r="L20" s="2"/>
      <c r="R20" s="1"/>
      <c r="S20" s="1"/>
      <c r="T20" s="1"/>
    </row>
    <row r="21" spans="4:22" x14ac:dyDescent="0.25">
      <c r="J21" s="1"/>
      <c r="L21" s="2"/>
      <c r="R21" s="1"/>
      <c r="S21" s="1"/>
      <c r="T21" s="1"/>
      <c r="V21" s="1"/>
    </row>
    <row r="22" spans="4:22" x14ac:dyDescent="0.25">
      <c r="L22" s="2"/>
    </row>
    <row r="23" spans="4:22" x14ac:dyDescent="0.25">
      <c r="L23" s="2"/>
    </row>
    <row r="24" spans="4:22" x14ac:dyDescent="0.25">
      <c r="L24" s="2"/>
    </row>
    <row r="25" spans="4:22" x14ac:dyDescent="0.25">
      <c r="L25" s="2"/>
    </row>
    <row r="26" spans="4:22" x14ac:dyDescent="0.25">
      <c r="L26" s="2"/>
    </row>
    <row r="27" spans="4:22" x14ac:dyDescent="0.25">
      <c r="L27" s="2"/>
    </row>
    <row r="28" spans="4:22" x14ac:dyDescent="0.25">
      <c r="L28" s="2"/>
    </row>
    <row r="29" spans="4:22" x14ac:dyDescent="0.25">
      <c r="L29" s="2"/>
    </row>
    <row r="30" spans="4:22" x14ac:dyDescent="0.25">
      <c r="L30" s="2"/>
    </row>
    <row r="31" spans="4:22" x14ac:dyDescent="0.25">
      <c r="L31" s="2"/>
    </row>
    <row r="32" spans="4:22" x14ac:dyDescent="0.25">
      <c r="D32" s="4"/>
      <c r="E32" s="4"/>
      <c r="L32" s="2"/>
    </row>
    <row r="33" spans="4:12" x14ac:dyDescent="0.25">
      <c r="D33" s="4"/>
      <c r="E33" s="4"/>
      <c r="L33" s="2"/>
    </row>
    <row r="34" spans="4:12" x14ac:dyDescent="0.25">
      <c r="D34" s="4"/>
      <c r="E34" s="4"/>
      <c r="L34" s="2"/>
    </row>
    <row r="35" spans="4:12" x14ac:dyDescent="0.25">
      <c r="D35" s="4"/>
      <c r="E35" s="4"/>
      <c r="L35" s="2"/>
    </row>
    <row r="36" spans="4:12" x14ac:dyDescent="0.25">
      <c r="D36" s="4"/>
      <c r="E36" s="4"/>
      <c r="L3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showGridLines="0" workbookViewId="0">
      <selection activeCell="B3" sqref="B3"/>
    </sheetView>
  </sheetViews>
  <sheetFormatPr defaultRowHeight="15" x14ac:dyDescent="0.25"/>
  <cols>
    <col min="2" max="7" width="12.7109375" customWidth="1"/>
    <col min="8" max="8" width="13" customWidth="1"/>
    <col min="9" max="9" width="13.28515625" customWidth="1"/>
  </cols>
  <sheetData>
    <row r="1" spans="1:9" x14ac:dyDescent="0.25">
      <c r="A1" s="3" t="s">
        <v>37</v>
      </c>
    </row>
    <row r="2" spans="1:9" x14ac:dyDescent="0.25">
      <c r="A2" s="96" t="s">
        <v>38</v>
      </c>
      <c r="B2" s="166"/>
      <c r="C2" s="166"/>
      <c r="F2" s="197" t="s">
        <v>78</v>
      </c>
      <c r="G2" s="198" t="s">
        <v>79</v>
      </c>
      <c r="H2" s="198"/>
      <c r="I2" s="199"/>
    </row>
    <row r="3" spans="1:9" x14ac:dyDescent="0.25">
      <c r="A3" s="158"/>
    </row>
    <row r="4" spans="1:9" x14ac:dyDescent="0.25">
      <c r="A4" s="158"/>
    </row>
    <row r="5" spans="1:9" x14ac:dyDescent="0.25">
      <c r="B5" s="163"/>
      <c r="C5" s="164"/>
      <c r="D5" s="178">
        <v>41799</v>
      </c>
      <c r="E5" s="178">
        <v>44074</v>
      </c>
      <c r="F5" s="163"/>
      <c r="I5" s="181"/>
    </row>
    <row r="6" spans="1:9" s="3" customFormat="1" ht="30" x14ac:dyDescent="0.25">
      <c r="B6" s="170" t="s">
        <v>59</v>
      </c>
      <c r="C6" s="170" t="s">
        <v>70</v>
      </c>
      <c r="D6" s="6" t="s">
        <v>60</v>
      </c>
      <c r="E6" s="6" t="s">
        <v>61</v>
      </c>
      <c r="F6" s="6" t="s">
        <v>62</v>
      </c>
      <c r="H6" s="6" t="s">
        <v>71</v>
      </c>
      <c r="I6" s="6" t="s">
        <v>72</v>
      </c>
    </row>
    <row r="7" spans="1:9" x14ac:dyDescent="0.25">
      <c r="B7" s="19">
        <v>2012</v>
      </c>
      <c r="C7" s="188">
        <v>934.81799999999998</v>
      </c>
      <c r="D7" s="191">
        <v>7</v>
      </c>
      <c r="E7" s="191">
        <v>4</v>
      </c>
      <c r="F7" s="171">
        <f>+C7*D7*E7</f>
        <v>26174.903999999999</v>
      </c>
      <c r="H7" s="194">
        <v>41153</v>
      </c>
      <c r="I7" s="175">
        <f>+AVERAGEIF($H$25:$H$145,H7,$I$25:$I$145)</f>
        <v>23.825001</v>
      </c>
    </row>
    <row r="8" spans="1:9" x14ac:dyDescent="0.25">
      <c r="B8" s="20">
        <v>2013</v>
      </c>
      <c r="C8" s="189">
        <v>925.33100000000002</v>
      </c>
      <c r="D8" s="192">
        <v>7</v>
      </c>
      <c r="E8" s="192">
        <v>4</v>
      </c>
      <c r="F8" s="172">
        <f t="shared" ref="F8:F15" si="0">+C8*D8*E8</f>
        <v>25909.268</v>
      </c>
      <c r="H8" s="195">
        <v>41518</v>
      </c>
      <c r="I8" s="176">
        <f t="shared" ref="I8:I15" si="1">+AVERAGEIF($H$25:$H$145,H8,$I$25:$I$145)</f>
        <v>17.026785</v>
      </c>
    </row>
    <row r="9" spans="1:9" x14ac:dyDescent="0.25">
      <c r="B9" s="20">
        <v>2014</v>
      </c>
      <c r="C9" s="189">
        <v>6085.5720000000001</v>
      </c>
      <c r="D9" s="192">
        <v>1</v>
      </c>
      <c r="E9" s="192">
        <v>4</v>
      </c>
      <c r="F9" s="172">
        <f t="shared" si="0"/>
        <v>24342.288</v>
      </c>
      <c r="H9" s="195">
        <v>41883</v>
      </c>
      <c r="I9" s="176">
        <f t="shared" si="1"/>
        <v>25.1875</v>
      </c>
    </row>
    <row r="10" spans="1:9" x14ac:dyDescent="0.25">
      <c r="B10" s="20">
        <v>2015</v>
      </c>
      <c r="C10" s="189">
        <v>5753.4210000000003</v>
      </c>
      <c r="D10" s="192">
        <v>1</v>
      </c>
      <c r="E10" s="192">
        <v>4</v>
      </c>
      <c r="F10" s="172">
        <f t="shared" si="0"/>
        <v>23013.684000000001</v>
      </c>
      <c r="H10" s="195">
        <v>42248</v>
      </c>
      <c r="I10" s="176">
        <f t="shared" si="1"/>
        <v>27.575001</v>
      </c>
    </row>
    <row r="11" spans="1:9" x14ac:dyDescent="0.25">
      <c r="B11" s="20">
        <v>2016</v>
      </c>
      <c r="C11" s="189">
        <v>5470.82</v>
      </c>
      <c r="D11" s="192">
        <v>1</v>
      </c>
      <c r="E11" s="192">
        <v>4</v>
      </c>
      <c r="F11" s="172">
        <f t="shared" si="0"/>
        <v>21883.279999999999</v>
      </c>
      <c r="H11" s="195">
        <v>42614</v>
      </c>
      <c r="I11" s="176">
        <f t="shared" si="1"/>
        <v>28.262501</v>
      </c>
    </row>
    <row r="12" spans="1:9" x14ac:dyDescent="0.25">
      <c r="B12" s="20">
        <v>2017</v>
      </c>
      <c r="C12" s="189">
        <v>5217.2420000000002</v>
      </c>
      <c r="D12" s="192">
        <v>1</v>
      </c>
      <c r="E12" s="192">
        <v>4</v>
      </c>
      <c r="F12" s="172">
        <f t="shared" si="0"/>
        <v>20868.968000000001</v>
      </c>
      <c r="H12" s="195">
        <v>42979</v>
      </c>
      <c r="I12" s="176">
        <f t="shared" si="1"/>
        <v>38.529998999999997</v>
      </c>
    </row>
    <row r="13" spans="1:9" x14ac:dyDescent="0.25">
      <c r="B13" s="20">
        <v>2018</v>
      </c>
      <c r="C13" s="189">
        <v>4955.3770000000004</v>
      </c>
      <c r="D13" s="192">
        <v>1</v>
      </c>
      <c r="E13" s="192">
        <v>4</v>
      </c>
      <c r="F13" s="172">
        <f t="shared" si="0"/>
        <v>19821.508000000002</v>
      </c>
      <c r="H13" s="195">
        <v>43344</v>
      </c>
      <c r="I13" s="176">
        <f t="shared" si="1"/>
        <v>56.435001</v>
      </c>
    </row>
    <row r="14" spans="1:9" x14ac:dyDescent="0.25">
      <c r="B14" s="20">
        <v>2019</v>
      </c>
      <c r="C14" s="189">
        <v>4617.8339999999998</v>
      </c>
      <c r="D14" s="192">
        <v>1</v>
      </c>
      <c r="E14" s="192">
        <v>4</v>
      </c>
      <c r="F14" s="172">
        <f t="shared" si="0"/>
        <v>18471.335999999999</v>
      </c>
      <c r="H14" s="195">
        <v>43709</v>
      </c>
      <c r="I14" s="176">
        <f t="shared" si="1"/>
        <v>55.9925</v>
      </c>
    </row>
    <row r="15" spans="1:9" x14ac:dyDescent="0.25">
      <c r="B15" s="173">
        <v>2020</v>
      </c>
      <c r="C15" s="190">
        <v>17352.118999999999</v>
      </c>
      <c r="D15" s="193">
        <v>1</v>
      </c>
      <c r="E15" s="193">
        <v>1</v>
      </c>
      <c r="F15" s="174">
        <f t="shared" si="0"/>
        <v>17352.118999999999</v>
      </c>
      <c r="H15" s="196">
        <v>44075</v>
      </c>
      <c r="I15" s="177">
        <f t="shared" si="1"/>
        <v>115.80999799999999</v>
      </c>
    </row>
    <row r="22" spans="2:9" x14ac:dyDescent="0.25">
      <c r="B22" s="167" t="s">
        <v>66</v>
      </c>
      <c r="C22" s="167"/>
      <c r="D22" s="167"/>
      <c r="E22" s="167"/>
      <c r="F22" s="167"/>
      <c r="G22" s="167"/>
      <c r="H22" s="167"/>
      <c r="I22" s="167"/>
    </row>
    <row r="24" spans="2:9" ht="30" x14ac:dyDescent="0.25">
      <c r="C24" s="167" t="s">
        <v>67</v>
      </c>
      <c r="D24" s="166"/>
      <c r="E24" s="166"/>
      <c r="H24" s="169" t="s">
        <v>63</v>
      </c>
      <c r="I24" s="6" t="s">
        <v>68</v>
      </c>
    </row>
    <row r="25" spans="2:9" x14ac:dyDescent="0.25">
      <c r="C25" s="165">
        <v>44074</v>
      </c>
      <c r="E25" t="s">
        <v>64</v>
      </c>
      <c r="H25" s="168">
        <v>40544</v>
      </c>
      <c r="I25" s="139">
        <v>12.118570999999999</v>
      </c>
    </row>
    <row r="26" spans="2:9" x14ac:dyDescent="0.25">
      <c r="C26" s="165">
        <v>41799</v>
      </c>
      <c r="E26" t="s">
        <v>65</v>
      </c>
      <c r="H26" s="168">
        <v>40575</v>
      </c>
      <c r="I26" s="139">
        <v>12.614642999999999</v>
      </c>
    </row>
    <row r="27" spans="2:9" x14ac:dyDescent="0.25">
      <c r="H27" s="168">
        <v>40603</v>
      </c>
      <c r="I27" s="139">
        <v>12.446785999999999</v>
      </c>
    </row>
    <row r="28" spans="2:9" x14ac:dyDescent="0.25">
      <c r="H28" s="168">
        <v>40634</v>
      </c>
      <c r="I28" s="139">
        <v>12.504642</v>
      </c>
    </row>
    <row r="29" spans="2:9" x14ac:dyDescent="0.25">
      <c r="H29" s="168">
        <v>40664</v>
      </c>
      <c r="I29" s="139">
        <v>12.422499999999999</v>
      </c>
    </row>
    <row r="30" spans="2:9" x14ac:dyDescent="0.25">
      <c r="H30" s="168">
        <v>40695</v>
      </c>
      <c r="I30" s="139">
        <v>11.988213999999999</v>
      </c>
    </row>
    <row r="31" spans="2:9" x14ac:dyDescent="0.25">
      <c r="H31" s="168">
        <v>40725</v>
      </c>
      <c r="I31" s="139">
        <v>13.945714000000001</v>
      </c>
    </row>
    <row r="32" spans="2:9" x14ac:dyDescent="0.25">
      <c r="H32" s="168">
        <v>40756</v>
      </c>
      <c r="I32" s="139">
        <v>13.743929</v>
      </c>
    </row>
    <row r="33" spans="8:9" x14ac:dyDescent="0.25">
      <c r="H33" s="168">
        <v>40787</v>
      </c>
      <c r="I33" s="139">
        <v>13.618570999999999</v>
      </c>
    </row>
    <row r="34" spans="8:9" x14ac:dyDescent="0.25">
      <c r="H34" s="168">
        <v>40817</v>
      </c>
      <c r="I34" s="139">
        <v>14.456429</v>
      </c>
    </row>
    <row r="35" spans="8:9" x14ac:dyDescent="0.25">
      <c r="H35" s="168">
        <v>40848</v>
      </c>
      <c r="I35" s="139">
        <v>13.65</v>
      </c>
    </row>
    <row r="36" spans="8:9" x14ac:dyDescent="0.25">
      <c r="H36" s="168">
        <v>40878</v>
      </c>
      <c r="I36" s="139">
        <v>14.464286</v>
      </c>
    </row>
    <row r="37" spans="8:9" x14ac:dyDescent="0.25">
      <c r="H37" s="168">
        <v>40909</v>
      </c>
      <c r="I37" s="139">
        <v>16.302855999999998</v>
      </c>
    </row>
    <row r="38" spans="8:9" x14ac:dyDescent="0.25">
      <c r="H38" s="168">
        <v>40940</v>
      </c>
      <c r="I38" s="139">
        <v>19.372858000000001</v>
      </c>
    </row>
    <row r="39" spans="8:9" x14ac:dyDescent="0.25">
      <c r="H39" s="168">
        <v>40969</v>
      </c>
      <c r="I39" s="139">
        <v>21.412500000000001</v>
      </c>
    </row>
    <row r="40" spans="8:9" x14ac:dyDescent="0.25">
      <c r="H40" s="168">
        <v>41000</v>
      </c>
      <c r="I40" s="139">
        <v>20.856428000000001</v>
      </c>
    </row>
    <row r="41" spans="8:9" x14ac:dyDescent="0.25">
      <c r="H41" s="168">
        <v>41030</v>
      </c>
      <c r="I41" s="139">
        <v>20.633215</v>
      </c>
    </row>
    <row r="42" spans="8:9" x14ac:dyDescent="0.25">
      <c r="H42" s="168">
        <v>41061</v>
      </c>
      <c r="I42" s="139">
        <v>20.857143000000001</v>
      </c>
    </row>
    <row r="43" spans="8:9" x14ac:dyDescent="0.25">
      <c r="H43" s="168">
        <v>41091</v>
      </c>
      <c r="I43" s="139">
        <v>21.812857000000001</v>
      </c>
    </row>
    <row r="44" spans="8:9" x14ac:dyDescent="0.25">
      <c r="H44" s="168">
        <v>41122</v>
      </c>
      <c r="I44" s="139">
        <v>23.758572000000001</v>
      </c>
    </row>
    <row r="45" spans="8:9" x14ac:dyDescent="0.25">
      <c r="H45" s="168">
        <v>41153</v>
      </c>
      <c r="I45" s="139">
        <v>23.825001</v>
      </c>
    </row>
    <row r="46" spans="8:9" x14ac:dyDescent="0.25">
      <c r="H46" s="168">
        <v>41183</v>
      </c>
      <c r="I46" s="139">
        <v>21.261429</v>
      </c>
    </row>
    <row r="47" spans="8:9" x14ac:dyDescent="0.25">
      <c r="H47" s="168">
        <v>41214</v>
      </c>
      <c r="I47" s="139">
        <v>20.902857000000001</v>
      </c>
    </row>
    <row r="48" spans="8:9" x14ac:dyDescent="0.25">
      <c r="H48" s="168">
        <v>41244</v>
      </c>
      <c r="I48" s="139">
        <v>19.006070999999999</v>
      </c>
    </row>
    <row r="49" spans="8:9" x14ac:dyDescent="0.25">
      <c r="H49" s="168">
        <v>41275</v>
      </c>
      <c r="I49" s="139">
        <v>16.267499999999998</v>
      </c>
    </row>
    <row r="50" spans="8:9" x14ac:dyDescent="0.25">
      <c r="H50" s="168">
        <v>41306</v>
      </c>
      <c r="I50" s="139">
        <v>15.764286</v>
      </c>
    </row>
    <row r="51" spans="8:9" x14ac:dyDescent="0.25">
      <c r="H51" s="168">
        <v>41334</v>
      </c>
      <c r="I51" s="139">
        <v>15.809286</v>
      </c>
    </row>
    <row r="52" spans="8:9" x14ac:dyDescent="0.25">
      <c r="H52" s="168">
        <v>41365</v>
      </c>
      <c r="I52" s="139">
        <v>15.813571</v>
      </c>
    </row>
    <row r="53" spans="8:9" x14ac:dyDescent="0.25">
      <c r="H53" s="168">
        <v>41395</v>
      </c>
      <c r="I53" s="139">
        <v>16.061786999999999</v>
      </c>
    </row>
    <row r="54" spans="8:9" x14ac:dyDescent="0.25">
      <c r="H54" s="168">
        <v>41426</v>
      </c>
      <c r="I54" s="139">
        <v>14.161785999999999</v>
      </c>
    </row>
    <row r="55" spans="8:9" x14ac:dyDescent="0.25">
      <c r="H55" s="168">
        <v>41456</v>
      </c>
      <c r="I55" s="139">
        <v>16.161784999999998</v>
      </c>
    </row>
    <row r="56" spans="8:9" x14ac:dyDescent="0.25">
      <c r="H56" s="168">
        <v>41487</v>
      </c>
      <c r="I56" s="139">
        <v>17.400715000000002</v>
      </c>
    </row>
    <row r="57" spans="8:9" x14ac:dyDescent="0.25">
      <c r="H57" s="168">
        <v>41518</v>
      </c>
      <c r="I57" s="139">
        <v>17.026785</v>
      </c>
    </row>
    <row r="58" spans="8:9" x14ac:dyDescent="0.25">
      <c r="H58" s="168">
        <v>41548</v>
      </c>
      <c r="I58" s="139">
        <v>18.667856</v>
      </c>
    </row>
    <row r="59" spans="8:9" x14ac:dyDescent="0.25">
      <c r="H59" s="168">
        <v>41579</v>
      </c>
      <c r="I59" s="139">
        <v>19.859642000000001</v>
      </c>
    </row>
    <row r="60" spans="8:9" x14ac:dyDescent="0.25">
      <c r="H60" s="168">
        <v>41609</v>
      </c>
      <c r="I60" s="139">
        <v>20.036428000000001</v>
      </c>
    </row>
    <row r="61" spans="8:9" x14ac:dyDescent="0.25">
      <c r="H61" s="168">
        <v>41640</v>
      </c>
      <c r="I61" s="139">
        <v>17.878571000000001</v>
      </c>
    </row>
    <row r="62" spans="8:9" x14ac:dyDescent="0.25">
      <c r="H62" s="168">
        <v>41671</v>
      </c>
      <c r="I62" s="139">
        <v>18.794284999999999</v>
      </c>
    </row>
    <row r="63" spans="8:9" x14ac:dyDescent="0.25">
      <c r="H63" s="168">
        <v>41699</v>
      </c>
      <c r="I63" s="139">
        <v>19.169284999999999</v>
      </c>
    </row>
    <row r="64" spans="8:9" x14ac:dyDescent="0.25">
      <c r="H64" s="168">
        <v>41730</v>
      </c>
      <c r="I64" s="139">
        <v>21.074642000000001</v>
      </c>
    </row>
    <row r="65" spans="8:9" x14ac:dyDescent="0.25">
      <c r="H65" s="168">
        <v>41760</v>
      </c>
      <c r="I65" s="139">
        <v>22.607143000000001</v>
      </c>
    </row>
    <row r="66" spans="8:9" x14ac:dyDescent="0.25">
      <c r="H66" s="168">
        <v>41791</v>
      </c>
      <c r="I66" s="139">
        <v>23.232500000000002</v>
      </c>
    </row>
    <row r="67" spans="8:9" x14ac:dyDescent="0.25">
      <c r="H67" s="168">
        <v>41821</v>
      </c>
      <c r="I67" s="139">
        <v>23.9</v>
      </c>
    </row>
    <row r="68" spans="8:9" x14ac:dyDescent="0.25">
      <c r="H68" s="168">
        <v>41852</v>
      </c>
      <c r="I68" s="139">
        <v>25.625</v>
      </c>
    </row>
    <row r="69" spans="8:9" x14ac:dyDescent="0.25">
      <c r="H69" s="168">
        <v>41883</v>
      </c>
      <c r="I69" s="139">
        <v>25.1875</v>
      </c>
    </row>
    <row r="70" spans="8:9" x14ac:dyDescent="0.25">
      <c r="H70" s="168">
        <v>41913</v>
      </c>
      <c r="I70" s="139">
        <v>27</v>
      </c>
    </row>
    <row r="71" spans="8:9" x14ac:dyDescent="0.25">
      <c r="H71" s="168">
        <v>41944</v>
      </c>
      <c r="I71" s="139">
        <v>29.732500000000002</v>
      </c>
    </row>
    <row r="72" spans="8:9" x14ac:dyDescent="0.25">
      <c r="H72" s="168">
        <v>41974</v>
      </c>
      <c r="I72" s="139">
        <v>27.594999000000001</v>
      </c>
    </row>
    <row r="73" spans="8:9" x14ac:dyDescent="0.25">
      <c r="H73" s="168">
        <v>42005</v>
      </c>
      <c r="I73" s="139">
        <v>29.290001</v>
      </c>
    </row>
    <row r="74" spans="8:9" x14ac:dyDescent="0.25">
      <c r="H74" s="168">
        <v>42036</v>
      </c>
      <c r="I74" s="139">
        <v>32.115001999999997</v>
      </c>
    </row>
    <row r="75" spans="8:9" x14ac:dyDescent="0.25">
      <c r="H75" s="168">
        <v>42064</v>
      </c>
      <c r="I75" s="139">
        <v>31.107500000000002</v>
      </c>
    </row>
    <row r="76" spans="8:9" x14ac:dyDescent="0.25">
      <c r="H76" s="168">
        <v>42095</v>
      </c>
      <c r="I76" s="139">
        <v>31.287500000000001</v>
      </c>
    </row>
    <row r="77" spans="8:9" x14ac:dyDescent="0.25">
      <c r="H77" s="168">
        <v>42125</v>
      </c>
      <c r="I77" s="139">
        <v>32.57</v>
      </c>
    </row>
    <row r="78" spans="8:9" x14ac:dyDescent="0.25">
      <c r="H78" s="168">
        <v>42156</v>
      </c>
      <c r="I78" s="139">
        <v>31.357500000000002</v>
      </c>
    </row>
    <row r="79" spans="8:9" x14ac:dyDescent="0.25">
      <c r="H79" s="168">
        <v>42186</v>
      </c>
      <c r="I79" s="139">
        <v>30.325001</v>
      </c>
    </row>
    <row r="80" spans="8:9" x14ac:dyDescent="0.25">
      <c r="H80" s="168">
        <v>42217</v>
      </c>
      <c r="I80" s="139">
        <v>28.190000999999999</v>
      </c>
    </row>
    <row r="81" spans="8:9" x14ac:dyDescent="0.25">
      <c r="H81" s="168">
        <v>42248</v>
      </c>
      <c r="I81" s="139">
        <v>27.575001</v>
      </c>
    </row>
    <row r="82" spans="8:9" x14ac:dyDescent="0.25">
      <c r="H82" s="168">
        <v>42278</v>
      </c>
      <c r="I82" s="139">
        <v>29.875</v>
      </c>
    </row>
    <row r="83" spans="8:9" x14ac:dyDescent="0.25">
      <c r="H83" s="168">
        <v>42309</v>
      </c>
      <c r="I83" s="139">
        <v>29.575001</v>
      </c>
    </row>
    <row r="84" spans="8:9" x14ac:dyDescent="0.25">
      <c r="H84" s="168">
        <v>42339</v>
      </c>
      <c r="I84" s="139">
        <v>26.315000999999999</v>
      </c>
    </row>
    <row r="85" spans="8:9" x14ac:dyDescent="0.25">
      <c r="H85" s="168">
        <v>42370</v>
      </c>
      <c r="I85" s="139">
        <v>24.334999</v>
      </c>
    </row>
    <row r="86" spans="8:9" x14ac:dyDescent="0.25">
      <c r="H86" s="168">
        <v>42401</v>
      </c>
      <c r="I86" s="139">
        <v>24.172501</v>
      </c>
    </row>
    <row r="87" spans="8:9" x14ac:dyDescent="0.25">
      <c r="H87" s="168">
        <v>42430</v>
      </c>
      <c r="I87" s="139">
        <v>27.247499000000001</v>
      </c>
    </row>
    <row r="88" spans="8:9" x14ac:dyDescent="0.25">
      <c r="H88" s="168">
        <v>42461</v>
      </c>
      <c r="I88" s="139">
        <v>23.434999000000001</v>
      </c>
    </row>
    <row r="89" spans="8:9" x14ac:dyDescent="0.25">
      <c r="H89" s="168">
        <v>42491</v>
      </c>
      <c r="I89" s="139">
        <v>24.965</v>
      </c>
    </row>
    <row r="90" spans="8:9" x14ac:dyDescent="0.25">
      <c r="H90" s="168">
        <v>42522</v>
      </c>
      <c r="I90" s="139">
        <v>23.9</v>
      </c>
    </row>
    <row r="91" spans="8:9" x14ac:dyDescent="0.25">
      <c r="H91" s="168">
        <v>42552</v>
      </c>
      <c r="I91" s="139">
        <v>26.052499999999998</v>
      </c>
    </row>
    <row r="92" spans="8:9" x14ac:dyDescent="0.25">
      <c r="H92" s="168">
        <v>42583</v>
      </c>
      <c r="I92" s="139">
        <v>26.524999999999999</v>
      </c>
    </row>
    <row r="93" spans="8:9" x14ac:dyDescent="0.25">
      <c r="H93" s="168">
        <v>42614</v>
      </c>
      <c r="I93" s="139">
        <v>28.262501</v>
      </c>
    </row>
    <row r="94" spans="8:9" x14ac:dyDescent="0.25">
      <c r="H94" s="168">
        <v>42644</v>
      </c>
      <c r="I94" s="139">
        <v>28.385000000000002</v>
      </c>
    </row>
    <row r="95" spans="8:9" x14ac:dyDescent="0.25">
      <c r="H95" s="168">
        <v>42675</v>
      </c>
      <c r="I95" s="139">
        <v>27.629999000000002</v>
      </c>
    </row>
    <row r="96" spans="8:9" x14ac:dyDescent="0.25">
      <c r="H96" s="168">
        <v>42705</v>
      </c>
      <c r="I96" s="139">
        <v>28.954999999999998</v>
      </c>
    </row>
    <row r="97" spans="8:9" x14ac:dyDescent="0.25">
      <c r="H97" s="168">
        <v>42736</v>
      </c>
      <c r="I97" s="139">
        <v>30.337499999999999</v>
      </c>
    </row>
    <row r="98" spans="8:9" x14ac:dyDescent="0.25">
      <c r="H98" s="168">
        <v>42767</v>
      </c>
      <c r="I98" s="139">
        <v>34.247501</v>
      </c>
    </row>
    <row r="99" spans="8:9" x14ac:dyDescent="0.25">
      <c r="H99" s="168">
        <v>42795</v>
      </c>
      <c r="I99" s="139">
        <v>35.915000999999997</v>
      </c>
    </row>
    <row r="100" spans="8:9" x14ac:dyDescent="0.25">
      <c r="H100" s="168">
        <v>42826</v>
      </c>
      <c r="I100" s="139">
        <v>35.912497999999999</v>
      </c>
    </row>
    <row r="101" spans="8:9" x14ac:dyDescent="0.25">
      <c r="H101" s="168">
        <v>42856</v>
      </c>
      <c r="I101" s="139">
        <v>38.189999</v>
      </c>
    </row>
    <row r="102" spans="8:9" x14ac:dyDescent="0.25">
      <c r="H102" s="168">
        <v>42887</v>
      </c>
      <c r="I102" s="139">
        <v>36.005001</v>
      </c>
    </row>
    <row r="103" spans="8:9" x14ac:dyDescent="0.25">
      <c r="H103" s="168">
        <v>42917</v>
      </c>
      <c r="I103" s="139">
        <v>37.182499</v>
      </c>
    </row>
    <row r="104" spans="8:9" x14ac:dyDescent="0.25">
      <c r="H104" s="168">
        <v>42948</v>
      </c>
      <c r="I104" s="139">
        <v>41</v>
      </c>
    </row>
    <row r="105" spans="8:9" x14ac:dyDescent="0.25">
      <c r="H105" s="168">
        <v>42979</v>
      </c>
      <c r="I105" s="139">
        <v>38.529998999999997</v>
      </c>
    </row>
    <row r="106" spans="8:9" x14ac:dyDescent="0.25">
      <c r="H106" s="168">
        <v>43009</v>
      </c>
      <c r="I106" s="139">
        <v>42.259998000000003</v>
      </c>
    </row>
    <row r="107" spans="8:9" x14ac:dyDescent="0.25">
      <c r="H107" s="168">
        <v>43040</v>
      </c>
      <c r="I107" s="139">
        <v>42.962502000000001</v>
      </c>
    </row>
    <row r="108" spans="8:9" x14ac:dyDescent="0.25">
      <c r="H108" s="168">
        <v>43070</v>
      </c>
      <c r="I108" s="139">
        <v>42.307499</v>
      </c>
    </row>
    <row r="109" spans="8:9" x14ac:dyDescent="0.25">
      <c r="H109" s="168">
        <v>43101</v>
      </c>
      <c r="I109" s="139">
        <v>41.857498</v>
      </c>
    </row>
    <row r="110" spans="8:9" x14ac:dyDescent="0.25">
      <c r="H110" s="168">
        <v>43132</v>
      </c>
      <c r="I110" s="139">
        <v>44.529998999999997</v>
      </c>
    </row>
    <row r="111" spans="8:9" x14ac:dyDescent="0.25">
      <c r="H111" s="168">
        <v>43160</v>
      </c>
      <c r="I111" s="139">
        <v>41.945</v>
      </c>
    </row>
    <row r="112" spans="8:9" x14ac:dyDescent="0.25">
      <c r="H112" s="168">
        <v>43191</v>
      </c>
      <c r="I112" s="139">
        <v>41.314999</v>
      </c>
    </row>
    <row r="113" spans="8:9" x14ac:dyDescent="0.25">
      <c r="H113" s="168">
        <v>43221</v>
      </c>
      <c r="I113" s="139">
        <v>46.717498999999997</v>
      </c>
    </row>
    <row r="114" spans="8:9" x14ac:dyDescent="0.25">
      <c r="H114" s="168">
        <v>43252</v>
      </c>
      <c r="I114" s="139">
        <v>46.277500000000003</v>
      </c>
    </row>
    <row r="115" spans="8:9" x14ac:dyDescent="0.25">
      <c r="H115" s="168">
        <v>43282</v>
      </c>
      <c r="I115" s="139">
        <v>47.572498000000003</v>
      </c>
    </row>
    <row r="116" spans="8:9" x14ac:dyDescent="0.25">
      <c r="H116" s="168">
        <v>43313</v>
      </c>
      <c r="I116" s="139">
        <v>56.907501000000003</v>
      </c>
    </row>
    <row r="117" spans="8:9" x14ac:dyDescent="0.25">
      <c r="H117" s="168">
        <v>43344</v>
      </c>
      <c r="I117" s="139">
        <v>56.435001</v>
      </c>
    </row>
    <row r="118" spans="8:9" x14ac:dyDescent="0.25">
      <c r="H118" s="168">
        <v>43374</v>
      </c>
      <c r="I118" s="139">
        <v>54.715000000000003</v>
      </c>
    </row>
    <row r="119" spans="8:9" x14ac:dyDescent="0.25">
      <c r="H119" s="168">
        <v>43405</v>
      </c>
      <c r="I119" s="139">
        <v>44.645000000000003</v>
      </c>
    </row>
    <row r="120" spans="8:9" x14ac:dyDescent="0.25">
      <c r="H120" s="168">
        <v>43435</v>
      </c>
      <c r="I120" s="139">
        <v>39.435001</v>
      </c>
    </row>
    <row r="121" spans="8:9" x14ac:dyDescent="0.25">
      <c r="H121" s="168">
        <v>43466</v>
      </c>
      <c r="I121" s="139">
        <v>41.610000999999997</v>
      </c>
    </row>
    <row r="122" spans="8:9" x14ac:dyDescent="0.25">
      <c r="H122" s="168">
        <v>43497</v>
      </c>
      <c r="I122" s="139">
        <v>43.287497999999999</v>
      </c>
    </row>
    <row r="123" spans="8:9" x14ac:dyDescent="0.25">
      <c r="H123" s="168">
        <v>43525</v>
      </c>
      <c r="I123" s="139">
        <v>47.487499</v>
      </c>
    </row>
    <row r="124" spans="8:9" x14ac:dyDescent="0.25">
      <c r="H124" s="168">
        <v>43556</v>
      </c>
      <c r="I124" s="139">
        <v>50.167499999999997</v>
      </c>
    </row>
    <row r="125" spans="8:9" x14ac:dyDescent="0.25">
      <c r="H125" s="168">
        <v>43586</v>
      </c>
      <c r="I125" s="139">
        <v>43.767502</v>
      </c>
    </row>
    <row r="126" spans="8:9" x14ac:dyDescent="0.25">
      <c r="H126" s="168">
        <v>43617</v>
      </c>
      <c r="I126" s="139">
        <v>49.48</v>
      </c>
    </row>
    <row r="127" spans="8:9" x14ac:dyDescent="0.25">
      <c r="H127" s="168">
        <v>43647</v>
      </c>
      <c r="I127" s="139">
        <v>53.259998000000003</v>
      </c>
    </row>
    <row r="128" spans="8:9" x14ac:dyDescent="0.25">
      <c r="H128" s="168">
        <v>43678</v>
      </c>
      <c r="I128" s="139">
        <v>52.185001</v>
      </c>
    </row>
    <row r="129" spans="8:9" x14ac:dyDescent="0.25">
      <c r="H129" s="168">
        <v>43709</v>
      </c>
      <c r="I129" s="139">
        <v>55.9925</v>
      </c>
    </row>
    <row r="130" spans="8:9" x14ac:dyDescent="0.25">
      <c r="H130" s="168">
        <v>43739</v>
      </c>
      <c r="I130" s="139">
        <v>62.189999</v>
      </c>
    </row>
    <row r="131" spans="8:9" x14ac:dyDescent="0.25">
      <c r="H131" s="168">
        <v>43770</v>
      </c>
      <c r="I131" s="139">
        <v>66.8125</v>
      </c>
    </row>
    <row r="132" spans="8:9" x14ac:dyDescent="0.25">
      <c r="H132" s="168">
        <v>43800</v>
      </c>
      <c r="I132" s="139">
        <v>73.412497999999999</v>
      </c>
    </row>
    <row r="133" spans="8:9" x14ac:dyDescent="0.25">
      <c r="H133" s="168">
        <v>43831</v>
      </c>
      <c r="I133" s="139">
        <v>77.377502000000007</v>
      </c>
    </row>
    <row r="134" spans="8:9" x14ac:dyDescent="0.25">
      <c r="H134" s="168">
        <v>43862</v>
      </c>
      <c r="I134" s="139">
        <v>68.339995999999999</v>
      </c>
    </row>
    <row r="135" spans="8:9" x14ac:dyDescent="0.25">
      <c r="H135" s="168">
        <v>43891</v>
      </c>
      <c r="I135" s="139">
        <v>63.572498000000003</v>
      </c>
    </row>
    <row r="136" spans="8:9" x14ac:dyDescent="0.25">
      <c r="H136" s="168">
        <v>43922</v>
      </c>
      <c r="I136" s="139">
        <v>73.449996999999996</v>
      </c>
    </row>
    <row r="137" spans="8:9" x14ac:dyDescent="0.25">
      <c r="H137" s="168">
        <v>43952</v>
      </c>
      <c r="I137" s="139">
        <v>79.485000999999997</v>
      </c>
    </row>
    <row r="138" spans="8:9" x14ac:dyDescent="0.25">
      <c r="H138" s="168">
        <v>43983</v>
      </c>
      <c r="I138" s="139">
        <v>91.199996999999996</v>
      </c>
    </row>
    <row r="139" spans="8:9" x14ac:dyDescent="0.25">
      <c r="H139" s="168">
        <v>44013</v>
      </c>
      <c r="I139" s="139">
        <v>106.260002</v>
      </c>
    </row>
    <row r="140" spans="8:9" x14ac:dyDescent="0.25">
      <c r="H140" s="168">
        <v>44044</v>
      </c>
      <c r="I140" s="139">
        <v>129.03999300000001</v>
      </c>
    </row>
    <row r="141" spans="8:9" x14ac:dyDescent="0.25">
      <c r="H141" s="168">
        <v>44075</v>
      </c>
      <c r="I141" s="139">
        <v>115.80999799999999</v>
      </c>
    </row>
    <row r="142" spans="8:9" x14ac:dyDescent="0.25">
      <c r="H142" s="168">
        <v>44105</v>
      </c>
      <c r="I142" s="139">
        <v>108.860001</v>
      </c>
    </row>
    <row r="143" spans="8:9" x14ac:dyDescent="0.25">
      <c r="H143" s="168">
        <v>44136</v>
      </c>
      <c r="I143" s="139">
        <v>119.050003</v>
      </c>
    </row>
    <row r="144" spans="8:9" x14ac:dyDescent="0.25">
      <c r="H144" s="168">
        <v>44166</v>
      </c>
      <c r="I144" s="139">
        <v>132.69000199999999</v>
      </c>
    </row>
    <row r="145" spans="8:9" x14ac:dyDescent="0.25">
      <c r="H145" s="168">
        <v>44196</v>
      </c>
      <c r="I145" s="139">
        <v>132.69000199999999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Puzzle and FCST</vt:lpstr>
      <vt:lpstr>Data Entry==&gt;</vt:lpstr>
      <vt:lpstr>Buidup Materials</vt:lpstr>
      <vt:lpstr>Shares and 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 Stewart</cp:lastModifiedBy>
  <dcterms:created xsi:type="dcterms:W3CDTF">2020-03-12T22:51:23Z</dcterms:created>
  <dcterms:modified xsi:type="dcterms:W3CDTF">2021-05-12T02:12:25Z</dcterms:modified>
</cp:coreProperties>
</file>