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ng/Dropbox/MNase-seq/cottonMNase-seq_git/"/>
    </mc:Choice>
  </mc:AlternateContent>
  <xr:revisionPtr revIDLastSave="0" documentId="13_ncr:1_{DC305967-62C6-8B44-9C1F-2C15923F5F02}" xr6:coauthVersionLast="41" xr6:coauthVersionMax="41" xr10:uidLastSave="{00000000-0000-0000-0000-000000000000}"/>
  <bookViews>
    <workbookView xWindow="7680" yWindow="4800" windowWidth="25600" windowHeight="15540" tabRatio="500" activeTab="1" xr2:uid="{00000000-000D-0000-FFFF-FFFF00000000}"/>
  </bookViews>
  <sheets>
    <sheet name="Sheet1" sheetId="1" r:id="rId1"/>
    <sheet name="Table.Mnase-seq" sheetId="3" r:id="rId2"/>
    <sheet name="iseg" sheetId="2" r:id="rId3"/>
  </sheets>
  <definedNames>
    <definedName name="_xlnm._FilterDatabase" localSheetId="0" hidden="1">Sheet1!$A$2:$O$18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" i="3" l="1"/>
  <c r="N17" i="3"/>
  <c r="N18" i="3"/>
  <c r="N15" i="3"/>
  <c r="N12" i="3"/>
  <c r="N13" i="3"/>
  <c r="N14" i="3"/>
  <c r="N11" i="3"/>
  <c r="M90" i="1"/>
  <c r="M34" i="1"/>
  <c r="M35" i="1"/>
  <c r="M36" i="1"/>
  <c r="M33" i="1"/>
  <c r="M37" i="1"/>
  <c r="M38" i="1"/>
  <c r="M39" i="1"/>
  <c r="M40" i="1"/>
  <c r="M41" i="1"/>
  <c r="M42" i="1"/>
  <c r="M43" i="1"/>
  <c r="M44" i="1"/>
  <c r="M45" i="1"/>
  <c r="N4" i="3"/>
  <c r="N5" i="3"/>
  <c r="N6" i="3"/>
  <c r="N3" i="3"/>
  <c r="N7" i="3"/>
  <c r="J33" i="1"/>
  <c r="N8" i="3"/>
  <c r="N9" i="3"/>
  <c r="N10" i="3"/>
  <c r="L37" i="1"/>
  <c r="L3" i="3"/>
  <c r="M3" i="1"/>
  <c r="L18" i="3"/>
  <c r="L17" i="3"/>
  <c r="L16" i="3"/>
  <c r="L15" i="3"/>
  <c r="H18" i="3"/>
  <c r="H17" i="3"/>
  <c r="H16" i="3"/>
  <c r="H15" i="3"/>
  <c r="L14" i="3"/>
  <c r="I14" i="3"/>
  <c r="J14" i="3" s="1"/>
  <c r="L13" i="3"/>
  <c r="I13" i="3"/>
  <c r="J13" i="3" s="1"/>
  <c r="L12" i="3"/>
  <c r="I12" i="3"/>
  <c r="J12" i="3" s="1"/>
  <c r="L11" i="3"/>
  <c r="I11" i="3"/>
  <c r="J11" i="3" s="1"/>
  <c r="H14" i="3"/>
  <c r="H13" i="3"/>
  <c r="H12" i="3"/>
  <c r="H11" i="3"/>
  <c r="L10" i="3"/>
  <c r="J10" i="3"/>
  <c r="H10" i="3"/>
  <c r="L9" i="3"/>
  <c r="J9" i="3"/>
  <c r="H9" i="3"/>
  <c r="L8" i="3"/>
  <c r="J8" i="3"/>
  <c r="H8" i="3"/>
  <c r="L7" i="3"/>
  <c r="J7" i="3"/>
  <c r="H7" i="3"/>
  <c r="L6" i="3"/>
  <c r="I6" i="3"/>
  <c r="J6" i="3" s="1"/>
  <c r="L5" i="3"/>
  <c r="I5" i="3"/>
  <c r="J5" i="3" s="1"/>
  <c r="L4" i="3"/>
  <c r="I4" i="3"/>
  <c r="J4" i="3" s="1"/>
  <c r="I3" i="3"/>
  <c r="J3" i="3" s="1"/>
  <c r="H6" i="3"/>
  <c r="H5" i="3"/>
  <c r="H4" i="3"/>
  <c r="H3" i="3"/>
  <c r="R102" i="1" l="1"/>
  <c r="R101" i="1"/>
  <c r="Q108" i="1"/>
  <c r="P108" i="1"/>
  <c r="O108" i="1"/>
  <c r="M108" i="1"/>
  <c r="L108" i="1"/>
  <c r="K108" i="1"/>
  <c r="R107" i="1"/>
  <c r="R106" i="1"/>
  <c r="K96" i="1"/>
  <c r="U107" i="1" s="1"/>
  <c r="K95" i="1"/>
  <c r="V106" i="1" s="1"/>
  <c r="Q104" i="1"/>
  <c r="Q103" i="1"/>
  <c r="Q105" i="1" s="1"/>
  <c r="P104" i="1"/>
  <c r="R104" i="1" s="1"/>
  <c r="P103" i="1"/>
  <c r="O104" i="1"/>
  <c r="O103" i="1"/>
  <c r="O105" i="1" s="1"/>
  <c r="L105" i="1"/>
  <c r="M105" i="1"/>
  <c r="K105" i="1"/>
  <c r="W107" i="1" l="1"/>
  <c r="X106" i="1"/>
  <c r="U106" i="1"/>
  <c r="X107" i="1"/>
  <c r="W106" i="1"/>
  <c r="R103" i="1"/>
  <c r="R108" i="1"/>
  <c r="T107" i="1"/>
  <c r="V107" i="1"/>
  <c r="P105" i="1"/>
  <c r="T106" i="1"/>
  <c r="I52" i="1"/>
  <c r="I50" i="1"/>
  <c r="I51" i="1"/>
  <c r="I49" i="1"/>
  <c r="I48" i="1"/>
  <c r="G48" i="1"/>
  <c r="F52" i="1"/>
  <c r="G52" i="1" s="1"/>
  <c r="F51" i="1"/>
  <c r="G51" i="1" s="1"/>
  <c r="F50" i="1"/>
  <c r="G50" i="1" s="1"/>
  <c r="F49" i="1"/>
  <c r="G49" i="1" s="1"/>
  <c r="F37" i="1"/>
  <c r="R105" i="1" l="1"/>
  <c r="F33" i="1"/>
  <c r="I40" i="1" l="1"/>
  <c r="I38" i="1"/>
  <c r="I39" i="1"/>
  <c r="I37" i="1"/>
  <c r="F40" i="1"/>
  <c r="G40" i="1" s="1"/>
  <c r="G37" i="1"/>
  <c r="F38" i="1"/>
  <c r="G38" i="1" s="1"/>
  <c r="F39" i="1"/>
  <c r="G39" i="1" s="1"/>
  <c r="O81" i="1"/>
  <c r="V101" i="1" l="1"/>
  <c r="U101" i="1"/>
  <c r="T101" i="1"/>
  <c r="X103" i="1"/>
  <c r="X105" i="1"/>
  <c r="X101" i="1"/>
  <c r="T105" i="1"/>
  <c r="W101" i="1"/>
  <c r="U105" i="1"/>
  <c r="U103" i="1"/>
  <c r="T103" i="1"/>
  <c r="V103" i="1"/>
  <c r="W103" i="1"/>
  <c r="L39" i="1"/>
  <c r="L40" i="1"/>
  <c r="L38" i="1"/>
  <c r="I35" i="1"/>
  <c r="I36" i="1"/>
  <c r="I34" i="1"/>
  <c r="F36" i="1"/>
  <c r="G36" i="1" s="1"/>
  <c r="M5" i="1"/>
  <c r="F35" i="1"/>
  <c r="G35" i="1" s="1"/>
  <c r="E35" i="1"/>
  <c r="E36" i="1"/>
  <c r="O5" i="1"/>
  <c r="M6" i="1"/>
  <c r="O6" i="1"/>
  <c r="P139" i="1"/>
  <c r="B95" i="1"/>
  <c r="L134" i="1" s="1"/>
  <c r="B96" i="1"/>
  <c r="M133" i="1" s="1"/>
  <c r="K128" i="1"/>
  <c r="K129" i="1"/>
  <c r="K130" i="1"/>
  <c r="K131" i="1"/>
  <c r="K132" i="1"/>
  <c r="K133" i="1"/>
  <c r="K134" i="1"/>
  <c r="K127" i="1"/>
  <c r="H81" i="1"/>
  <c r="E94" i="1"/>
  <c r="M128" i="1"/>
  <c r="M127" i="1"/>
  <c r="E167" i="1"/>
  <c r="E166" i="1"/>
  <c r="E164" i="1"/>
  <c r="E163" i="1"/>
  <c r="E161" i="1"/>
  <c r="E160" i="1"/>
  <c r="E158" i="1"/>
  <c r="E157" i="1"/>
  <c r="E155" i="1"/>
  <c r="E154" i="1"/>
  <c r="E152" i="1"/>
  <c r="E151" i="1"/>
  <c r="E149" i="1"/>
  <c r="E148" i="1"/>
  <c r="E146" i="1"/>
  <c r="E145" i="1"/>
  <c r="E143" i="1"/>
  <c r="E142" i="1"/>
  <c r="E140" i="1"/>
  <c r="E139" i="1"/>
  <c r="E137" i="1"/>
  <c r="E136" i="1"/>
  <c r="E134" i="1"/>
  <c r="E133" i="1"/>
  <c r="E131" i="1"/>
  <c r="E130" i="1"/>
  <c r="E128" i="1"/>
  <c r="E127" i="1"/>
  <c r="C26" i="1"/>
  <c r="J58" i="1" s="1"/>
  <c r="F118" i="1"/>
  <c r="G118" i="1" s="1"/>
  <c r="F120" i="1"/>
  <c r="G120" i="1" s="1"/>
  <c r="F119" i="1"/>
  <c r="G119" i="1" s="1"/>
  <c r="F117" i="1"/>
  <c r="G117" i="1" s="1"/>
  <c r="K94" i="1"/>
  <c r="I58" i="1"/>
  <c r="I59" i="1"/>
  <c r="I60" i="1"/>
  <c r="I57" i="1"/>
  <c r="I56" i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02" i="1"/>
  <c r="G102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01" i="1"/>
  <c r="G101" i="1" s="1"/>
  <c r="C23" i="1"/>
  <c r="J34" i="1" s="1"/>
  <c r="I41" i="1"/>
  <c r="I42" i="1"/>
  <c r="I43" i="1"/>
  <c r="I44" i="1"/>
  <c r="I45" i="1"/>
  <c r="I46" i="1"/>
  <c r="I47" i="1"/>
  <c r="I53" i="1"/>
  <c r="I54" i="1"/>
  <c r="I55" i="1"/>
  <c r="I33" i="1"/>
  <c r="G33" i="1"/>
  <c r="F34" i="1"/>
  <c r="G34" i="1" s="1"/>
  <c r="C24" i="1"/>
  <c r="J44" i="1" s="1"/>
  <c r="C25" i="1"/>
  <c r="G41" i="1"/>
  <c r="G42" i="1"/>
  <c r="G43" i="1"/>
  <c r="G44" i="1"/>
  <c r="G45" i="1"/>
  <c r="G46" i="1"/>
  <c r="G47" i="1"/>
  <c r="G53" i="1"/>
  <c r="G54" i="1"/>
  <c r="G55" i="1"/>
  <c r="G56" i="1"/>
  <c r="B94" i="1"/>
  <c r="O3" i="1"/>
  <c r="E34" i="1"/>
  <c r="E41" i="1"/>
  <c r="E42" i="1"/>
  <c r="E43" i="1"/>
  <c r="E44" i="1"/>
  <c r="E45" i="1"/>
  <c r="E46" i="1"/>
  <c r="E47" i="1"/>
  <c r="E48" i="1"/>
  <c r="E53" i="1"/>
  <c r="E54" i="1"/>
  <c r="E55" i="1"/>
  <c r="E56" i="1"/>
  <c r="E33" i="1"/>
  <c r="O16" i="1"/>
  <c r="O17" i="1"/>
  <c r="O18" i="1"/>
  <c r="O11" i="1"/>
  <c r="O12" i="1"/>
  <c r="O13" i="1"/>
  <c r="O14" i="1"/>
  <c r="O7" i="1"/>
  <c r="O8" i="1"/>
  <c r="O9" i="1"/>
  <c r="O10" i="1"/>
  <c r="O4" i="1"/>
  <c r="O15" i="1"/>
  <c r="M16" i="1"/>
  <c r="M17" i="1"/>
  <c r="M18" i="1"/>
  <c r="M11" i="1"/>
  <c r="M12" i="1"/>
  <c r="M13" i="1"/>
  <c r="M14" i="1"/>
  <c r="M7" i="1"/>
  <c r="M8" i="1"/>
  <c r="M9" i="1"/>
  <c r="M10" i="1"/>
  <c r="M4" i="1"/>
  <c r="M15" i="1"/>
  <c r="X108" i="1" l="1"/>
  <c r="U108" i="1"/>
  <c r="V108" i="1"/>
  <c r="T108" i="1"/>
  <c r="W108" i="1"/>
  <c r="T102" i="1"/>
  <c r="X102" i="1"/>
  <c r="V102" i="1"/>
  <c r="U102" i="1"/>
  <c r="X104" i="1"/>
  <c r="T104" i="1"/>
  <c r="W102" i="1"/>
  <c r="V105" i="1"/>
  <c r="W110" i="1"/>
  <c r="M138" i="1"/>
  <c r="M140" i="1" s="1"/>
  <c r="L33" i="1"/>
  <c r="L36" i="1"/>
  <c r="L35" i="1"/>
  <c r="L34" i="1"/>
  <c r="L131" i="1"/>
  <c r="J46" i="1"/>
  <c r="J49" i="1"/>
  <c r="J52" i="1"/>
  <c r="J50" i="1"/>
  <c r="J51" i="1"/>
  <c r="J39" i="1"/>
  <c r="J38" i="1"/>
  <c r="J40" i="1"/>
  <c r="J37" i="1"/>
  <c r="L59" i="1"/>
  <c r="L57" i="1"/>
  <c r="L58" i="1"/>
  <c r="L60" i="1"/>
  <c r="O138" i="1"/>
  <c r="O140" i="1" s="1"/>
  <c r="U104" i="1"/>
  <c r="V104" i="1"/>
  <c r="W104" i="1"/>
  <c r="L43" i="1"/>
  <c r="L41" i="1"/>
  <c r="L42" i="1"/>
  <c r="L44" i="1"/>
  <c r="L133" i="1"/>
  <c r="O133" i="1" s="1"/>
  <c r="W105" i="1"/>
  <c r="L132" i="1"/>
  <c r="M131" i="1"/>
  <c r="O131" i="1" s="1"/>
  <c r="M132" i="1"/>
  <c r="L130" i="1"/>
  <c r="I138" i="1"/>
  <c r="M134" i="1"/>
  <c r="O134" i="1" s="1"/>
  <c r="J138" i="1"/>
  <c r="J140" i="1" s="1"/>
  <c r="J36" i="1"/>
  <c r="L128" i="1"/>
  <c r="O128" i="1" s="1"/>
  <c r="J35" i="1"/>
  <c r="J57" i="1"/>
  <c r="J41" i="1"/>
  <c r="J45" i="1"/>
  <c r="J48" i="1"/>
  <c r="J43" i="1"/>
  <c r="J47" i="1"/>
  <c r="J42" i="1"/>
  <c r="H90" i="1"/>
  <c r="M130" i="1"/>
  <c r="J60" i="1"/>
  <c r="M129" i="1"/>
  <c r="L127" i="1"/>
  <c r="O127" i="1" s="1"/>
  <c r="J56" i="1"/>
  <c r="J55" i="1"/>
  <c r="J59" i="1"/>
  <c r="L129" i="1"/>
  <c r="J54" i="1"/>
  <c r="J53" i="1"/>
  <c r="P138" i="1" l="1"/>
  <c r="O130" i="1"/>
  <c r="K138" i="1"/>
  <c r="I140" i="1"/>
  <c r="O132" i="1"/>
  <c r="O129" i="1"/>
</calcChain>
</file>

<file path=xl/sharedStrings.xml><?xml version="1.0" encoding="utf-8"?>
<sst xmlns="http://schemas.openxmlformats.org/spreadsheetml/2006/main" count="561" uniqueCount="264">
  <si>
    <t>Sample</t>
  </si>
  <si>
    <t>Library</t>
  </si>
  <si>
    <t>Raw Reads</t>
  </si>
  <si>
    <t>Clean Reads</t>
  </si>
  <si>
    <t>Raw Base(G)</t>
  </si>
  <si>
    <t>Clean Base(G)</t>
  </si>
  <si>
    <t>Effective Rate(%)</t>
  </si>
  <si>
    <t>Error Rate(%)</t>
  </si>
  <si>
    <t>Q20(%)</t>
  </si>
  <si>
    <t>Q30(%)</t>
  </si>
  <si>
    <t>GC Content(%)</t>
  </si>
  <si>
    <t>M1L</t>
  </si>
  <si>
    <t>DMS06719</t>
  </si>
  <si>
    <t>M2L</t>
  </si>
  <si>
    <t>DMS06721-c</t>
  </si>
  <si>
    <t>F2L</t>
  </si>
  <si>
    <t>DMS06723</t>
  </si>
  <si>
    <t>M1H</t>
  </si>
  <si>
    <t>DMS06718</t>
  </si>
  <si>
    <t>M2H</t>
  </si>
  <si>
    <t>DMS06720</t>
  </si>
  <si>
    <t>D2L</t>
  </si>
  <si>
    <t>DMS06729</t>
  </si>
  <si>
    <t>D2H</t>
  </si>
  <si>
    <t>DMS06728</t>
  </si>
  <si>
    <t>D1L</t>
  </si>
  <si>
    <t>DMS06727</t>
  </si>
  <si>
    <t>D1H</t>
  </si>
  <si>
    <t>DMS06726</t>
  </si>
  <si>
    <t>F3L</t>
  </si>
  <si>
    <t>DMS06725</t>
  </si>
  <si>
    <t>F3H</t>
  </si>
  <si>
    <t>DMS06724</t>
  </si>
  <si>
    <t>A6H</t>
  </si>
  <si>
    <t>DMS06730</t>
  </si>
  <si>
    <t>F2H</t>
  </si>
  <si>
    <t>DMS06722</t>
  </si>
  <si>
    <t>A6L</t>
  </si>
  <si>
    <t>DMS06731-c</t>
  </si>
  <si>
    <t>Raw Reads (%)</t>
  </si>
  <si>
    <t>Ideal Raw (million)</t>
  </si>
  <si>
    <t>Clean Reads (%)</t>
  </si>
  <si>
    <t>Trimmed&amp;filtered</t>
  </si>
  <si>
    <t xml:space="preserve">%Trimmed&amp;filtered </t>
  </si>
  <si>
    <t>Mapped</t>
  </si>
  <si>
    <t>%Mapped</t>
  </si>
  <si>
    <t>A2</t>
  </si>
  <si>
    <t>D5</t>
  </si>
  <si>
    <t>Maxxa</t>
  </si>
  <si>
    <t>f1 (A2xD5)</t>
  </si>
  <si>
    <t>Genome</t>
  </si>
  <si>
    <t>Size (Gb)</t>
  </si>
  <si>
    <t>Nuclsosome coverage</t>
  </si>
  <si>
    <t>Expected Nucleosomes (M)</t>
  </si>
  <si>
    <t>To reach 10X sequencing coverage, 268 million reads are needed</t>
  </si>
  <si>
    <t>Table 2. Reference genome size</t>
  </si>
  <si>
    <t>Table 3. Sequence filtering and mapping results</t>
  </si>
  <si>
    <t xml:space="preserve">Predicting number of nucleosomes: </t>
  </si>
  <si>
    <t>2.68G X 2 (sister chromatids) / 200 (nucleosome size) = 26.8 million nucleosomes</t>
  </si>
  <si>
    <t>Mapped q&gt;20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</si>
  <si>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</si>
  <si>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</si>
  <si>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</si>
  <si>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</si>
  <si>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</si>
  <si>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</si>
  <si>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</si>
  <si>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</si>
  <si>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</si>
  <si>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</si>
  <si>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</si>
  <si>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</si>
  <si>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</si>
  <si>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</si>
  <si>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</si>
  <si>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</si>
  <si>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</si>
  <si>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</si>
  <si>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</si>
  <si>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</si>
  <si>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</si>
  <si>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</si>
  <si>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</si>
  <si>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</si>
  <si>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</si>
  <si>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</si>
  <si>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AD1_TM1_zhang</t>
  </si>
  <si>
    <t>bp</t>
  </si>
  <si>
    <t>Total</t>
  </si>
  <si>
    <t>New TM1 ref</t>
  </si>
  <si>
    <t>Table 5. nucleosme calling</t>
  </si>
  <si>
    <t>Ref genome</t>
  </si>
  <si>
    <t>Fuzzy</t>
  </si>
  <si>
    <t>Uncertain</t>
  </si>
  <si>
    <t>Well-positioned</t>
  </si>
  <si>
    <t>%W</t>
  </si>
  <si>
    <t>Chr01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</si>
  <si>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</si>
  <si>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</si>
  <si>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</si>
  <si>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</si>
  <si>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</si>
  <si>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</si>
  <si>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</si>
  <si>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</si>
  <si>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</si>
  <si>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Chr11</t>
  </si>
  <si>
    <t>Chr12</t>
  </si>
  <si>
    <t>Chr13</t>
  </si>
  <si>
    <t>D5_Pearson</t>
  </si>
  <si>
    <t>Buckler's maize project sequenced 10-20G clean reads for 2500Mb maize genome, but shorter read length yielded higher read numbers than mine.</t>
  </si>
  <si>
    <t>%Mapped_q&gt;20</t>
  </si>
  <si>
    <t>Table 1. Novogene sequencing report</t>
  </si>
  <si>
    <t>A2_chr01</t>
  </si>
  <si>
    <t>A2_chr02</t>
  </si>
  <si>
    <t>A2_chr03</t>
  </si>
  <si>
    <t>A2_chr04</t>
  </si>
  <si>
    <t>A2_chr05</t>
  </si>
  <si>
    <t>A2_chr06</t>
  </si>
  <si>
    <t>A2_chr07</t>
  </si>
  <si>
    <t>A2_chr08</t>
  </si>
  <si>
    <t>A2_chr09</t>
  </si>
  <si>
    <t>A2_chr10</t>
  </si>
  <si>
    <t>A2_chr11</t>
  </si>
  <si>
    <t>A2_chr12</t>
  </si>
  <si>
    <t>A2_chr13</t>
  </si>
  <si>
    <t>cat(A2,D5_Pearson)</t>
  </si>
  <si>
    <t>AD1_TM1_Saski</t>
  </si>
  <si>
    <t>Table 4. Reference genomes used</t>
  </si>
  <si>
    <t>Table 6. Size partition of q&gt;20 mapped fragments</t>
  </si>
  <si>
    <t>D1H_q20_000-130.bed</t>
  </si>
  <si>
    <t>D1H_q20_130-260.bed</t>
  </si>
  <si>
    <t>D1H_q20.bed</t>
  </si>
  <si>
    <t>D1L_q20_000-130.bed</t>
  </si>
  <si>
    <t>D1L_q20_130-260.bed</t>
  </si>
  <si>
    <t>D1L_q20.bed</t>
  </si>
  <si>
    <t>D2H_q20_000-130.bed</t>
  </si>
  <si>
    <t>D2H_q20_130-260.bed</t>
  </si>
  <si>
    <t>D2H_q20.bed</t>
  </si>
  <si>
    <t>D2L_q20_000-130.bed</t>
  </si>
  <si>
    <t>D2L_q20_130-260.bed</t>
  </si>
  <si>
    <t>D2L_q20.bed</t>
  </si>
  <si>
    <t>Mapped Q&gt;20</t>
  </si>
  <si>
    <t>Partitioned files</t>
  </si>
  <si>
    <t>Partition percentage</t>
  </si>
  <si>
    <t>D</t>
  </si>
  <si>
    <t>H</t>
  </si>
  <si>
    <t>L</t>
  </si>
  <si>
    <t>A</t>
  </si>
  <si>
    <t>A6H_q20_000-130.bed</t>
  </si>
  <si>
    <t>A6H_q20_130-260.bed</t>
  </si>
  <si>
    <t>A6H_q20.bed</t>
  </si>
  <si>
    <t>A6L_q20_000-130.bed</t>
  </si>
  <si>
    <t>A6L_q20_130-260.bed</t>
  </si>
  <si>
    <t>A6L_q20.bed</t>
  </si>
  <si>
    <t>F</t>
  </si>
  <si>
    <t>F2H_q20_000-130.bed</t>
  </si>
  <si>
    <t>F2H_q20_130-260.bed</t>
  </si>
  <si>
    <t>F2H_q20.bed</t>
  </si>
  <si>
    <t>F2L_q20_000-130.bed</t>
  </si>
  <si>
    <t>F2L_q20_130-260.bed</t>
  </si>
  <si>
    <t>F2L_q20.bed</t>
  </si>
  <si>
    <t>F3H_q20_000-130.bed</t>
  </si>
  <si>
    <t>F3H_q20_130-260.bed</t>
  </si>
  <si>
    <t>F3H_q20.bed</t>
  </si>
  <si>
    <t>F3L_q20_000-130.bed</t>
  </si>
  <si>
    <t>F3L_q20_130-260.bed</t>
  </si>
  <si>
    <t>F3L_q20.bed</t>
  </si>
  <si>
    <t>M</t>
  </si>
  <si>
    <t>M1H_q20_000-130.bed</t>
  </si>
  <si>
    <t>M1H_q20_130-260.bed</t>
  </si>
  <si>
    <t>M1H_q20.bed</t>
  </si>
  <si>
    <t>M1L_q20_000-130.bed</t>
  </si>
  <si>
    <t>M1L_q20_130-260.bed</t>
  </si>
  <si>
    <t>M1L_q20.bed</t>
  </si>
  <si>
    <t>M2H_q20_000-130.bed</t>
  </si>
  <si>
    <t>M2H_q20_130-260.bed</t>
  </si>
  <si>
    <t>M2H_q20.bed</t>
  </si>
  <si>
    <t>M2L_q20_000-130.bed</t>
  </si>
  <si>
    <t>M2L_q20_130-260.bed</t>
  </si>
  <si>
    <t>M2L_q20.bed</t>
  </si>
  <si>
    <t>Table 7. Subgenome coverage in F1 and Maxxa</t>
  </si>
  <si>
    <t>At reads</t>
  </si>
  <si>
    <t>Dt reads</t>
  </si>
  <si>
    <t>At depth</t>
  </si>
  <si>
    <t>Dt depth</t>
  </si>
  <si>
    <t>At/Dt</t>
  </si>
  <si>
    <t>At/Dt depth</t>
  </si>
  <si>
    <t>At/Dt reads</t>
  </si>
  <si>
    <t>Dt_Total</t>
  </si>
  <si>
    <t>At_Total</t>
  </si>
  <si>
    <t>Table. Subgenome size in F1</t>
  </si>
  <si>
    <t>Table. Subgenome size in  Maxxa</t>
  </si>
  <si>
    <t>At</t>
  </si>
  <si>
    <t>Dt</t>
  </si>
  <si>
    <t>Theoretical</t>
  </si>
  <si>
    <t>mappable by Mnase</t>
  </si>
  <si>
    <t>mappable %</t>
  </si>
  <si>
    <t>A2/D5</t>
  </si>
  <si>
    <t>A6Hn</t>
  </si>
  <si>
    <t>DMS17071</t>
  </si>
  <si>
    <t>A6Ln</t>
  </si>
  <si>
    <t>DMS17072</t>
  </si>
  <si>
    <t>A2_Du_2018</t>
  </si>
  <si>
    <t>New A2 ref, Du et al</t>
  </si>
  <si>
    <t>Covered region by reads q&gt;20 (bp)</t>
  </si>
  <si>
    <t>Table 6. Summary of Median Absolute Deviation (MAD, and SD=1.4826*MAD)</t>
  </si>
  <si>
    <t>A6D</t>
  </si>
  <si>
    <t>A6Dn</t>
  </si>
  <si>
    <t>allChrs</t>
  </si>
  <si>
    <t>D1D</t>
  </si>
  <si>
    <t>D2D</t>
  </si>
  <si>
    <t>M1D: At</t>
  </si>
  <si>
    <t>M1D: Dt</t>
  </si>
  <si>
    <t xml:space="preserve">M2D: At </t>
  </si>
  <si>
    <t>M2D: Dt</t>
  </si>
  <si>
    <t>A2Du+D5</t>
  </si>
  <si>
    <t>A2_Du</t>
  </si>
  <si>
    <t>FcH</t>
  </si>
  <si>
    <t>FcH: At</t>
  </si>
  <si>
    <t>FcH: D5</t>
  </si>
  <si>
    <t>Nuclesome number</t>
  </si>
  <si>
    <t>% genome covered</t>
  </si>
  <si>
    <t>BP genome covered</t>
  </si>
  <si>
    <t>McH: At</t>
  </si>
  <si>
    <t>McH: D5</t>
  </si>
  <si>
    <t>McH</t>
  </si>
  <si>
    <t>Dt_total</t>
  </si>
  <si>
    <t>W,&lt;150bp</t>
  </si>
  <si>
    <t>sample</t>
  </si>
  <si>
    <t>genome</t>
  </si>
  <si>
    <t>N.Fuzzy</t>
  </si>
  <si>
    <t>N.uncertain</t>
  </si>
  <si>
    <t>N.well</t>
  </si>
  <si>
    <t>N.well150</t>
  </si>
  <si>
    <t>bp.Fuzzy</t>
  </si>
  <si>
    <t>bp.uncertain</t>
  </si>
  <si>
    <t>bp.well</t>
  </si>
  <si>
    <t>bp.well150</t>
  </si>
  <si>
    <t>DcH</t>
  </si>
  <si>
    <t>F1 hybrid</t>
  </si>
  <si>
    <t>A-genome</t>
  </si>
  <si>
    <t>D-genome</t>
  </si>
  <si>
    <t>Diploids</t>
  </si>
  <si>
    <t>AD1 polyploid</t>
  </si>
  <si>
    <t>Table. Summary of MNase-seq datasets</t>
  </si>
  <si>
    <t>Sample_ID</t>
  </si>
  <si>
    <t>G. raimondii</t>
  </si>
  <si>
    <t>G. arboreum x G. raimondii</t>
  </si>
  <si>
    <t>G. hirsutum cultivar Acala Maxxa</t>
  </si>
  <si>
    <t>G. arboreum accession A2-101</t>
  </si>
  <si>
    <t>Species/Accession</t>
  </si>
  <si>
    <t>Mnase_Digestive_condition</t>
  </si>
  <si>
    <t>heavy</t>
  </si>
  <si>
    <t>light</t>
  </si>
  <si>
    <t>SRA</t>
  </si>
  <si>
    <t>SRR</t>
  </si>
  <si>
    <t>Library_ID</t>
  </si>
  <si>
    <t>Raw_reads</t>
  </si>
  <si>
    <t>Mapped(q&gt;20)</t>
  </si>
  <si>
    <t>%Mapped(q&gt;20)</t>
  </si>
  <si>
    <t>Covered_b(q&gt;20)</t>
  </si>
  <si>
    <t>%Covered_b(q&gt;20)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</si>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</sst>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1"/>
      <color rgb="FFFFF0A5"/>
      <name val="Courier"/>
      <family val="1"/>
    </font>
    <font>
      <sz val="12"/>
      <color rgb="FF00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1"/>
      <name val="Courier"/>
      <family val="1"/>
    </font>
    <font>
      <sz val="12"/>
      <color rgb="FF2F2F2F"/>
      <name val="Segoe UI Symbol"/>
      <family val="2"/>
    </font>
    <font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10">
    <xf numFmtId="0" fontId="0" fillId="0" borderId="0" xfId="0"/>
    <xf numFmtId="0" fontId="4" fillId="0" borderId="0" xfId="0" applyFont="1"/>
    <xf numFmtId="0" fontId="4" fillId="0" borderId="0" xfId="0" applyFont="1" applyFill="1"/>
    <xf numFmtId="0" fontId="6" fillId="0" borderId="0" xfId="0" applyFont="1"/>
    <xf numFmtId="0" fontId="7" fillId="0" borderId="0" xfId="0" applyFont="1"/>
    <xf numFmtId="0" fontId="0" fillId="0" borderId="0" xfId="0" applyFill="1"/>
    <xf numFmtId="0" fontId="8" fillId="0" borderId="0" xfId="0" applyFont="1"/>
    <xf numFmtId="0" fontId="9" fillId="0" borderId="0" xfId="0" applyFont="1"/>
    <xf numFmtId="0" fontId="7" fillId="0" borderId="1" xfId="0" applyFont="1" applyBorder="1"/>
    <xf numFmtId="0" fontId="6" fillId="0" borderId="1" xfId="0" applyFont="1" applyBorder="1"/>
    <xf numFmtId="0" fontId="0" fillId="0" borderId="1" xfId="0" applyFill="1" applyBorder="1"/>
    <xf numFmtId="3" fontId="0" fillId="0" borderId="1" xfId="0" applyNumberFormat="1" applyFill="1" applyBorder="1"/>
    <xf numFmtId="0" fontId="5" fillId="0" borderId="1" xfId="0" applyFont="1" applyFill="1" applyBorder="1"/>
    <xf numFmtId="0" fontId="10" fillId="0" borderId="0" xfId="0" applyFont="1" applyFill="1"/>
    <xf numFmtId="0" fontId="0" fillId="0" borderId="1" xfId="0" applyBorder="1"/>
    <xf numFmtId="0" fontId="10" fillId="0" borderId="1" xfId="0" applyFont="1" applyFill="1" applyBorder="1"/>
    <xf numFmtId="0" fontId="4" fillId="0" borderId="1" xfId="0" applyFont="1" applyFill="1" applyBorder="1"/>
    <xf numFmtId="3" fontId="0" fillId="0" borderId="1" xfId="0" applyNumberFormat="1" applyFont="1" applyFill="1" applyBorder="1"/>
    <xf numFmtId="10" fontId="0" fillId="0" borderId="1" xfId="0" applyNumberFormat="1" applyFont="1" applyFill="1" applyBorder="1"/>
    <xf numFmtId="0" fontId="0" fillId="0" borderId="1" xfId="0" applyFont="1" applyFill="1" applyBorder="1"/>
    <xf numFmtId="0" fontId="11" fillId="0" borderId="0" xfId="0" applyFont="1" applyBorder="1"/>
    <xf numFmtId="0" fontId="12" fillId="0" borderId="0" xfId="0" applyFont="1" applyFill="1" applyBorder="1"/>
    <xf numFmtId="0" fontId="0" fillId="0" borderId="0" xfId="0" applyBorder="1"/>
    <xf numFmtId="10" fontId="0" fillId="0" borderId="0" xfId="0" applyNumberFormat="1"/>
    <xf numFmtId="0" fontId="13" fillId="0" borderId="0" xfId="0" applyFont="1"/>
    <xf numFmtId="3" fontId="0" fillId="0" borderId="0" xfId="0" applyNumberFormat="1" applyFont="1" applyFill="1" applyBorder="1"/>
    <xf numFmtId="3" fontId="0" fillId="0" borderId="0" xfId="0" applyNumberFormat="1"/>
    <xf numFmtId="0" fontId="0" fillId="0" borderId="1" xfId="0" applyFont="1" applyBorder="1"/>
    <xf numFmtId="3" fontId="7" fillId="0" borderId="1" xfId="0" applyNumberFormat="1" applyFont="1" applyFill="1" applyBorder="1"/>
    <xf numFmtId="164" fontId="4" fillId="2" borderId="1" xfId="0" applyNumberFormat="1" applyFont="1" applyFill="1" applyBorder="1"/>
    <xf numFmtId="3" fontId="0" fillId="0" borderId="1" xfId="0" applyNumberFormat="1" applyFont="1" applyBorder="1"/>
    <xf numFmtId="3" fontId="0" fillId="0" borderId="1" xfId="0" applyNumberFormat="1" applyBorder="1"/>
    <xf numFmtId="0" fontId="0" fillId="3" borderId="0" xfId="0" applyFill="1"/>
    <xf numFmtId="0" fontId="4" fillId="3" borderId="1" xfId="0" applyFont="1" applyFill="1" applyBorder="1"/>
    <xf numFmtId="0" fontId="0" fillId="3" borderId="1" xfId="0" applyFont="1" applyFill="1" applyBorder="1"/>
    <xf numFmtId="3" fontId="0" fillId="3" borderId="1" xfId="0" applyNumberFormat="1" applyFont="1" applyFill="1" applyBorder="1"/>
    <xf numFmtId="3" fontId="0" fillId="3" borderId="1" xfId="0" applyNumberFormat="1" applyFill="1" applyBorder="1"/>
    <xf numFmtId="10" fontId="0" fillId="3" borderId="1" xfId="0" applyNumberFormat="1" applyFont="1" applyFill="1" applyBorder="1"/>
    <xf numFmtId="0" fontId="10" fillId="0" borderId="2" xfId="0" applyFont="1" applyFill="1" applyBorder="1"/>
    <xf numFmtId="3" fontId="7" fillId="0" borderId="0" xfId="0" applyNumberFormat="1" applyFont="1"/>
    <xf numFmtId="0" fontId="15" fillId="0" borderId="1" xfId="0" applyFont="1" applyBorder="1"/>
    <xf numFmtId="0" fontId="16" fillId="0" borderId="1" xfId="0" applyFont="1" applyBorder="1"/>
    <xf numFmtId="0" fontId="0" fillId="0" borderId="0" xfId="0" applyFill="1" applyBorder="1"/>
    <xf numFmtId="0" fontId="7" fillId="0" borderId="1" xfId="0" applyFont="1" applyFill="1" applyBorder="1"/>
    <xf numFmtId="0" fontId="17" fillId="0" borderId="1" xfId="0" applyFont="1" applyBorder="1"/>
    <xf numFmtId="3" fontId="0" fillId="4" borderId="1" xfId="0" applyNumberFormat="1" applyFont="1" applyFill="1" applyBorder="1"/>
    <xf numFmtId="0" fontId="4" fillId="4" borderId="1" xfId="0" applyFont="1" applyFill="1" applyBorder="1"/>
    <xf numFmtId="10" fontId="0" fillId="4" borderId="1" xfId="0" applyNumberFormat="1" applyFont="1" applyFill="1" applyBorder="1"/>
    <xf numFmtId="164" fontId="4" fillId="4" borderId="1" xfId="0" applyNumberFormat="1" applyFont="1" applyFill="1" applyBorder="1"/>
    <xf numFmtId="0" fontId="0" fillId="4" borderId="1" xfId="0" applyFill="1" applyBorder="1"/>
    <xf numFmtId="3" fontId="14" fillId="3" borderId="1" xfId="0" applyNumberFormat="1" applyFont="1" applyFill="1" applyBorder="1"/>
    <xf numFmtId="10" fontId="0" fillId="3" borderId="1" xfId="0" applyNumberFormat="1" applyFill="1" applyBorder="1"/>
    <xf numFmtId="164" fontId="4" fillId="3" borderId="1" xfId="0" applyNumberFormat="1" applyFont="1" applyFill="1" applyBorder="1"/>
    <xf numFmtId="0" fontId="17" fillId="0" borderId="0" xfId="0" applyFont="1"/>
    <xf numFmtId="0" fontId="0" fillId="5" borderId="0" xfId="0" applyFill="1"/>
    <xf numFmtId="165" fontId="0" fillId="5" borderId="0" xfId="0" applyNumberFormat="1" applyFill="1"/>
    <xf numFmtId="165" fontId="0" fillId="0" borderId="0" xfId="0" applyNumberFormat="1"/>
    <xf numFmtId="0" fontId="18" fillId="0" borderId="0" xfId="0" applyFont="1"/>
    <xf numFmtId="165" fontId="18" fillId="0" borderId="0" xfId="0" applyNumberFormat="1" applyFont="1"/>
    <xf numFmtId="3" fontId="0" fillId="6" borderId="1" xfId="0" applyNumberFormat="1" applyFont="1" applyFill="1" applyBorder="1"/>
    <xf numFmtId="0" fontId="4" fillId="6" borderId="1" xfId="0" applyFont="1" applyFill="1" applyBorder="1"/>
    <xf numFmtId="10" fontId="0" fillId="6" borderId="1" xfId="0" applyNumberFormat="1" applyFont="1" applyFill="1" applyBorder="1"/>
    <xf numFmtId="164" fontId="4" fillId="6" borderId="1" xfId="0" applyNumberFormat="1" applyFont="1" applyFill="1" applyBorder="1"/>
    <xf numFmtId="0" fontId="4" fillId="6" borderId="0" xfId="0" applyFont="1" applyFill="1"/>
    <xf numFmtId="0" fontId="4" fillId="7" borderId="1" xfId="0" applyFont="1" applyFill="1" applyBorder="1"/>
    <xf numFmtId="3" fontId="0" fillId="7" borderId="1" xfId="0" applyNumberFormat="1" applyFont="1" applyFill="1" applyBorder="1"/>
    <xf numFmtId="10" fontId="0" fillId="7" borderId="1" xfId="0" applyNumberFormat="1" applyFont="1" applyFill="1" applyBorder="1"/>
    <xf numFmtId="164" fontId="4" fillId="7" borderId="1" xfId="0" applyNumberFormat="1" applyFont="1" applyFill="1" applyBorder="1"/>
    <xf numFmtId="0" fontId="0" fillId="0" borderId="2" xfId="0" applyFill="1" applyBorder="1"/>
    <xf numFmtId="3" fontId="20" fillId="0" borderId="1" xfId="0" applyNumberFormat="1" applyFont="1" applyBorder="1"/>
    <xf numFmtId="0" fontId="0" fillId="0" borderId="3" xfId="0" applyBorder="1"/>
    <xf numFmtId="0" fontId="10" fillId="0" borderId="6" xfId="0" applyFont="1" applyFill="1" applyBorder="1"/>
    <xf numFmtId="0" fontId="4" fillId="0" borderId="6" xfId="0" applyFont="1" applyFill="1" applyBorder="1"/>
    <xf numFmtId="0" fontId="20" fillId="0" borderId="6" xfId="0" applyFont="1" applyFill="1" applyBorder="1"/>
    <xf numFmtId="0" fontId="20" fillId="0" borderId="8" xfId="0" applyFont="1" applyFill="1" applyBorder="1"/>
    <xf numFmtId="3" fontId="20" fillId="0" borderId="9" xfId="0" applyNumberFormat="1" applyFont="1" applyBorder="1"/>
    <xf numFmtId="0" fontId="0" fillId="0" borderId="4" xfId="0" applyBorder="1" applyAlignment="1">
      <alignment horizontal="center"/>
    </xf>
    <xf numFmtId="0" fontId="22" fillId="0" borderId="0" xfId="0" applyFont="1"/>
    <xf numFmtId="0" fontId="0" fillId="8" borderId="4" xfId="0" applyFill="1" applyBorder="1"/>
    <xf numFmtId="0" fontId="7" fillId="8" borderId="1" xfId="0" applyFont="1" applyFill="1" applyBorder="1"/>
    <xf numFmtId="0" fontId="0" fillId="8" borderId="1" xfId="0" applyFont="1" applyFill="1" applyBorder="1"/>
    <xf numFmtId="3" fontId="0" fillId="8" borderId="1" xfId="0" applyNumberFormat="1" applyFont="1" applyFill="1" applyBorder="1"/>
    <xf numFmtId="0" fontId="20" fillId="8" borderId="1" xfId="0" applyFont="1" applyFill="1" applyBorder="1"/>
    <xf numFmtId="3" fontId="20" fillId="8" borderId="1" xfId="0" applyNumberFormat="1" applyFont="1" applyFill="1" applyBorder="1"/>
    <xf numFmtId="0" fontId="0" fillId="8" borderId="1" xfId="0" applyFill="1" applyBorder="1"/>
    <xf numFmtId="0" fontId="21" fillId="8" borderId="9" xfId="0" applyFont="1" applyFill="1" applyBorder="1"/>
    <xf numFmtId="3" fontId="20" fillId="8" borderId="9" xfId="0" applyNumberFormat="1" applyFont="1" applyFill="1" applyBorder="1"/>
    <xf numFmtId="0" fontId="0" fillId="8" borderId="0" xfId="0" applyFill="1"/>
    <xf numFmtId="0" fontId="7" fillId="8" borderId="7" xfId="0" applyFont="1" applyFill="1" applyBorder="1"/>
    <xf numFmtId="166" fontId="0" fillId="8" borderId="1" xfId="14" applyNumberFormat="1" applyFont="1" applyFill="1" applyBorder="1"/>
    <xf numFmtId="166" fontId="0" fillId="8" borderId="7" xfId="14" applyNumberFormat="1" applyFont="1" applyFill="1" applyBorder="1"/>
    <xf numFmtId="166" fontId="20" fillId="8" borderId="1" xfId="14" applyNumberFormat="1" applyFont="1" applyFill="1" applyBorder="1"/>
    <xf numFmtId="166" fontId="20" fillId="8" borderId="7" xfId="14" applyNumberFormat="1" applyFont="1" applyFill="1" applyBorder="1"/>
    <xf numFmtId="166" fontId="20" fillId="8" borderId="9" xfId="14" applyNumberFormat="1" applyFont="1" applyFill="1" applyBorder="1"/>
    <xf numFmtId="166" fontId="20" fillId="8" borderId="10" xfId="14" applyNumberFormat="1" applyFont="1" applyFill="1" applyBorder="1"/>
    <xf numFmtId="167" fontId="0" fillId="0" borderId="1" xfId="13" applyNumberFormat="1" applyFont="1" applyBorder="1"/>
    <xf numFmtId="0" fontId="0" fillId="8" borderId="4" xfId="0" applyFill="1" applyBorder="1" applyAlignment="1">
      <alignment horizontal="center"/>
    </xf>
    <xf numFmtId="166" fontId="0" fillId="0" borderId="0" xfId="0" applyNumberFormat="1"/>
    <xf numFmtId="0" fontId="0" fillId="8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8" borderId="5" xfId="0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3" fontId="14" fillId="0" borderId="1" xfId="0" applyNumberFormat="1" applyFont="1" applyFill="1" applyBorder="1"/>
    <xf numFmtId="10" fontId="0" fillId="0" borderId="1" xfId="0" applyNumberFormat="1" applyFill="1" applyBorder="1"/>
    <xf numFmtId="0" fontId="7" fillId="2" borderId="1" xfId="0" applyFont="1" applyFill="1" applyBorder="1"/>
    <xf numFmtId="0" fontId="0" fillId="2" borderId="1" xfId="0" applyFill="1" applyBorder="1"/>
    <xf numFmtId="0" fontId="10" fillId="2" borderId="1" xfId="0" applyFont="1" applyFill="1" applyBorder="1"/>
    <xf numFmtId="3" fontId="0" fillId="2" borderId="1" xfId="0" applyNumberFormat="1" applyFont="1" applyFill="1" applyBorder="1"/>
    <xf numFmtId="10" fontId="0" fillId="2" borderId="1" xfId="0" applyNumberFormat="1" applyFont="1" applyFill="1" applyBorder="1"/>
    <xf numFmtId="0" fontId="4" fillId="2" borderId="1" xfId="0" applyFont="1" applyFill="1" applyBorder="1"/>
  </cellXfs>
  <cellStyles count="15">
    <cellStyle name="Comma" xfId="1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Percent" xfId="14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Nucleosome covered genomic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Sheet1!$T$112</c:f>
              <c:strCache>
                <c:ptCount val="1"/>
                <c:pt idx="0">
                  <c:v>A-genome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Sheet1!$U$111:$W$111</c:f>
              <c:strCache>
                <c:ptCount val="3"/>
                <c:pt idx="0">
                  <c:v>Diploids</c:v>
                </c:pt>
                <c:pt idx="1">
                  <c:v>F1 hybrid</c:v>
                </c:pt>
                <c:pt idx="2">
                  <c:v>AD1 polyploid</c:v>
                </c:pt>
              </c:strCache>
            </c:strRef>
          </c:cat>
          <c:val>
            <c:numRef>
              <c:f>Sheet1!$U$112:$W$112</c:f>
              <c:numCache>
                <c:formatCode>0.0%</c:formatCode>
                <c:ptCount val="3"/>
                <c:pt idx="0">
                  <c:v>0.76669502663791811</c:v>
                </c:pt>
                <c:pt idx="1">
                  <c:v>0.76482252184844812</c:v>
                </c:pt>
                <c:pt idx="2">
                  <c:v>0.78099243019284514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B-404C-AC22-D124BC4E81F3}"/>
            </c:ext>
          </c:extLst>
        </c:ser>
        <c:ser>
          <c:idx val="1"/>
          <c:order val="1"/>
          <c:tx>
            <c:strRef>
              <c:f>Sheet1!$T$113</c:f>
              <c:strCache>
                <c:ptCount val="1"/>
                <c:pt idx="0">
                  <c:v>D-genome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Sheet1!$U$111:$W$111</c:f>
              <c:strCache>
                <c:ptCount val="3"/>
                <c:pt idx="0">
                  <c:v>Diploids</c:v>
                </c:pt>
                <c:pt idx="1">
                  <c:v>F1 hybrid</c:v>
                </c:pt>
                <c:pt idx="2">
                  <c:v>AD1 polyploid</c:v>
                </c:pt>
              </c:strCache>
            </c:strRef>
          </c:cat>
          <c:val>
            <c:numRef>
              <c:f>Sheet1!$U$113:$W$113</c:f>
              <c:numCache>
                <c:formatCode>0.0%</c:formatCode>
                <c:ptCount val="3"/>
                <c:pt idx="0">
                  <c:v>0.89925982353384537</c:v>
                </c:pt>
                <c:pt idx="1">
                  <c:v>0.88346462557216721</c:v>
                </c:pt>
                <c:pt idx="2">
                  <c:v>0.82681333551446146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B-404C-AC22-D124BC4E8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878832"/>
        <c:axId val="452182288"/>
      </c:barChart>
      <c:catAx>
        <c:axId val="4528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82288"/>
        <c:crosses val="autoZero"/>
        <c:auto val="1"/>
        <c:lblAlgn val="ctr"/>
        <c:lblOffset val="100"/>
        <c:noMultiLvlLbl val="0"/>
      </c:catAx>
      <c:valAx>
        <c:axId val="45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7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Well-positioned</a:t>
            </a:r>
            <a:r>
              <a:rPr lang="en-US" baseline="0"/>
              <a:t> nucleosme covered genomic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Sheet1!$Z$112</c:f>
              <c:strCache>
                <c:ptCount val="1"/>
                <c:pt idx="0">
                  <c:v>A-genome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Sheet1!$AA$111:$AC$111</c:f>
              <c:strCache>
                <c:ptCount val="3"/>
                <c:pt idx="0">
                  <c:v>Diploids</c:v>
                </c:pt>
                <c:pt idx="1">
                  <c:v>F1 hybrid</c:v>
                </c:pt>
                <c:pt idx="2">
                  <c:v>AD1 polyploid</c:v>
                </c:pt>
              </c:strCache>
            </c:strRef>
          </c:cat>
          <c:val>
            <c:numRef>
              <c:f>Sheet1!$AA$112:$AC$112</c:f>
              <c:numCache>
                <c:formatCode>0.0%</c:formatCode>
                <c:ptCount val="3"/>
                <c:pt idx="0">
                  <c:v>0.15239519216691258</c:v>
                </c:pt>
                <c:pt idx="1">
                  <c:v>0.15877632756491505</c:v>
                </c:pt>
                <c:pt idx="2">
                  <c:v>0.19061459713618828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9-8E42-9124-DEDDC44FE5D5}"/>
            </c:ext>
          </c:extLst>
        </c:ser>
        <c:ser>
          <c:idx val="1"/>
          <c:order val="1"/>
          <c:tx>
            <c:strRef>
              <c:f>Sheet1!$Z$113</c:f>
              <c:strCache>
                <c:ptCount val="1"/>
                <c:pt idx="0">
                  <c:v>D-genome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Sheet1!$AA$111:$AC$111</c:f>
              <c:strCache>
                <c:ptCount val="3"/>
                <c:pt idx="0">
                  <c:v>Diploids</c:v>
                </c:pt>
                <c:pt idx="1">
                  <c:v>F1 hybrid</c:v>
                </c:pt>
                <c:pt idx="2">
                  <c:v>AD1 polyploid</c:v>
                </c:pt>
              </c:strCache>
            </c:strRef>
          </c:cat>
          <c:val>
            <c:numRef>
              <c:f>Sheet1!$AA$113:$AC$113</c:f>
              <c:numCache>
                <c:formatCode>0.0%</c:formatCode>
                <c:ptCount val="3"/>
                <c:pt idx="0">
                  <c:v>0.19718667115110433</c:v>
                </c:pt>
                <c:pt idx="1">
                  <c:v>0.1909906140865594</c:v>
                </c:pt>
                <c:pt idx="2">
                  <c:v>0.19372643742388826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9-8E42-9124-DEDDC44FE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1029344"/>
        <c:axId val="471609888"/>
      </c:barChart>
      <c:catAx>
        <c:axId val="4710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09888"/>
        <c:crosses val="autoZero"/>
        <c:auto val="1"/>
        <c:lblAlgn val="ctr"/>
        <c:lblOffset val="100"/>
        <c:noMultiLvlLbl val="0"/>
      </c:catAx>
      <c:valAx>
        <c:axId val="4716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692150</xdr:colOff>
      <xdr:row>113</xdr:row>
      <xdr:rowOff>50800</xdr:rowOff>
    </xdr:from>
    <xdr:to>
      <xdr:col>24</xdr:col>
      <xdr:colOff>171450</xdr:colOff>
      <xdr:row>126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81128F-542C-7B47-AD53-1E6C508B8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438150</xdr:colOff>
      <xdr:row>113</xdr:row>
      <xdr:rowOff>76200</xdr:rowOff>
    </xdr:from>
    <xdr:to>
      <xdr:col>30</xdr:col>
      <xdr:colOff>57150</xdr:colOff>
      <xdr:row>126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49D255-7641-CE44-A615-A1D340C51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8"/>
  <sheetViews>
    <sheetView topLeftCell="A44" workbookViewId="0">
      <selection activeCell="K94" sqref="K94"/>
    </sheetView>
  </sheetViews>
  <sheetFormatPr baseColWidth="10" defaultRowHeight="16" x14ac:dyDescent="0.2"/>
  <cols>
    <col min="2" max="2" width="14.1640625" customWidth="1"/>
    <col min="3" max="3" width="15.83203125" customWidth="1"/>
    <col min="4" max="4" width="17.5" customWidth="1"/>
    <col min="5" max="5" width="15.6640625" customWidth="1"/>
    <col min="6" max="6" width="12.83203125" customWidth="1"/>
    <col min="8" max="8" width="12.83203125" bestFit="1" customWidth="1"/>
    <col min="9" max="9" width="12.6640625" bestFit="1" customWidth="1"/>
    <col min="10" max="10" width="11.1640625" bestFit="1" customWidth="1"/>
    <col min="11" max="11" width="12.83203125" bestFit="1" customWidth="1"/>
    <col min="12" max="12" width="13.6640625" customWidth="1"/>
    <col min="13" max="14" width="13.83203125" customWidth="1"/>
    <col min="15" max="15" width="15" bestFit="1" customWidth="1"/>
    <col min="16" max="16" width="16.5" bestFit="1" customWidth="1"/>
    <col min="17" max="18" width="15" bestFit="1" customWidth="1"/>
    <col min="19" max="19" width="12.6640625" customWidth="1"/>
  </cols>
  <sheetData>
    <row r="1" spans="1:15" s="7" customFormat="1" ht="21" x14ac:dyDescent="0.25">
      <c r="A1" s="6" t="s">
        <v>112</v>
      </c>
    </row>
    <row r="2" spans="1:15" s="4" customFormat="1" x14ac:dyDescent="0.2">
      <c r="A2" s="8" t="s">
        <v>0</v>
      </c>
      <c r="B2" s="8" t="s">
        <v>1</v>
      </c>
      <c r="C2" s="8" t="s">
        <v>2</v>
      </c>
      <c r="D2" s="8" t="s">
        <v>3</v>
      </c>
      <c r="E2" s="9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20" t="s">
        <v>40</v>
      </c>
      <c r="M2" s="20" t="s">
        <v>39</v>
      </c>
      <c r="N2" s="20"/>
      <c r="O2" s="20" t="s">
        <v>41</v>
      </c>
    </row>
    <row r="3" spans="1:15" s="5" customFormat="1" x14ac:dyDescent="0.2">
      <c r="A3" s="10" t="s">
        <v>33</v>
      </c>
      <c r="B3" s="10" t="s">
        <v>34</v>
      </c>
      <c r="C3" s="17">
        <v>23771680</v>
      </c>
      <c r="D3" s="11">
        <v>11757374</v>
      </c>
      <c r="E3" s="12">
        <v>7.13</v>
      </c>
      <c r="F3" s="10">
        <v>3.53</v>
      </c>
      <c r="G3" s="10">
        <v>49.46</v>
      </c>
      <c r="H3" s="10">
        <v>0.02</v>
      </c>
      <c r="I3" s="10">
        <v>96.22</v>
      </c>
      <c r="J3" s="10">
        <v>90.81</v>
      </c>
      <c r="K3" s="10">
        <v>39.369999999999997</v>
      </c>
      <c r="L3" s="21">
        <v>188</v>
      </c>
      <c r="M3" s="21">
        <f>C3/10^6/L3</f>
        <v>0.12644510638297873</v>
      </c>
      <c r="N3" s="21"/>
      <c r="O3" s="21">
        <f>D3/L3/10^6</f>
        <v>6.2539223404255315E-2</v>
      </c>
    </row>
    <row r="4" spans="1:15" s="5" customFormat="1" x14ac:dyDescent="0.2">
      <c r="A4" s="10" t="s">
        <v>37</v>
      </c>
      <c r="B4" s="10" t="s">
        <v>38</v>
      </c>
      <c r="C4" s="17">
        <v>187657307</v>
      </c>
      <c r="D4" s="11">
        <v>48030810</v>
      </c>
      <c r="E4" s="12">
        <v>56.3</v>
      </c>
      <c r="F4" s="10">
        <v>14.41</v>
      </c>
      <c r="G4" s="10">
        <v>25.59</v>
      </c>
      <c r="H4" s="10">
        <v>0.01</v>
      </c>
      <c r="I4" s="10">
        <v>97.8</v>
      </c>
      <c r="J4" s="10">
        <v>94.25</v>
      </c>
      <c r="K4" s="10">
        <v>36.36</v>
      </c>
      <c r="L4" s="21">
        <v>188</v>
      </c>
      <c r="M4" s="21">
        <f t="shared" ref="M4:M18" si="0">C4/10^6/L4</f>
        <v>0.99817716489361707</v>
      </c>
      <c r="N4" s="21"/>
      <c r="O4" s="21">
        <f t="shared" ref="O4:O18" si="1">D4/L4/10^6</f>
        <v>0.25548303191489363</v>
      </c>
    </row>
    <row r="5" spans="1:15" s="5" customFormat="1" x14ac:dyDescent="0.2">
      <c r="A5" s="10" t="s">
        <v>199</v>
      </c>
      <c r="B5" s="10" t="s">
        <v>200</v>
      </c>
      <c r="C5" s="10">
        <v>176272405</v>
      </c>
      <c r="D5" s="10">
        <v>100406015</v>
      </c>
      <c r="E5" s="10">
        <v>52.88</v>
      </c>
      <c r="F5" s="10">
        <v>30.12</v>
      </c>
      <c r="G5" s="10">
        <v>56.96</v>
      </c>
      <c r="H5" s="10">
        <v>0.01</v>
      </c>
      <c r="I5" s="10">
        <v>98.72</v>
      </c>
      <c r="J5" s="10">
        <v>96.59</v>
      </c>
      <c r="K5" s="10">
        <v>39</v>
      </c>
      <c r="L5" s="21">
        <v>188</v>
      </c>
      <c r="M5" s="21">
        <f>C5/10^6/L5</f>
        <v>0.93761917553191487</v>
      </c>
      <c r="N5" s="21"/>
      <c r="O5" s="21">
        <f t="shared" ref="O5:O6" si="2">D5/L5/10^6</f>
        <v>0.53407454787234043</v>
      </c>
    </row>
    <row r="6" spans="1:15" s="5" customFormat="1" x14ac:dyDescent="0.2">
      <c r="A6" s="10" t="s">
        <v>201</v>
      </c>
      <c r="B6" s="10" t="s">
        <v>202</v>
      </c>
      <c r="C6" s="10">
        <v>203372011</v>
      </c>
      <c r="D6" s="10">
        <v>145195426</v>
      </c>
      <c r="E6" s="10">
        <v>61.01</v>
      </c>
      <c r="F6" s="10">
        <v>43.56</v>
      </c>
      <c r="G6" s="10">
        <v>71.39</v>
      </c>
      <c r="H6" s="10">
        <v>0.01</v>
      </c>
      <c r="I6" s="10">
        <v>98.73</v>
      </c>
      <c r="J6" s="10">
        <v>96.66</v>
      </c>
      <c r="K6" s="10">
        <v>36.729999999999997</v>
      </c>
      <c r="L6" s="21">
        <v>188</v>
      </c>
      <c r="M6" s="21">
        <f t="shared" ref="M6" si="3">C6/10^6/L6</f>
        <v>1.0817660159574467</v>
      </c>
      <c r="N6" s="21"/>
      <c r="O6" s="21">
        <f t="shared" si="2"/>
        <v>0.77231609574468085</v>
      </c>
    </row>
    <row r="7" spans="1:15" s="5" customFormat="1" x14ac:dyDescent="0.2">
      <c r="A7" s="10" t="s">
        <v>27</v>
      </c>
      <c r="B7" s="10" t="s">
        <v>28</v>
      </c>
      <c r="C7" s="17">
        <v>39623449</v>
      </c>
      <c r="D7" s="11">
        <v>24467113</v>
      </c>
      <c r="E7" s="12">
        <v>11.89</v>
      </c>
      <c r="F7" s="10">
        <v>7.34</v>
      </c>
      <c r="G7" s="10">
        <v>61.75</v>
      </c>
      <c r="H7" s="10">
        <v>0.01</v>
      </c>
      <c r="I7" s="10">
        <v>97.52</v>
      </c>
      <c r="J7" s="10">
        <v>93.16</v>
      </c>
      <c r="K7" s="10">
        <v>37.340000000000003</v>
      </c>
      <c r="L7" s="21">
        <v>88</v>
      </c>
      <c r="M7" s="21">
        <f t="shared" si="0"/>
        <v>0.45026646590909092</v>
      </c>
      <c r="N7" s="21"/>
      <c r="O7" s="21">
        <f t="shared" si="1"/>
        <v>0.27803537499999997</v>
      </c>
    </row>
    <row r="8" spans="1:15" s="5" customFormat="1" ht="14" customHeight="1" x14ac:dyDescent="0.2">
      <c r="A8" s="10" t="s">
        <v>25</v>
      </c>
      <c r="B8" s="10" t="s">
        <v>26</v>
      </c>
      <c r="C8" s="17">
        <v>21423412</v>
      </c>
      <c r="D8" s="11">
        <v>15010393</v>
      </c>
      <c r="E8" s="12">
        <v>6.43</v>
      </c>
      <c r="F8" s="10">
        <v>4.5</v>
      </c>
      <c r="G8" s="10">
        <v>70.069999999999993</v>
      </c>
      <c r="H8" s="10">
        <v>0.01</v>
      </c>
      <c r="I8" s="10">
        <v>96.96</v>
      </c>
      <c r="J8" s="10">
        <v>92.24</v>
      </c>
      <c r="K8" s="10">
        <v>34.92</v>
      </c>
      <c r="L8" s="21">
        <v>88</v>
      </c>
      <c r="M8" s="21">
        <f t="shared" si="0"/>
        <v>0.24344786363636362</v>
      </c>
      <c r="N8" s="21"/>
      <c r="O8" s="21">
        <f t="shared" si="1"/>
        <v>0.17057264772727274</v>
      </c>
    </row>
    <row r="9" spans="1:15" s="5" customFormat="1" x14ac:dyDescent="0.2">
      <c r="A9" s="10" t="s">
        <v>23</v>
      </c>
      <c r="B9" s="10" t="s">
        <v>24</v>
      </c>
      <c r="C9" s="17">
        <v>28007378</v>
      </c>
      <c r="D9" s="11">
        <v>13412951</v>
      </c>
      <c r="E9" s="12">
        <v>8.4</v>
      </c>
      <c r="F9" s="10">
        <v>4.0199999999999996</v>
      </c>
      <c r="G9" s="10">
        <v>47.89</v>
      </c>
      <c r="H9" s="10">
        <v>0.02</v>
      </c>
      <c r="I9" s="10">
        <v>96</v>
      </c>
      <c r="J9" s="10">
        <v>90.66</v>
      </c>
      <c r="K9" s="10">
        <v>38.340000000000003</v>
      </c>
      <c r="L9" s="21">
        <v>88</v>
      </c>
      <c r="M9" s="21">
        <f t="shared" si="0"/>
        <v>0.31826565909090909</v>
      </c>
      <c r="N9" s="21"/>
      <c r="O9" s="21">
        <f t="shared" si="1"/>
        <v>0.15241989772727274</v>
      </c>
    </row>
    <row r="10" spans="1:15" s="5" customFormat="1" x14ac:dyDescent="0.2">
      <c r="A10" s="10" t="s">
        <v>21</v>
      </c>
      <c r="B10" s="10" t="s">
        <v>22</v>
      </c>
      <c r="C10" s="17">
        <v>37099841</v>
      </c>
      <c r="D10" s="11">
        <v>23957498</v>
      </c>
      <c r="E10" s="12">
        <v>11.13</v>
      </c>
      <c r="F10" s="10">
        <v>7.19</v>
      </c>
      <c r="G10" s="10">
        <v>64.58</v>
      </c>
      <c r="H10" s="10">
        <v>0.01</v>
      </c>
      <c r="I10" s="10">
        <v>97.01</v>
      </c>
      <c r="J10" s="10">
        <v>92.36</v>
      </c>
      <c r="K10" s="10">
        <v>35.200000000000003</v>
      </c>
      <c r="L10" s="21">
        <v>88</v>
      </c>
      <c r="M10" s="21">
        <f t="shared" si="0"/>
        <v>0.42158910227272722</v>
      </c>
      <c r="N10" s="21"/>
      <c r="O10" s="21">
        <f t="shared" si="1"/>
        <v>0.27224429545454548</v>
      </c>
    </row>
    <row r="11" spans="1:15" s="5" customFormat="1" x14ac:dyDescent="0.2">
      <c r="A11" s="10" t="s">
        <v>35</v>
      </c>
      <c r="B11" s="10" t="s">
        <v>36</v>
      </c>
      <c r="C11" s="17">
        <v>181146243</v>
      </c>
      <c r="D11" s="11">
        <v>128675727</v>
      </c>
      <c r="E11" s="12">
        <v>54.34</v>
      </c>
      <c r="F11" s="10">
        <v>38.6</v>
      </c>
      <c r="G11" s="10">
        <v>71.03</v>
      </c>
      <c r="H11" s="10">
        <v>0.01</v>
      </c>
      <c r="I11" s="10">
        <v>96.69</v>
      </c>
      <c r="J11" s="10">
        <v>91.77</v>
      </c>
      <c r="K11" s="10">
        <v>38.82</v>
      </c>
      <c r="L11" s="21">
        <v>268</v>
      </c>
      <c r="M11" s="21">
        <f t="shared" si="0"/>
        <v>0.67591881716417912</v>
      </c>
      <c r="N11" s="21"/>
      <c r="O11" s="21">
        <f t="shared" si="1"/>
        <v>0.48013330970149254</v>
      </c>
    </row>
    <row r="12" spans="1:15" s="5" customFormat="1" x14ac:dyDescent="0.2">
      <c r="A12" s="10" t="s">
        <v>15</v>
      </c>
      <c r="B12" s="10" t="s">
        <v>16</v>
      </c>
      <c r="C12" s="17">
        <v>108049956</v>
      </c>
      <c r="D12" s="11">
        <v>86722469</v>
      </c>
      <c r="E12" s="12">
        <v>32.409999999999997</v>
      </c>
      <c r="F12" s="10">
        <v>26.02</v>
      </c>
      <c r="G12" s="10">
        <v>80.260000000000005</v>
      </c>
      <c r="H12" s="10">
        <v>0.01</v>
      </c>
      <c r="I12" s="10">
        <v>97.31</v>
      </c>
      <c r="J12" s="10">
        <v>93.12</v>
      </c>
      <c r="K12" s="10">
        <v>36.130000000000003</v>
      </c>
      <c r="L12" s="21">
        <v>268</v>
      </c>
      <c r="M12" s="21">
        <f t="shared" si="0"/>
        <v>0.40317147761194028</v>
      </c>
      <c r="N12" s="21"/>
      <c r="O12" s="21">
        <f t="shared" si="1"/>
        <v>0.323591302238806</v>
      </c>
    </row>
    <row r="13" spans="1:15" s="5" customFormat="1" x14ac:dyDescent="0.2">
      <c r="A13" s="10" t="s">
        <v>31</v>
      </c>
      <c r="B13" s="10" t="s">
        <v>32</v>
      </c>
      <c r="C13" s="17">
        <v>117575996</v>
      </c>
      <c r="D13" s="11">
        <v>62322276</v>
      </c>
      <c r="E13" s="12">
        <v>35.270000000000003</v>
      </c>
      <c r="F13" s="10">
        <v>18.7</v>
      </c>
      <c r="G13" s="10">
        <v>53.01</v>
      </c>
      <c r="H13" s="10">
        <v>0.01</v>
      </c>
      <c r="I13" s="10">
        <v>97.55</v>
      </c>
      <c r="J13" s="10">
        <v>93.52</v>
      </c>
      <c r="K13" s="10">
        <v>38.58</v>
      </c>
      <c r="L13" s="21">
        <v>268</v>
      </c>
      <c r="M13" s="21">
        <f t="shared" si="0"/>
        <v>0.43871640298507464</v>
      </c>
      <c r="N13" s="21"/>
      <c r="O13" s="21">
        <f t="shared" si="1"/>
        <v>0.23254580597014926</v>
      </c>
    </row>
    <row r="14" spans="1:15" s="5" customFormat="1" x14ac:dyDescent="0.2">
      <c r="A14" s="10" t="s">
        <v>29</v>
      </c>
      <c r="B14" s="10" t="s">
        <v>30</v>
      </c>
      <c r="C14" s="17">
        <v>142450981</v>
      </c>
      <c r="D14" s="11">
        <v>109622206</v>
      </c>
      <c r="E14" s="12">
        <v>42.73</v>
      </c>
      <c r="F14" s="10">
        <v>32.89</v>
      </c>
      <c r="G14" s="10">
        <v>76.95</v>
      </c>
      <c r="H14" s="10">
        <v>0.01</v>
      </c>
      <c r="I14" s="10">
        <v>96.99</v>
      </c>
      <c r="J14" s="10">
        <v>92.51</v>
      </c>
      <c r="K14" s="10">
        <v>36.19</v>
      </c>
      <c r="L14" s="21">
        <v>268</v>
      </c>
      <c r="M14" s="21">
        <f t="shared" si="0"/>
        <v>0.53153351119402992</v>
      </c>
      <c r="N14" s="21"/>
      <c r="O14" s="21">
        <f t="shared" si="1"/>
        <v>0.40903808208955222</v>
      </c>
    </row>
    <row r="15" spans="1:15" s="5" customFormat="1" x14ac:dyDescent="0.2">
      <c r="A15" s="10" t="s">
        <v>17</v>
      </c>
      <c r="B15" s="10" t="s">
        <v>18</v>
      </c>
      <c r="C15" s="17">
        <v>184711687</v>
      </c>
      <c r="D15" s="11">
        <v>97243666</v>
      </c>
      <c r="E15" s="12">
        <v>55.41</v>
      </c>
      <c r="F15" s="10">
        <v>29.17</v>
      </c>
      <c r="G15" s="10">
        <v>52.65</v>
      </c>
      <c r="H15" s="10">
        <v>0.01</v>
      </c>
      <c r="I15" s="10">
        <v>97.65</v>
      </c>
      <c r="J15" s="10">
        <v>93.65</v>
      </c>
      <c r="K15" s="10">
        <v>36.869999999999997</v>
      </c>
      <c r="L15" s="21">
        <v>240</v>
      </c>
      <c r="M15" s="21">
        <f t="shared" si="0"/>
        <v>0.76963202916666673</v>
      </c>
      <c r="N15" s="21"/>
      <c r="O15" s="21">
        <f t="shared" si="1"/>
        <v>0.40518194166666666</v>
      </c>
    </row>
    <row r="16" spans="1:15" s="5" customFormat="1" x14ac:dyDescent="0.2">
      <c r="A16" s="10" t="s">
        <v>11</v>
      </c>
      <c r="B16" s="10" t="s">
        <v>12</v>
      </c>
      <c r="C16" s="17">
        <v>111362027</v>
      </c>
      <c r="D16" s="11">
        <v>82692747</v>
      </c>
      <c r="E16" s="12">
        <v>33.409999999999997</v>
      </c>
      <c r="F16" s="10">
        <v>24.81</v>
      </c>
      <c r="G16" s="10">
        <v>74.260000000000005</v>
      </c>
      <c r="H16" s="10">
        <v>0.01</v>
      </c>
      <c r="I16" s="10">
        <v>97.41</v>
      </c>
      <c r="J16" s="10">
        <v>93.05</v>
      </c>
      <c r="K16" s="10">
        <v>34.590000000000003</v>
      </c>
      <c r="L16" s="21">
        <v>240</v>
      </c>
      <c r="M16" s="21">
        <f t="shared" si="0"/>
        <v>0.46400844583333334</v>
      </c>
      <c r="N16" s="21"/>
      <c r="O16" s="21">
        <f t="shared" si="1"/>
        <v>0.34455311249999998</v>
      </c>
    </row>
    <row r="17" spans="1:15" s="5" customFormat="1" x14ac:dyDescent="0.2">
      <c r="A17" s="10" t="s">
        <v>19</v>
      </c>
      <c r="B17" s="10" t="s">
        <v>20</v>
      </c>
      <c r="C17" s="17">
        <v>164313999</v>
      </c>
      <c r="D17" s="11">
        <v>91928127</v>
      </c>
      <c r="E17" s="12">
        <v>49.29</v>
      </c>
      <c r="F17" s="10">
        <v>27.58</v>
      </c>
      <c r="G17" s="10">
        <v>55.95</v>
      </c>
      <c r="H17" s="10">
        <v>0.01</v>
      </c>
      <c r="I17" s="10">
        <v>97.93</v>
      </c>
      <c r="J17" s="10">
        <v>94.43</v>
      </c>
      <c r="K17" s="10">
        <v>37.380000000000003</v>
      </c>
      <c r="L17" s="21">
        <v>240</v>
      </c>
      <c r="M17" s="21">
        <f t="shared" si="0"/>
        <v>0.68464166250000003</v>
      </c>
      <c r="N17" s="21"/>
      <c r="O17" s="21">
        <f t="shared" si="1"/>
        <v>0.38303386249999999</v>
      </c>
    </row>
    <row r="18" spans="1:15" s="5" customFormat="1" x14ac:dyDescent="0.2">
      <c r="A18" s="10" t="s">
        <v>13</v>
      </c>
      <c r="B18" s="10" t="s">
        <v>14</v>
      </c>
      <c r="C18" s="17">
        <v>224928587</v>
      </c>
      <c r="D18" s="11">
        <v>146209031</v>
      </c>
      <c r="E18" s="12">
        <v>67.48</v>
      </c>
      <c r="F18" s="10">
        <v>43.86</v>
      </c>
      <c r="G18" s="10">
        <v>65</v>
      </c>
      <c r="H18" s="10">
        <v>0.01</v>
      </c>
      <c r="I18" s="10">
        <v>97.5</v>
      </c>
      <c r="J18" s="10">
        <v>93.78</v>
      </c>
      <c r="K18" s="10">
        <v>35.25</v>
      </c>
      <c r="L18" s="21">
        <v>240</v>
      </c>
      <c r="M18" s="21">
        <f t="shared" si="0"/>
        <v>0.93720244583333334</v>
      </c>
      <c r="N18" s="21"/>
      <c r="O18" s="21">
        <f t="shared" si="1"/>
        <v>0.60920429583333324</v>
      </c>
    </row>
    <row r="19" spans="1:15" x14ac:dyDescent="0.2">
      <c r="B19" s="1"/>
      <c r="E19" s="3" t="s">
        <v>110</v>
      </c>
    </row>
    <row r="21" spans="1:15" ht="21" x14ac:dyDescent="0.25">
      <c r="A21" s="6" t="s">
        <v>55</v>
      </c>
    </row>
    <row r="22" spans="1:15" s="4" customFormat="1" x14ac:dyDescent="0.2">
      <c r="A22" s="8" t="s">
        <v>50</v>
      </c>
      <c r="B22" s="8" t="s">
        <v>51</v>
      </c>
      <c r="C22" s="8" t="s">
        <v>53</v>
      </c>
    </row>
    <row r="23" spans="1:15" x14ac:dyDescent="0.2">
      <c r="A23" s="14" t="s">
        <v>46</v>
      </c>
      <c r="B23" s="14">
        <v>1.88</v>
      </c>
      <c r="C23" s="14">
        <f>B23*1000*2/200</f>
        <v>18.8</v>
      </c>
      <c r="D23" s="26">
        <v>1167736467</v>
      </c>
    </row>
    <row r="24" spans="1:15" x14ac:dyDescent="0.2">
      <c r="A24" s="14" t="s">
        <v>47</v>
      </c>
      <c r="B24" s="14">
        <v>0.88</v>
      </c>
      <c r="C24" s="14">
        <f t="shared" ref="C24:C26" si="4">B24*1000*2/200</f>
        <v>8.8000000000000007</v>
      </c>
      <c r="E24" s="3" t="s">
        <v>57</v>
      </c>
    </row>
    <row r="25" spans="1:15" x14ac:dyDescent="0.2">
      <c r="A25" s="14" t="s">
        <v>49</v>
      </c>
      <c r="B25" s="14">
        <v>2.68</v>
      </c>
      <c r="C25" s="14">
        <f t="shared" si="4"/>
        <v>26.8</v>
      </c>
      <c r="E25" s="3" t="s">
        <v>58</v>
      </c>
    </row>
    <row r="26" spans="1:15" x14ac:dyDescent="0.2">
      <c r="A26" s="14" t="s">
        <v>48</v>
      </c>
      <c r="B26" s="14">
        <v>2.4</v>
      </c>
      <c r="C26" s="14">
        <f t="shared" si="4"/>
        <v>24</v>
      </c>
      <c r="E26" s="3" t="s">
        <v>54</v>
      </c>
    </row>
    <row r="27" spans="1:15" x14ac:dyDescent="0.2">
      <c r="A27" s="22"/>
      <c r="B27" s="22"/>
      <c r="C27" s="22"/>
      <c r="E27" s="3"/>
    </row>
    <row r="28" spans="1:15" x14ac:dyDescent="0.2">
      <c r="A28" s="22"/>
      <c r="B28" s="22"/>
      <c r="C28" s="22"/>
      <c r="E28" s="3"/>
    </row>
    <row r="29" spans="1:15" x14ac:dyDescent="0.2">
      <c r="A29" s="22"/>
      <c r="B29" s="22"/>
      <c r="C29" s="22"/>
      <c r="E29" s="3"/>
    </row>
    <row r="31" spans="1:15" ht="21" x14ac:dyDescent="0.25">
      <c r="A31" s="6" t="s">
        <v>56</v>
      </c>
    </row>
    <row r="32" spans="1:15" s="13" customFormat="1" x14ac:dyDescent="0.2">
      <c r="A32" s="15" t="s">
        <v>0</v>
      </c>
      <c r="B32" s="15" t="s">
        <v>1</v>
      </c>
      <c r="C32" s="15" t="s">
        <v>2</v>
      </c>
      <c r="D32" s="15" t="s">
        <v>42</v>
      </c>
      <c r="E32" s="15" t="s">
        <v>43</v>
      </c>
      <c r="F32" s="15" t="s">
        <v>44</v>
      </c>
      <c r="G32" s="15" t="s">
        <v>45</v>
      </c>
      <c r="H32" s="15" t="s">
        <v>59</v>
      </c>
      <c r="I32" s="15" t="s">
        <v>111</v>
      </c>
      <c r="J32" s="15" t="s">
        <v>52</v>
      </c>
      <c r="K32" s="13" t="s">
        <v>205</v>
      </c>
      <c r="M32" s="13" t="s">
        <v>263</v>
      </c>
    </row>
    <row r="33" spans="1:14" s="2" customFormat="1" x14ac:dyDescent="0.2">
      <c r="A33" s="16" t="s">
        <v>33</v>
      </c>
      <c r="B33" s="16" t="s">
        <v>34</v>
      </c>
      <c r="C33" s="17">
        <v>23771680</v>
      </c>
      <c r="D33" s="17">
        <v>23743097</v>
      </c>
      <c r="E33" s="18">
        <f>D33/C33</f>
        <v>0.99879760286189279</v>
      </c>
      <c r="F33" s="17">
        <f>D33-1994355</f>
        <v>21748742</v>
      </c>
      <c r="G33" s="18">
        <f>F33/D33</f>
        <v>0.91600274387119762</v>
      </c>
      <c r="H33" s="17">
        <v>13473996</v>
      </c>
      <c r="I33" s="18">
        <f>H33/D33</f>
        <v>0.56749109014716992</v>
      </c>
      <c r="J33" s="29">
        <f>H33/$C$23/10^6</f>
        <v>0.71670191489361701</v>
      </c>
      <c r="K33" s="17">
        <v>846461570</v>
      </c>
      <c r="L33" s="18">
        <f>K33/$H$81</f>
        <v>0.55250695919004134</v>
      </c>
      <c r="M33" s="2">
        <f>C33*150/K33/2</f>
        <v>2.1062692781197381</v>
      </c>
    </row>
    <row r="34" spans="1:14" s="2" customFormat="1" x14ac:dyDescent="0.2">
      <c r="A34" s="16" t="s">
        <v>37</v>
      </c>
      <c r="B34" s="16" t="s">
        <v>38</v>
      </c>
      <c r="C34" s="17">
        <v>187657307</v>
      </c>
      <c r="D34" s="17">
        <v>187605447</v>
      </c>
      <c r="E34" s="18">
        <f t="shared" ref="E34:E56" si="5">D34/C34</f>
        <v>0.99972364518691514</v>
      </c>
      <c r="F34" s="17">
        <f>D34-6019430</f>
        <v>181586017</v>
      </c>
      <c r="G34" s="18">
        <f>F34/D34</f>
        <v>0.96791441775142062</v>
      </c>
      <c r="H34" s="17">
        <v>121490069</v>
      </c>
      <c r="I34" s="18">
        <f>H34/D34</f>
        <v>0.64758284443628122</v>
      </c>
      <c r="J34" s="29">
        <f>H34/$C$23/10^6</f>
        <v>6.4622377127659574</v>
      </c>
      <c r="K34" s="17">
        <v>1153360709</v>
      </c>
      <c r="L34" s="18">
        <f>K34/$H$81</f>
        <v>0.75282781967155366</v>
      </c>
      <c r="M34" s="2">
        <f t="shared" ref="M34:M36" si="6">C34*150/K34/2</f>
        <v>12.202858927978273</v>
      </c>
    </row>
    <row r="35" spans="1:14" s="2" customFormat="1" x14ac:dyDescent="0.2">
      <c r="A35" s="10" t="s">
        <v>199</v>
      </c>
      <c r="B35" s="10" t="s">
        <v>200</v>
      </c>
      <c r="C35" s="17">
        <v>176272405</v>
      </c>
      <c r="D35" s="17">
        <v>176238604</v>
      </c>
      <c r="E35" s="18">
        <f t="shared" si="5"/>
        <v>0.99980824565251725</v>
      </c>
      <c r="F35" s="17">
        <f>D35-5380336</f>
        <v>170858268</v>
      </c>
      <c r="G35" s="18">
        <f>F35/D35</f>
        <v>0.96947129699234336</v>
      </c>
      <c r="H35" s="17">
        <v>108508733</v>
      </c>
      <c r="I35" s="18">
        <f t="shared" ref="I35:I36" si="7">H35/D35</f>
        <v>0.61569219533763442</v>
      </c>
      <c r="J35" s="29">
        <f t="shared" ref="J35:J37" si="8">H35/$C$23/10^6</f>
        <v>5.7717411170212767</v>
      </c>
      <c r="K35" s="17">
        <v>1159715606</v>
      </c>
      <c r="L35" s="18">
        <f t="shared" ref="L35" si="9">K35/$H$81</f>
        <v>0.75697582230023286</v>
      </c>
      <c r="M35" s="2">
        <f t="shared" si="6"/>
        <v>11.39971757437918</v>
      </c>
    </row>
    <row r="36" spans="1:14" s="2" customFormat="1" x14ac:dyDescent="0.2">
      <c r="A36" s="10" t="s">
        <v>201</v>
      </c>
      <c r="B36" s="10" t="s">
        <v>202</v>
      </c>
      <c r="C36" s="17">
        <v>203372011</v>
      </c>
      <c r="D36" s="17">
        <v>203337094</v>
      </c>
      <c r="E36" s="18">
        <f t="shared" si="5"/>
        <v>0.99982830970776992</v>
      </c>
      <c r="F36" s="17">
        <f>D36-6696823</f>
        <v>196640271</v>
      </c>
      <c r="G36" s="18">
        <f t="shared" ref="G36" si="10">F36/D36</f>
        <v>0.96706541404589952</v>
      </c>
      <c r="H36" s="17">
        <v>130453789</v>
      </c>
      <c r="I36" s="18">
        <f t="shared" si="7"/>
        <v>0.64156414569394804</v>
      </c>
      <c r="J36" s="29">
        <f t="shared" si="8"/>
        <v>6.9390313297872339</v>
      </c>
      <c r="K36" s="17">
        <v>1172343092</v>
      </c>
      <c r="L36" s="18">
        <f>K36/$H$81</f>
        <v>0.76521810303611415</v>
      </c>
      <c r="M36" s="2">
        <f t="shared" si="6"/>
        <v>13.010611764665903</v>
      </c>
    </row>
    <row r="37" spans="1:14" s="2" customFormat="1" x14ac:dyDescent="0.2">
      <c r="A37" s="10"/>
      <c r="B37" s="10"/>
      <c r="C37" s="17"/>
      <c r="D37" s="45" t="s">
        <v>204</v>
      </c>
      <c r="E37" s="46" t="s">
        <v>33</v>
      </c>
      <c r="F37" s="45">
        <f>D33-2120801</f>
        <v>21622296</v>
      </c>
      <c r="G37" s="47">
        <f>F37/D33</f>
        <v>0.91067715386918568</v>
      </c>
      <c r="H37" s="45">
        <v>13159628</v>
      </c>
      <c r="I37" s="47">
        <f>H37/D33</f>
        <v>0.55425069442288843</v>
      </c>
      <c r="J37" s="48">
        <f t="shared" si="8"/>
        <v>0.69998021276595745</v>
      </c>
      <c r="K37" s="45">
        <v>826947184</v>
      </c>
      <c r="L37" s="47">
        <f>K37/$O$81</f>
        <v>0.56266685562412411</v>
      </c>
      <c r="M37" s="2">
        <f t="shared" ref="M34:M45" si="11">C37*150/K37</f>
        <v>0</v>
      </c>
    </row>
    <row r="38" spans="1:14" s="2" customFormat="1" x14ac:dyDescent="0.2">
      <c r="A38" s="10"/>
      <c r="B38" s="10"/>
      <c r="C38" s="17"/>
      <c r="D38" s="45"/>
      <c r="E38" s="46" t="s">
        <v>37</v>
      </c>
      <c r="F38" s="45">
        <f>D34-7129271</f>
        <v>180476176</v>
      </c>
      <c r="G38" s="47">
        <f>F38/D34</f>
        <v>0.96199859271676691</v>
      </c>
      <c r="H38" s="45">
        <v>119586460</v>
      </c>
      <c r="I38" s="47">
        <f t="shared" ref="I38:I39" si="12">H38/D34</f>
        <v>0.63743596954303783</v>
      </c>
      <c r="J38" s="48">
        <f t="shared" ref="J38:J40" si="13">H38/$C$23/10^6</f>
        <v>6.3609819148936166</v>
      </c>
      <c r="K38" s="45">
        <v>1145187355</v>
      </c>
      <c r="L38" s="47">
        <f>K38/$O$81</f>
        <v>0.77920208279995495</v>
      </c>
      <c r="M38" s="2">
        <f t="shared" si="11"/>
        <v>0</v>
      </c>
    </row>
    <row r="39" spans="1:14" s="2" customFormat="1" x14ac:dyDescent="0.2">
      <c r="A39" s="10"/>
      <c r="B39" s="10"/>
      <c r="C39" s="17"/>
      <c r="D39" s="45"/>
      <c r="E39" s="49" t="s">
        <v>199</v>
      </c>
      <c r="F39" s="45">
        <f>D35-6393889</f>
        <v>169844715</v>
      </c>
      <c r="G39" s="47">
        <f>F39/D35</f>
        <v>0.96372026982238235</v>
      </c>
      <c r="H39" s="45">
        <v>105997105</v>
      </c>
      <c r="I39" s="47">
        <f t="shared" si="12"/>
        <v>0.6014409022440963</v>
      </c>
      <c r="J39" s="48">
        <f>H39/$C$23/10^6</f>
        <v>5.6381438829787234</v>
      </c>
      <c r="K39" s="45">
        <v>1135807090</v>
      </c>
      <c r="L39" s="47">
        <f>K39/$O$81</f>
        <v>0.77281961446994485</v>
      </c>
      <c r="M39" s="2">
        <f t="shared" si="11"/>
        <v>0</v>
      </c>
    </row>
    <row r="40" spans="1:14" s="2" customFormat="1" x14ac:dyDescent="0.2">
      <c r="A40" s="10"/>
      <c r="B40" s="10"/>
      <c r="C40" s="17"/>
      <c r="D40" s="45"/>
      <c r="E40" s="49" t="s">
        <v>201</v>
      </c>
      <c r="F40" s="45">
        <f>D36-7914537</f>
        <v>195422557</v>
      </c>
      <c r="G40" s="47">
        <f>F40/D36</f>
        <v>0.96107676742936043</v>
      </c>
      <c r="H40" s="45">
        <v>128126589</v>
      </c>
      <c r="I40" s="47">
        <f>H40/D36</f>
        <v>0.63011911146915478</v>
      </c>
      <c r="J40" s="48">
        <f t="shared" si="13"/>
        <v>6.8152440957446805</v>
      </c>
      <c r="K40" s="45">
        <v>1160384513</v>
      </c>
      <c r="L40" s="47">
        <f>K40/$O$81</f>
        <v>0.78954244947841867</v>
      </c>
      <c r="M40" s="2">
        <f t="shared" si="11"/>
        <v>0</v>
      </c>
    </row>
    <row r="41" spans="1:14" s="2" customFormat="1" x14ac:dyDescent="0.2">
      <c r="A41" s="64" t="s">
        <v>27</v>
      </c>
      <c r="B41" s="64" t="s">
        <v>28</v>
      </c>
      <c r="C41" s="65">
        <v>39623449</v>
      </c>
      <c r="D41" s="65">
        <v>39607317</v>
      </c>
      <c r="E41" s="66">
        <f t="shared" si="5"/>
        <v>0.99959286734478869</v>
      </c>
      <c r="F41" s="65">
        <v>38647991</v>
      </c>
      <c r="G41" s="66">
        <f t="shared" ref="G41:G56" si="14">F41/D41</f>
        <v>0.97577907132664399</v>
      </c>
      <c r="H41" s="65">
        <v>33967312</v>
      </c>
      <c r="I41" s="66">
        <f t="shared" ref="I41:I55" si="15">H41/D41</f>
        <v>0.85760194259055722</v>
      </c>
      <c r="J41" s="67">
        <f>H41/$C$24/10^6</f>
        <v>3.8599218181818178</v>
      </c>
      <c r="K41" s="65">
        <v>704379491</v>
      </c>
      <c r="L41" s="66">
        <f>K41/$E$94</f>
        <v>0.9401402595570062</v>
      </c>
      <c r="M41" s="2">
        <f t="shared" si="11"/>
        <v>8.43794776245125</v>
      </c>
      <c r="N41" s="53"/>
    </row>
    <row r="42" spans="1:14" s="2" customFormat="1" x14ac:dyDescent="0.2">
      <c r="A42" s="64" t="s">
        <v>25</v>
      </c>
      <c r="B42" s="64" t="s">
        <v>26</v>
      </c>
      <c r="C42" s="65">
        <v>21423412</v>
      </c>
      <c r="D42" s="65">
        <v>21403476</v>
      </c>
      <c r="E42" s="66">
        <f t="shared" si="5"/>
        <v>0.99906942927671838</v>
      </c>
      <c r="F42" s="65">
        <v>20226201</v>
      </c>
      <c r="G42" s="66">
        <f t="shared" si="14"/>
        <v>0.94499608381367584</v>
      </c>
      <c r="H42" s="65">
        <v>18024273</v>
      </c>
      <c r="I42" s="66">
        <f t="shared" si="15"/>
        <v>0.84211896235919814</v>
      </c>
      <c r="J42" s="67">
        <f>H42/$C$24/10^6</f>
        <v>2.0482128409090907</v>
      </c>
      <c r="K42" s="65">
        <v>682097324</v>
      </c>
      <c r="L42" s="66">
        <f>K42/$E$94</f>
        <v>0.91040009458267912</v>
      </c>
      <c r="M42" s="2">
        <f t="shared" si="11"/>
        <v>4.7112218255821805</v>
      </c>
      <c r="N42" s="53"/>
    </row>
    <row r="43" spans="1:14" s="2" customFormat="1" x14ac:dyDescent="0.2">
      <c r="A43" s="64" t="s">
        <v>23</v>
      </c>
      <c r="B43" s="64" t="s">
        <v>24</v>
      </c>
      <c r="C43" s="65">
        <v>28007378</v>
      </c>
      <c r="D43" s="65">
        <v>27977896</v>
      </c>
      <c r="E43" s="66">
        <f t="shared" si="5"/>
        <v>0.99894734880216207</v>
      </c>
      <c r="F43" s="65">
        <v>26044246</v>
      </c>
      <c r="G43" s="66">
        <f t="shared" si="14"/>
        <v>0.93088651126589361</v>
      </c>
      <c r="H43" s="65">
        <v>22277062</v>
      </c>
      <c r="I43" s="66">
        <f t="shared" si="15"/>
        <v>0.79623793011454469</v>
      </c>
      <c r="J43" s="67">
        <f>H43/$C$24/10^6</f>
        <v>2.5314843181818181</v>
      </c>
      <c r="K43" s="65">
        <v>671499296</v>
      </c>
      <c r="L43" s="66">
        <f>K43/$E$94</f>
        <v>0.89625483208991807</v>
      </c>
      <c r="M43" s="2">
        <f t="shared" si="11"/>
        <v>6.2563084206122532</v>
      </c>
      <c r="N43" s="53"/>
    </row>
    <row r="44" spans="1:14" s="2" customFormat="1" x14ac:dyDescent="0.2">
      <c r="A44" s="64" t="s">
        <v>21</v>
      </c>
      <c r="B44" s="64" t="s">
        <v>22</v>
      </c>
      <c r="C44" s="65">
        <v>37099841</v>
      </c>
      <c r="D44" s="65">
        <v>37078772</v>
      </c>
      <c r="E44" s="66">
        <f t="shared" si="5"/>
        <v>0.99943209999201887</v>
      </c>
      <c r="F44" s="65">
        <v>35760046</v>
      </c>
      <c r="G44" s="66">
        <f t="shared" si="14"/>
        <v>0.96443447479867994</v>
      </c>
      <c r="H44" s="65">
        <v>31783886</v>
      </c>
      <c r="I44" s="66">
        <f t="shared" si="15"/>
        <v>0.85719899245854203</v>
      </c>
      <c r="J44" s="67">
        <f>H44/$C$24/10^6</f>
        <v>3.6118052272727272</v>
      </c>
      <c r="K44" s="65">
        <v>710212962</v>
      </c>
      <c r="L44" s="66">
        <f>K44/$E$94</f>
        <v>0.94792623431937795</v>
      </c>
      <c r="M44" s="2">
        <f t="shared" si="11"/>
        <v>7.8356443035462373</v>
      </c>
      <c r="N44" s="53"/>
    </row>
    <row r="45" spans="1:14" s="2" customFormat="1" x14ac:dyDescent="0.2">
      <c r="A45" s="16" t="s">
        <v>35</v>
      </c>
      <c r="B45" s="16" t="s">
        <v>36</v>
      </c>
      <c r="C45" s="17">
        <v>181146243</v>
      </c>
      <c r="D45" s="17">
        <v>181037728</v>
      </c>
      <c r="E45" s="18">
        <f t="shared" si="5"/>
        <v>0.99940095362618142</v>
      </c>
      <c r="F45" s="17">
        <v>175935106</v>
      </c>
      <c r="G45" s="18">
        <f t="shared" si="14"/>
        <v>0.97181459325428565</v>
      </c>
      <c r="H45" s="17">
        <v>118021415</v>
      </c>
      <c r="I45" s="18">
        <f t="shared" si="15"/>
        <v>0.65191612987984471</v>
      </c>
      <c r="J45" s="29">
        <f t="shared" ref="J45:J52" si="16">H45/$C$25/10^6</f>
        <v>4.4037841417910446</v>
      </c>
      <c r="L45" s="18"/>
      <c r="M45" s="2" t="e">
        <f t="shared" si="11"/>
        <v>#DIV/0!</v>
      </c>
      <c r="N45" s="53"/>
    </row>
    <row r="46" spans="1:14" s="2" customFormat="1" x14ac:dyDescent="0.2">
      <c r="A46" s="16" t="s">
        <v>15</v>
      </c>
      <c r="B46" s="16" t="s">
        <v>16</v>
      </c>
      <c r="C46" s="17">
        <v>108049956</v>
      </c>
      <c r="D46" s="17">
        <v>107993008</v>
      </c>
      <c r="E46" s="18">
        <f t="shared" si="5"/>
        <v>0.99947294749476812</v>
      </c>
      <c r="F46" s="17">
        <v>103832631</v>
      </c>
      <c r="G46" s="18">
        <f t="shared" si="14"/>
        <v>0.9614754966358563</v>
      </c>
      <c r="H46" s="17">
        <v>73302637</v>
      </c>
      <c r="I46" s="18">
        <f t="shared" si="15"/>
        <v>0.6787720645766252</v>
      </c>
      <c r="J46" s="29">
        <f t="shared" si="16"/>
        <v>2.7351730223880595</v>
      </c>
      <c r="L46" s="18"/>
    </row>
    <row r="47" spans="1:14" s="2" customFormat="1" x14ac:dyDescent="0.2">
      <c r="A47" s="16" t="s">
        <v>31</v>
      </c>
      <c r="B47" s="16" t="s">
        <v>32</v>
      </c>
      <c r="C47" s="17">
        <v>117575996</v>
      </c>
      <c r="D47" s="17">
        <v>117492700</v>
      </c>
      <c r="E47" s="18">
        <f t="shared" si="5"/>
        <v>0.99929155607578268</v>
      </c>
      <c r="F47" s="17">
        <v>112936934</v>
      </c>
      <c r="G47" s="18">
        <f t="shared" si="14"/>
        <v>0.96122511441136338</v>
      </c>
      <c r="H47" s="17">
        <v>77576676</v>
      </c>
      <c r="I47" s="18">
        <f t="shared" si="15"/>
        <v>0.66026805069591554</v>
      </c>
      <c r="J47" s="29">
        <f t="shared" si="16"/>
        <v>2.8946520895522387</v>
      </c>
      <c r="L47" s="18"/>
    </row>
    <row r="48" spans="1:14" s="2" customFormat="1" x14ac:dyDescent="0.2">
      <c r="A48" s="16" t="s">
        <v>29</v>
      </c>
      <c r="B48" s="16" t="s">
        <v>30</v>
      </c>
      <c r="C48" s="17">
        <v>142450981</v>
      </c>
      <c r="D48" s="17">
        <v>142301848</v>
      </c>
      <c r="E48" s="18">
        <f t="shared" si="5"/>
        <v>0.99895309250274666</v>
      </c>
      <c r="F48" s="17">
        <v>135325908</v>
      </c>
      <c r="G48" s="18">
        <f>F48/D48</f>
        <v>0.9509778678348576</v>
      </c>
      <c r="H48" s="17">
        <v>95661098</v>
      </c>
      <c r="I48" s="18">
        <f>H48/D48</f>
        <v>0.67224072873600349</v>
      </c>
      <c r="J48" s="29">
        <f t="shared" si="16"/>
        <v>3.5694439552238806</v>
      </c>
      <c r="L48" s="18"/>
    </row>
    <row r="49" spans="1:12" s="2" customFormat="1" x14ac:dyDescent="0.2">
      <c r="A49" s="16"/>
      <c r="B49" s="16"/>
      <c r="C49" s="17"/>
      <c r="D49" s="59" t="s">
        <v>216</v>
      </c>
      <c r="E49" s="60" t="s">
        <v>35</v>
      </c>
      <c r="F49" s="59">
        <f>D45-5669574</f>
        <v>175368154</v>
      </c>
      <c r="G49" s="61">
        <f>F49/D45</f>
        <v>0.96868291453591371</v>
      </c>
      <c r="H49" s="59">
        <v>116008209</v>
      </c>
      <c r="I49" s="61">
        <f>H49/D45</f>
        <v>0.64079576274841454</v>
      </c>
      <c r="J49" s="62">
        <f t="shared" si="16"/>
        <v>4.3286645149253724</v>
      </c>
      <c r="K49" s="63"/>
      <c r="L49" s="61"/>
    </row>
    <row r="50" spans="1:12" s="2" customFormat="1" x14ac:dyDescent="0.2">
      <c r="A50" s="16"/>
      <c r="B50" s="16"/>
      <c r="C50" s="17"/>
      <c r="D50" s="59"/>
      <c r="E50" s="60" t="s">
        <v>15</v>
      </c>
      <c r="F50" s="59">
        <f>D46-4474950</f>
        <v>103518058</v>
      </c>
      <c r="G50" s="61">
        <f t="shared" ref="G50:G52" si="17">F50/D46</f>
        <v>0.95856259508948949</v>
      </c>
      <c r="H50" s="59">
        <v>72395403</v>
      </c>
      <c r="I50" s="61">
        <f t="shared" ref="I50:I51" si="18">H50/D46</f>
        <v>0.67037120588399579</v>
      </c>
      <c r="J50" s="62">
        <f t="shared" si="16"/>
        <v>2.7013210074626866</v>
      </c>
      <c r="K50" s="63"/>
      <c r="L50" s="61"/>
    </row>
    <row r="51" spans="1:12" s="2" customFormat="1" x14ac:dyDescent="0.2">
      <c r="A51" s="16"/>
      <c r="B51" s="16"/>
      <c r="C51" s="17"/>
      <c r="D51" s="59"/>
      <c r="E51" s="60" t="s">
        <v>31</v>
      </c>
      <c r="F51" s="59">
        <f>C47-4896383</f>
        <v>112679613</v>
      </c>
      <c r="G51" s="61">
        <f t="shared" si="17"/>
        <v>0.9590350123880037</v>
      </c>
      <c r="H51" s="59">
        <v>76347017</v>
      </c>
      <c r="I51" s="61">
        <f t="shared" si="18"/>
        <v>0.6498022174994702</v>
      </c>
      <c r="J51" s="62">
        <f t="shared" si="16"/>
        <v>2.8487692910447757</v>
      </c>
      <c r="K51" s="63"/>
      <c r="L51" s="61"/>
    </row>
    <row r="52" spans="1:12" s="2" customFormat="1" x14ac:dyDescent="0.2">
      <c r="A52" s="16"/>
      <c r="B52" s="16"/>
      <c r="C52" s="17"/>
      <c r="D52" s="59"/>
      <c r="E52" s="60" t="s">
        <v>29</v>
      </c>
      <c r="F52" s="59">
        <f>C48-7375292</f>
        <v>135075689</v>
      </c>
      <c r="G52" s="61">
        <f t="shared" si="17"/>
        <v>0.94921949994633947</v>
      </c>
      <c r="H52" s="59">
        <v>94436482</v>
      </c>
      <c r="I52" s="61">
        <f>H52/D48</f>
        <v>0.66363496558386226</v>
      </c>
      <c r="J52" s="62">
        <f t="shared" si="16"/>
        <v>3.5237493283582086</v>
      </c>
      <c r="K52" s="63"/>
      <c r="L52" s="61"/>
    </row>
    <row r="53" spans="1:12" s="2" customFormat="1" x14ac:dyDescent="0.2">
      <c r="A53" s="16" t="s">
        <v>17</v>
      </c>
      <c r="B53" s="16" t="s">
        <v>18</v>
      </c>
      <c r="C53" s="17">
        <v>184711687</v>
      </c>
      <c r="D53" s="17">
        <v>184659336</v>
      </c>
      <c r="E53" s="18">
        <f t="shared" si="5"/>
        <v>0.99971657992599028</v>
      </c>
      <c r="F53" s="17">
        <v>171822931</v>
      </c>
      <c r="G53" s="18">
        <f t="shared" si="14"/>
        <v>0.93048602210938314</v>
      </c>
      <c r="H53" s="17">
        <v>112337918</v>
      </c>
      <c r="I53" s="18">
        <f t="shared" si="15"/>
        <v>0.60835222541902778</v>
      </c>
      <c r="J53" s="29">
        <f t="shared" ref="J53:J58" si="19">H53/$C$26/10^6</f>
        <v>4.6807465833333328</v>
      </c>
      <c r="L53" s="18"/>
    </row>
    <row r="54" spans="1:12" s="2" customFormat="1" x14ac:dyDescent="0.2">
      <c r="A54" s="16" t="s">
        <v>11</v>
      </c>
      <c r="B54" s="16" t="s">
        <v>12</v>
      </c>
      <c r="C54" s="17">
        <v>111362027</v>
      </c>
      <c r="D54" s="17">
        <v>111321708</v>
      </c>
      <c r="E54" s="18">
        <f t="shared" si="5"/>
        <v>0.99963794660454586</v>
      </c>
      <c r="F54" s="17">
        <v>103276207</v>
      </c>
      <c r="G54" s="18">
        <f t="shared" si="14"/>
        <v>0.92772747432154024</v>
      </c>
      <c r="H54" s="17">
        <v>68353287</v>
      </c>
      <c r="I54" s="18">
        <f t="shared" si="15"/>
        <v>0.61401579465525269</v>
      </c>
      <c r="J54" s="29">
        <f t="shared" si="19"/>
        <v>2.8480536249999999</v>
      </c>
      <c r="L54" s="18"/>
    </row>
    <row r="55" spans="1:12" s="2" customFormat="1" x14ac:dyDescent="0.2">
      <c r="A55" s="16" t="s">
        <v>19</v>
      </c>
      <c r="B55" s="16" t="s">
        <v>20</v>
      </c>
      <c r="C55" s="17">
        <v>164313999</v>
      </c>
      <c r="D55" s="17">
        <v>164263036</v>
      </c>
      <c r="E55" s="18">
        <f t="shared" si="5"/>
        <v>0.99968984383369552</v>
      </c>
      <c r="F55" s="17">
        <v>152838504</v>
      </c>
      <c r="G55" s="18">
        <f t="shared" si="14"/>
        <v>0.93044976960002124</v>
      </c>
      <c r="H55" s="17">
        <v>98845449</v>
      </c>
      <c r="I55" s="18">
        <f t="shared" si="15"/>
        <v>0.60175101719171931</v>
      </c>
      <c r="J55" s="29">
        <f t="shared" si="19"/>
        <v>4.1185603750000004</v>
      </c>
      <c r="L55" s="18"/>
    </row>
    <row r="56" spans="1:12" s="2" customFormat="1" x14ac:dyDescent="0.2">
      <c r="A56" s="16" t="s">
        <v>13</v>
      </c>
      <c r="B56" s="16" t="s">
        <v>14</v>
      </c>
      <c r="C56" s="17">
        <v>224928587</v>
      </c>
      <c r="D56" s="17">
        <v>224840532</v>
      </c>
      <c r="E56" s="18">
        <f t="shared" si="5"/>
        <v>0.99960852019223323</v>
      </c>
      <c r="F56" s="17">
        <v>209624290</v>
      </c>
      <c r="G56" s="18">
        <f t="shared" si="14"/>
        <v>0.932324292845918</v>
      </c>
      <c r="H56" s="17">
        <v>139003334</v>
      </c>
      <c r="I56" s="18">
        <f>H56/D56</f>
        <v>0.61823076454916059</v>
      </c>
      <c r="J56" s="29">
        <f t="shared" si="19"/>
        <v>5.7918055833333328</v>
      </c>
      <c r="L56" s="18"/>
    </row>
    <row r="57" spans="1:12" x14ac:dyDescent="0.2">
      <c r="D57" s="32" t="s">
        <v>89</v>
      </c>
      <c r="E57" s="33" t="s">
        <v>17</v>
      </c>
      <c r="F57" s="50">
        <v>178931320</v>
      </c>
      <c r="G57" s="51">
        <v>0.96899999999999997</v>
      </c>
      <c r="H57" s="50">
        <v>128055730</v>
      </c>
      <c r="I57" s="37">
        <f>H57/D53</f>
        <v>0.69347010973764145</v>
      </c>
      <c r="J57" s="52">
        <f t="shared" si="19"/>
        <v>5.3356554166666665</v>
      </c>
      <c r="K57" s="45">
        <v>1803653128</v>
      </c>
      <c r="L57" s="18">
        <f>K57/$K$94</f>
        <v>0.83087474430284658</v>
      </c>
    </row>
    <row r="58" spans="1:12" x14ac:dyDescent="0.2">
      <c r="D58" s="32"/>
      <c r="E58" s="33" t="s">
        <v>11</v>
      </c>
      <c r="F58" s="50">
        <v>107737875</v>
      </c>
      <c r="G58" s="51">
        <v>0.96779999999999999</v>
      </c>
      <c r="H58" s="50">
        <v>77827484</v>
      </c>
      <c r="I58" s="37">
        <f t="shared" ref="I58:I60" si="20">H58/D54</f>
        <v>0.69912225924524984</v>
      </c>
      <c r="J58" s="52">
        <f t="shared" si="19"/>
        <v>3.2428118333333336</v>
      </c>
      <c r="K58" s="45">
        <v>1782314018</v>
      </c>
      <c r="L58" s="18">
        <f t="shared" ref="L58:L60" si="21">K58/$K$94</f>
        <v>0.82104462381589871</v>
      </c>
    </row>
    <row r="59" spans="1:12" x14ac:dyDescent="0.2">
      <c r="D59" s="32"/>
      <c r="E59" s="33" t="s">
        <v>19</v>
      </c>
      <c r="F59" s="50">
        <v>159195504</v>
      </c>
      <c r="G59" s="51">
        <v>0.96909999999999996</v>
      </c>
      <c r="H59" s="50">
        <v>113082817</v>
      </c>
      <c r="I59" s="37">
        <f t="shared" si="20"/>
        <v>0.68842522184966803</v>
      </c>
      <c r="J59" s="52">
        <f t="shared" ref="J59:J60" si="22">H59/$C$26/10^6</f>
        <v>4.7117840416666672</v>
      </c>
      <c r="K59" s="45">
        <v>1796858127</v>
      </c>
      <c r="L59" s="18">
        <f t="shared" si="21"/>
        <v>0.8277445444707574</v>
      </c>
    </row>
    <row r="60" spans="1:12" x14ac:dyDescent="0.2">
      <c r="D60" s="32"/>
      <c r="E60" s="33" t="s">
        <v>13</v>
      </c>
      <c r="F60" s="36">
        <v>224840532</v>
      </c>
      <c r="G60" s="51">
        <v>0.97119999999999995</v>
      </c>
      <c r="H60" s="50">
        <v>157247172</v>
      </c>
      <c r="I60" s="37">
        <f t="shared" si="20"/>
        <v>0.69937199757203916</v>
      </c>
      <c r="J60" s="52">
        <f t="shared" si="22"/>
        <v>6.5519654999999997</v>
      </c>
      <c r="K60" s="45">
        <v>1820514069</v>
      </c>
      <c r="L60" s="18">
        <f t="shared" si="21"/>
        <v>0.83864194178921403</v>
      </c>
    </row>
    <row r="61" spans="1:12" x14ac:dyDescent="0.2">
      <c r="F61" s="26"/>
      <c r="G61" s="23"/>
      <c r="H61" s="25"/>
    </row>
    <row r="63" spans="1:12" x14ac:dyDescent="0.2">
      <c r="F63" s="26"/>
      <c r="G63" s="23"/>
      <c r="H63" s="25"/>
    </row>
    <row r="66" spans="1:15" ht="21" x14ac:dyDescent="0.25">
      <c r="A66" s="6" t="s">
        <v>128</v>
      </c>
    </row>
    <row r="67" spans="1:15" x14ac:dyDescent="0.2">
      <c r="A67" s="8" t="s">
        <v>86</v>
      </c>
      <c r="B67" s="8" t="s">
        <v>87</v>
      </c>
      <c r="C67" s="4"/>
      <c r="G67" s="8" t="s">
        <v>46</v>
      </c>
      <c r="H67" s="8" t="s">
        <v>87</v>
      </c>
      <c r="J67" s="8" t="s">
        <v>127</v>
      </c>
      <c r="K67" s="8" t="s">
        <v>87</v>
      </c>
      <c r="M67" s="43" t="s">
        <v>203</v>
      </c>
      <c r="N67" s="43"/>
      <c r="O67" s="43" t="s">
        <v>87</v>
      </c>
    </row>
    <row r="68" spans="1:15" x14ac:dyDescent="0.2">
      <c r="A68" s="16" t="s">
        <v>60</v>
      </c>
      <c r="B68" s="17">
        <v>99884700</v>
      </c>
      <c r="G68" s="14" t="s">
        <v>113</v>
      </c>
      <c r="H68" s="14">
        <v>147124056</v>
      </c>
      <c r="J68" s="14" t="s">
        <v>60</v>
      </c>
      <c r="K68" s="14">
        <v>104050246</v>
      </c>
      <c r="M68" s="44" t="s">
        <v>96</v>
      </c>
      <c r="N68" s="44"/>
      <c r="O68" s="14">
        <v>113035596</v>
      </c>
    </row>
    <row r="69" spans="1:15" x14ac:dyDescent="0.2">
      <c r="A69" s="16" t="s">
        <v>61</v>
      </c>
      <c r="B69" s="17">
        <v>83447906</v>
      </c>
      <c r="G69" s="14" t="s">
        <v>114</v>
      </c>
      <c r="H69" s="14">
        <v>101022459</v>
      </c>
      <c r="J69" s="14" t="s">
        <v>61</v>
      </c>
      <c r="K69" s="14">
        <v>90410113</v>
      </c>
      <c r="M69" s="44" t="s">
        <v>97</v>
      </c>
      <c r="N69" s="44"/>
      <c r="O69" s="14">
        <v>99090824</v>
      </c>
    </row>
    <row r="70" spans="1:15" x14ac:dyDescent="0.2">
      <c r="A70" s="16" t="s">
        <v>62</v>
      </c>
      <c r="B70" s="17">
        <v>100263045</v>
      </c>
      <c r="G70" s="14" t="s">
        <v>115</v>
      </c>
      <c r="H70" s="14">
        <v>102937433</v>
      </c>
      <c r="J70" s="14" t="s">
        <v>62</v>
      </c>
      <c r="K70" s="14">
        <v>108673976</v>
      </c>
      <c r="M70" s="44" t="s">
        <v>98</v>
      </c>
      <c r="N70" s="44"/>
      <c r="O70" s="14">
        <v>135709677</v>
      </c>
    </row>
    <row r="71" spans="1:15" x14ac:dyDescent="0.2">
      <c r="A71" s="16" t="s">
        <v>63</v>
      </c>
      <c r="B71" s="17">
        <v>62913772</v>
      </c>
      <c r="G71" s="14" t="s">
        <v>116</v>
      </c>
      <c r="H71" s="14">
        <v>137674440</v>
      </c>
      <c r="J71" s="14" t="s">
        <v>63</v>
      </c>
      <c r="K71" s="14">
        <v>82679320</v>
      </c>
      <c r="M71" s="44" t="s">
        <v>99</v>
      </c>
      <c r="N71" s="44"/>
      <c r="O71" s="14">
        <v>98600468</v>
      </c>
    </row>
    <row r="72" spans="1:15" x14ac:dyDescent="0.2">
      <c r="A72" s="16" t="s">
        <v>64</v>
      </c>
      <c r="B72" s="17">
        <v>92047023</v>
      </c>
      <c r="G72" s="14" t="s">
        <v>117</v>
      </c>
      <c r="H72" s="14">
        <v>59691044</v>
      </c>
      <c r="J72" s="14" t="s">
        <v>64</v>
      </c>
      <c r="K72" s="14">
        <v>100714657</v>
      </c>
      <c r="M72" s="44" t="s">
        <v>100</v>
      </c>
      <c r="N72" s="44"/>
      <c r="O72" s="14">
        <v>97880472</v>
      </c>
    </row>
    <row r="73" spans="1:15" x14ac:dyDescent="0.2">
      <c r="A73" s="16" t="s">
        <v>65</v>
      </c>
      <c r="B73" s="17">
        <v>103170444</v>
      </c>
      <c r="G73" s="14" t="s">
        <v>118</v>
      </c>
      <c r="H73" s="14">
        <v>121338753</v>
      </c>
      <c r="J73" s="14" t="s">
        <v>65</v>
      </c>
      <c r="K73" s="14">
        <v>121513442</v>
      </c>
      <c r="M73" s="44" t="s">
        <v>101</v>
      </c>
      <c r="N73" s="44"/>
      <c r="O73" s="14">
        <v>132263754</v>
      </c>
    </row>
    <row r="74" spans="1:15" x14ac:dyDescent="0.2">
      <c r="A74" s="16" t="s">
        <v>66</v>
      </c>
      <c r="B74" s="17">
        <v>78251018</v>
      </c>
      <c r="G74" s="14" t="s">
        <v>119</v>
      </c>
      <c r="H74" s="14">
        <v>127720257</v>
      </c>
      <c r="J74" s="14" t="s">
        <v>66</v>
      </c>
      <c r="K74" s="14">
        <v>93829987</v>
      </c>
      <c r="M74" s="44" t="s">
        <v>102</v>
      </c>
      <c r="N74" s="44"/>
      <c r="O74" s="14">
        <v>97507971</v>
      </c>
    </row>
    <row r="75" spans="1:15" s="4" customFormat="1" x14ac:dyDescent="0.2">
      <c r="A75" s="16" t="s">
        <v>67</v>
      </c>
      <c r="B75" s="17">
        <v>103626341</v>
      </c>
      <c r="C75"/>
      <c r="G75" s="27" t="s">
        <v>120</v>
      </c>
      <c r="H75" s="27">
        <v>127390056</v>
      </c>
      <c r="J75" s="8" t="s">
        <v>67</v>
      </c>
      <c r="K75" s="8">
        <v>123748673</v>
      </c>
      <c r="M75" s="44" t="s">
        <v>103</v>
      </c>
      <c r="N75" s="44"/>
      <c r="O75" s="8">
        <v>129432109</v>
      </c>
    </row>
    <row r="76" spans="1:15" x14ac:dyDescent="0.2">
      <c r="A76" s="16" t="s">
        <v>68</v>
      </c>
      <c r="B76" s="17">
        <v>74999931</v>
      </c>
      <c r="G76" s="14" t="s">
        <v>121</v>
      </c>
      <c r="H76" s="14">
        <v>96603200</v>
      </c>
      <c r="J76" s="14" t="s">
        <v>68</v>
      </c>
      <c r="K76" s="14">
        <v>81831061</v>
      </c>
      <c r="M76" s="44" t="s">
        <v>104</v>
      </c>
      <c r="N76" s="44"/>
      <c r="O76" s="14">
        <v>85040211</v>
      </c>
    </row>
    <row r="77" spans="1:15" x14ac:dyDescent="0.2">
      <c r="A77" s="16" t="s">
        <v>69</v>
      </c>
      <c r="B77" s="17">
        <v>100866604</v>
      </c>
      <c r="G77" s="14" t="s">
        <v>122</v>
      </c>
      <c r="H77" s="14">
        <v>114682873</v>
      </c>
      <c r="J77" s="14" t="s">
        <v>69</v>
      </c>
      <c r="K77" s="14">
        <v>111961792</v>
      </c>
      <c r="M77" s="44" t="s">
        <v>105</v>
      </c>
      <c r="N77" s="44"/>
      <c r="O77" s="14">
        <v>129486693</v>
      </c>
    </row>
    <row r="78" spans="1:15" x14ac:dyDescent="0.2">
      <c r="A78" s="16" t="s">
        <v>70</v>
      </c>
      <c r="B78" s="17">
        <v>93316192</v>
      </c>
      <c r="G78" s="14" t="s">
        <v>123</v>
      </c>
      <c r="H78" s="14">
        <v>105698715</v>
      </c>
      <c r="J78" s="14" t="s">
        <v>70</v>
      </c>
      <c r="K78" s="14">
        <v>114316535</v>
      </c>
      <c r="M78" s="44" t="s">
        <v>106</v>
      </c>
      <c r="N78" s="44"/>
      <c r="O78" s="14">
        <v>124536837</v>
      </c>
    </row>
    <row r="79" spans="1:15" x14ac:dyDescent="0.2">
      <c r="A79" s="16" t="s">
        <v>71</v>
      </c>
      <c r="B79" s="17">
        <v>87484866</v>
      </c>
      <c r="G79" s="14" t="s">
        <v>124</v>
      </c>
      <c r="H79" s="14">
        <v>146007585</v>
      </c>
      <c r="J79" s="14" t="s">
        <v>71</v>
      </c>
      <c r="K79" s="14">
        <v>103038859</v>
      </c>
      <c r="M79" s="44" t="s">
        <v>107</v>
      </c>
      <c r="N79" s="44"/>
      <c r="O79" s="14">
        <v>103066607</v>
      </c>
    </row>
    <row r="80" spans="1:15" x14ac:dyDescent="0.2">
      <c r="A80" s="16" t="s">
        <v>72</v>
      </c>
      <c r="B80" s="17">
        <v>79961121</v>
      </c>
      <c r="D80" s="8" t="s">
        <v>109</v>
      </c>
      <c r="E80" s="8" t="s">
        <v>87</v>
      </c>
      <c r="G80" s="14" t="s">
        <v>125</v>
      </c>
      <c r="H80" s="14">
        <v>144146972</v>
      </c>
      <c r="J80" s="14" t="s">
        <v>72</v>
      </c>
      <c r="K80" s="14">
        <v>104534465</v>
      </c>
      <c r="M80" s="44" t="s">
        <v>108</v>
      </c>
      <c r="N80" s="44"/>
      <c r="O80" s="14">
        <v>124041150</v>
      </c>
    </row>
    <row r="81" spans="1:15" x14ac:dyDescent="0.2">
      <c r="A81" s="16" t="s">
        <v>73</v>
      </c>
      <c r="B81" s="17">
        <v>61456009</v>
      </c>
      <c r="D81" s="27" t="s">
        <v>96</v>
      </c>
      <c r="E81" s="17">
        <v>55868233</v>
      </c>
      <c r="G81" s="15" t="s">
        <v>88</v>
      </c>
      <c r="H81" s="28">
        <f>SUM(H67:H80)</f>
        <v>1532037843</v>
      </c>
      <c r="J81" s="14" t="s">
        <v>73</v>
      </c>
      <c r="K81" s="14">
        <v>64473564</v>
      </c>
      <c r="M81" s="15" t="s">
        <v>88</v>
      </c>
      <c r="N81" s="15"/>
      <c r="O81" s="28">
        <f>SUM(O68:O80)</f>
        <v>1469692369</v>
      </c>
    </row>
    <row r="82" spans="1:15" x14ac:dyDescent="0.2">
      <c r="A82" s="16" t="s">
        <v>74</v>
      </c>
      <c r="B82" s="17">
        <v>67284553</v>
      </c>
      <c r="D82" s="14" t="s">
        <v>97</v>
      </c>
      <c r="E82" s="17">
        <v>62769430</v>
      </c>
      <c r="J82" s="14" t="s">
        <v>74</v>
      </c>
      <c r="K82" s="14">
        <v>70731513</v>
      </c>
    </row>
    <row r="83" spans="1:15" x14ac:dyDescent="0.2">
      <c r="A83" s="16" t="s">
        <v>75</v>
      </c>
      <c r="B83" s="17">
        <v>46690656</v>
      </c>
      <c r="D83" s="14" t="s">
        <v>98</v>
      </c>
      <c r="E83" s="17">
        <v>45765648</v>
      </c>
      <c r="J83" s="14" t="s">
        <v>75</v>
      </c>
      <c r="K83" s="14">
        <v>53248092</v>
      </c>
    </row>
    <row r="84" spans="1:15" x14ac:dyDescent="0.2">
      <c r="A84" s="16" t="s">
        <v>76</v>
      </c>
      <c r="B84" s="17">
        <v>51454130</v>
      </c>
      <c r="D84" s="14" t="s">
        <v>99</v>
      </c>
      <c r="E84" s="17">
        <v>62178258</v>
      </c>
      <c r="J84" s="14" t="s">
        <v>76</v>
      </c>
      <c r="K84" s="14">
        <v>56598092</v>
      </c>
    </row>
    <row r="85" spans="1:15" x14ac:dyDescent="0.2">
      <c r="A85" s="16" t="s">
        <v>77</v>
      </c>
      <c r="B85" s="17">
        <v>61933047</v>
      </c>
      <c r="D85" s="14" t="s">
        <v>100</v>
      </c>
      <c r="E85" s="17">
        <v>64140413</v>
      </c>
      <c r="J85" s="14" t="s">
        <v>77</v>
      </c>
      <c r="K85" s="14">
        <v>64368997</v>
      </c>
    </row>
    <row r="86" spans="1:15" x14ac:dyDescent="0.2">
      <c r="A86" s="16" t="s">
        <v>78</v>
      </c>
      <c r="B86" s="17">
        <v>64294643</v>
      </c>
      <c r="D86" s="14" t="s">
        <v>101</v>
      </c>
      <c r="E86" s="17">
        <v>51074515</v>
      </c>
      <c r="J86" s="14" t="s">
        <v>78</v>
      </c>
      <c r="K86" s="14">
        <v>68668488</v>
      </c>
    </row>
    <row r="87" spans="1:15" x14ac:dyDescent="0.2">
      <c r="A87" s="16" t="s">
        <v>79</v>
      </c>
      <c r="B87" s="17">
        <v>55312611</v>
      </c>
      <c r="D87" s="14" t="s">
        <v>102</v>
      </c>
      <c r="E87" s="17">
        <v>60982465</v>
      </c>
      <c r="J87" s="14" t="s">
        <v>79</v>
      </c>
      <c r="K87" s="14">
        <v>58101237</v>
      </c>
    </row>
    <row r="88" spans="1:15" x14ac:dyDescent="0.2">
      <c r="A88" s="16" t="s">
        <v>80</v>
      </c>
      <c r="B88" s="17">
        <v>65894135</v>
      </c>
      <c r="D88" s="14" t="s">
        <v>103</v>
      </c>
      <c r="E88" s="17">
        <v>57128820</v>
      </c>
      <c r="J88" s="14" t="s">
        <v>80</v>
      </c>
      <c r="K88" s="14">
        <v>69935236</v>
      </c>
    </row>
    <row r="89" spans="1:15" x14ac:dyDescent="0.2">
      <c r="A89" s="16" t="s">
        <v>81</v>
      </c>
      <c r="B89" s="17">
        <v>50995436</v>
      </c>
      <c r="D89" s="14" t="s">
        <v>104</v>
      </c>
      <c r="E89" s="17">
        <v>70713020</v>
      </c>
      <c r="J89" s="14" t="s">
        <v>81</v>
      </c>
      <c r="K89" s="14">
        <v>53439012</v>
      </c>
    </row>
    <row r="90" spans="1:15" x14ac:dyDescent="0.2">
      <c r="A90" s="16" t="s">
        <v>82</v>
      </c>
      <c r="B90" s="17">
        <v>63374666</v>
      </c>
      <c r="D90" s="14" t="s">
        <v>105</v>
      </c>
      <c r="E90" s="17">
        <v>62175169</v>
      </c>
      <c r="H90">
        <f>H81/E94</f>
        <v>2.0448216817391351</v>
      </c>
      <c r="J90" s="14" t="s">
        <v>82</v>
      </c>
      <c r="K90" s="14">
        <v>67973905</v>
      </c>
      <c r="M90" s="26">
        <f>O81+E94</f>
        <v>2218920459</v>
      </c>
    </row>
    <row r="91" spans="1:15" x14ac:dyDescent="0.2">
      <c r="A91" s="16" t="s">
        <v>83</v>
      </c>
      <c r="B91" s="17">
        <v>66087774</v>
      </c>
      <c r="D91" s="14" t="s">
        <v>106</v>
      </c>
      <c r="E91" s="17">
        <v>62681010</v>
      </c>
      <c r="J91" s="14" t="s">
        <v>83</v>
      </c>
      <c r="K91" s="14">
        <v>73211361</v>
      </c>
    </row>
    <row r="92" spans="1:15" x14ac:dyDescent="0.2">
      <c r="A92" s="16" t="s">
        <v>84</v>
      </c>
      <c r="B92" s="17">
        <v>59109837</v>
      </c>
      <c r="D92" s="14" t="s">
        <v>107</v>
      </c>
      <c r="E92" s="17">
        <v>35429946</v>
      </c>
      <c r="J92" s="14" t="s">
        <v>84</v>
      </c>
      <c r="K92" s="14">
        <v>63843421</v>
      </c>
    </row>
    <row r="93" spans="1:15" x14ac:dyDescent="0.2">
      <c r="A93" s="16" t="s">
        <v>85</v>
      </c>
      <c r="B93" s="17">
        <v>60534298</v>
      </c>
      <c r="D93" s="14" t="s">
        <v>108</v>
      </c>
      <c r="E93" s="17">
        <v>58321163</v>
      </c>
      <c r="J93" s="14" t="s">
        <v>85</v>
      </c>
      <c r="K93" s="14">
        <v>64892201</v>
      </c>
    </row>
    <row r="94" spans="1:15" x14ac:dyDescent="0.2">
      <c r="A94" s="15" t="s">
        <v>88</v>
      </c>
      <c r="B94" s="28">
        <f>SUM(B68:B93)</f>
        <v>1934654758</v>
      </c>
      <c r="C94" s="4"/>
      <c r="D94" s="15" t="s">
        <v>88</v>
      </c>
      <c r="E94" s="28">
        <f>SUM(E81:E93)</f>
        <v>749228090</v>
      </c>
      <c r="J94" s="15" t="s">
        <v>88</v>
      </c>
      <c r="K94" s="28">
        <f>SUM(K68:K93)</f>
        <v>2170788245</v>
      </c>
    </row>
    <row r="95" spans="1:15" x14ac:dyDescent="0.2">
      <c r="A95" s="38" t="s">
        <v>190</v>
      </c>
      <c r="B95" s="39">
        <f>SUM(B68:B80)</f>
        <v>1160232963</v>
      </c>
      <c r="J95" s="68" t="s">
        <v>190</v>
      </c>
      <c r="K95">
        <f>SUM(K68:K80)</f>
        <v>1341303126</v>
      </c>
    </row>
    <row r="96" spans="1:15" x14ac:dyDescent="0.2">
      <c r="A96" s="38" t="s">
        <v>189</v>
      </c>
      <c r="B96" s="39">
        <f>SUM(B81:B93)</f>
        <v>774421795</v>
      </c>
      <c r="J96" s="68" t="s">
        <v>227</v>
      </c>
      <c r="K96">
        <f>SUM(K81:K93)</f>
        <v>829485119</v>
      </c>
    </row>
    <row r="98" spans="1:29" ht="17" thickBot="1" x14ac:dyDescent="0.25"/>
    <row r="99" spans="1:29" ht="21" x14ac:dyDescent="0.25">
      <c r="A99" s="6" t="s">
        <v>90</v>
      </c>
      <c r="B99" s="24"/>
      <c r="I99" s="70"/>
      <c r="J99" s="78"/>
      <c r="K99" s="98" t="s">
        <v>221</v>
      </c>
      <c r="L99" s="98"/>
      <c r="M99" s="98"/>
      <c r="N99" s="96"/>
      <c r="O99" s="99" t="s">
        <v>223</v>
      </c>
      <c r="P99" s="99"/>
      <c r="Q99" s="99"/>
      <c r="R99" s="99"/>
      <c r="S99" s="76"/>
      <c r="T99" s="98" t="s">
        <v>222</v>
      </c>
      <c r="U99" s="98"/>
      <c r="V99" s="98"/>
      <c r="W99" s="100"/>
      <c r="X99" s="87"/>
    </row>
    <row r="100" spans="1:29" s="4" customFormat="1" x14ac:dyDescent="0.2">
      <c r="A100" s="15" t="s">
        <v>0</v>
      </c>
      <c r="B100" s="8" t="s">
        <v>91</v>
      </c>
      <c r="C100" s="8" t="s">
        <v>92</v>
      </c>
      <c r="D100" s="8" t="s">
        <v>93</v>
      </c>
      <c r="E100" s="8" t="s">
        <v>94</v>
      </c>
      <c r="F100" s="8" t="s">
        <v>88</v>
      </c>
      <c r="G100" s="8" t="s">
        <v>95</v>
      </c>
      <c r="I100" s="71" t="s">
        <v>0</v>
      </c>
      <c r="J100" s="79" t="s">
        <v>91</v>
      </c>
      <c r="K100" s="79" t="s">
        <v>92</v>
      </c>
      <c r="L100" s="79" t="s">
        <v>93</v>
      </c>
      <c r="M100" s="79" t="s">
        <v>94</v>
      </c>
      <c r="N100" s="8" t="s">
        <v>228</v>
      </c>
      <c r="O100" s="8" t="s">
        <v>92</v>
      </c>
      <c r="P100" s="8" t="s">
        <v>93</v>
      </c>
      <c r="Q100" s="8" t="s">
        <v>94</v>
      </c>
      <c r="R100" s="8" t="s">
        <v>88</v>
      </c>
      <c r="S100" s="8" t="s">
        <v>228</v>
      </c>
      <c r="T100" s="79" t="s">
        <v>92</v>
      </c>
      <c r="U100" s="79" t="s">
        <v>93</v>
      </c>
      <c r="V100" s="79" t="s">
        <v>94</v>
      </c>
      <c r="W100" s="88" t="s">
        <v>88</v>
      </c>
      <c r="X100" s="79" t="s">
        <v>228</v>
      </c>
    </row>
    <row r="101" spans="1:29" x14ac:dyDescent="0.2">
      <c r="A101" s="16" t="s">
        <v>33</v>
      </c>
      <c r="B101" s="27" t="s">
        <v>46</v>
      </c>
      <c r="C101" s="30">
        <v>2173195</v>
      </c>
      <c r="D101" s="30">
        <v>581064</v>
      </c>
      <c r="E101" s="30">
        <v>1924764</v>
      </c>
      <c r="F101" s="31">
        <f>SUM(C101:E101)</f>
        <v>4679023</v>
      </c>
      <c r="G101" s="18">
        <f>E101/F101</f>
        <v>0.41136023481825157</v>
      </c>
      <c r="I101" s="72" t="s">
        <v>199</v>
      </c>
      <c r="J101" s="80" t="s">
        <v>217</v>
      </c>
      <c r="K101" s="81">
        <v>1629969</v>
      </c>
      <c r="L101" s="81">
        <v>1188755</v>
      </c>
      <c r="M101" s="81">
        <v>2227647</v>
      </c>
      <c r="N101" s="81"/>
      <c r="O101" s="31">
        <v>279902020</v>
      </c>
      <c r="P101" s="31">
        <v>465653102</v>
      </c>
      <c r="Q101" s="31">
        <v>381250708</v>
      </c>
      <c r="R101" s="31">
        <f>SUM(O101:Q101)</f>
        <v>1126805830</v>
      </c>
      <c r="S101" s="31">
        <v>223974051</v>
      </c>
      <c r="T101" s="89">
        <f>O101/$O$81</f>
        <v>0.1904493932906853</v>
      </c>
      <c r="U101" s="89">
        <f t="shared" ref="U101" si="23">P101/$O$81</f>
        <v>0.3168371230755162</v>
      </c>
      <c r="V101" s="89">
        <f t="shared" ref="V101" si="24">Q101/$O$81</f>
        <v>0.25940851027171657</v>
      </c>
      <c r="W101" s="90">
        <f>R101/$O$81</f>
        <v>0.76669502663791811</v>
      </c>
      <c r="X101" s="90">
        <f>S101/$O$81</f>
        <v>0.15239519216691258</v>
      </c>
      <c r="Z101">
        <v>0.15239519216691258</v>
      </c>
    </row>
    <row r="102" spans="1:29" x14ac:dyDescent="0.2">
      <c r="A102" s="16" t="s">
        <v>37</v>
      </c>
      <c r="B102" s="27" t="s">
        <v>46</v>
      </c>
      <c r="C102" s="30">
        <v>1450799</v>
      </c>
      <c r="D102" s="30">
        <v>1315376</v>
      </c>
      <c r="E102" s="30">
        <v>2231089</v>
      </c>
      <c r="F102" s="31">
        <f t="shared" ref="F102:F116" si="25">SUM(C102:E102)</f>
        <v>4997264</v>
      </c>
      <c r="G102" s="18">
        <f t="shared" ref="G102:G116" si="26">E102/F102</f>
        <v>0.44646210406334347</v>
      </c>
      <c r="I102" s="72" t="s">
        <v>47</v>
      </c>
      <c r="J102" s="80" t="s">
        <v>47</v>
      </c>
      <c r="K102" s="81">
        <v>1024096</v>
      </c>
      <c r="L102" s="81">
        <v>665198</v>
      </c>
      <c r="M102" s="81">
        <v>1440574</v>
      </c>
      <c r="N102" s="81"/>
      <c r="O102" s="95">
        <v>174385641</v>
      </c>
      <c r="P102" s="95">
        <v>254516118</v>
      </c>
      <c r="Q102" s="95">
        <v>244848961</v>
      </c>
      <c r="R102" s="95">
        <f>SUM(O102:Q102)</f>
        <v>673750720</v>
      </c>
      <c r="S102" s="95">
        <v>147737793</v>
      </c>
      <c r="T102" s="89">
        <f>O102/$E$94</f>
        <v>0.23275374125388171</v>
      </c>
      <c r="U102" s="89">
        <f>P102/$E$94</f>
        <v>0.33970445235175312</v>
      </c>
      <c r="V102" s="89">
        <f>Q102/$E$94</f>
        <v>0.32680162992821049</v>
      </c>
      <c r="W102" s="90">
        <f>R102/$E$94</f>
        <v>0.89925982353384537</v>
      </c>
      <c r="X102" s="90">
        <f>S102/$E$94</f>
        <v>0.19718667115110433</v>
      </c>
      <c r="Z102">
        <v>0.19718667115110433</v>
      </c>
    </row>
    <row r="103" spans="1:29" x14ac:dyDescent="0.2">
      <c r="A103" s="16" t="s">
        <v>199</v>
      </c>
      <c r="B103" s="27" t="s">
        <v>46</v>
      </c>
      <c r="C103" s="30"/>
      <c r="D103" s="30"/>
      <c r="E103" s="30"/>
      <c r="F103" s="31"/>
      <c r="G103" s="18"/>
      <c r="I103" s="72" t="s">
        <v>219</v>
      </c>
      <c r="J103" s="80" t="s">
        <v>217</v>
      </c>
      <c r="K103" s="81">
        <v>1474311</v>
      </c>
      <c r="L103" s="81">
        <v>119338</v>
      </c>
      <c r="M103" s="81">
        <v>2352929</v>
      </c>
      <c r="N103" s="81"/>
      <c r="O103" s="30">
        <f>252765022</f>
        <v>252765022</v>
      </c>
      <c r="P103" s="30">
        <f>467251022</f>
        <v>467251022</v>
      </c>
      <c r="Q103" s="30">
        <f>404037780</f>
        <v>404037780</v>
      </c>
      <c r="R103" s="31">
        <f>SUM(O103:Q103)</f>
        <v>1124053824</v>
      </c>
      <c r="S103" s="31">
        <v>233352357</v>
      </c>
      <c r="T103" s="89">
        <f>O103/$O$81</f>
        <v>0.17198498633559961</v>
      </c>
      <c r="U103" s="89">
        <f t="shared" ref="U103:X103" si="27">P103/$O$81</f>
        <v>0.31792437101508825</v>
      </c>
      <c r="V103" s="89">
        <f t="shared" si="27"/>
        <v>0.27491316449776027</v>
      </c>
      <c r="W103" s="90">
        <f t="shared" si="27"/>
        <v>0.76482252184844812</v>
      </c>
      <c r="X103" s="90">
        <f t="shared" si="27"/>
        <v>0.15877632756491505</v>
      </c>
      <c r="Z103">
        <v>0.15877632756491505</v>
      </c>
    </row>
    <row r="104" spans="1:29" x14ac:dyDescent="0.2">
      <c r="A104" s="16" t="s">
        <v>201</v>
      </c>
      <c r="B104" s="27" t="s">
        <v>46</v>
      </c>
      <c r="C104" s="30"/>
      <c r="D104" s="30"/>
      <c r="E104" s="30"/>
      <c r="F104" s="31"/>
      <c r="G104" s="18"/>
      <c r="I104" s="72" t="s">
        <v>220</v>
      </c>
      <c r="J104" s="80" t="s">
        <v>47</v>
      </c>
      <c r="K104" s="81">
        <v>1061655</v>
      </c>
      <c r="L104" s="81">
        <v>637100</v>
      </c>
      <c r="M104" s="81">
        <v>1397439</v>
      </c>
      <c r="N104" s="81"/>
      <c r="O104" s="30">
        <f>180291475</f>
        <v>180291475</v>
      </c>
      <c r="P104" s="30">
        <f>243969318</f>
        <v>243969318</v>
      </c>
      <c r="Q104" s="30">
        <f>237655721</f>
        <v>237655721</v>
      </c>
      <c r="R104" s="31">
        <f>SUM(O104:Q104)</f>
        <v>661916514</v>
      </c>
      <c r="S104" s="31">
        <v>143095533</v>
      </c>
      <c r="T104" s="89">
        <f>O104/$E$94</f>
        <v>0.24063629942118162</v>
      </c>
      <c r="U104" s="89">
        <f>P104/$E$94</f>
        <v>0.32562756423080719</v>
      </c>
      <c r="V104" s="89">
        <f>Q104/$E$94</f>
        <v>0.31720076192017843</v>
      </c>
      <c r="W104" s="90">
        <f>R104/$E$94</f>
        <v>0.88346462557216721</v>
      </c>
      <c r="X104" s="90">
        <f>S104/$E$94</f>
        <v>0.1909906140865594</v>
      </c>
      <c r="Z104">
        <v>0.1909906140865594</v>
      </c>
    </row>
    <row r="105" spans="1:29" x14ac:dyDescent="0.2">
      <c r="A105" s="16" t="s">
        <v>27</v>
      </c>
      <c r="B105" s="27" t="s">
        <v>109</v>
      </c>
      <c r="C105" s="17">
        <v>1074165</v>
      </c>
      <c r="D105" s="17">
        <v>699274</v>
      </c>
      <c r="E105" s="17">
        <v>1386710</v>
      </c>
      <c r="F105" s="31">
        <f t="shared" si="25"/>
        <v>3160149</v>
      </c>
      <c r="G105" s="18">
        <f t="shared" si="26"/>
        <v>0.43881158768146694</v>
      </c>
      <c r="I105" s="73" t="s">
        <v>218</v>
      </c>
      <c r="J105" s="82"/>
      <c r="K105" s="83">
        <f>K103+K104</f>
        <v>2535966</v>
      </c>
      <c r="L105" s="83">
        <f t="shared" ref="L105:M105" si="28">L103+L104</f>
        <v>756438</v>
      </c>
      <c r="M105" s="83">
        <f t="shared" si="28"/>
        <v>3750368</v>
      </c>
      <c r="N105" s="83"/>
      <c r="O105" s="69">
        <f>O103+O104</f>
        <v>433056497</v>
      </c>
      <c r="P105" s="69">
        <f t="shared" ref="P105" si="29">P103+P104</f>
        <v>711220340</v>
      </c>
      <c r="Q105" s="69">
        <f t="shared" ref="Q105" si="30">Q103+Q104</f>
        <v>641693501</v>
      </c>
      <c r="R105" s="69">
        <f>SUM(R103:R104)</f>
        <v>1785970338</v>
      </c>
      <c r="S105" s="69">
        <v>376447890</v>
      </c>
      <c r="T105" s="91">
        <f>O105/($O$81+$E$94)</f>
        <v>0.19516539912168163</v>
      </c>
      <c r="U105" s="91">
        <f>P105/($O$81+$E$94)</f>
        <v>0.32052538752133791</v>
      </c>
      <c r="V105" s="91">
        <f>Q105/($O$81+$E$94)</f>
        <v>0.28919175466487507</v>
      </c>
      <c r="W105" s="92">
        <f>R105/($O$81+$E$94)</f>
        <v>0.80488254130789461</v>
      </c>
      <c r="X105" s="92">
        <f>S105/($O$81+$E$94)</f>
        <v>0.16965362073846199</v>
      </c>
      <c r="Z105">
        <v>0.16965362073846199</v>
      </c>
    </row>
    <row r="106" spans="1:29" x14ac:dyDescent="0.2">
      <c r="A106" s="16" t="s">
        <v>25</v>
      </c>
      <c r="B106" s="27" t="s">
        <v>109</v>
      </c>
      <c r="C106" s="17">
        <v>958966</v>
      </c>
      <c r="D106" s="17">
        <v>781281</v>
      </c>
      <c r="E106" s="17">
        <v>1424458</v>
      </c>
      <c r="F106" s="31">
        <f t="shared" si="25"/>
        <v>3164705</v>
      </c>
      <c r="G106" s="18">
        <f t="shared" si="26"/>
        <v>0.45010767196310558</v>
      </c>
      <c r="I106" s="72" t="s">
        <v>224</v>
      </c>
      <c r="J106" s="84"/>
      <c r="K106" s="81">
        <v>1217154</v>
      </c>
      <c r="L106" s="81">
        <v>1078119</v>
      </c>
      <c r="M106" s="81">
        <v>2446106</v>
      </c>
      <c r="N106" s="81"/>
      <c r="O106" s="17">
        <v>208184753</v>
      </c>
      <c r="P106" s="17">
        <v>425867621</v>
      </c>
      <c r="Q106" s="17">
        <v>413495214</v>
      </c>
      <c r="R106" s="31">
        <f>SUM(O106:Q106)</f>
        <v>1047547588</v>
      </c>
      <c r="S106" s="31">
        <v>255671955</v>
      </c>
      <c r="T106" s="89">
        <f>O106/$K$95</f>
        <v>0.15521081623125957</v>
      </c>
      <c r="U106" s="89">
        <f t="shared" ref="U106:X106" si="31">P106/$K$95</f>
        <v>0.31750289158723694</v>
      </c>
      <c r="V106" s="89">
        <f t="shared" si="31"/>
        <v>0.30827872237434867</v>
      </c>
      <c r="W106" s="90">
        <f t="shared" si="31"/>
        <v>0.78099243019284514</v>
      </c>
      <c r="X106" s="90">
        <f t="shared" si="31"/>
        <v>0.19061459713618828</v>
      </c>
      <c r="Z106">
        <v>0.19061459713618828</v>
      </c>
    </row>
    <row r="107" spans="1:29" x14ac:dyDescent="0.2">
      <c r="A107" s="16" t="s">
        <v>23</v>
      </c>
      <c r="B107" s="27" t="s">
        <v>109</v>
      </c>
      <c r="C107" s="17">
        <v>1048917</v>
      </c>
      <c r="D107" s="17">
        <v>799479</v>
      </c>
      <c r="E107" s="17">
        <v>1266287</v>
      </c>
      <c r="F107" s="31">
        <f t="shared" si="25"/>
        <v>3114683</v>
      </c>
      <c r="G107" s="18">
        <f t="shared" si="26"/>
        <v>0.40655405381542842</v>
      </c>
      <c r="I107" s="72" t="s">
        <v>225</v>
      </c>
      <c r="J107" s="84"/>
      <c r="K107" s="81">
        <v>883363</v>
      </c>
      <c r="L107" s="81">
        <v>708512</v>
      </c>
      <c r="M107" s="81">
        <v>1521874</v>
      </c>
      <c r="N107" s="81"/>
      <c r="O107" s="17">
        <v>151769020</v>
      </c>
      <c r="P107" s="17">
        <v>277853742</v>
      </c>
      <c r="Q107" s="17">
        <v>256206596</v>
      </c>
      <c r="R107" s="31">
        <f>SUM(O107:Q107)</f>
        <v>685829358</v>
      </c>
      <c r="S107" s="31">
        <v>160693197</v>
      </c>
      <c r="T107" s="89">
        <f>O107/$K$96</f>
        <v>0.1829677429089599</v>
      </c>
      <c r="U107" s="89">
        <f t="shared" ref="U107:X107" si="32">P107/$K$96</f>
        <v>0.33497134021520641</v>
      </c>
      <c r="V107" s="89">
        <f t="shared" si="32"/>
        <v>0.30887425239029515</v>
      </c>
      <c r="W107" s="90">
        <f t="shared" si="32"/>
        <v>0.82681333551446146</v>
      </c>
      <c r="X107" s="90">
        <f t="shared" si="32"/>
        <v>0.19372643742388826</v>
      </c>
      <c r="Z107">
        <v>0.19372643742388826</v>
      </c>
    </row>
    <row r="108" spans="1:29" ht="17" thickBot="1" x14ac:dyDescent="0.25">
      <c r="A108" s="16" t="s">
        <v>21</v>
      </c>
      <c r="B108" s="27" t="s">
        <v>109</v>
      </c>
      <c r="C108" s="17">
        <v>999142</v>
      </c>
      <c r="D108" s="17">
        <v>725033</v>
      </c>
      <c r="E108" s="17">
        <v>1411856</v>
      </c>
      <c r="F108" s="31">
        <f t="shared" si="25"/>
        <v>3136031</v>
      </c>
      <c r="G108" s="18">
        <f t="shared" si="26"/>
        <v>0.45020473330780214</v>
      </c>
      <c r="I108" s="74" t="s">
        <v>226</v>
      </c>
      <c r="J108" s="85" t="s">
        <v>127</v>
      </c>
      <c r="K108" s="86">
        <f>K106+K107</f>
        <v>2100517</v>
      </c>
      <c r="L108" s="86">
        <f t="shared" ref="L108" si="33">L106+L107</f>
        <v>1786631</v>
      </c>
      <c r="M108" s="86">
        <f t="shared" ref="M108" si="34">M106+M107</f>
        <v>3967980</v>
      </c>
      <c r="N108" s="86"/>
      <c r="O108" s="75">
        <f>O106+O107</f>
        <v>359953773</v>
      </c>
      <c r="P108" s="75">
        <f t="shared" ref="P108" si="35">P106+P107</f>
        <v>703721363</v>
      </c>
      <c r="Q108" s="75">
        <f t="shared" ref="Q108" si="36">Q106+Q107</f>
        <v>669701810</v>
      </c>
      <c r="R108" s="75">
        <f>SUM(R106:R107)</f>
        <v>1733376946</v>
      </c>
      <c r="S108" s="75">
        <v>416365152</v>
      </c>
      <c r="T108" s="93">
        <f t="shared" ref="T108:V108" si="37">O108/$K$94</f>
        <v>0.16581708226451172</v>
      </c>
      <c r="U108" s="93">
        <f t="shared" si="37"/>
        <v>0.32417780251983996</v>
      </c>
      <c r="V108" s="93">
        <f t="shared" si="37"/>
        <v>0.30850628178152861</v>
      </c>
      <c r="W108" s="94">
        <f>R108/$K$94</f>
        <v>0.79850116656588033</v>
      </c>
      <c r="X108" s="94">
        <f>S108/$K$94</f>
        <v>0.19180366991530304</v>
      </c>
      <c r="Z108">
        <v>0.19180366991530304</v>
      </c>
    </row>
    <row r="109" spans="1:29" x14ac:dyDescent="0.2">
      <c r="A109" s="16" t="s">
        <v>35</v>
      </c>
      <c r="B109" s="19" t="s">
        <v>126</v>
      </c>
      <c r="C109" s="30">
        <v>2753429</v>
      </c>
      <c r="D109" s="30">
        <v>1871043</v>
      </c>
      <c r="E109" s="30">
        <v>3560910</v>
      </c>
      <c r="F109" s="31">
        <f t="shared" si="25"/>
        <v>8185382</v>
      </c>
      <c r="G109" s="18">
        <f t="shared" si="26"/>
        <v>0.43503284269445214</v>
      </c>
      <c r="X109" s="77"/>
    </row>
    <row r="110" spans="1:29" x14ac:dyDescent="0.2">
      <c r="A110" s="16" t="s">
        <v>15</v>
      </c>
      <c r="B110" s="19" t="s">
        <v>126</v>
      </c>
      <c r="C110" s="30">
        <v>2491310</v>
      </c>
      <c r="D110" s="30">
        <v>2019757</v>
      </c>
      <c r="E110" s="30">
        <v>3672451</v>
      </c>
      <c r="F110" s="31">
        <f t="shared" si="25"/>
        <v>8183518</v>
      </c>
      <c r="G110" s="18">
        <f t="shared" si="26"/>
        <v>0.44876188944656809</v>
      </c>
      <c r="W110" s="97">
        <f>MIN(W101:W108)</f>
        <v>0.76482252184844812</v>
      </c>
    </row>
    <row r="111" spans="1:29" x14ac:dyDescent="0.2">
      <c r="A111" s="16" t="s">
        <v>31</v>
      </c>
      <c r="B111" s="19" t="s">
        <v>126</v>
      </c>
      <c r="C111" s="30">
        <v>2540008</v>
      </c>
      <c r="D111" s="30">
        <v>1996604</v>
      </c>
      <c r="E111" s="30">
        <v>3585718</v>
      </c>
      <c r="F111" s="31">
        <f t="shared" si="25"/>
        <v>8122330</v>
      </c>
      <c r="G111" s="18">
        <f t="shared" si="26"/>
        <v>0.44146421039283062</v>
      </c>
      <c r="I111" t="s">
        <v>229</v>
      </c>
      <c r="J111" t="s">
        <v>230</v>
      </c>
      <c r="K111" t="s">
        <v>231</v>
      </c>
      <c r="L111" t="s">
        <v>232</v>
      </c>
      <c r="M111" t="s">
        <v>233</v>
      </c>
      <c r="N111" t="s">
        <v>234</v>
      </c>
      <c r="O111" t="s">
        <v>235</v>
      </c>
      <c r="P111" t="s">
        <v>236</v>
      </c>
      <c r="Q111" t="s">
        <v>237</v>
      </c>
      <c r="R111" t="s">
        <v>238</v>
      </c>
      <c r="T111" s="71" t="s">
        <v>0</v>
      </c>
      <c r="U111" s="88" t="s">
        <v>243</v>
      </c>
      <c r="V111" t="s">
        <v>240</v>
      </c>
      <c r="W111" s="97" t="s">
        <v>244</v>
      </c>
      <c r="Z111" s="71" t="s">
        <v>0</v>
      </c>
      <c r="AA111" s="88" t="s">
        <v>243</v>
      </c>
      <c r="AB111" t="s">
        <v>240</v>
      </c>
      <c r="AC111" s="97" t="s">
        <v>244</v>
      </c>
    </row>
    <row r="112" spans="1:29" x14ac:dyDescent="0.2">
      <c r="A112" s="16" t="s">
        <v>29</v>
      </c>
      <c r="B112" s="19" t="s">
        <v>126</v>
      </c>
      <c r="C112" s="30">
        <v>2437946</v>
      </c>
      <c r="D112" s="30">
        <v>1961355</v>
      </c>
      <c r="E112" s="30">
        <v>3816160</v>
      </c>
      <c r="F112" s="31">
        <f t="shared" si="25"/>
        <v>8215461</v>
      </c>
      <c r="G112" s="18">
        <f t="shared" si="26"/>
        <v>0.46450953878303358</v>
      </c>
      <c r="I112" t="s">
        <v>226</v>
      </c>
      <c r="J112" t="s">
        <v>168</v>
      </c>
      <c r="K112">
        <v>2100517</v>
      </c>
      <c r="L112">
        <v>1786631</v>
      </c>
      <c r="M112">
        <v>3967980</v>
      </c>
      <c r="N112">
        <v>2832416</v>
      </c>
      <c r="O112">
        <v>359953773</v>
      </c>
      <c r="P112">
        <v>703721363</v>
      </c>
      <c r="Q112">
        <v>669701810</v>
      </c>
      <c r="R112">
        <v>416365152</v>
      </c>
      <c r="T112" s="72" t="s">
        <v>241</v>
      </c>
      <c r="U112" s="90">
        <v>0.76669502663791811</v>
      </c>
      <c r="V112" s="90">
        <v>0.76482252184844812</v>
      </c>
      <c r="W112" s="90">
        <v>0.78099243019284514</v>
      </c>
      <c r="Z112" s="72" t="s">
        <v>241</v>
      </c>
      <c r="AA112" s="90">
        <v>0.15239519216691258</v>
      </c>
      <c r="AB112" s="90">
        <v>0.15877632756491505</v>
      </c>
      <c r="AC112" s="90">
        <v>0.19061459713618828</v>
      </c>
    </row>
    <row r="113" spans="1:29" x14ac:dyDescent="0.2">
      <c r="A113" s="16" t="s">
        <v>17</v>
      </c>
      <c r="B113" s="27" t="s">
        <v>86</v>
      </c>
      <c r="C113" s="30">
        <v>1881365</v>
      </c>
      <c r="D113" s="30">
        <v>1790944</v>
      </c>
      <c r="E113" s="30">
        <v>2959624</v>
      </c>
      <c r="F113" s="31">
        <f t="shared" si="25"/>
        <v>6631933</v>
      </c>
      <c r="G113" s="18">
        <f t="shared" si="26"/>
        <v>0.44626868214742216</v>
      </c>
      <c r="I113" t="s">
        <v>226</v>
      </c>
      <c r="J113" t="s">
        <v>148</v>
      </c>
      <c r="K113">
        <v>1217154</v>
      </c>
      <c r="L113">
        <v>1078119</v>
      </c>
      <c r="M113">
        <v>2446106</v>
      </c>
      <c r="N113">
        <v>255671955</v>
      </c>
      <c r="O113">
        <v>208184753</v>
      </c>
      <c r="P113">
        <v>425867621</v>
      </c>
      <c r="Q113">
        <v>413495214</v>
      </c>
      <c r="R113">
        <v>255671955</v>
      </c>
      <c r="T113" s="72" t="s">
        <v>242</v>
      </c>
      <c r="U113" s="90">
        <v>0.89925982353384537</v>
      </c>
      <c r="V113" s="90">
        <v>0.88346462557216721</v>
      </c>
      <c r="W113" s="90">
        <v>0.82681333551446146</v>
      </c>
      <c r="Z113" s="72" t="s">
        <v>242</v>
      </c>
      <c r="AA113" s="90">
        <v>0.19718667115110433</v>
      </c>
      <c r="AB113" s="90">
        <v>0.1909906140865594</v>
      </c>
      <c r="AC113" s="90">
        <v>0.19372643742388826</v>
      </c>
    </row>
    <row r="114" spans="1:29" x14ac:dyDescent="0.2">
      <c r="A114" s="16" t="s">
        <v>11</v>
      </c>
      <c r="B114" s="27" t="s">
        <v>86</v>
      </c>
      <c r="C114" s="30">
        <v>2122129</v>
      </c>
      <c r="D114" s="30">
        <v>1918242</v>
      </c>
      <c r="E114" s="30">
        <v>2587301</v>
      </c>
      <c r="F114" s="31">
        <f t="shared" si="25"/>
        <v>6627672</v>
      </c>
      <c r="G114" s="18">
        <f t="shared" si="26"/>
        <v>0.39037855222769019</v>
      </c>
      <c r="I114" t="s">
        <v>226</v>
      </c>
      <c r="J114" t="s">
        <v>145</v>
      </c>
      <c r="K114">
        <v>883363</v>
      </c>
      <c r="L114">
        <v>708512</v>
      </c>
      <c r="M114">
        <v>1521874</v>
      </c>
      <c r="N114">
        <v>160693197</v>
      </c>
      <c r="O114">
        <v>151769020</v>
      </c>
      <c r="P114">
        <v>277853742</v>
      </c>
      <c r="Q114">
        <v>256206596</v>
      </c>
      <c r="R114">
        <v>160693197</v>
      </c>
      <c r="T114" s="72"/>
    </row>
    <row r="115" spans="1:29" x14ac:dyDescent="0.2">
      <c r="A115" s="16" t="s">
        <v>19</v>
      </c>
      <c r="B115" s="27" t="s">
        <v>86</v>
      </c>
      <c r="C115" s="30">
        <v>1933070</v>
      </c>
      <c r="D115" s="30">
        <v>1801466</v>
      </c>
      <c r="E115" s="30">
        <v>2895060</v>
      </c>
      <c r="F115" s="31">
        <f t="shared" si="25"/>
        <v>6629596</v>
      </c>
      <c r="G115" s="18">
        <f t="shared" si="26"/>
        <v>0.43668724308389228</v>
      </c>
      <c r="I115" t="s">
        <v>218</v>
      </c>
      <c r="J115" t="s">
        <v>155</v>
      </c>
      <c r="K115">
        <v>2535966</v>
      </c>
      <c r="L115">
        <v>1830438</v>
      </c>
      <c r="M115">
        <v>3750368</v>
      </c>
      <c r="N115">
        <v>2560870</v>
      </c>
      <c r="O115">
        <v>433056497</v>
      </c>
      <c r="P115">
        <v>711220340</v>
      </c>
      <c r="Q115">
        <v>641693501</v>
      </c>
      <c r="R115">
        <v>376447890</v>
      </c>
      <c r="T115" s="72"/>
    </row>
    <row r="116" spans="1:29" x14ac:dyDescent="0.2">
      <c r="A116" s="16" t="s">
        <v>13</v>
      </c>
      <c r="B116" s="27" t="s">
        <v>86</v>
      </c>
      <c r="C116" s="30">
        <v>2272303</v>
      </c>
      <c r="D116" s="30">
        <v>1819033</v>
      </c>
      <c r="E116" s="30">
        <v>2622240</v>
      </c>
      <c r="F116" s="31">
        <f t="shared" si="25"/>
        <v>6713576</v>
      </c>
      <c r="G116" s="18">
        <f t="shared" si="26"/>
        <v>0.39058766892636654</v>
      </c>
      <c r="I116" t="s">
        <v>218</v>
      </c>
      <c r="J116" t="s">
        <v>148</v>
      </c>
      <c r="K116">
        <v>1474311</v>
      </c>
      <c r="L116">
        <v>1193338</v>
      </c>
      <c r="M116">
        <v>2352929</v>
      </c>
      <c r="N116">
        <v>233352357</v>
      </c>
      <c r="O116">
        <v>252765022</v>
      </c>
      <c r="P116">
        <v>467251022</v>
      </c>
      <c r="Q116">
        <v>404037780</v>
      </c>
      <c r="R116">
        <v>233352357</v>
      </c>
      <c r="T116" s="72"/>
    </row>
    <row r="117" spans="1:29" x14ac:dyDescent="0.2">
      <c r="A117" s="33" t="s">
        <v>17</v>
      </c>
      <c r="B117" s="34" t="s">
        <v>127</v>
      </c>
      <c r="C117" s="35">
        <v>2246016</v>
      </c>
      <c r="D117" s="35">
        <v>1908103</v>
      </c>
      <c r="E117" s="35">
        <v>3719758</v>
      </c>
      <c r="F117" s="36">
        <f t="shared" ref="F117:F120" si="38">SUM(C117:E117)</f>
        <v>7873877</v>
      </c>
      <c r="G117" s="37">
        <f t="shared" ref="G117:G120" si="39">E117/F117</f>
        <v>0.47241759047036169</v>
      </c>
      <c r="I117" t="s">
        <v>218</v>
      </c>
      <c r="J117" t="s">
        <v>145</v>
      </c>
      <c r="K117">
        <v>1061655</v>
      </c>
      <c r="L117">
        <v>637100</v>
      </c>
      <c r="M117">
        <v>1397439</v>
      </c>
      <c r="N117">
        <v>143095533</v>
      </c>
      <c r="O117">
        <v>180291475</v>
      </c>
      <c r="P117">
        <v>243969318</v>
      </c>
      <c r="Q117">
        <v>237655721</v>
      </c>
      <c r="R117">
        <v>143095533</v>
      </c>
      <c r="T117" s="72"/>
    </row>
    <row r="118" spans="1:29" x14ac:dyDescent="0.2">
      <c r="A118" s="33" t="s">
        <v>11</v>
      </c>
      <c r="B118" s="34" t="s">
        <v>127</v>
      </c>
      <c r="C118" s="35">
        <v>2404703</v>
      </c>
      <c r="D118" s="35">
        <v>2114914</v>
      </c>
      <c r="E118" s="35">
        <v>3316891</v>
      </c>
      <c r="F118" s="36">
        <f>SUM(C118:E118)</f>
        <v>7836508</v>
      </c>
      <c r="G118" s="37">
        <f t="shared" si="39"/>
        <v>0.42326135569567463</v>
      </c>
      <c r="I118" t="s">
        <v>199</v>
      </c>
      <c r="J118" t="s">
        <v>148</v>
      </c>
      <c r="K118">
        <v>1629969</v>
      </c>
      <c r="L118">
        <v>1188755</v>
      </c>
      <c r="M118">
        <v>2227647</v>
      </c>
      <c r="N118">
        <v>1523633</v>
      </c>
      <c r="O118">
        <v>279902020</v>
      </c>
      <c r="P118">
        <v>465653102</v>
      </c>
      <c r="Q118">
        <v>381250708</v>
      </c>
      <c r="R118">
        <v>223974051</v>
      </c>
    </row>
    <row r="119" spans="1:29" ht="17" thickBot="1" x14ac:dyDescent="0.25">
      <c r="A119" s="33" t="s">
        <v>19</v>
      </c>
      <c r="B119" s="34" t="s">
        <v>127</v>
      </c>
      <c r="C119" s="35">
        <v>2296110</v>
      </c>
      <c r="D119" s="35">
        <v>1937843</v>
      </c>
      <c r="E119" s="35">
        <v>3624151</v>
      </c>
      <c r="F119" s="36">
        <f t="shared" si="38"/>
        <v>7858104</v>
      </c>
      <c r="G119" s="37">
        <f t="shared" si="39"/>
        <v>0.4611991645821944</v>
      </c>
      <c r="I119" t="s">
        <v>239</v>
      </c>
      <c r="J119" t="s">
        <v>145</v>
      </c>
      <c r="K119">
        <v>1024096</v>
      </c>
      <c r="L119">
        <v>665198</v>
      </c>
      <c r="M119">
        <v>1440574</v>
      </c>
      <c r="N119">
        <v>1005019</v>
      </c>
      <c r="O119">
        <v>174385641</v>
      </c>
      <c r="P119">
        <v>254516118</v>
      </c>
      <c r="Q119">
        <v>244848961</v>
      </c>
      <c r="R119">
        <v>147737793</v>
      </c>
      <c r="T119" s="74"/>
      <c r="U119" s="94"/>
    </row>
    <row r="120" spans="1:29" x14ac:dyDescent="0.2">
      <c r="A120" s="33" t="s">
        <v>13</v>
      </c>
      <c r="B120" s="34" t="s">
        <v>127</v>
      </c>
      <c r="C120" s="35">
        <v>2697077</v>
      </c>
      <c r="D120" s="35">
        <v>1899746</v>
      </c>
      <c r="E120" s="35">
        <v>3344356</v>
      </c>
      <c r="F120" s="36">
        <f t="shared" si="38"/>
        <v>7941179</v>
      </c>
      <c r="G120" s="37">
        <f t="shared" si="39"/>
        <v>0.42114099178472114</v>
      </c>
    </row>
    <row r="125" spans="1:29" ht="21" x14ac:dyDescent="0.25">
      <c r="A125" s="6" t="s">
        <v>129</v>
      </c>
      <c r="H125" s="6" t="s">
        <v>181</v>
      </c>
    </row>
    <row r="126" spans="1:29" x14ac:dyDescent="0.2">
      <c r="A126" s="14" t="s">
        <v>50</v>
      </c>
      <c r="B126" s="14" t="s">
        <v>142</v>
      </c>
      <c r="C126" s="14" t="s">
        <v>143</v>
      </c>
      <c r="D126" s="14"/>
      <c r="E126" s="14" t="s">
        <v>144</v>
      </c>
      <c r="F126" s="14"/>
      <c r="H126" s="14" t="s">
        <v>0</v>
      </c>
      <c r="I126" s="14" t="s">
        <v>182</v>
      </c>
      <c r="J126" s="14" t="s">
        <v>183</v>
      </c>
      <c r="K126" s="40" t="s">
        <v>188</v>
      </c>
      <c r="L126" s="14" t="s">
        <v>184</v>
      </c>
      <c r="M126" s="14" t="s">
        <v>185</v>
      </c>
      <c r="N126" s="14"/>
      <c r="O126" s="41" t="s">
        <v>187</v>
      </c>
    </row>
    <row r="127" spans="1:29" x14ac:dyDescent="0.2">
      <c r="A127" s="14" t="s">
        <v>145</v>
      </c>
      <c r="B127" s="14">
        <v>7182454</v>
      </c>
      <c r="C127" s="14" t="s">
        <v>130</v>
      </c>
      <c r="D127" s="14"/>
      <c r="E127" s="14">
        <f>B127/B129</f>
        <v>0.21145193944107205</v>
      </c>
      <c r="F127" s="14" t="s">
        <v>146</v>
      </c>
      <c r="H127" s="14" t="s">
        <v>158</v>
      </c>
      <c r="I127" s="14">
        <v>74730475</v>
      </c>
      <c r="J127" s="14">
        <v>43290940</v>
      </c>
      <c r="K127" s="40">
        <f>I127/J127</f>
        <v>1.7262382152016102</v>
      </c>
      <c r="L127" s="14">
        <f>I127/$H$81</f>
        <v>4.8778478509163038E-2</v>
      </c>
      <c r="M127" s="14">
        <f>J127/$E$94</f>
        <v>5.7780722022848875E-2</v>
      </c>
      <c r="N127" s="14"/>
      <c r="O127" s="41">
        <f>L127/M127</f>
        <v>0.84419987846247435</v>
      </c>
    </row>
    <row r="128" spans="1:29" x14ac:dyDescent="0.2">
      <c r="A128" s="14"/>
      <c r="B128" s="14">
        <v>26784745</v>
      </c>
      <c r="C128" s="14" t="s">
        <v>131</v>
      </c>
      <c r="D128" s="14"/>
      <c r="E128" s="14">
        <f>B128/B129</f>
        <v>0.78854473383116097</v>
      </c>
      <c r="F128" s="14"/>
      <c r="H128" s="14" t="s">
        <v>161</v>
      </c>
      <c r="I128" s="14">
        <v>45413930</v>
      </c>
      <c r="J128" s="14">
        <v>27888707</v>
      </c>
      <c r="K128" s="40">
        <f t="shared" ref="K128:K134" si="40">I128/J128</f>
        <v>1.6283985485594581</v>
      </c>
      <c r="L128" s="14">
        <f>I128/$H$81</f>
        <v>2.9642825213162832E-2</v>
      </c>
      <c r="M128" s="14">
        <f>J128/$E$94</f>
        <v>3.722325333530941E-2</v>
      </c>
      <c r="N128" s="14"/>
      <c r="O128" s="41">
        <f t="shared" ref="O128:O131" si="41">L128/M128</f>
        <v>0.79635234852092041</v>
      </c>
    </row>
    <row r="129" spans="1:16" x14ac:dyDescent="0.2">
      <c r="A129" s="14"/>
      <c r="B129" s="14">
        <v>33967312</v>
      </c>
      <c r="C129" s="14" t="s">
        <v>132</v>
      </c>
      <c r="D129" s="14"/>
      <c r="E129" s="14"/>
      <c r="F129" s="14"/>
      <c r="H129" s="14" t="s">
        <v>164</v>
      </c>
      <c r="I129" s="14">
        <v>48446334</v>
      </c>
      <c r="J129" s="14">
        <v>29130342</v>
      </c>
      <c r="K129" s="40">
        <f t="shared" si="40"/>
        <v>1.663088404523366</v>
      </c>
      <c r="L129" s="14">
        <f>I129/$H$81</f>
        <v>3.1622152299536896E-2</v>
      </c>
      <c r="M129" s="14">
        <f>J129/$E$94</f>
        <v>3.8880472300497973E-2</v>
      </c>
      <c r="N129" s="14"/>
      <c r="O129" s="41">
        <f t="shared" si="41"/>
        <v>0.81331708254819446</v>
      </c>
    </row>
    <row r="130" spans="1:16" x14ac:dyDescent="0.2">
      <c r="A130" s="14"/>
      <c r="B130" s="14">
        <v>2950954</v>
      </c>
      <c r="C130" s="14" t="s">
        <v>133</v>
      </c>
      <c r="D130" s="14"/>
      <c r="E130" s="14">
        <f t="shared" ref="E130" si="42">B130/B132</f>
        <v>0.16372111097074485</v>
      </c>
      <c r="F130" s="14" t="s">
        <v>147</v>
      </c>
      <c r="H130" s="14" t="s">
        <v>167</v>
      </c>
      <c r="I130" s="14">
        <v>59053619</v>
      </c>
      <c r="J130" s="14">
        <v>36607479</v>
      </c>
      <c r="K130" s="40">
        <f t="shared" si="40"/>
        <v>1.6131572185017165</v>
      </c>
      <c r="L130" s="14">
        <f>I130/$H$81</f>
        <v>3.8545796547925087E-2</v>
      </c>
      <c r="M130" s="14">
        <f>J130/$E$94</f>
        <v>4.8860259630682024E-2</v>
      </c>
      <c r="N130" s="14"/>
      <c r="O130" s="41">
        <f t="shared" si="41"/>
        <v>0.78889872545253681</v>
      </c>
    </row>
    <row r="131" spans="1:16" x14ac:dyDescent="0.2">
      <c r="A131" s="14"/>
      <c r="B131" s="14">
        <v>15073234</v>
      </c>
      <c r="C131" s="14" t="s">
        <v>134</v>
      </c>
      <c r="D131" s="14"/>
      <c r="E131" s="14">
        <f t="shared" ref="E131" si="43">B131/B132</f>
        <v>0.83627417316637398</v>
      </c>
      <c r="F131" s="14"/>
      <c r="H131" s="14" t="s">
        <v>171</v>
      </c>
      <c r="I131" s="14">
        <v>64496248</v>
      </c>
      <c r="J131" s="14">
        <v>47841670</v>
      </c>
      <c r="K131" s="40">
        <f t="shared" si="40"/>
        <v>1.3481186589013301</v>
      </c>
      <c r="L131" s="14">
        <f>I131/$B$95</f>
        <v>5.5589049834640837E-2</v>
      </c>
      <c r="M131" s="14">
        <f>J131/$B$96</f>
        <v>6.1777277329856141E-2</v>
      </c>
      <c r="N131" s="14"/>
      <c r="O131" s="41">
        <f t="shared" si="41"/>
        <v>0.89983003844320253</v>
      </c>
    </row>
    <row r="132" spans="1:16" x14ac:dyDescent="0.2">
      <c r="A132" s="14"/>
      <c r="B132" s="14">
        <v>18024273</v>
      </c>
      <c r="C132" s="14" t="s">
        <v>135</v>
      </c>
      <c r="D132" s="14"/>
      <c r="E132" s="14"/>
      <c r="F132" s="14"/>
      <c r="H132" s="14" t="s">
        <v>174</v>
      </c>
      <c r="I132" s="14">
        <v>38906905</v>
      </c>
      <c r="J132" s="14">
        <v>29446382</v>
      </c>
      <c r="K132" s="40">
        <f t="shared" si="40"/>
        <v>1.321279639719406</v>
      </c>
      <c r="L132" s="14">
        <f t="shared" ref="L132:L134" si="44">I132/$B$95</f>
        <v>3.3533700765921097E-2</v>
      </c>
      <c r="M132" s="14">
        <f t="shared" ref="M132:M134" si="45">J132/$B$96</f>
        <v>3.8023699991553056E-2</v>
      </c>
      <c r="N132" s="14"/>
      <c r="O132" s="41">
        <f t="shared" ref="O132:O134" si="46">L132/M132</f>
        <v>0.88191577288298062</v>
      </c>
    </row>
    <row r="133" spans="1:16" x14ac:dyDescent="0.2">
      <c r="A133" s="14"/>
      <c r="B133" s="14">
        <v>7886817</v>
      </c>
      <c r="C133" s="14" t="s">
        <v>136</v>
      </c>
      <c r="D133" s="14"/>
      <c r="E133" s="14">
        <f t="shared" ref="E133" si="47">B133/B135</f>
        <v>0.35403308569146147</v>
      </c>
      <c r="F133" s="14" t="s">
        <v>146</v>
      </c>
      <c r="H133" s="14" t="s">
        <v>177</v>
      </c>
      <c r="I133" s="14">
        <v>57139735</v>
      </c>
      <c r="J133" s="14">
        <v>41705714</v>
      </c>
      <c r="K133" s="40">
        <f t="shared" si="40"/>
        <v>1.3700696983631548</v>
      </c>
      <c r="L133" s="14">
        <f t="shared" si="44"/>
        <v>4.9248501656300556E-2</v>
      </c>
      <c r="M133" s="14">
        <f t="shared" si="45"/>
        <v>5.3854003424580785E-2</v>
      </c>
      <c r="N133" s="14"/>
      <c r="O133" s="41">
        <f t="shared" si="46"/>
        <v>0.91448171954885493</v>
      </c>
    </row>
    <row r="134" spans="1:16" x14ac:dyDescent="0.2">
      <c r="A134" s="14"/>
      <c r="B134" s="14">
        <v>14390140</v>
      </c>
      <c r="C134" s="14" t="s">
        <v>137</v>
      </c>
      <c r="D134" s="14"/>
      <c r="E134" s="14">
        <f t="shared" ref="E134" si="48">B134/B135</f>
        <v>0.6459622009401419</v>
      </c>
      <c r="F134" s="14"/>
      <c r="H134" s="14" t="s">
        <v>180</v>
      </c>
      <c r="I134" s="14">
        <v>78386280</v>
      </c>
      <c r="J134" s="14">
        <v>60617054</v>
      </c>
      <c r="K134" s="40">
        <f t="shared" si="40"/>
        <v>1.2931390562134544</v>
      </c>
      <c r="L134" s="14">
        <f t="shared" si="44"/>
        <v>6.7560811061011028E-2</v>
      </c>
      <c r="M134" s="14">
        <f t="shared" si="45"/>
        <v>7.8273951471110131E-2</v>
      </c>
      <c r="N134" s="14"/>
      <c r="O134" s="41">
        <f t="shared" si="46"/>
        <v>0.86313275095031861</v>
      </c>
    </row>
    <row r="135" spans="1:16" x14ac:dyDescent="0.2">
      <c r="A135" s="14"/>
      <c r="B135" s="14">
        <v>22277062</v>
      </c>
      <c r="C135" s="14" t="s">
        <v>138</v>
      </c>
      <c r="D135" s="14"/>
      <c r="E135" s="14"/>
      <c r="F135" s="14"/>
    </row>
    <row r="136" spans="1:16" x14ac:dyDescent="0.2">
      <c r="A136" s="14"/>
      <c r="B136" s="14">
        <v>6010767</v>
      </c>
      <c r="C136" s="14" t="s">
        <v>139</v>
      </c>
      <c r="D136" s="14"/>
      <c r="E136" s="14">
        <f t="shared" ref="E136" si="49">B136/B138</f>
        <v>0.18911365967018634</v>
      </c>
      <c r="F136" s="14" t="s">
        <v>147</v>
      </c>
      <c r="H136" t="s">
        <v>192</v>
      </c>
      <c r="L136" t="s">
        <v>191</v>
      </c>
    </row>
    <row r="137" spans="1:16" x14ac:dyDescent="0.2">
      <c r="A137" s="14"/>
      <c r="B137" s="14">
        <v>25772917</v>
      </c>
      <c r="C137" s="14" t="s">
        <v>140</v>
      </c>
      <c r="D137" s="14"/>
      <c r="E137" s="14">
        <f t="shared" ref="E137:E143" si="50">B137/B138</f>
        <v>0.81087998490807578</v>
      </c>
      <c r="F137" s="14"/>
      <c r="H137" s="14"/>
      <c r="I137" s="14" t="s">
        <v>193</v>
      </c>
      <c r="J137" s="14" t="s">
        <v>194</v>
      </c>
      <c r="K137" t="s">
        <v>186</v>
      </c>
      <c r="L137" s="14"/>
      <c r="M137" s="14" t="s">
        <v>46</v>
      </c>
      <c r="N137" s="14"/>
      <c r="O137" s="14" t="s">
        <v>47</v>
      </c>
      <c r="P137" s="42" t="s">
        <v>198</v>
      </c>
    </row>
    <row r="138" spans="1:16" x14ac:dyDescent="0.2">
      <c r="A138" s="14"/>
      <c r="B138" s="14">
        <v>31783886</v>
      </c>
      <c r="C138" s="14" t="s">
        <v>141</v>
      </c>
      <c r="D138" s="14"/>
      <c r="E138" s="14"/>
      <c r="F138" s="14"/>
      <c r="H138" s="14" t="s">
        <v>195</v>
      </c>
      <c r="I138" s="31">
        <f>B95</f>
        <v>1160232963</v>
      </c>
      <c r="J138" s="31">
        <f>B96</f>
        <v>774421795</v>
      </c>
      <c r="K138">
        <f>I138/J138</f>
        <v>1.4981925489325878</v>
      </c>
      <c r="L138" s="14" t="s">
        <v>195</v>
      </c>
      <c r="M138" s="31">
        <f>H81</f>
        <v>1532037843</v>
      </c>
      <c r="N138" s="31"/>
      <c r="O138" s="31">
        <f>E94</f>
        <v>749228090</v>
      </c>
      <c r="P138">
        <f>M138/O138</f>
        <v>2.0448216817391351</v>
      </c>
    </row>
    <row r="139" spans="1:16" x14ac:dyDescent="0.2">
      <c r="A139" s="14" t="s">
        <v>148</v>
      </c>
      <c r="B139" s="14">
        <v>4437095</v>
      </c>
      <c r="C139" s="14" t="s">
        <v>149</v>
      </c>
      <c r="D139" s="14"/>
      <c r="E139" s="14">
        <f>B139/B141</f>
        <v>0.32930802413775395</v>
      </c>
      <c r="F139" s="14" t="s">
        <v>146</v>
      </c>
      <c r="H139" s="14" t="s">
        <v>196</v>
      </c>
      <c r="I139" s="14"/>
      <c r="J139" s="14"/>
      <c r="L139" s="14" t="s">
        <v>196</v>
      </c>
      <c r="M139" s="31">
        <v>1185175863</v>
      </c>
      <c r="N139" s="31"/>
      <c r="O139" s="31">
        <v>718777690</v>
      </c>
      <c r="P139">
        <f>M139/O139</f>
        <v>1.648876807792963</v>
      </c>
    </row>
    <row r="140" spans="1:16" x14ac:dyDescent="0.2">
      <c r="A140" s="14"/>
      <c r="B140" s="14">
        <v>9036812</v>
      </c>
      <c r="C140" s="14" t="s">
        <v>150</v>
      </c>
      <c r="D140" s="14"/>
      <c r="E140" s="14">
        <f t="shared" si="50"/>
        <v>0.67068537054634725</v>
      </c>
      <c r="F140" s="14"/>
      <c r="H140" s="14" t="s">
        <v>197</v>
      </c>
      <c r="I140" s="14">
        <f>I139/I138</f>
        <v>0</v>
      </c>
      <c r="J140" s="14">
        <f>J139/J138</f>
        <v>0</v>
      </c>
      <c r="L140" s="14" t="s">
        <v>197</v>
      </c>
      <c r="M140" s="14">
        <f>M139/M138</f>
        <v>0.77359437850387358</v>
      </c>
      <c r="N140" s="14"/>
      <c r="O140" s="14">
        <f>O139/O138</f>
        <v>0.95935763700477383</v>
      </c>
    </row>
    <row r="141" spans="1:16" x14ac:dyDescent="0.2">
      <c r="A141" s="14"/>
      <c r="B141" s="14">
        <v>13473996</v>
      </c>
      <c r="C141" s="14" t="s">
        <v>151</v>
      </c>
      <c r="D141" s="14"/>
      <c r="E141" s="14"/>
      <c r="F141" s="14"/>
    </row>
    <row r="142" spans="1:16" x14ac:dyDescent="0.2">
      <c r="A142" s="14"/>
      <c r="B142" s="14">
        <v>58892992</v>
      </c>
      <c r="C142" s="14" t="s">
        <v>152</v>
      </c>
      <c r="D142" s="14"/>
      <c r="E142" s="14">
        <f>B142/B144</f>
        <v>0.48475560582651411</v>
      </c>
      <c r="F142" s="14" t="s">
        <v>147</v>
      </c>
    </row>
    <row r="143" spans="1:16" x14ac:dyDescent="0.2">
      <c r="A143" s="14"/>
      <c r="B143" s="14">
        <v>62595638</v>
      </c>
      <c r="C143" s="14" t="s">
        <v>153</v>
      </c>
      <c r="D143" s="14"/>
      <c r="E143" s="14">
        <f t="shared" si="50"/>
        <v>0.51523254958394993</v>
      </c>
      <c r="F143" s="14"/>
    </row>
    <row r="144" spans="1:16" x14ac:dyDescent="0.2">
      <c r="A144" s="14"/>
      <c r="B144" s="14">
        <v>121490069</v>
      </c>
      <c r="C144" s="14" t="s">
        <v>154</v>
      </c>
      <c r="D144" s="14"/>
      <c r="E144" s="14"/>
      <c r="F144" s="14"/>
    </row>
    <row r="145" spans="1:6" x14ac:dyDescent="0.2">
      <c r="A145" s="14" t="s">
        <v>155</v>
      </c>
      <c r="B145" s="14">
        <v>18205605</v>
      </c>
      <c r="C145" s="14" t="s">
        <v>156</v>
      </c>
      <c r="D145" s="14"/>
      <c r="E145" s="14">
        <f t="shared" ref="E145" si="51">B145/B147</f>
        <v>0.15425679314215984</v>
      </c>
      <c r="F145" s="14" t="s">
        <v>146</v>
      </c>
    </row>
    <row r="146" spans="1:6" x14ac:dyDescent="0.2">
      <c r="A146" s="14"/>
      <c r="B146" s="14">
        <v>99814855</v>
      </c>
      <c r="C146" s="14" t="s">
        <v>157</v>
      </c>
      <c r="D146" s="14"/>
      <c r="E146" s="14">
        <f t="shared" ref="E146:E167" si="52">B146/B147</f>
        <v>0.84573511510601695</v>
      </c>
      <c r="F146" s="14"/>
    </row>
    <row r="147" spans="1:6" x14ac:dyDescent="0.2">
      <c r="A147" s="14"/>
      <c r="B147" s="14">
        <v>118021415</v>
      </c>
      <c r="C147" s="14" t="s">
        <v>158</v>
      </c>
      <c r="D147" s="14"/>
      <c r="E147" s="14"/>
      <c r="F147" s="14"/>
    </row>
    <row r="148" spans="1:6" x14ac:dyDescent="0.2">
      <c r="A148" s="14"/>
      <c r="B148" s="14">
        <v>6804550</v>
      </c>
      <c r="C148" s="14" t="s">
        <v>159</v>
      </c>
      <c r="D148" s="14"/>
      <c r="E148" s="14">
        <f t="shared" ref="E148" si="53">B148/B150</f>
        <v>9.282817478994651E-2</v>
      </c>
      <c r="F148" s="14" t="s">
        <v>147</v>
      </c>
    </row>
    <row r="149" spans="1:6" x14ac:dyDescent="0.2">
      <c r="A149" s="14"/>
      <c r="B149" s="14">
        <v>66497585</v>
      </c>
      <c r="C149" s="14" t="s">
        <v>160</v>
      </c>
      <c r="D149" s="14"/>
      <c r="E149" s="14">
        <f t="shared" si="52"/>
        <v>0.90716497688889419</v>
      </c>
      <c r="F149" s="14"/>
    </row>
    <row r="150" spans="1:6" x14ac:dyDescent="0.2">
      <c r="A150" s="14"/>
      <c r="B150" s="14">
        <v>73302637</v>
      </c>
      <c r="C150" s="14" t="s">
        <v>161</v>
      </c>
      <c r="D150" s="14"/>
      <c r="E150" s="14"/>
      <c r="F150" s="14"/>
    </row>
    <row r="151" spans="1:6" x14ac:dyDescent="0.2">
      <c r="A151" s="14"/>
      <c r="B151" s="14">
        <v>21863192</v>
      </c>
      <c r="C151" s="14" t="s">
        <v>162</v>
      </c>
      <c r="D151" s="14"/>
      <c r="E151" s="14">
        <f t="shared" ref="E151" si="54">B151/B153</f>
        <v>0.28182687280903862</v>
      </c>
      <c r="F151" s="14" t="s">
        <v>146</v>
      </c>
    </row>
    <row r="152" spans="1:6" x14ac:dyDescent="0.2">
      <c r="A152" s="14"/>
      <c r="B152" s="14">
        <v>55616132</v>
      </c>
      <c r="C152" s="14" t="s">
        <v>163</v>
      </c>
      <c r="D152" s="14"/>
      <c r="E152" s="14">
        <f t="shared" si="52"/>
        <v>0.71691821392295796</v>
      </c>
      <c r="F152" s="14"/>
    </row>
    <row r="153" spans="1:6" x14ac:dyDescent="0.2">
      <c r="A153" s="14"/>
      <c r="B153" s="14">
        <v>77576676</v>
      </c>
      <c r="C153" s="14" t="s">
        <v>164</v>
      </c>
      <c r="D153" s="14"/>
      <c r="E153" s="14"/>
      <c r="F153" s="14"/>
    </row>
    <row r="154" spans="1:6" x14ac:dyDescent="0.2">
      <c r="A154" s="14"/>
      <c r="B154" s="14">
        <v>11458730</v>
      </c>
      <c r="C154" s="14" t="s">
        <v>165</v>
      </c>
      <c r="D154" s="14"/>
      <c r="E154" s="14">
        <f t="shared" ref="E154" si="55">B154/B156</f>
        <v>0.11978463805631835</v>
      </c>
      <c r="F154" s="14" t="s">
        <v>147</v>
      </c>
    </row>
    <row r="155" spans="1:6" x14ac:dyDescent="0.2">
      <c r="A155" s="14"/>
      <c r="B155" s="14">
        <v>84198688</v>
      </c>
      <c r="C155" s="14" t="s">
        <v>166</v>
      </c>
      <c r="D155" s="14"/>
      <c r="E155" s="14">
        <f t="shared" si="52"/>
        <v>0.88017689280547462</v>
      </c>
      <c r="F155" s="14"/>
    </row>
    <row r="156" spans="1:6" x14ac:dyDescent="0.2">
      <c r="A156" s="14"/>
      <c r="B156" s="14">
        <v>95661098</v>
      </c>
      <c r="C156" s="14" t="s">
        <v>167</v>
      </c>
      <c r="D156" s="14"/>
      <c r="E156" s="14"/>
      <c r="F156" s="14"/>
    </row>
    <row r="157" spans="1:6" x14ac:dyDescent="0.2">
      <c r="A157" s="14" t="s">
        <v>168</v>
      </c>
      <c r="B157" s="14">
        <v>31676797</v>
      </c>
      <c r="C157" s="14" t="s">
        <v>169</v>
      </c>
      <c r="D157" s="14"/>
      <c r="E157" s="14">
        <f>B157/B159</f>
        <v>0.28197778242605492</v>
      </c>
      <c r="F157" s="14" t="s">
        <v>146</v>
      </c>
    </row>
    <row r="158" spans="1:6" x14ac:dyDescent="0.2">
      <c r="A158" s="14"/>
      <c r="B158" s="14">
        <v>80660109</v>
      </c>
      <c r="C158" s="14" t="s">
        <v>170</v>
      </c>
      <c r="D158" s="14"/>
      <c r="E158" s="14">
        <f t="shared" si="52"/>
        <v>0.7180132090395337</v>
      </c>
      <c r="F158" s="14"/>
    </row>
    <row r="159" spans="1:6" x14ac:dyDescent="0.2">
      <c r="A159" s="14"/>
      <c r="B159" s="14">
        <v>112337918</v>
      </c>
      <c r="C159" s="14" t="s">
        <v>171</v>
      </c>
      <c r="D159" s="14"/>
      <c r="E159" s="14"/>
      <c r="F159" s="14"/>
    </row>
    <row r="160" spans="1:6" x14ac:dyDescent="0.2">
      <c r="A160" s="14"/>
      <c r="B160" s="14">
        <v>9125814</v>
      </c>
      <c r="C160" s="14" t="s">
        <v>172</v>
      </c>
      <c r="D160" s="14"/>
      <c r="E160" s="14">
        <f>B160/B162</f>
        <v>0.13350951213216711</v>
      </c>
      <c r="F160" s="14" t="s">
        <v>147</v>
      </c>
    </row>
    <row r="161" spans="1:6" x14ac:dyDescent="0.2">
      <c r="A161" s="14"/>
      <c r="B161" s="14">
        <v>59218267</v>
      </c>
      <c r="C161" s="14" t="s">
        <v>173</v>
      </c>
      <c r="D161" s="14"/>
      <c r="E161" s="14">
        <f t="shared" si="52"/>
        <v>0.86635580524459632</v>
      </c>
      <c r="F161" s="14"/>
    </row>
    <row r="162" spans="1:6" x14ac:dyDescent="0.2">
      <c r="A162" s="14"/>
      <c r="B162" s="14">
        <v>68353287</v>
      </c>
      <c r="C162" s="14" t="s">
        <v>174</v>
      </c>
      <c r="D162" s="14"/>
      <c r="E162" s="14"/>
      <c r="F162" s="14"/>
    </row>
    <row r="163" spans="1:6" x14ac:dyDescent="0.2">
      <c r="A163" s="14"/>
      <c r="B163" s="14">
        <v>25003309</v>
      </c>
      <c r="C163" s="14" t="s">
        <v>175</v>
      </c>
      <c r="D163" s="14"/>
      <c r="E163" s="14">
        <f>B163/B165</f>
        <v>0.25295356794828255</v>
      </c>
      <c r="F163" s="14" t="s">
        <v>146</v>
      </c>
    </row>
    <row r="164" spans="1:6" x14ac:dyDescent="0.2">
      <c r="A164" s="14"/>
      <c r="B164" s="14">
        <v>73840992</v>
      </c>
      <c r="C164" s="14" t="s">
        <v>176</v>
      </c>
      <c r="D164" s="14"/>
      <c r="E164" s="14">
        <f t="shared" si="52"/>
        <v>0.74703481796111826</v>
      </c>
      <c r="F164" s="14"/>
    </row>
    <row r="165" spans="1:6" x14ac:dyDescent="0.2">
      <c r="A165" s="14"/>
      <c r="B165" s="14">
        <v>98845449</v>
      </c>
      <c r="C165" s="14" t="s">
        <v>177</v>
      </c>
      <c r="D165" s="14"/>
      <c r="E165" s="14"/>
      <c r="F165" s="14"/>
    </row>
    <row r="166" spans="1:6" x14ac:dyDescent="0.2">
      <c r="A166" s="14"/>
      <c r="B166" s="14">
        <v>29941338</v>
      </c>
      <c r="C166" s="14" t="s">
        <v>178</v>
      </c>
      <c r="D166" s="14"/>
      <c r="E166" s="14">
        <f>B166/B168</f>
        <v>0.21540014284837225</v>
      </c>
      <c r="F166" s="14" t="s">
        <v>147</v>
      </c>
    </row>
    <row r="167" spans="1:6" x14ac:dyDescent="0.2">
      <c r="A167" s="14"/>
      <c r="B167" s="14">
        <v>109054518</v>
      </c>
      <c r="C167" s="14" t="s">
        <v>179</v>
      </c>
      <c r="D167" s="14"/>
      <c r="E167" s="14">
        <f t="shared" si="52"/>
        <v>0.78454605988083714</v>
      </c>
      <c r="F167" s="14"/>
    </row>
    <row r="168" spans="1:6" x14ac:dyDescent="0.2">
      <c r="A168" s="14"/>
      <c r="B168" s="14">
        <v>139003334</v>
      </c>
      <c r="C168" s="14" t="s">
        <v>180</v>
      </c>
      <c r="D168" s="14"/>
      <c r="E168" s="14"/>
      <c r="F168" s="14"/>
    </row>
  </sheetData>
  <autoFilter ref="A2:O18" xr:uid="{00000000-0009-0000-0000-000000000000}">
    <sortState xmlns:xlrd2="http://schemas.microsoft.com/office/spreadsheetml/2017/richdata2" ref="A2:O15">
      <sortCondition ref="A1:A15"/>
    </sortState>
  </autoFilter>
  <mergeCells count="3">
    <mergeCell ref="K99:M99"/>
    <mergeCell ref="O99:R99"/>
    <mergeCell ref="T99:W99"/>
  </mergeCells>
  <phoneticPr fontId="3" type="noConversion"/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DA13-703D-4043-848E-9EAD29A109B0}">
  <dimension ref="A1:N18"/>
  <sheetViews>
    <sheetView tabSelected="1" workbookViewId="0">
      <selection activeCell="M7" sqref="M7:M10"/>
    </sheetView>
  </sheetViews>
  <sheetFormatPr baseColWidth="10" defaultRowHeight="16" x14ac:dyDescent="0.2"/>
  <cols>
    <col min="2" max="2" width="28.1640625" customWidth="1"/>
    <col min="3" max="3" width="24.6640625" customWidth="1"/>
    <col min="4" max="4" width="12.6640625" customWidth="1"/>
    <col min="5" max="5" width="11.1640625" bestFit="1" customWidth="1"/>
    <col min="9" max="9" width="11.1640625" bestFit="1" customWidth="1"/>
    <col min="13" max="13" width="12.5" customWidth="1"/>
    <col min="14" max="14" width="19.33203125" customWidth="1"/>
  </cols>
  <sheetData>
    <row r="1" spans="1:14" ht="21" x14ac:dyDescent="0.25">
      <c r="A1" s="6" t="s">
        <v>245</v>
      </c>
    </row>
    <row r="2" spans="1:14" x14ac:dyDescent="0.2">
      <c r="A2" s="8" t="s">
        <v>246</v>
      </c>
      <c r="B2" s="8" t="s">
        <v>251</v>
      </c>
      <c r="C2" s="8" t="s">
        <v>252</v>
      </c>
      <c r="D2" s="104" t="s">
        <v>255</v>
      </c>
      <c r="E2" s="15" t="s">
        <v>257</v>
      </c>
      <c r="F2" s="15" t="s">
        <v>258</v>
      </c>
      <c r="G2" s="15" t="s">
        <v>42</v>
      </c>
      <c r="H2" s="15" t="s">
        <v>43</v>
      </c>
      <c r="I2" s="15" t="s">
        <v>44</v>
      </c>
      <c r="J2" s="15" t="s">
        <v>45</v>
      </c>
      <c r="K2" s="15" t="s">
        <v>259</v>
      </c>
      <c r="L2" s="15" t="s">
        <v>260</v>
      </c>
      <c r="M2" s="106" t="s">
        <v>261</v>
      </c>
      <c r="N2" s="106" t="s">
        <v>262</v>
      </c>
    </row>
    <row r="3" spans="1:14" x14ac:dyDescent="0.2">
      <c r="A3" s="16" t="s">
        <v>33</v>
      </c>
      <c r="B3" s="10" t="s">
        <v>250</v>
      </c>
      <c r="C3" s="10" t="s">
        <v>253</v>
      </c>
      <c r="D3" s="105" t="s">
        <v>256</v>
      </c>
      <c r="E3" s="16" t="s">
        <v>34</v>
      </c>
      <c r="F3" s="17">
        <v>23771680</v>
      </c>
      <c r="G3" s="17">
        <v>23743097</v>
      </c>
      <c r="H3" s="18">
        <f>G3/F3</f>
        <v>0.99879760286189279</v>
      </c>
      <c r="I3" s="17">
        <f>G3-2120801</f>
        <v>21622296</v>
      </c>
      <c r="J3" s="18">
        <f>I3/G3</f>
        <v>0.91067715386918568</v>
      </c>
      <c r="K3" s="17">
        <v>13159628</v>
      </c>
      <c r="L3" s="18">
        <f>K3/G3</f>
        <v>0.55425069442288843</v>
      </c>
      <c r="M3" s="107">
        <v>827312589</v>
      </c>
      <c r="N3" s="108">
        <f>M3/1469692369</f>
        <v>0.56291548248489276</v>
      </c>
    </row>
    <row r="4" spans="1:14" x14ac:dyDescent="0.2">
      <c r="A4" s="16" t="s">
        <v>37</v>
      </c>
      <c r="B4" s="10" t="s">
        <v>250</v>
      </c>
      <c r="C4" s="10" t="s">
        <v>254</v>
      </c>
      <c r="D4" s="105" t="s">
        <v>256</v>
      </c>
      <c r="E4" s="16" t="s">
        <v>38</v>
      </c>
      <c r="F4" s="17">
        <v>187657307</v>
      </c>
      <c r="G4" s="17">
        <v>187605447</v>
      </c>
      <c r="H4" s="18">
        <f t="shared" ref="H4:H18" si="0">G4/F4</f>
        <v>0.99972364518691514</v>
      </c>
      <c r="I4" s="17">
        <f>G4-7129271</f>
        <v>180476176</v>
      </c>
      <c r="J4" s="18">
        <f>I4/G4</f>
        <v>0.96199859271676691</v>
      </c>
      <c r="K4" s="17">
        <v>119586460</v>
      </c>
      <c r="L4" s="18">
        <f>K4/G4</f>
        <v>0.63743596954303783</v>
      </c>
      <c r="M4" s="107">
        <v>1135796570</v>
      </c>
      <c r="N4" s="108">
        <f t="shared" ref="N4:N6" si="1">M4/1469692369</f>
        <v>0.77281245650939345</v>
      </c>
    </row>
    <row r="5" spans="1:14" x14ac:dyDescent="0.2">
      <c r="A5" s="10" t="s">
        <v>199</v>
      </c>
      <c r="B5" s="10" t="s">
        <v>250</v>
      </c>
      <c r="C5" s="10" t="s">
        <v>253</v>
      </c>
      <c r="D5" s="105" t="s">
        <v>256</v>
      </c>
      <c r="E5" s="10" t="s">
        <v>200</v>
      </c>
      <c r="F5" s="17">
        <v>176272405</v>
      </c>
      <c r="G5" s="17">
        <v>176238604</v>
      </c>
      <c r="H5" s="18">
        <f t="shared" si="0"/>
        <v>0.99980824565251725</v>
      </c>
      <c r="I5" s="17">
        <f>G5-6393889</f>
        <v>169844715</v>
      </c>
      <c r="J5" s="18">
        <f>I5/G5</f>
        <v>0.96372026982238235</v>
      </c>
      <c r="K5" s="17">
        <v>105997105</v>
      </c>
      <c r="L5" s="18">
        <f>K5/G5</f>
        <v>0.6014409022440963</v>
      </c>
      <c r="M5" s="107">
        <v>1145144844</v>
      </c>
      <c r="N5" s="108">
        <f t="shared" si="1"/>
        <v>0.77917315769909945</v>
      </c>
    </row>
    <row r="6" spans="1:14" x14ac:dyDescent="0.2">
      <c r="A6" s="10" t="s">
        <v>201</v>
      </c>
      <c r="B6" s="10" t="s">
        <v>250</v>
      </c>
      <c r="C6" s="10" t="s">
        <v>254</v>
      </c>
      <c r="D6" s="105" t="s">
        <v>256</v>
      </c>
      <c r="E6" s="10" t="s">
        <v>202</v>
      </c>
      <c r="F6" s="17">
        <v>203372011</v>
      </c>
      <c r="G6" s="17">
        <v>203337094</v>
      </c>
      <c r="H6" s="18">
        <f t="shared" si="0"/>
        <v>0.99982830970776992</v>
      </c>
      <c r="I6" s="17">
        <f>G6-7914537</f>
        <v>195422557</v>
      </c>
      <c r="J6" s="18">
        <f>I6/G6</f>
        <v>0.96107676742936043</v>
      </c>
      <c r="K6" s="17">
        <v>128126589</v>
      </c>
      <c r="L6" s="18">
        <f>K6/G6</f>
        <v>0.63011911146915478</v>
      </c>
      <c r="M6" s="107">
        <v>1160344112</v>
      </c>
      <c r="N6" s="108">
        <f t="shared" si="1"/>
        <v>0.78951496005216037</v>
      </c>
    </row>
    <row r="7" spans="1:14" x14ac:dyDescent="0.2">
      <c r="A7" s="16" t="s">
        <v>27</v>
      </c>
      <c r="B7" s="10" t="s">
        <v>247</v>
      </c>
      <c r="C7" s="10" t="s">
        <v>253</v>
      </c>
      <c r="D7" s="105" t="s">
        <v>256</v>
      </c>
      <c r="E7" s="16" t="s">
        <v>28</v>
      </c>
      <c r="F7" s="17">
        <v>39623449</v>
      </c>
      <c r="G7" s="17">
        <v>39607317</v>
      </c>
      <c r="H7" s="18">
        <f t="shared" si="0"/>
        <v>0.99959286734478869</v>
      </c>
      <c r="I7" s="17">
        <v>38647991</v>
      </c>
      <c r="J7" s="18">
        <f t="shared" ref="J7:J10" si="2">I7/G7</f>
        <v>0.97577907132664399</v>
      </c>
      <c r="K7" s="17">
        <v>33967312</v>
      </c>
      <c r="L7" s="18">
        <f t="shared" ref="L7:L10" si="3">K7/G7</f>
        <v>0.85760194259055722</v>
      </c>
      <c r="M7" s="107">
        <v>704408202</v>
      </c>
      <c r="N7" s="108">
        <f>M7/749228090</f>
        <v>0.94017858033059065</v>
      </c>
    </row>
    <row r="8" spans="1:14" x14ac:dyDescent="0.2">
      <c r="A8" s="16" t="s">
        <v>25</v>
      </c>
      <c r="B8" s="10" t="s">
        <v>247</v>
      </c>
      <c r="C8" s="10" t="s">
        <v>254</v>
      </c>
      <c r="D8" s="105" t="s">
        <v>256</v>
      </c>
      <c r="E8" s="16" t="s">
        <v>26</v>
      </c>
      <c r="F8" s="17">
        <v>21423412</v>
      </c>
      <c r="G8" s="17">
        <v>21403476</v>
      </c>
      <c r="H8" s="18">
        <f t="shared" si="0"/>
        <v>0.99906942927671838</v>
      </c>
      <c r="I8" s="17">
        <v>20226201</v>
      </c>
      <c r="J8" s="18">
        <f t="shared" si="2"/>
        <v>0.94499608381367584</v>
      </c>
      <c r="K8" s="17">
        <v>18024273</v>
      </c>
      <c r="L8" s="18">
        <f t="shared" si="3"/>
        <v>0.84211896235919814</v>
      </c>
      <c r="M8" s="107">
        <v>692172201</v>
      </c>
      <c r="N8" s="108">
        <f t="shared" ref="N8:N11" si="4">M8/749228090</f>
        <v>0.92384710375714829</v>
      </c>
    </row>
    <row r="9" spans="1:14" x14ac:dyDescent="0.2">
      <c r="A9" s="16" t="s">
        <v>23</v>
      </c>
      <c r="B9" s="10" t="s">
        <v>247</v>
      </c>
      <c r="C9" s="10" t="s">
        <v>253</v>
      </c>
      <c r="D9" s="105" t="s">
        <v>256</v>
      </c>
      <c r="E9" s="16" t="s">
        <v>24</v>
      </c>
      <c r="F9" s="17">
        <v>28007378</v>
      </c>
      <c r="G9" s="17">
        <v>27977896</v>
      </c>
      <c r="H9" s="18">
        <f t="shared" si="0"/>
        <v>0.99894734880216207</v>
      </c>
      <c r="I9" s="17">
        <v>26044246</v>
      </c>
      <c r="J9" s="18">
        <f t="shared" si="2"/>
        <v>0.93088651126589361</v>
      </c>
      <c r="K9" s="17">
        <v>22277062</v>
      </c>
      <c r="L9" s="18">
        <f t="shared" si="3"/>
        <v>0.79623793011454469</v>
      </c>
      <c r="M9" s="107">
        <v>671596277</v>
      </c>
      <c r="N9" s="108">
        <f t="shared" si="4"/>
        <v>0.89638427331255022</v>
      </c>
    </row>
    <row r="10" spans="1:14" x14ac:dyDescent="0.2">
      <c r="A10" s="16" t="s">
        <v>21</v>
      </c>
      <c r="B10" s="10" t="s">
        <v>247</v>
      </c>
      <c r="C10" s="10" t="s">
        <v>254</v>
      </c>
      <c r="D10" s="105" t="s">
        <v>256</v>
      </c>
      <c r="E10" s="16" t="s">
        <v>22</v>
      </c>
      <c r="F10" s="17">
        <v>37099841</v>
      </c>
      <c r="G10" s="17">
        <v>37078772</v>
      </c>
      <c r="H10" s="18">
        <f t="shared" si="0"/>
        <v>0.99943209999201887</v>
      </c>
      <c r="I10" s="17">
        <v>35760046</v>
      </c>
      <c r="J10" s="18">
        <f t="shared" si="2"/>
        <v>0.96443447479867994</v>
      </c>
      <c r="K10" s="17">
        <v>31783886</v>
      </c>
      <c r="L10" s="18">
        <f t="shared" si="3"/>
        <v>0.85719899245854203</v>
      </c>
      <c r="M10" s="107">
        <v>710231579</v>
      </c>
      <c r="N10" s="108">
        <f t="shared" si="4"/>
        <v>0.94795108256018534</v>
      </c>
    </row>
    <row r="11" spans="1:14" x14ac:dyDescent="0.2">
      <c r="A11" s="16" t="s">
        <v>35</v>
      </c>
      <c r="B11" s="10" t="s">
        <v>248</v>
      </c>
      <c r="C11" s="10" t="s">
        <v>253</v>
      </c>
      <c r="D11" s="105" t="s">
        <v>256</v>
      </c>
      <c r="E11" s="16" t="s">
        <v>36</v>
      </c>
      <c r="F11" s="17">
        <v>181146243</v>
      </c>
      <c r="G11" s="17">
        <v>181037728</v>
      </c>
      <c r="H11" s="18">
        <f t="shared" si="0"/>
        <v>0.99940095362618142</v>
      </c>
      <c r="I11" s="17">
        <f>G11-5669574</f>
        <v>175368154</v>
      </c>
      <c r="J11" s="18">
        <f>I11/G11</f>
        <v>0.96868291453591371</v>
      </c>
      <c r="K11" s="17">
        <v>116008209</v>
      </c>
      <c r="L11" s="18">
        <f>K11/G11</f>
        <v>0.64079576274841454</v>
      </c>
      <c r="M11" s="109">
        <v>1827376133</v>
      </c>
      <c r="N11" s="108">
        <f>M11/2218920459</f>
        <v>0.82354287445866481</v>
      </c>
    </row>
    <row r="12" spans="1:14" x14ac:dyDescent="0.2">
      <c r="A12" s="16" t="s">
        <v>15</v>
      </c>
      <c r="B12" s="10" t="s">
        <v>248</v>
      </c>
      <c r="C12" s="10" t="s">
        <v>254</v>
      </c>
      <c r="D12" s="105" t="s">
        <v>256</v>
      </c>
      <c r="E12" s="16" t="s">
        <v>16</v>
      </c>
      <c r="F12" s="17">
        <v>108049956</v>
      </c>
      <c r="G12" s="17">
        <v>107993008</v>
      </c>
      <c r="H12" s="18">
        <f t="shared" si="0"/>
        <v>0.99947294749476812</v>
      </c>
      <c r="I12" s="17">
        <f>G12-4474950</f>
        <v>103518058</v>
      </c>
      <c r="J12" s="18">
        <f>I12/G12</f>
        <v>0.95856259508948949</v>
      </c>
      <c r="K12" s="17">
        <v>72395403</v>
      </c>
      <c r="L12" s="18">
        <f>K12/G12</f>
        <v>0.67037120588399579</v>
      </c>
      <c r="M12" s="109">
        <v>1819393740</v>
      </c>
      <c r="N12" s="108">
        <f>M12/2218920459</f>
        <v>0.81994545258280482</v>
      </c>
    </row>
    <row r="13" spans="1:14" x14ac:dyDescent="0.2">
      <c r="A13" s="16" t="s">
        <v>31</v>
      </c>
      <c r="B13" s="10" t="s">
        <v>248</v>
      </c>
      <c r="C13" s="10" t="s">
        <v>253</v>
      </c>
      <c r="D13" s="105" t="s">
        <v>256</v>
      </c>
      <c r="E13" s="16" t="s">
        <v>32</v>
      </c>
      <c r="F13" s="17">
        <v>117575996</v>
      </c>
      <c r="G13" s="17">
        <v>117492700</v>
      </c>
      <c r="H13" s="18">
        <f t="shared" si="0"/>
        <v>0.99929155607578268</v>
      </c>
      <c r="I13" s="17">
        <f>F13-4896383</f>
        <v>112679613</v>
      </c>
      <c r="J13" s="18">
        <f>I13/G13</f>
        <v>0.9590350123880037</v>
      </c>
      <c r="K13" s="17">
        <v>76347017</v>
      </c>
      <c r="L13" s="18">
        <f>K13/G13</f>
        <v>0.6498022174994702</v>
      </c>
      <c r="M13" s="109">
        <v>1795280581</v>
      </c>
      <c r="N13" s="108">
        <f t="shared" ref="N12:N14" si="5">M13/2218920459</f>
        <v>0.8090783848146943</v>
      </c>
    </row>
    <row r="14" spans="1:14" x14ac:dyDescent="0.2">
      <c r="A14" s="16" t="s">
        <v>29</v>
      </c>
      <c r="B14" s="10" t="s">
        <v>248</v>
      </c>
      <c r="C14" s="10" t="s">
        <v>254</v>
      </c>
      <c r="D14" s="105" t="s">
        <v>256</v>
      </c>
      <c r="E14" s="16" t="s">
        <v>30</v>
      </c>
      <c r="F14" s="17">
        <v>142450981</v>
      </c>
      <c r="G14" s="17">
        <v>142301848</v>
      </c>
      <c r="H14" s="18">
        <f t="shared" si="0"/>
        <v>0.99895309250274666</v>
      </c>
      <c r="I14" s="17">
        <f>F14-7375292</f>
        <v>135075689</v>
      </c>
      <c r="J14" s="18">
        <f>I14/G14</f>
        <v>0.94921949994633947</v>
      </c>
      <c r="K14" s="17">
        <v>94436482</v>
      </c>
      <c r="L14" s="18">
        <f>K14/G14</f>
        <v>0.66363496558386226</v>
      </c>
      <c r="M14" s="109">
        <v>1843591214</v>
      </c>
      <c r="N14" s="108">
        <f t="shared" si="5"/>
        <v>0.83085051855840319</v>
      </c>
    </row>
    <row r="15" spans="1:14" x14ac:dyDescent="0.2">
      <c r="A15" s="16" t="s">
        <v>17</v>
      </c>
      <c r="B15" s="10" t="s">
        <v>249</v>
      </c>
      <c r="C15" s="10" t="s">
        <v>253</v>
      </c>
      <c r="D15" s="105" t="s">
        <v>256</v>
      </c>
      <c r="E15" s="16" t="s">
        <v>18</v>
      </c>
      <c r="F15" s="17">
        <v>184711687</v>
      </c>
      <c r="G15" s="17">
        <v>184659336</v>
      </c>
      <c r="H15" s="18">
        <f t="shared" si="0"/>
        <v>0.99971657992599028</v>
      </c>
      <c r="I15" s="102">
        <v>178931320</v>
      </c>
      <c r="J15" s="103">
        <v>0.96899999999999997</v>
      </c>
      <c r="K15" s="102">
        <v>128055730</v>
      </c>
      <c r="L15" s="18">
        <f>K15/G15</f>
        <v>0.69347010973764145</v>
      </c>
      <c r="M15" s="107">
        <v>1803648767</v>
      </c>
      <c r="N15" s="108">
        <f>M15/2170788245</f>
        <v>0.83087273535517048</v>
      </c>
    </row>
    <row r="16" spans="1:14" x14ac:dyDescent="0.2">
      <c r="A16" s="16" t="s">
        <v>11</v>
      </c>
      <c r="B16" s="10" t="s">
        <v>249</v>
      </c>
      <c r="C16" s="10" t="s">
        <v>254</v>
      </c>
      <c r="D16" s="105" t="s">
        <v>256</v>
      </c>
      <c r="E16" s="16" t="s">
        <v>12</v>
      </c>
      <c r="F16" s="17">
        <v>111362027</v>
      </c>
      <c r="G16" s="17">
        <v>111321708</v>
      </c>
      <c r="H16" s="18">
        <f t="shared" si="0"/>
        <v>0.99963794660454586</v>
      </c>
      <c r="I16" s="102">
        <v>107737875</v>
      </c>
      <c r="J16" s="103">
        <v>0.96779999999999999</v>
      </c>
      <c r="K16" s="102">
        <v>77827484</v>
      </c>
      <c r="L16" s="18">
        <f>K16/G16</f>
        <v>0.69912225924524984</v>
      </c>
      <c r="M16" s="107">
        <v>1782281002</v>
      </c>
      <c r="N16" s="108">
        <f t="shared" ref="N16:N18" si="6">M16/2170788245</f>
        <v>0.82102941459405221</v>
      </c>
    </row>
    <row r="17" spans="1:14" x14ac:dyDescent="0.2">
      <c r="A17" s="16" t="s">
        <v>19</v>
      </c>
      <c r="B17" s="10" t="s">
        <v>249</v>
      </c>
      <c r="C17" s="10" t="s">
        <v>253</v>
      </c>
      <c r="D17" s="105" t="s">
        <v>256</v>
      </c>
      <c r="E17" s="16" t="s">
        <v>20</v>
      </c>
      <c r="F17" s="17">
        <v>164313999</v>
      </c>
      <c r="G17" s="17">
        <v>164263036</v>
      </c>
      <c r="H17" s="18">
        <f t="shared" si="0"/>
        <v>0.99968984383369552</v>
      </c>
      <c r="I17" s="102">
        <v>159195504</v>
      </c>
      <c r="J17" s="103">
        <v>0.96909999999999996</v>
      </c>
      <c r="K17" s="102">
        <v>113082817</v>
      </c>
      <c r="L17" s="18">
        <f>K17/G17</f>
        <v>0.68842522184966803</v>
      </c>
      <c r="M17" s="107">
        <v>1796849366</v>
      </c>
      <c r="N17" s="108">
        <f t="shared" si="6"/>
        <v>0.82774050860958115</v>
      </c>
    </row>
    <row r="18" spans="1:14" x14ac:dyDescent="0.2">
      <c r="A18" s="16" t="s">
        <v>13</v>
      </c>
      <c r="B18" s="10" t="s">
        <v>249</v>
      </c>
      <c r="C18" s="10" t="s">
        <v>254</v>
      </c>
      <c r="D18" s="105" t="s">
        <v>256</v>
      </c>
      <c r="E18" s="16" t="s">
        <v>14</v>
      </c>
      <c r="F18" s="17">
        <v>224928587</v>
      </c>
      <c r="G18" s="17">
        <v>224840532</v>
      </c>
      <c r="H18" s="18">
        <f t="shared" si="0"/>
        <v>0.99960852019223323</v>
      </c>
      <c r="I18" s="11">
        <v>224840532</v>
      </c>
      <c r="J18" s="103">
        <v>0.97119999999999995</v>
      </c>
      <c r="K18" s="102">
        <v>157247172</v>
      </c>
      <c r="L18" s="18">
        <f>K18/G18</f>
        <v>0.69937199757203916</v>
      </c>
      <c r="M18" s="107">
        <v>1820489365</v>
      </c>
      <c r="N18" s="108">
        <f t="shared" si="6"/>
        <v>0.83863056159123439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C3ED-6733-7848-A388-094C8B88A1C6}">
  <dimension ref="A1:I23"/>
  <sheetViews>
    <sheetView workbookViewId="0">
      <selection activeCell="A21" sqref="A21"/>
    </sheetView>
  </sheetViews>
  <sheetFormatPr baseColWidth="10" defaultRowHeight="16" x14ac:dyDescent="0.2"/>
  <cols>
    <col min="2" max="2" width="11" customWidth="1"/>
  </cols>
  <sheetData>
    <row r="1" spans="1:9" ht="21" x14ac:dyDescent="0.25">
      <c r="A1" s="6" t="s">
        <v>206</v>
      </c>
    </row>
    <row r="2" spans="1:9" ht="21" x14ac:dyDescent="0.25">
      <c r="A2" s="7"/>
    </row>
    <row r="3" spans="1:9" x14ac:dyDescent="0.2">
      <c r="B3" s="4" t="s">
        <v>207</v>
      </c>
      <c r="C3" s="4" t="s">
        <v>208</v>
      </c>
      <c r="D3" s="4" t="s">
        <v>210</v>
      </c>
      <c r="E3" s="4" t="s">
        <v>211</v>
      </c>
      <c r="F3" s="4" t="s">
        <v>212</v>
      </c>
      <c r="G3" s="4" t="s">
        <v>213</v>
      </c>
      <c r="H3" s="4" t="s">
        <v>214</v>
      </c>
      <c r="I3" s="4" t="s">
        <v>215</v>
      </c>
    </row>
    <row r="4" spans="1:9" x14ac:dyDescent="0.2">
      <c r="A4" s="54" t="s">
        <v>209</v>
      </c>
      <c r="B4" s="55">
        <v>5.49013E-2</v>
      </c>
      <c r="C4" s="55">
        <v>4.0148999999999997E-2</v>
      </c>
      <c r="D4" s="55">
        <v>0.107084</v>
      </c>
      <c r="E4" s="55">
        <v>9.9219000000000002E-2</v>
      </c>
      <c r="F4" s="101">
        <v>2.5273E-2</v>
      </c>
      <c r="G4" s="101"/>
      <c r="H4" s="101">
        <v>2.5273E-2</v>
      </c>
      <c r="I4" s="101"/>
    </row>
    <row r="5" spans="1:9" x14ac:dyDescent="0.2">
      <c r="A5" t="s">
        <v>96</v>
      </c>
      <c r="B5" s="56">
        <v>5.29501E-2</v>
      </c>
      <c r="C5" s="56">
        <v>4.0148999999999997E-2</v>
      </c>
      <c r="D5" s="56">
        <v>0.107084</v>
      </c>
      <c r="E5" s="56">
        <v>9.9219000000000002E-2</v>
      </c>
      <c r="F5" s="56">
        <v>2.4323000000000001E-2</v>
      </c>
      <c r="G5" s="56">
        <v>2.6862799999999999E-2</v>
      </c>
      <c r="H5" s="56">
        <v>2.3683099999999999E-2</v>
      </c>
      <c r="I5" s="56">
        <v>2.8484800000000001E-2</v>
      </c>
    </row>
    <row r="6" spans="1:9" x14ac:dyDescent="0.2">
      <c r="A6" t="s">
        <v>97</v>
      </c>
      <c r="B6" s="56">
        <v>4.6956999999999999E-2</v>
      </c>
      <c r="C6" s="56">
        <v>3.5839999999999997E-2</v>
      </c>
      <c r="D6" s="56">
        <v>0.10322199999999999</v>
      </c>
      <c r="E6" s="56">
        <v>0.100574</v>
      </c>
      <c r="F6" s="56">
        <v>2.5273400000000001E-2</v>
      </c>
      <c r="G6" s="56">
        <v>2.52731E-2</v>
      </c>
      <c r="H6" s="56">
        <v>2.5272699999999999E-2</v>
      </c>
      <c r="I6" s="56">
        <v>2.6862899999999999E-2</v>
      </c>
    </row>
    <row r="7" spans="1:9" x14ac:dyDescent="0.2">
      <c r="A7" t="s">
        <v>98</v>
      </c>
      <c r="B7" s="56">
        <v>4.8908500000000001E-2</v>
      </c>
      <c r="C7" s="56">
        <v>3.81984E-2</v>
      </c>
      <c r="D7" s="56">
        <v>0.107084</v>
      </c>
      <c r="E7" s="56">
        <v>9.9219000000000002E-2</v>
      </c>
      <c r="F7" s="56">
        <v>2.3320299999999999E-2</v>
      </c>
      <c r="G7" s="56">
        <v>2.8814599999999999E-2</v>
      </c>
      <c r="H7" s="56">
        <v>2.3683099999999999E-2</v>
      </c>
      <c r="I7" s="56">
        <v>2.8485199999999999E-2</v>
      </c>
    </row>
    <row r="8" spans="1:9" x14ac:dyDescent="0.2">
      <c r="A8" t="s">
        <v>99</v>
      </c>
      <c r="B8" s="56">
        <v>4.8908300000000002E-2</v>
      </c>
      <c r="C8" s="56">
        <v>3.7855100000000003E-2</v>
      </c>
      <c r="D8" s="56">
        <v>0.107084</v>
      </c>
      <c r="E8" s="56">
        <v>9.9219000000000002E-2</v>
      </c>
      <c r="F8" s="56">
        <v>2.332E-2</v>
      </c>
      <c r="G8" s="56">
        <v>2.8485199999999999E-2</v>
      </c>
      <c r="H8" s="56">
        <v>2.3683099999999999E-2</v>
      </c>
      <c r="I8" s="56">
        <v>2.7225300000000001E-2</v>
      </c>
    </row>
    <row r="9" spans="1:9" x14ac:dyDescent="0.2">
      <c r="A9" t="s">
        <v>100</v>
      </c>
      <c r="B9" s="56">
        <v>5.4697299999999997E-2</v>
      </c>
      <c r="C9" s="56">
        <v>4.0557000000000003E-2</v>
      </c>
      <c r="D9" s="56">
        <v>0.107084</v>
      </c>
      <c r="E9" s="56">
        <v>0.10322199999999999</v>
      </c>
      <c r="F9" s="56">
        <v>2.3683099999999999E-2</v>
      </c>
      <c r="G9" s="56">
        <v>2.68627E-2</v>
      </c>
      <c r="H9" s="56">
        <v>2.5272800000000002E-2</v>
      </c>
      <c r="I9" s="56">
        <v>2.7224600000000002E-2</v>
      </c>
    </row>
    <row r="10" spans="1:9" x14ac:dyDescent="0.2">
      <c r="A10" t="s">
        <v>101</v>
      </c>
      <c r="B10" s="56">
        <v>5.0999000000000003E-2</v>
      </c>
      <c r="C10" s="56">
        <v>3.8198000000000003E-2</v>
      </c>
      <c r="D10" s="56">
        <v>9.9219000000000002E-2</v>
      </c>
      <c r="E10" s="56">
        <v>0.10322199999999999</v>
      </c>
      <c r="F10" s="56">
        <v>2.3683099999999999E-2</v>
      </c>
      <c r="G10" s="56">
        <v>2.7225300000000001E-2</v>
      </c>
      <c r="H10" s="56">
        <v>2.5272599999999999E-2</v>
      </c>
      <c r="I10" s="56">
        <v>2.7225200000000001E-2</v>
      </c>
    </row>
    <row r="11" spans="1:9" x14ac:dyDescent="0.2">
      <c r="A11" t="s">
        <v>102</v>
      </c>
      <c r="B11" s="56">
        <v>5.2949999999999997E-2</v>
      </c>
      <c r="C11" s="56">
        <v>3.8198999999999997E-2</v>
      </c>
      <c r="D11" s="56">
        <v>0.10322199999999999</v>
      </c>
      <c r="E11" s="56">
        <v>9.5863000000000004E-2</v>
      </c>
      <c r="F11" s="56">
        <v>2.4651599999999999E-2</v>
      </c>
      <c r="G11" s="56">
        <v>2.8122999999999999E-2</v>
      </c>
      <c r="H11" s="56">
        <v>2.5273E-2</v>
      </c>
      <c r="I11" s="56">
        <v>2.7225300000000001E-2</v>
      </c>
    </row>
    <row r="12" spans="1:9" x14ac:dyDescent="0.2">
      <c r="A12" t="s">
        <v>103</v>
      </c>
      <c r="B12" s="56">
        <v>5.085949E-2</v>
      </c>
      <c r="C12" s="56">
        <v>3.81984E-2</v>
      </c>
      <c r="D12" s="56">
        <v>0.107085</v>
      </c>
      <c r="E12" s="56">
        <v>0.103223</v>
      </c>
      <c r="F12" s="56">
        <v>2.3062300000000001E-2</v>
      </c>
      <c r="G12" s="56">
        <v>2.8485099999999999E-2</v>
      </c>
      <c r="H12" s="56">
        <v>2.1730900000000001E-2</v>
      </c>
      <c r="I12" s="56">
        <v>2.8486000000000001E-2</v>
      </c>
    </row>
    <row r="13" spans="1:9" x14ac:dyDescent="0.2">
      <c r="A13" t="s">
        <v>104</v>
      </c>
      <c r="B13" s="56">
        <v>5.0999000000000003E-2</v>
      </c>
      <c r="C13" s="56">
        <v>4.0149299999999999E-2</v>
      </c>
      <c r="D13" s="56">
        <v>0.10657838</v>
      </c>
      <c r="E13" s="56">
        <v>0.10322199999999999</v>
      </c>
      <c r="F13" s="56">
        <v>2.3683099999999999E-2</v>
      </c>
      <c r="G13" s="56">
        <v>2.8485099999999999E-2</v>
      </c>
      <c r="H13" s="56">
        <v>2.5273E-2</v>
      </c>
      <c r="I13" s="56">
        <v>2.8814599999999999E-2</v>
      </c>
    </row>
    <row r="14" spans="1:9" x14ac:dyDescent="0.2">
      <c r="A14" t="s">
        <v>105</v>
      </c>
      <c r="B14" s="56">
        <v>5.1342199999999998E-2</v>
      </c>
      <c r="C14" s="56">
        <v>4.0149999999999998E-2</v>
      </c>
      <c r="D14" s="56">
        <v>0.107084</v>
      </c>
      <c r="E14" s="56">
        <v>0.1032217</v>
      </c>
      <c r="F14" s="56">
        <v>2.5272699999999999E-2</v>
      </c>
      <c r="G14" s="56">
        <v>2.7224749999999999E-2</v>
      </c>
      <c r="H14" s="56">
        <v>2.5273E-2</v>
      </c>
      <c r="I14" s="56">
        <v>2.7225300000000001E-2</v>
      </c>
    </row>
    <row r="15" spans="1:9" x14ac:dyDescent="0.2">
      <c r="A15" t="s">
        <v>106</v>
      </c>
      <c r="B15" s="56">
        <v>5.13423E-2</v>
      </c>
      <c r="C15" s="56">
        <v>4.0557000000000003E-2</v>
      </c>
      <c r="D15" s="56">
        <v>0.1032227</v>
      </c>
      <c r="E15" s="56">
        <v>0.1032216</v>
      </c>
      <c r="F15" s="56">
        <v>2.5272699999999999E-2</v>
      </c>
      <c r="G15" s="56">
        <v>2.8122850000000001E-2</v>
      </c>
      <c r="H15" s="56">
        <v>2.5273E-2</v>
      </c>
      <c r="I15" s="56">
        <v>2.8486000000000001E-2</v>
      </c>
    </row>
    <row r="16" spans="1:9" x14ac:dyDescent="0.2">
      <c r="A16" t="s">
        <v>107</v>
      </c>
      <c r="B16" s="56">
        <v>4.9048000000000001E-2</v>
      </c>
      <c r="C16" s="56">
        <v>4.0557000000000003E-2</v>
      </c>
      <c r="D16" s="56">
        <v>0.10708392</v>
      </c>
      <c r="E16" s="56">
        <v>0.10322199999999999</v>
      </c>
      <c r="F16" s="56">
        <v>2.5272699999999999E-2</v>
      </c>
      <c r="G16" s="56">
        <v>2.7483469999999999E-2</v>
      </c>
      <c r="H16" s="56">
        <v>2.5273E-2</v>
      </c>
      <c r="I16" s="56">
        <v>2.7225249999999999E-2</v>
      </c>
    </row>
    <row r="17" spans="1:9" x14ac:dyDescent="0.2">
      <c r="A17" t="s">
        <v>108</v>
      </c>
      <c r="B17" s="56">
        <v>4.6957400000000003E-2</v>
      </c>
      <c r="C17" s="56">
        <v>4.0149490000000003E-2</v>
      </c>
      <c r="D17" s="56">
        <v>0.107083</v>
      </c>
      <c r="E17" s="56">
        <v>0.10322199999999999</v>
      </c>
      <c r="F17" s="56">
        <v>2.3683200000000001E-2</v>
      </c>
      <c r="G17" s="56">
        <v>2.6862549999999999E-2</v>
      </c>
      <c r="H17" s="56">
        <v>2.3683099999999999E-2</v>
      </c>
      <c r="I17" s="56">
        <v>2.8124300000000001E-2</v>
      </c>
    </row>
    <row r="18" spans="1:9" ht="18" x14ac:dyDescent="0.25">
      <c r="A18" s="57"/>
    </row>
    <row r="19" spans="1:9" ht="18" x14ac:dyDescent="0.25">
      <c r="C19" s="58"/>
      <c r="D19" s="58"/>
      <c r="E19" s="58"/>
      <c r="F19" s="58"/>
      <c r="G19" s="58"/>
      <c r="H19" s="58"/>
      <c r="I19" s="58"/>
    </row>
    <row r="20" spans="1:9" ht="18" x14ac:dyDescent="0.25">
      <c r="B20" s="58"/>
      <c r="C20" s="56"/>
      <c r="D20" s="56"/>
      <c r="E20" s="56"/>
      <c r="F20" s="56"/>
      <c r="G20" s="56"/>
      <c r="H20" s="56"/>
      <c r="I20" s="56"/>
    </row>
    <row r="21" spans="1:9" ht="18" x14ac:dyDescent="0.25">
      <c r="A21" s="57"/>
      <c r="B21" s="56"/>
      <c r="C21" s="56"/>
      <c r="D21" s="56"/>
      <c r="E21" s="56"/>
      <c r="F21" s="56"/>
      <c r="G21" s="56"/>
      <c r="H21" s="56"/>
      <c r="I21" s="56"/>
    </row>
    <row r="22" spans="1:9" ht="18" x14ac:dyDescent="0.25">
      <c r="A22" s="57"/>
      <c r="B22" s="56"/>
      <c r="C22" s="56"/>
      <c r="D22" s="56"/>
      <c r="E22" s="56"/>
      <c r="F22" s="56"/>
      <c r="G22" s="56"/>
      <c r="H22" s="56"/>
      <c r="I22" s="56"/>
    </row>
    <row r="23" spans="1:9" ht="18" x14ac:dyDescent="0.25">
      <c r="A23" s="57"/>
      <c r="B23" s="56"/>
      <c r="C23" s="56"/>
      <c r="D23" s="56"/>
      <c r="E23" s="56"/>
      <c r="F23" s="56"/>
      <c r="G23" s="56"/>
      <c r="H23" s="56"/>
      <c r="I23" s="56"/>
    </row>
  </sheetData>
  <mergeCells count="2">
    <mergeCell ref="F4:G4"/>
    <mergeCell ref="H4:I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Table.Mnase-seq</vt:lpstr>
      <vt:lpstr>iseg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Guanjing Hu</dc:creator>
  <cp:lastModifiedBy>Hu, Guanjing [EEOBS]</cp:lastModifiedBy>
  <dcterms:created xsi:type="dcterms:W3CDTF">2017-02-24T16:12:26Z</dcterms:created>
  <dcterms:modified xsi:type="dcterms:W3CDTF">2019-04-03T16:04:49Z</dcterms:modified>
</cp:coreProperties>
</file>