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runo\Desktop\UCSE\UCSE - PATO\4 Año\Economía para Ingenieros\"/>
    </mc:Choice>
  </mc:AlternateContent>
  <bookViews>
    <workbookView xWindow="240" yWindow="75" windowWidth="15480" windowHeight="7935" activeTab="1"/>
  </bookViews>
  <sheets>
    <sheet name="Proyecto" sheetId="1" r:id="rId1"/>
    <sheet name="Flujo de Fondos" sheetId="2" r:id="rId2"/>
  </sheets>
  <calcPr calcId="152511"/>
</workbook>
</file>

<file path=xl/calcChain.xml><?xml version="1.0" encoding="utf-8"?>
<calcChain xmlns="http://schemas.openxmlformats.org/spreadsheetml/2006/main">
  <c r="H24" i="2" l="1"/>
  <c r="D8" i="2"/>
  <c r="D10" i="2" s="1"/>
  <c r="C23" i="2" s="1"/>
  <c r="C25" i="2" s="1"/>
  <c r="E7" i="2"/>
  <c r="F7" i="2" s="1"/>
  <c r="G7" i="2" s="1"/>
  <c r="H7" i="2" s="1"/>
  <c r="E6" i="2"/>
  <c r="M23" i="1"/>
  <c r="E7" i="1"/>
  <c r="E13" i="1" s="1"/>
  <c r="E15" i="1" s="1"/>
  <c r="D7" i="1"/>
  <c r="D13" i="1" s="1"/>
  <c r="D15" i="1" s="1"/>
  <c r="G6" i="1"/>
  <c r="G7" i="1" s="1"/>
  <c r="F6" i="1"/>
  <c r="F7" i="1" s="1"/>
  <c r="C19" i="1" l="1"/>
  <c r="C24" i="1" s="1"/>
  <c r="D15" i="2"/>
  <c r="D17" i="2" s="1"/>
  <c r="E8" i="2"/>
  <c r="E10" i="2" s="1"/>
  <c r="D23" i="2" s="1"/>
  <c r="F6" i="2"/>
  <c r="G13" i="1"/>
  <c r="G15" i="1" s="1"/>
  <c r="H6" i="1"/>
  <c r="I6" i="1" s="1"/>
  <c r="F13" i="1"/>
  <c r="F15" i="1" s="1"/>
  <c r="D19" i="1" l="1"/>
  <c r="E15" i="2"/>
  <c r="E17" i="2" s="1"/>
  <c r="D25" i="2"/>
  <c r="G6" i="2"/>
  <c r="F8" i="2"/>
  <c r="F10" i="2" s="1"/>
  <c r="E23" i="2" s="1"/>
  <c r="H7" i="1"/>
  <c r="H13" i="1" s="1"/>
  <c r="H15" i="1" s="1"/>
  <c r="J6" i="1"/>
  <c r="I7" i="1"/>
  <c r="J13" i="1" l="1"/>
  <c r="J15" i="1" s="1"/>
  <c r="D24" i="1"/>
  <c r="E19" i="1"/>
  <c r="I13" i="1"/>
  <c r="I15" i="1" s="1"/>
  <c r="E25" i="2"/>
  <c r="F15" i="2"/>
  <c r="F17" i="2" s="1"/>
  <c r="H6" i="2"/>
  <c r="H8" i="2" s="1"/>
  <c r="H10" i="2" s="1"/>
  <c r="G8" i="2"/>
  <c r="G10" i="2" s="1"/>
  <c r="F23" i="2" s="1"/>
  <c r="K6" i="1"/>
  <c r="J7" i="1"/>
  <c r="F19" i="1" l="1"/>
  <c r="E24" i="1"/>
  <c r="H15" i="2"/>
  <c r="H17" i="2" s="1"/>
  <c r="G23" i="2"/>
  <c r="H23" i="2" s="1"/>
  <c r="F25" i="2"/>
  <c r="G15" i="2"/>
  <c r="G17" i="2" s="1"/>
  <c r="L6" i="1"/>
  <c r="K7" i="1"/>
  <c r="K13" i="1" s="1"/>
  <c r="K15" i="1" s="1"/>
  <c r="E30" i="2" l="1"/>
  <c r="L13" i="1"/>
  <c r="L15" i="1" s="1"/>
  <c r="G25" i="2"/>
  <c r="F24" i="1"/>
  <c r="G19" i="1"/>
  <c r="H25" i="2"/>
  <c r="M6" i="1"/>
  <c r="L7" i="1"/>
  <c r="B30" i="2" l="1"/>
  <c r="M7" i="1"/>
  <c r="M13" i="1" s="1"/>
  <c r="M15" i="1" s="1"/>
  <c r="G24" i="1"/>
  <c r="H19" i="1"/>
  <c r="H24" i="1" l="1"/>
  <c r="I19" i="1"/>
  <c r="I24" i="1" l="1"/>
  <c r="J19" i="1"/>
  <c r="J24" i="1" l="1"/>
  <c r="K19" i="1"/>
  <c r="K24" i="1" l="1"/>
  <c r="L19" i="1"/>
  <c r="L24" i="1" l="1"/>
  <c r="M19" i="1"/>
  <c r="M24" i="1" s="1"/>
  <c r="B26" i="1" s="1"/>
</calcChain>
</file>

<file path=xl/sharedStrings.xml><?xml version="1.0" encoding="utf-8"?>
<sst xmlns="http://schemas.openxmlformats.org/spreadsheetml/2006/main" count="84" uniqueCount="75">
  <si>
    <t>a.</t>
  </si>
  <si>
    <t>b.</t>
  </si>
  <si>
    <t>c.</t>
  </si>
  <si>
    <t>d.</t>
  </si>
  <si>
    <t>Costo Variable</t>
  </si>
  <si>
    <t>Costo Fijo</t>
  </si>
  <si>
    <t>Horizonte de Evaluación</t>
  </si>
  <si>
    <t>Consignas</t>
  </si>
  <si>
    <t>Observaciones</t>
  </si>
  <si>
    <t>Precios</t>
  </si>
  <si>
    <t>Demanda</t>
  </si>
  <si>
    <t>Terrenos</t>
  </si>
  <si>
    <t>Construcción</t>
  </si>
  <si>
    <t>Maquinarias</t>
  </si>
  <si>
    <t>Amortizacion de Const</t>
  </si>
  <si>
    <t>Amortizacion de Maq</t>
  </si>
  <si>
    <t>Punto en 
la Estructura</t>
  </si>
  <si>
    <t>Venta Maquinaria</t>
  </si>
  <si>
    <r>
      <t>Observaciones</t>
    </r>
    <r>
      <rPr>
        <sz val="11"/>
        <color theme="1"/>
        <rFont val="Calibri"/>
        <family val="2"/>
        <scheme val="minor"/>
      </rPr>
      <t>:</t>
    </r>
  </si>
  <si>
    <t>Valor Libros Maq</t>
  </si>
  <si>
    <t>Utilidad Bruta</t>
  </si>
  <si>
    <t>Calculo Impuesto</t>
  </si>
  <si>
    <t>e.</t>
  </si>
  <si>
    <t>Utilida Neta</t>
  </si>
  <si>
    <t>Ajuste Amort Const</t>
  </si>
  <si>
    <t>Ajuste Valor Libro</t>
  </si>
  <si>
    <t>Ajuste Amort Maq</t>
  </si>
  <si>
    <t>Capital de Trabajo</t>
  </si>
  <si>
    <t>f.</t>
  </si>
  <si>
    <t>g.</t>
  </si>
  <si>
    <t>Valor de Deshecho</t>
  </si>
  <si>
    <t>Flujo de Fondos</t>
  </si>
  <si>
    <t>VNA --&gt;</t>
  </si>
  <si>
    <t>El proyecto rinde el 13%, no da con el 14% (daba 5 mil y algo, negativo porque el proyecto no llegaba a rendir un 14%)</t>
  </si>
  <si>
    <t>Proyectos de Inversión</t>
  </si>
  <si>
    <t xml:space="preserve">  Los beneficios que se pueden esperar después del décimo año se reflejarán en el valor de desecho del proyecto, el cual se anotará como un beneficio no afecto a impuestos en el último momento del flujo.
  Otra opción se cuando el proyecto tiene concentrada gran parte de la inversión en algunos equipos cuya vida útil es diferente de diez años. Por ejemplo, si el 80% de las inversiones corresponde a un activo que tiene una vida útil de 13 años, lo más probable es que se fije el horizonte de evaluación en trece años. 
  Suponga que para evaluar la conveniencia de crear una nueva empresa se dispone de los siguientes antecedentes:
    a) La estrategia comercial considera un precio de introducción de $100 para los tres primeros años y de $110 a partir del cuarto.
    b) La proyección de la demanda supone vender 1000 unidades el primer año, aumentar en un 20% las ventas el segundo año, en un 5% el tercero y crecer en forma  vegetativa en el equivalente al crecimiento de la población, que se estima en un 2% anual.
    c) Las inversiones en activos fijos corresponde a $80.000 en terrenos, $200.000 en construcciones que se deprecian contablemente en 40 años y $100.000 en maquinarias que se deprecian en 10 años, aunque tienen una vida útil real de sólo 6 años.  Al final de su vida útil podrían venderse en el 50% de lo que costaron.
    d) El costo variable es de $30 para cualquier nivel de actividad y los costos fijos son de $20.000 anuales.
    e) La tasa de impuestos a las utilidades es de 17%.
    f) El capital de trabajo equivale a 6 meses de costos de operación desembolsables.
    g) El valor de desechos se calcula por el método contable.  
</t>
  </si>
  <si>
    <t>* Cuando no se aclara cuanto dura el proyecto, se establece en 10 años.</t>
  </si>
  <si>
    <t>* Si el proyecto dura 10 años, existen 11 momentos.</t>
  </si>
  <si>
    <t>* Se tiene en cuenta el ciclo economico por el cual se atraviesa.</t>
  </si>
  <si>
    <t>* La estimacion de ventas es muy complejo.</t>
  </si>
  <si>
    <t>* Costos Fijos y Variables pueden ser diferentes si se presentan determinadas situaciones como la puesta en marcha de una nueva maquinaria.</t>
  </si>
  <si>
    <t>* Los terrenos no se deprecian!!!</t>
  </si>
  <si>
    <t>* Al llegar al año 6, en maquinaria tenemos un valor de libro de 40000, entonces hay que incluirlo en gastos no desembolsables</t>
  </si>
  <si>
    <t xml:space="preserve">* En el año 6, hay que comprar otra máquina </t>
  </si>
  <si>
    <t>* En el año 7 va la amortizacion de la maquinaria que compramos en el año 6, hasta el fin de la evaluacion</t>
  </si>
  <si>
    <t>* Es 0,83 para el impuesto del 17% porque si ponemos 1,17 estamos sumando. Es impuesto, tenemos que restar</t>
  </si>
  <si>
    <t>* Cuando vendi la maquina no gane 50000, gane 10000. La compre en 100000, amorticé 60000 y la vendí a 50000…</t>
  </si>
  <si>
    <t>* La Ajuste Amort Const va positiva para saber cuanto hay en bolsillo efectivamente. Antes lo reste solo para calcular el impuesto</t>
  </si>
  <si>
    <t>* El Capital de trabajo son los desembolsables, costos fijos y variables, divido 2 porque son 6 meses</t>
  </si>
  <si>
    <t>* A mayor riesgo, mayor rentabilidad…</t>
  </si>
  <si>
    <t>Precio Productos</t>
  </si>
  <si>
    <t>Aumento Demanda</t>
  </si>
  <si>
    <t>Costos Fijos</t>
  </si>
  <si>
    <t>Costos Variables</t>
  </si>
  <si>
    <t>Amoblamiento</t>
  </si>
  <si>
    <t>Componentes</t>
  </si>
  <si>
    <t>Vehículo</t>
  </si>
  <si>
    <t>Amort. De Vehículo</t>
  </si>
  <si>
    <t>Amort. De Muebles</t>
  </si>
  <si>
    <t>Venta Vehículo</t>
  </si>
  <si>
    <t>Valor Libro Vehículo</t>
  </si>
  <si>
    <t>Impuesto</t>
  </si>
  <si>
    <t>Utilidad Neta</t>
  </si>
  <si>
    <t>Ajuste Amort. Mueble</t>
  </si>
  <si>
    <t>Ajuste Amort. Vehículo</t>
  </si>
  <si>
    <t>Venta</t>
  </si>
  <si>
    <t>Aumento Precios</t>
  </si>
  <si>
    <t>VNA con 20%</t>
  </si>
  <si>
    <t xml:space="preserve">TIR </t>
  </si>
  <si>
    <r>
      <t>Flujo de Fondos</t>
    </r>
    <r>
      <rPr>
        <sz val="12"/>
        <rFont val="Calibri"/>
        <family val="2"/>
        <scheme val="minor"/>
      </rPr>
      <t>:</t>
    </r>
  </si>
  <si>
    <r>
      <rPr>
        <u/>
        <sz val="12"/>
        <color theme="1"/>
        <rFont val="Calibri"/>
        <family val="2"/>
        <scheme val="minor"/>
      </rPr>
      <t>Conclusión</t>
    </r>
    <r>
      <rPr>
        <sz val="12"/>
        <color theme="1"/>
        <rFont val="Calibri"/>
        <family val="2"/>
        <scheme val="minor"/>
      </rPr>
      <t>:
El proyecto fue evaluado por el método de VNA (Valor Actual Neto), con una Tasa de Descuento del 20%; a partir de la cual puede demostrarse la rentabilidad del mismo. Según los valores obtenidos, además se evidencia una ganancia extra de $ 77912,26 sobre los resultados esperados.
Por otro lado, el proyecto fue sometido a la evaluación de la TIR en busca de la máxima Tasa de Descuento que puede tener este para ser rentable, la misma resulta ser del 37%.</t>
    </r>
  </si>
  <si>
    <t>80000+(D11+E11+F11+G11+H11)+10500+(G12+H12)+50000</t>
  </si>
  <si>
    <t>(C23+D23+E23+F23+G23)</t>
  </si>
  <si>
    <t>TIR(C25:H25;16500)</t>
  </si>
  <si>
    <t>VNA(0,2;C25:H25)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</si>
</sst>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 #,##0.00;[Red]&quot;$&quot;\ \-#,##0.00"/>
  </numFmts>
  <fonts count="12" x14ac:knownFonts="1">
    <font>
      <sz val="11"/>
      <color theme="1"/>
      <name val="Calibri"/>
      <family val="2"/>
      <scheme val="minor"/>
    </font>
    <font>
      <u/>
      <sz val="11"/>
      <color theme="1"/>
      <name val="Calibri"/>
      <family val="2"/>
      <scheme val="minor"/>
    </font>
    <font>
      <b/>
      <sz val="11"/>
      <color theme="2"/>
      <name val="Calibri"/>
      <family val="2"/>
      <scheme val="minor"/>
    </font>
    <font>
      <b/>
      <u/>
      <sz val="12"/>
      <color theme="8" tint="-0.499984740745262"/>
      <name val="Calibri"/>
      <family val="2"/>
      <scheme val="minor"/>
    </font>
    <font>
      <b/>
      <sz val="11"/>
      <color theme="1"/>
      <name val="Calibri"/>
      <family val="2"/>
      <scheme val="minor"/>
    </font>
    <font>
      <i/>
      <sz val="11"/>
      <name val="Calibri"/>
      <family val="2"/>
      <scheme val="minor"/>
    </font>
    <font>
      <b/>
      <u/>
      <sz val="14"/>
      <color theme="6" tint="-0.499984740745262"/>
      <name val="Calibri"/>
      <family val="2"/>
      <scheme val="minor"/>
    </font>
    <font>
      <sz val="14"/>
      <color theme="1"/>
      <name val="Calibri"/>
      <family val="2"/>
      <scheme val="minor"/>
    </font>
    <font>
      <u/>
      <sz val="12"/>
      <name val="Calibri"/>
      <family val="2"/>
      <scheme val="minor"/>
    </font>
    <font>
      <sz val="12"/>
      <color theme="1"/>
      <name val="Calibri"/>
      <family val="2"/>
      <scheme val="minor"/>
    </font>
    <font>
      <u/>
      <sz val="12"/>
      <color theme="1"/>
      <name val="Calibri"/>
      <family val="2"/>
      <scheme val="minor"/>
    </font>
    <font>
      <sz val="12"/>
      <name val="Calibri"/>
      <family val="2"/>
      <scheme val="minor"/>
    </font>
  </fonts>
  <fills count="8">
    <fill>
      <patternFill patternType="none"/>
    </fill>
    <fill>
      <patternFill patternType="gray125"/>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right/>
      <top style="medium">
        <color indexed="64"/>
      </top>
      <bottom style="thin">
        <color indexed="64"/>
      </bottom>
      <diagonal/>
    </border>
  </borders>
  <cellStyleXfs count="1">
    <xf numFmtId="0" fontId="0" fillId="0" borderId="0"/>
  </cellStyleXfs>
  <cellXfs count="105">
    <xf numFmtId="0" fontId="0" fillId="0" borderId="0" xfId="0"/>
    <xf numFmtId="2" fontId="0" fillId="0" borderId="0" xfId="0" applyNumberFormat="1"/>
    <xf numFmtId="0" fontId="1" fillId="0" borderId="0" xfId="0" applyFont="1"/>
    <xf numFmtId="0" fontId="0" fillId="0" borderId="0" xfId="0" applyNumberFormat="1" applyAlignment="1">
      <alignment horizontal="center"/>
    </xf>
    <xf numFmtId="2" fontId="0" fillId="0" borderId="1" xfId="0" applyNumberFormat="1" applyBorder="1"/>
    <xf numFmtId="2" fontId="0" fillId="0" borderId="7" xfId="0" applyNumberFormat="1" applyBorder="1"/>
    <xf numFmtId="2" fontId="0" fillId="0" borderId="10" xfId="0" applyNumberFormat="1" applyBorder="1"/>
    <xf numFmtId="0" fontId="0" fillId="0" borderId="10" xfId="0" applyBorder="1"/>
    <xf numFmtId="0" fontId="0" fillId="3" borderId="10" xfId="0" applyFill="1" applyBorder="1"/>
    <xf numFmtId="2" fontId="0" fillId="3" borderId="1" xfId="0" applyNumberFormat="1" applyFill="1" applyBorder="1"/>
    <xf numFmtId="0" fontId="0" fillId="0" borderId="10" xfId="0" applyFill="1" applyBorder="1"/>
    <xf numFmtId="2" fontId="0" fillId="0" borderId="1" xfId="0" applyNumberFormat="1" applyFill="1" applyBorder="1"/>
    <xf numFmtId="0" fontId="0" fillId="0" borderId="0" xfId="0" applyFill="1"/>
    <xf numFmtId="0" fontId="0" fillId="0" borderId="0" xfId="0" applyNumberFormat="1" applyFill="1" applyAlignment="1">
      <alignment horizontal="center"/>
    </xf>
    <xf numFmtId="0" fontId="0" fillId="0" borderId="0" xfId="0" applyFill="1" applyBorder="1"/>
    <xf numFmtId="0" fontId="0" fillId="0" borderId="0" xfId="0" applyBorder="1"/>
    <xf numFmtId="2" fontId="0" fillId="3" borderId="7" xfId="0" applyNumberFormat="1" applyFill="1" applyBorder="1"/>
    <xf numFmtId="2" fontId="0" fillId="0" borderId="7" xfId="0" applyNumberFormat="1" applyFill="1" applyBorder="1"/>
    <xf numFmtId="2" fontId="0" fillId="0" borderId="13" xfId="0" applyNumberFormat="1" applyFill="1" applyBorder="1"/>
    <xf numFmtId="0" fontId="0" fillId="2" borderId="4" xfId="0" applyFill="1" applyBorder="1"/>
    <xf numFmtId="0" fontId="0" fillId="2" borderId="9" xfId="0" applyFill="1" applyBorder="1"/>
    <xf numFmtId="2" fontId="0" fillId="2" borderId="6" xfId="0" applyNumberFormat="1" applyFill="1" applyBorder="1"/>
    <xf numFmtId="2" fontId="0" fillId="2" borderId="2" xfId="0" applyNumberFormat="1" applyFill="1" applyBorder="1"/>
    <xf numFmtId="0" fontId="2" fillId="4" borderId="17" xfId="0" applyFont="1" applyFill="1" applyBorder="1" applyAlignment="1">
      <alignment horizontal="center"/>
    </xf>
    <xf numFmtId="0" fontId="2" fillId="4" borderId="18" xfId="0" applyFont="1" applyFill="1" applyBorder="1" applyAlignment="1">
      <alignment horizontal="center"/>
    </xf>
    <xf numFmtId="0" fontId="2" fillId="4" borderId="0" xfId="0" applyFont="1" applyFill="1" applyBorder="1" applyAlignment="1">
      <alignment horizontal="center"/>
    </xf>
    <xf numFmtId="2" fontId="0" fillId="0" borderId="20" xfId="0" applyNumberFormat="1" applyBorder="1"/>
    <xf numFmtId="2" fontId="0" fillId="3" borderId="20" xfId="0" applyNumberFormat="1" applyFill="1" applyBorder="1"/>
    <xf numFmtId="2" fontId="0" fillId="0" borderId="20" xfId="0" applyNumberFormat="1" applyFill="1" applyBorder="1"/>
    <xf numFmtId="0" fontId="0" fillId="0" borderId="20" xfId="0" applyBorder="1"/>
    <xf numFmtId="2" fontId="0" fillId="2" borderId="21" xfId="0" applyNumberFormat="1" applyFill="1" applyBorder="1"/>
    <xf numFmtId="0" fontId="2" fillId="4" borderId="22" xfId="0" applyFont="1" applyFill="1" applyBorder="1" applyAlignment="1">
      <alignment horizontal="center"/>
    </xf>
    <xf numFmtId="2" fontId="0" fillId="3" borderId="10" xfId="0" applyNumberFormat="1" applyFill="1" applyBorder="1"/>
    <xf numFmtId="2" fontId="0" fillId="0" borderId="10" xfId="0" applyNumberFormat="1" applyFill="1" applyBorder="1"/>
    <xf numFmtId="2" fontId="0" fillId="2" borderId="9" xfId="0" applyNumberFormat="1" applyFill="1" applyBorder="1"/>
    <xf numFmtId="0" fontId="2" fillId="4" borderId="23" xfId="0" applyFont="1" applyFill="1" applyBorder="1" applyAlignment="1">
      <alignment horizontal="center"/>
    </xf>
    <xf numFmtId="2" fontId="0" fillId="0" borderId="24" xfId="0" applyNumberFormat="1" applyBorder="1"/>
    <xf numFmtId="2" fontId="0" fillId="3" borderId="24" xfId="0" applyNumberFormat="1" applyFill="1" applyBorder="1"/>
    <xf numFmtId="2" fontId="0" fillId="0" borderId="24" xfId="0" applyNumberFormat="1" applyFill="1" applyBorder="1"/>
    <xf numFmtId="2" fontId="0" fillId="2" borderId="14" xfId="0" applyNumberFormat="1" applyFill="1" applyBorder="1"/>
    <xf numFmtId="0" fontId="2" fillId="4" borderId="25" xfId="0" applyFont="1" applyFill="1" applyBorder="1" applyAlignment="1">
      <alignment horizontal="center"/>
    </xf>
    <xf numFmtId="2" fontId="0" fillId="0" borderId="13" xfId="0" applyNumberFormat="1" applyBorder="1"/>
    <xf numFmtId="2" fontId="0" fillId="3" borderId="13" xfId="0" applyNumberFormat="1" applyFill="1" applyBorder="1"/>
    <xf numFmtId="2" fontId="0" fillId="2" borderId="26" xfId="0" applyNumberFormat="1" applyFill="1" applyBorder="1"/>
    <xf numFmtId="0" fontId="0" fillId="0" borderId="0" xfId="0" applyNumberFormat="1" applyAlignment="1">
      <alignment horizontal="center"/>
    </xf>
    <xf numFmtId="0" fontId="0" fillId="0" borderId="9" xfId="0" applyBorder="1" applyAlignment="1">
      <alignment horizontal="center"/>
    </xf>
    <xf numFmtId="0" fontId="0" fillId="6" borderId="8" xfId="0" applyFill="1" applyBorder="1" applyAlignment="1">
      <alignment horizontal="center"/>
    </xf>
    <xf numFmtId="4" fontId="0" fillId="0" borderId="1" xfId="0" applyNumberFormat="1" applyBorder="1"/>
    <xf numFmtId="4" fontId="0" fillId="0" borderId="1" xfId="0" applyNumberFormat="1" applyFill="1" applyBorder="1"/>
    <xf numFmtId="0" fontId="2" fillId="5" borderId="1" xfId="0" applyFont="1" applyFill="1" applyBorder="1" applyAlignment="1">
      <alignment horizontal="center"/>
    </xf>
    <xf numFmtId="0" fontId="0" fillId="0" borderId="1" xfId="0" applyBorder="1"/>
    <xf numFmtId="0" fontId="0" fillId="0" borderId="1" xfId="0" applyFill="1" applyBorder="1"/>
    <xf numFmtId="4" fontId="0" fillId="6" borderId="1" xfId="0" applyNumberFormat="1" applyFill="1" applyBorder="1"/>
    <xf numFmtId="0" fontId="0" fillId="0" borderId="1" xfId="0" applyNumberFormat="1" applyBorder="1" applyAlignment="1">
      <alignment horizontal="center" vertical="center"/>
    </xf>
    <xf numFmtId="0" fontId="0" fillId="0" borderId="1" xfId="0" applyNumberFormat="1" applyFill="1" applyBorder="1" applyAlignment="1">
      <alignment horizontal="center" vertical="center"/>
    </xf>
    <xf numFmtId="0" fontId="0" fillId="0" borderId="5" xfId="0" applyBorder="1" applyAlignment="1">
      <alignment horizontal="center" vertical="center"/>
    </xf>
    <xf numFmtId="2" fontId="0" fillId="0" borderId="5" xfId="0" applyNumberFormat="1" applyBorder="1" applyAlignment="1">
      <alignment horizontal="center" vertical="center"/>
    </xf>
    <xf numFmtId="0" fontId="0" fillId="3" borderId="5" xfId="0" applyFill="1" applyBorder="1" applyAlignment="1">
      <alignment horizontal="center" vertical="center"/>
    </xf>
    <xf numFmtId="0" fontId="0" fillId="0" borderId="5" xfId="0" applyFill="1" applyBorder="1" applyAlignment="1">
      <alignment horizontal="center" vertical="center"/>
    </xf>
    <xf numFmtId="4" fontId="0" fillId="7" borderId="1" xfId="0" applyNumberFormat="1" applyFill="1" applyBorder="1"/>
    <xf numFmtId="0" fontId="0" fillId="0" borderId="0" xfId="0" applyNumberFormat="1"/>
    <xf numFmtId="2" fontId="5" fillId="0" borderId="1" xfId="0" applyNumberFormat="1" applyFont="1" applyBorder="1"/>
    <xf numFmtId="4" fontId="5" fillId="0" borderId="1" xfId="0" applyNumberFormat="1" applyFont="1" applyBorder="1"/>
    <xf numFmtId="0" fontId="4" fillId="6" borderId="3" xfId="0" applyFont="1" applyFill="1" applyBorder="1" applyAlignment="1">
      <alignment horizontal="center"/>
    </xf>
    <xf numFmtId="8" fontId="4" fillId="0" borderId="4" xfId="0" applyNumberFormat="1" applyFont="1" applyBorder="1" applyAlignment="1">
      <alignment horizontal="center"/>
    </xf>
    <xf numFmtId="0" fontId="0" fillId="6" borderId="30" xfId="0" applyFill="1" applyBorder="1" applyAlignment="1">
      <alignment horizontal="center"/>
    </xf>
    <xf numFmtId="0" fontId="0" fillId="0" borderId="21" xfId="0" applyBorder="1" applyAlignment="1">
      <alignment horizontal="center"/>
    </xf>
    <xf numFmtId="9" fontId="0" fillId="0" borderId="9" xfId="0" applyNumberFormat="1" applyBorder="1" applyAlignment="1">
      <alignment horizontal="center"/>
    </xf>
    <xf numFmtId="4" fontId="0" fillId="0" borderId="0" xfId="0" applyNumberFormat="1" applyAlignment="1">
      <alignment horizontal="left"/>
    </xf>
    <xf numFmtId="0" fontId="0" fillId="0" borderId="0" xfId="0" applyAlignment="1">
      <alignment horizontal="center" vertical="center"/>
    </xf>
    <xf numFmtId="0" fontId="0" fillId="0" borderId="0" xfId="0" applyAlignment="1">
      <alignment horizontal="center"/>
    </xf>
    <xf numFmtId="0" fontId="0" fillId="0" borderId="0" xfId="0" applyNumberFormat="1" applyAlignment="1">
      <alignment horizontal="center" wrapText="1"/>
    </xf>
    <xf numFmtId="0" fontId="0" fillId="0" borderId="0" xfId="0" applyNumberFormat="1" applyAlignment="1">
      <alignment horizontal="center"/>
    </xf>
    <xf numFmtId="0" fontId="0" fillId="0" borderId="27" xfId="0" applyBorder="1" applyAlignment="1">
      <alignment horizontal="left" wrapText="1"/>
    </xf>
    <xf numFmtId="0" fontId="0" fillId="0" borderId="27" xfId="0" applyBorder="1" applyAlignment="1">
      <alignment horizontal="left"/>
    </xf>
    <xf numFmtId="0" fontId="0" fillId="0" borderId="16"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6" xfId="0" applyFont="1" applyBorder="1" applyAlignment="1">
      <alignment horizontal="center" vertical="center"/>
    </xf>
    <xf numFmtId="0" fontId="0" fillId="0" borderId="29" xfId="0" applyFont="1" applyBorder="1" applyAlignment="1">
      <alignment horizontal="center" vertical="center"/>
    </xf>
    <xf numFmtId="0" fontId="0" fillId="0" borderId="28" xfId="0" applyFont="1" applyBorder="1" applyAlignment="1">
      <alignment horizontal="center" vertical="center"/>
    </xf>
    <xf numFmtId="0" fontId="0" fillId="0" borderId="16" xfId="0" applyFill="1" applyBorder="1" applyAlignment="1">
      <alignment horizontal="center" vertical="center"/>
    </xf>
    <xf numFmtId="0" fontId="0" fillId="0" borderId="29" xfId="0" applyFill="1" applyBorder="1" applyAlignment="1">
      <alignment horizontal="center" vertical="center"/>
    </xf>
    <xf numFmtId="0" fontId="0" fillId="0" borderId="28" xfId="0" applyFill="1" applyBorder="1" applyAlignment="1">
      <alignment horizontal="center" vertical="center"/>
    </xf>
    <xf numFmtId="0" fontId="3" fillId="0" borderId="0" xfId="0" applyFont="1" applyAlignment="1">
      <alignment horizontal="left" vertical="top"/>
    </xf>
    <xf numFmtId="0" fontId="2" fillId="4" borderId="19"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15" xfId="0" applyFont="1" applyFill="1" applyBorder="1" applyAlignment="1">
      <alignment horizontal="center" vertical="center"/>
    </xf>
    <xf numFmtId="0" fontId="9" fillId="0" borderId="0" xfId="0" applyFont="1" applyAlignment="1">
      <alignment horizontal="left" wrapText="1"/>
    </xf>
    <xf numFmtId="0" fontId="9" fillId="0" borderId="0" xfId="0" applyFont="1" applyAlignment="1">
      <alignment horizontal="left"/>
    </xf>
    <xf numFmtId="0" fontId="7" fillId="0" borderId="0" xfId="0" applyFont="1" applyAlignment="1">
      <alignment horizontal="center"/>
    </xf>
    <xf numFmtId="0" fontId="0" fillId="6" borderId="24" xfId="0" applyFill="1" applyBorder="1" applyAlignment="1">
      <alignment horizontal="center"/>
    </xf>
    <xf numFmtId="0" fontId="0" fillId="6" borderId="7" xfId="0" applyFill="1" applyBorder="1" applyAlignment="1">
      <alignment horizontal="center"/>
    </xf>
    <xf numFmtId="0" fontId="0" fillId="0" borderId="1" xfId="0" applyNumberFormat="1" applyBorder="1" applyAlignment="1">
      <alignment horizontal="center" vertical="center"/>
    </xf>
    <xf numFmtId="0" fontId="4" fillId="7" borderId="1" xfId="0" applyFont="1" applyFill="1" applyBorder="1" applyAlignment="1">
      <alignment horizontal="center"/>
    </xf>
    <xf numFmtId="0" fontId="0" fillId="0" borderId="1" xfId="0" applyNumberFormat="1" applyFill="1" applyBorder="1" applyAlignment="1">
      <alignment horizontal="center" vertical="center"/>
    </xf>
    <xf numFmtId="0" fontId="0" fillId="0" borderId="0" xfId="0" applyBorder="1" applyAlignment="1">
      <alignment horizontal="left" wrapText="1"/>
    </xf>
    <xf numFmtId="0" fontId="0" fillId="0" borderId="0" xfId="0" applyBorder="1" applyAlignment="1">
      <alignment horizontal="left"/>
    </xf>
    <xf numFmtId="0" fontId="2" fillId="5" borderId="1" xfId="0" applyFont="1" applyFill="1" applyBorder="1" applyAlignment="1">
      <alignment horizontal="center" vertical="center"/>
    </xf>
    <xf numFmtId="0" fontId="8" fillId="0" borderId="0" xfId="0" applyFont="1" applyAlignment="1">
      <alignment horizontal="left" vertical="top" wrapText="1"/>
    </xf>
    <xf numFmtId="0" fontId="6"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B26" sqref="B26"/>
    </sheetView>
  </sheetViews>
  <sheetFormatPr baseColWidth="10" defaultRowHeight="15" x14ac:dyDescent="0.25"/>
  <cols>
    <col min="1" max="1" width="10.7109375" customWidth="1"/>
    <col min="2" max="2" width="21" bestFit="1" customWidth="1"/>
    <col min="3" max="3" width="10.28515625" bestFit="1" customWidth="1"/>
    <col min="4" max="5" width="9.7109375" customWidth="1"/>
    <col min="6" max="6" width="9.28515625" customWidth="1"/>
    <col min="7" max="8" width="9.42578125" customWidth="1"/>
    <col min="9" max="9" width="10.28515625" bestFit="1" customWidth="1"/>
    <col min="10" max="10" width="9.5703125" bestFit="1" customWidth="1"/>
    <col min="11" max="11" width="9.7109375" customWidth="1"/>
    <col min="12" max="13" width="9.5703125" bestFit="1" customWidth="1"/>
    <col min="15" max="15" width="13" style="3" customWidth="1"/>
  </cols>
  <sheetData>
    <row r="1" spans="1:14" ht="27.75" customHeight="1" x14ac:dyDescent="0.25">
      <c r="A1" s="84" t="s">
        <v>34</v>
      </c>
      <c r="B1" s="84"/>
      <c r="C1" s="84"/>
      <c r="D1" s="84"/>
      <c r="E1" s="84"/>
      <c r="F1" s="84"/>
      <c r="G1" s="84"/>
      <c r="H1" s="84"/>
      <c r="I1" s="84"/>
      <c r="J1" s="84"/>
      <c r="K1" s="84"/>
      <c r="L1" s="84"/>
      <c r="M1" s="84"/>
    </row>
    <row r="2" spans="1:14" ht="237.75" customHeight="1" thickBot="1" x14ac:dyDescent="0.3">
      <c r="A2" s="73" t="s">
        <v>35</v>
      </c>
      <c r="B2" s="74"/>
      <c r="C2" s="74"/>
      <c r="D2" s="74"/>
      <c r="E2" s="74"/>
      <c r="F2" s="74"/>
      <c r="G2" s="74"/>
      <c r="H2" s="74"/>
      <c r="I2" s="74"/>
      <c r="J2" s="74"/>
      <c r="K2" s="74"/>
      <c r="L2" s="74"/>
      <c r="M2" s="74"/>
    </row>
    <row r="3" spans="1:14" ht="27.75" customHeight="1" thickBot="1" x14ac:dyDescent="0.3">
      <c r="A3" s="90" t="s">
        <v>7</v>
      </c>
      <c r="B3" s="88" t="s">
        <v>8</v>
      </c>
      <c r="C3" s="85" t="s">
        <v>6</v>
      </c>
      <c r="D3" s="86"/>
      <c r="E3" s="86"/>
      <c r="F3" s="86"/>
      <c r="G3" s="86"/>
      <c r="H3" s="86"/>
      <c r="I3" s="86"/>
      <c r="J3" s="86"/>
      <c r="K3" s="86"/>
      <c r="L3" s="86"/>
      <c r="M3" s="87"/>
      <c r="N3" s="71" t="s">
        <v>16</v>
      </c>
    </row>
    <row r="4" spans="1:14" x14ac:dyDescent="0.25">
      <c r="A4" s="91"/>
      <c r="B4" s="89"/>
      <c r="C4" s="25">
        <v>0</v>
      </c>
      <c r="D4" s="31">
        <v>1</v>
      </c>
      <c r="E4" s="23">
        <v>2</v>
      </c>
      <c r="F4" s="24">
        <v>3</v>
      </c>
      <c r="G4" s="35">
        <v>4</v>
      </c>
      <c r="H4" s="31">
        <v>5</v>
      </c>
      <c r="I4" s="25">
        <v>6</v>
      </c>
      <c r="J4" s="31">
        <v>7</v>
      </c>
      <c r="K4" s="25">
        <v>8</v>
      </c>
      <c r="L4" s="31">
        <v>9</v>
      </c>
      <c r="M4" s="40">
        <v>10</v>
      </c>
      <c r="N4" s="72"/>
    </row>
    <row r="5" spans="1:14" x14ac:dyDescent="0.25">
      <c r="A5" s="55" t="s">
        <v>0</v>
      </c>
      <c r="B5" s="7" t="s">
        <v>9</v>
      </c>
      <c r="C5" s="26"/>
      <c r="D5" s="6">
        <v>100</v>
      </c>
      <c r="E5" s="5">
        <v>100</v>
      </c>
      <c r="F5" s="4">
        <v>100</v>
      </c>
      <c r="G5" s="36">
        <v>110</v>
      </c>
      <c r="H5" s="6">
        <v>110</v>
      </c>
      <c r="I5" s="26">
        <v>110</v>
      </c>
      <c r="J5" s="6">
        <v>110</v>
      </c>
      <c r="K5" s="26">
        <v>110</v>
      </c>
      <c r="L5" s="6">
        <v>110</v>
      </c>
      <c r="M5" s="41">
        <v>110</v>
      </c>
      <c r="N5" s="3">
        <v>1</v>
      </c>
    </row>
    <row r="6" spans="1:14" s="1" customFormat="1" x14ac:dyDescent="0.25">
      <c r="A6" s="56" t="s">
        <v>1</v>
      </c>
      <c r="B6" s="6" t="s">
        <v>10</v>
      </c>
      <c r="C6" s="26"/>
      <c r="D6" s="6">
        <v>100000</v>
      </c>
      <c r="E6" s="5">
        <v>120000</v>
      </c>
      <c r="F6" s="4">
        <f>1.05*E6</f>
        <v>126000</v>
      </c>
      <c r="G6" s="36">
        <f>((1000*1.2)*1.05)*1.02*110</f>
        <v>141372</v>
      </c>
      <c r="H6" s="6">
        <f t="shared" ref="H6:M6" si="0">G6*1.02</f>
        <v>144199.44</v>
      </c>
      <c r="I6" s="26">
        <f t="shared" si="0"/>
        <v>147083.42879999999</v>
      </c>
      <c r="J6" s="6">
        <f t="shared" si="0"/>
        <v>150025.09737599999</v>
      </c>
      <c r="K6" s="26">
        <f t="shared" si="0"/>
        <v>153025.59932352</v>
      </c>
      <c r="L6" s="6">
        <f t="shared" si="0"/>
        <v>156086.1113099904</v>
      </c>
      <c r="M6" s="41">
        <f t="shared" si="0"/>
        <v>159207.83353619021</v>
      </c>
      <c r="N6" s="3">
        <v>1</v>
      </c>
    </row>
    <row r="7" spans="1:14" x14ac:dyDescent="0.25">
      <c r="A7" s="75" t="s">
        <v>3</v>
      </c>
      <c r="B7" s="7" t="s">
        <v>4</v>
      </c>
      <c r="C7" s="26"/>
      <c r="D7" s="6">
        <f>-(30*D6/D5)</f>
        <v>-30000</v>
      </c>
      <c r="E7" s="5">
        <f t="shared" ref="E7:M7" si="1">-(30*E6/E5)</f>
        <v>-36000</v>
      </c>
      <c r="F7" s="4">
        <f t="shared" si="1"/>
        <v>-37800</v>
      </c>
      <c r="G7" s="36">
        <f t="shared" si="1"/>
        <v>-38556</v>
      </c>
      <c r="H7" s="6">
        <f t="shared" si="1"/>
        <v>-39327.120000000003</v>
      </c>
      <c r="I7" s="26">
        <f t="shared" si="1"/>
        <v>-40113.662400000001</v>
      </c>
      <c r="J7" s="6">
        <f t="shared" si="1"/>
        <v>-40915.935647999991</v>
      </c>
      <c r="K7" s="26">
        <f t="shared" si="1"/>
        <v>-41734.254360960003</v>
      </c>
      <c r="L7" s="6">
        <f t="shared" si="1"/>
        <v>-42568.939448179204</v>
      </c>
      <c r="M7" s="41">
        <f t="shared" si="1"/>
        <v>-43420.31823714279</v>
      </c>
      <c r="N7" s="3">
        <v>1</v>
      </c>
    </row>
    <row r="8" spans="1:14" x14ac:dyDescent="0.25">
      <c r="A8" s="76"/>
      <c r="B8" s="7" t="s">
        <v>5</v>
      </c>
      <c r="C8" s="26"/>
      <c r="D8" s="6">
        <v>-20000</v>
      </c>
      <c r="E8" s="5">
        <v>-20000</v>
      </c>
      <c r="F8" s="4">
        <v>-20000</v>
      </c>
      <c r="G8" s="36">
        <v>-20000</v>
      </c>
      <c r="H8" s="6">
        <v>-20000</v>
      </c>
      <c r="I8" s="26">
        <v>-20000</v>
      </c>
      <c r="J8" s="6">
        <v>-20000</v>
      </c>
      <c r="K8" s="26">
        <v>-20000</v>
      </c>
      <c r="L8" s="6">
        <v>-20000</v>
      </c>
      <c r="M8" s="41">
        <v>-20000</v>
      </c>
      <c r="N8" s="3">
        <v>1</v>
      </c>
    </row>
    <row r="9" spans="1:14" x14ac:dyDescent="0.25">
      <c r="A9" s="75" t="s">
        <v>2</v>
      </c>
      <c r="B9" s="7" t="s">
        <v>14</v>
      </c>
      <c r="C9" s="26"/>
      <c r="D9" s="6">
        <v>-5000</v>
      </c>
      <c r="E9" s="5">
        <v>-5000</v>
      </c>
      <c r="F9" s="4">
        <v>-5000</v>
      </c>
      <c r="G9" s="36">
        <v>-5000</v>
      </c>
      <c r="H9" s="6">
        <v>-5000</v>
      </c>
      <c r="I9" s="26">
        <v>-5000</v>
      </c>
      <c r="J9" s="6">
        <v>-5000</v>
      </c>
      <c r="K9" s="26">
        <v>-5000</v>
      </c>
      <c r="L9" s="6">
        <v>-5000</v>
      </c>
      <c r="M9" s="41">
        <v>-5000</v>
      </c>
      <c r="N9" s="3">
        <v>2</v>
      </c>
    </row>
    <row r="10" spans="1:14" x14ac:dyDescent="0.25">
      <c r="A10" s="77"/>
      <c r="B10" s="7" t="s">
        <v>15</v>
      </c>
      <c r="C10" s="26"/>
      <c r="D10" s="6">
        <v>-10000</v>
      </c>
      <c r="E10" s="5">
        <v>-10000</v>
      </c>
      <c r="F10" s="4">
        <v>-10000</v>
      </c>
      <c r="G10" s="36">
        <v>-10000</v>
      </c>
      <c r="H10" s="6">
        <v>-10000</v>
      </c>
      <c r="I10" s="26">
        <v>-10000</v>
      </c>
      <c r="J10" s="6">
        <v>-10000</v>
      </c>
      <c r="K10" s="26">
        <v>-10000</v>
      </c>
      <c r="L10" s="6">
        <v>-10000</v>
      </c>
      <c r="M10" s="41">
        <v>-10000</v>
      </c>
      <c r="N10" s="3">
        <v>2</v>
      </c>
    </row>
    <row r="11" spans="1:14" x14ac:dyDescent="0.25">
      <c r="A11" s="77"/>
      <c r="B11" s="7" t="s">
        <v>19</v>
      </c>
      <c r="C11" s="26"/>
      <c r="D11" s="6"/>
      <c r="E11" s="5"/>
      <c r="F11" s="4"/>
      <c r="G11" s="36"/>
      <c r="H11" s="6"/>
      <c r="I11" s="26">
        <v>-40000</v>
      </c>
      <c r="J11" s="6"/>
      <c r="K11" s="26"/>
      <c r="L11" s="6"/>
      <c r="M11" s="41"/>
      <c r="N11" s="3">
        <v>2</v>
      </c>
    </row>
    <row r="12" spans="1:14" x14ac:dyDescent="0.25">
      <c r="A12" s="76"/>
      <c r="B12" s="7" t="s">
        <v>17</v>
      </c>
      <c r="C12" s="26"/>
      <c r="D12" s="6"/>
      <c r="E12" s="5"/>
      <c r="F12" s="4"/>
      <c r="G12" s="36"/>
      <c r="H12" s="6"/>
      <c r="I12" s="26">
        <v>50000</v>
      </c>
      <c r="J12" s="6"/>
      <c r="K12" s="26"/>
      <c r="L12" s="6"/>
      <c r="M12" s="41"/>
      <c r="N12" s="3">
        <v>2</v>
      </c>
    </row>
    <row r="13" spans="1:14" x14ac:dyDescent="0.25">
      <c r="A13" s="57"/>
      <c r="B13" s="8" t="s">
        <v>20</v>
      </c>
      <c r="C13" s="27"/>
      <c r="D13" s="32">
        <f>D6+D8+D9+D10+D7</f>
        <v>35000</v>
      </c>
      <c r="E13" s="16">
        <f>E6+E8+E9+E10+E7</f>
        <v>49000</v>
      </c>
      <c r="F13" s="9">
        <f>F6+F8+F9+F10+F7</f>
        <v>53200</v>
      </c>
      <c r="G13" s="37">
        <f>G6+G8+G9+G10+G7</f>
        <v>67816</v>
      </c>
      <c r="H13" s="32">
        <f>H6+H8+H9+H10+H7</f>
        <v>69872.320000000007</v>
      </c>
      <c r="I13" s="27">
        <f>I6+I8+I9+I10+I7+I11+I12</f>
        <v>81969.766399999993</v>
      </c>
      <c r="J13" s="32">
        <f>SUM(J6:J10)</f>
        <v>74109.161728000006</v>
      </c>
      <c r="K13" s="27">
        <f t="shared" ref="K13:M13" si="2">SUM(K6:K10)</f>
        <v>76291.34496255999</v>
      </c>
      <c r="L13" s="32">
        <f t="shared" si="2"/>
        <v>78517.171861811192</v>
      </c>
      <c r="M13" s="42">
        <f t="shared" si="2"/>
        <v>80787.515299047431</v>
      </c>
      <c r="N13" s="3"/>
    </row>
    <row r="14" spans="1:14" s="12" customFormat="1" x14ac:dyDescent="0.25">
      <c r="A14" s="58" t="s">
        <v>22</v>
      </c>
      <c r="B14" s="10" t="s">
        <v>21</v>
      </c>
      <c r="C14" s="28"/>
      <c r="D14" s="33">
        <v>0.83</v>
      </c>
      <c r="E14" s="17">
        <v>0.83</v>
      </c>
      <c r="F14" s="11">
        <v>0.83</v>
      </c>
      <c r="G14" s="38">
        <v>0.83</v>
      </c>
      <c r="H14" s="33">
        <v>0.83</v>
      </c>
      <c r="I14" s="28">
        <v>0.83</v>
      </c>
      <c r="J14" s="33">
        <v>0.83</v>
      </c>
      <c r="K14" s="28">
        <v>0.83</v>
      </c>
      <c r="L14" s="33">
        <v>0.83</v>
      </c>
      <c r="M14" s="18">
        <v>0.83</v>
      </c>
      <c r="N14" s="13">
        <v>3</v>
      </c>
    </row>
    <row r="15" spans="1:14" x14ac:dyDescent="0.25">
      <c r="A15" s="57"/>
      <c r="B15" s="8" t="s">
        <v>23</v>
      </c>
      <c r="C15" s="27"/>
      <c r="D15" s="32">
        <f>D13*D14</f>
        <v>29050</v>
      </c>
      <c r="E15" s="16">
        <f t="shared" ref="E15:M15" si="3">E13*E14</f>
        <v>40670</v>
      </c>
      <c r="F15" s="9">
        <f t="shared" si="3"/>
        <v>44156</v>
      </c>
      <c r="G15" s="37">
        <f t="shared" si="3"/>
        <v>56287.28</v>
      </c>
      <c r="H15" s="32">
        <f t="shared" si="3"/>
        <v>57994.025600000001</v>
      </c>
      <c r="I15" s="27">
        <f t="shared" si="3"/>
        <v>68034.906111999997</v>
      </c>
      <c r="J15" s="32">
        <f t="shared" si="3"/>
        <v>61510.604234240003</v>
      </c>
      <c r="K15" s="27">
        <f t="shared" si="3"/>
        <v>63321.816318924786</v>
      </c>
      <c r="L15" s="32">
        <f t="shared" si="3"/>
        <v>65169.252645303284</v>
      </c>
      <c r="M15" s="42">
        <f t="shared" si="3"/>
        <v>67053.637698209364</v>
      </c>
      <c r="N15" s="3"/>
    </row>
    <row r="16" spans="1:14" s="12" customFormat="1" x14ac:dyDescent="0.25">
      <c r="A16" s="81"/>
      <c r="B16" s="10" t="s">
        <v>24</v>
      </c>
      <c r="C16" s="28"/>
      <c r="D16" s="33">
        <v>5000</v>
      </c>
      <c r="E16" s="17">
        <v>5000</v>
      </c>
      <c r="F16" s="11">
        <v>5000</v>
      </c>
      <c r="G16" s="38">
        <v>5000</v>
      </c>
      <c r="H16" s="33">
        <v>5000</v>
      </c>
      <c r="I16" s="28">
        <v>5000</v>
      </c>
      <c r="J16" s="33">
        <v>5000</v>
      </c>
      <c r="K16" s="28">
        <v>5000</v>
      </c>
      <c r="L16" s="33">
        <v>5000</v>
      </c>
      <c r="M16" s="18">
        <v>5000</v>
      </c>
      <c r="N16" s="13">
        <v>4</v>
      </c>
    </row>
    <row r="17" spans="1:14" s="12" customFormat="1" x14ac:dyDescent="0.25">
      <c r="A17" s="82"/>
      <c r="B17" s="10" t="s">
        <v>25</v>
      </c>
      <c r="C17" s="28"/>
      <c r="D17" s="33"/>
      <c r="E17" s="17"/>
      <c r="F17" s="11"/>
      <c r="G17" s="38"/>
      <c r="H17" s="33"/>
      <c r="I17" s="28">
        <v>40000</v>
      </c>
      <c r="J17" s="33"/>
      <c r="K17" s="28"/>
      <c r="L17" s="33"/>
      <c r="M17" s="18"/>
      <c r="N17" s="13">
        <v>4</v>
      </c>
    </row>
    <row r="18" spans="1:14" s="12" customFormat="1" x14ac:dyDescent="0.25">
      <c r="A18" s="83"/>
      <c r="B18" s="10" t="s">
        <v>26</v>
      </c>
      <c r="C18" s="28"/>
      <c r="D18" s="33">
        <v>10000</v>
      </c>
      <c r="E18" s="17">
        <v>10000</v>
      </c>
      <c r="F18" s="11">
        <v>10000</v>
      </c>
      <c r="G18" s="38">
        <v>10000</v>
      </c>
      <c r="H18" s="33">
        <v>10000</v>
      </c>
      <c r="I18" s="28">
        <v>10000</v>
      </c>
      <c r="J18" s="33">
        <v>10000</v>
      </c>
      <c r="K18" s="28">
        <v>10000</v>
      </c>
      <c r="L18" s="33">
        <v>10000</v>
      </c>
      <c r="M18" s="18">
        <v>10000</v>
      </c>
      <c r="N18" s="13">
        <v>4</v>
      </c>
    </row>
    <row r="19" spans="1:14" s="12" customFormat="1" x14ac:dyDescent="0.25">
      <c r="A19" s="58" t="s">
        <v>28</v>
      </c>
      <c r="B19" s="10" t="s">
        <v>27</v>
      </c>
      <c r="C19" s="28">
        <f>(D7+D8)/2</f>
        <v>-25000</v>
      </c>
      <c r="D19" s="33">
        <f>(E7+E8)/2-C19</f>
        <v>-3000</v>
      </c>
      <c r="E19" s="17">
        <f>(F7+F8)/2-D19-C19</f>
        <v>-900</v>
      </c>
      <c r="F19" s="11">
        <f>(G7+G8)/2-E19-D19-C19</f>
        <v>-378</v>
      </c>
      <c r="G19" s="38">
        <f>(H7+H8)/2-F19-E19-D19-C19</f>
        <v>-385.56000000000131</v>
      </c>
      <c r="H19" s="33">
        <f>(I7+I8)/2-G19-F19-E19-D19-C19</f>
        <v>-393.27119999999923</v>
      </c>
      <c r="I19" s="28">
        <f>(J7+J8)/2-H19-G19-F19-E19-D19-C19</f>
        <v>-401.13662399999521</v>
      </c>
      <c r="J19" s="33">
        <f>(K7+K8)/2-I19-H19-G19-F19-E19-D19-C19</f>
        <v>-409.15935648000595</v>
      </c>
      <c r="K19" s="28">
        <f>(L7+L8)/2-J19-I19-H19-G19-F19-E19-D19-C19</f>
        <v>-417.3425436096004</v>
      </c>
      <c r="L19" s="33">
        <f>(M7+M8)/2-K19-J19-I19-H19-G19-F19-E19-D19-C19</f>
        <v>-425.68939448179299</v>
      </c>
      <c r="M19" s="18">
        <f>-(C19+D19+E19+F19+G19+H19+I19+J19+K19+L19)</f>
        <v>31710.159118571395</v>
      </c>
      <c r="N19" s="13">
        <v>5</v>
      </c>
    </row>
    <row r="20" spans="1:14" x14ac:dyDescent="0.25">
      <c r="A20" s="78" t="s">
        <v>2</v>
      </c>
      <c r="B20" s="7" t="s">
        <v>11</v>
      </c>
      <c r="C20" s="26">
        <v>-80000</v>
      </c>
      <c r="D20" s="6"/>
      <c r="E20" s="5"/>
      <c r="F20" s="4"/>
      <c r="G20" s="36"/>
      <c r="H20" s="6"/>
      <c r="I20" s="26"/>
      <c r="J20" s="6"/>
      <c r="K20" s="26"/>
      <c r="L20" s="6"/>
      <c r="M20" s="41"/>
      <c r="N20" s="3">
        <v>5</v>
      </c>
    </row>
    <row r="21" spans="1:14" x14ac:dyDescent="0.25">
      <c r="A21" s="79"/>
      <c r="B21" s="7" t="s">
        <v>12</v>
      </c>
      <c r="C21" s="26">
        <v>-200000</v>
      </c>
      <c r="D21" s="6"/>
      <c r="E21" s="5"/>
      <c r="F21" s="4"/>
      <c r="G21" s="36"/>
      <c r="H21" s="6"/>
      <c r="I21" s="26"/>
      <c r="J21" s="6"/>
      <c r="K21" s="26"/>
      <c r="L21" s="6"/>
      <c r="M21" s="41"/>
      <c r="N21" s="3">
        <v>5</v>
      </c>
    </row>
    <row r="22" spans="1:14" x14ac:dyDescent="0.25">
      <c r="A22" s="80"/>
      <c r="B22" s="7" t="s">
        <v>13</v>
      </c>
      <c r="C22" s="26">
        <v>-100000</v>
      </c>
      <c r="D22" s="6"/>
      <c r="E22" s="5"/>
      <c r="F22" s="4"/>
      <c r="G22" s="36"/>
      <c r="H22" s="6"/>
      <c r="I22" s="26">
        <v>-100000</v>
      </c>
      <c r="J22" s="6"/>
      <c r="K22" s="26"/>
      <c r="L22" s="6"/>
      <c r="M22" s="41"/>
      <c r="N22" s="3">
        <v>5</v>
      </c>
    </row>
    <row r="23" spans="1:14" x14ac:dyDescent="0.25">
      <c r="A23" s="55" t="s">
        <v>29</v>
      </c>
      <c r="B23" s="10" t="s">
        <v>30</v>
      </c>
      <c r="C23" s="29"/>
      <c r="D23" s="6"/>
      <c r="E23" s="5"/>
      <c r="F23" s="4"/>
      <c r="G23" s="36"/>
      <c r="H23" s="6"/>
      <c r="I23" s="26"/>
      <c r="J23" s="6"/>
      <c r="K23" s="26"/>
      <c r="L23" s="6"/>
      <c r="M23" s="41">
        <f>80000+(200000+(D9+E9+F9+G9+H9+I9+J9+K9+L9+M9))+(100000+(J10+K10+L10+M10))</f>
        <v>290000</v>
      </c>
      <c r="N23" s="3">
        <v>5</v>
      </c>
    </row>
    <row r="24" spans="1:14" ht="15.75" thickBot="1" x14ac:dyDescent="0.3">
      <c r="A24" s="19"/>
      <c r="B24" s="20" t="s">
        <v>31</v>
      </c>
      <c r="C24" s="30">
        <f>SUM(C19:C22)</f>
        <v>-405000</v>
      </c>
      <c r="D24" s="34">
        <f>SUM(D15:D19)</f>
        <v>41050</v>
      </c>
      <c r="E24" s="21">
        <f>SUM(E15:E19)</f>
        <v>54770</v>
      </c>
      <c r="F24" s="22">
        <f>SUM(F15:F19)</f>
        <v>58778</v>
      </c>
      <c r="G24" s="39">
        <f>SUM(G15:G19)</f>
        <v>70901.72</v>
      </c>
      <c r="H24" s="34">
        <f>SUM(H15:H19)</f>
        <v>72600.754399999991</v>
      </c>
      <c r="I24" s="30">
        <f>SUM(I15:I22)</f>
        <v>22633.769488000005</v>
      </c>
      <c r="J24" s="34">
        <f>SUM(J15:J20)</f>
        <v>76101.44487775999</v>
      </c>
      <c r="K24" s="30">
        <f>SUM(K15:K19)</f>
        <v>77904.473775315186</v>
      </c>
      <c r="L24" s="34">
        <f>SUM(L15:L19)</f>
        <v>79743.563250821491</v>
      </c>
      <c r="M24" s="43">
        <f>SUM(M15:M23)</f>
        <v>403763.79681678076</v>
      </c>
      <c r="N24" s="3">
        <v>6</v>
      </c>
    </row>
    <row r="26" spans="1:14" x14ac:dyDescent="0.25">
      <c r="A26" t="s">
        <v>32</v>
      </c>
      <c r="B26" s="60">
        <f>NPV(0.13,C24:M24)</f>
        <v>14035.247959484877</v>
      </c>
      <c r="D26" t="s">
        <v>33</v>
      </c>
    </row>
    <row r="28" spans="1:14" x14ac:dyDescent="0.25">
      <c r="A28" s="2" t="s">
        <v>18</v>
      </c>
    </row>
    <row r="29" spans="1:14" x14ac:dyDescent="0.25">
      <c r="A29" t="s">
        <v>36</v>
      </c>
    </row>
    <row r="30" spans="1:14" x14ac:dyDescent="0.25">
      <c r="A30" t="s">
        <v>37</v>
      </c>
    </row>
    <row r="31" spans="1:14" x14ac:dyDescent="0.25">
      <c r="A31" t="s">
        <v>38</v>
      </c>
    </row>
    <row r="32" spans="1:14" x14ac:dyDescent="0.25">
      <c r="A32" t="s">
        <v>39</v>
      </c>
    </row>
    <row r="33" spans="1:1" x14ac:dyDescent="0.25">
      <c r="A33" t="s">
        <v>40</v>
      </c>
    </row>
    <row r="34" spans="1:1" x14ac:dyDescent="0.25">
      <c r="A34" t="s">
        <v>41</v>
      </c>
    </row>
    <row r="36" spans="1:1" x14ac:dyDescent="0.25">
      <c r="A36" t="s">
        <v>42</v>
      </c>
    </row>
    <row r="37" spans="1:1" x14ac:dyDescent="0.25">
      <c r="A37" t="s">
        <v>43</v>
      </c>
    </row>
    <row r="38" spans="1:1" x14ac:dyDescent="0.25">
      <c r="A38" t="s">
        <v>44</v>
      </c>
    </row>
    <row r="39" spans="1:1" x14ac:dyDescent="0.25">
      <c r="A39" t="s">
        <v>45</v>
      </c>
    </row>
    <row r="40" spans="1:1" x14ac:dyDescent="0.25">
      <c r="A40" s="15" t="s">
        <v>46</v>
      </c>
    </row>
    <row r="41" spans="1:1" x14ac:dyDescent="0.25">
      <c r="A41" s="14" t="s">
        <v>47</v>
      </c>
    </row>
    <row r="42" spans="1:1" x14ac:dyDescent="0.25">
      <c r="A42" s="14" t="s">
        <v>48</v>
      </c>
    </row>
    <row r="43" spans="1:1" x14ac:dyDescent="0.25">
      <c r="A43" s="14" t="s">
        <v>49</v>
      </c>
    </row>
  </sheetData>
  <mergeCells count="10">
    <mergeCell ref="A1:M1"/>
    <mergeCell ref="C3:M3"/>
    <mergeCell ref="B3:B4"/>
    <mergeCell ref="A3:A4"/>
    <mergeCell ref="N3:N4"/>
    <mergeCell ref="A2:M2"/>
    <mergeCell ref="A7:A8"/>
    <mergeCell ref="A9:A12"/>
    <mergeCell ref="A20:A22"/>
    <mergeCell ref="A16:A18"/>
  </mergeCells>
  <printOptions horizontalCentered="1"/>
  <pageMargins left="0" right="0" top="0" bottom="0" header="0" footer="0"/>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topLeftCell="A2" workbookViewId="0">
      <selection activeCell="F31" sqref="F31"/>
    </sheetView>
  </sheetViews>
  <sheetFormatPr baseColWidth="10" defaultRowHeight="15" x14ac:dyDescent="0.25"/>
  <cols>
    <col min="1" max="1" width="9.85546875" bestFit="1" customWidth="1"/>
    <col min="2" max="2" width="23.140625" bestFit="1" customWidth="1"/>
    <col min="3" max="3" width="18.42578125" customWidth="1"/>
    <col min="4" max="4" width="19.140625" customWidth="1"/>
    <col min="5" max="5" width="16.28515625" customWidth="1"/>
    <col min="6" max="6" width="15.28515625" customWidth="1"/>
    <col min="7" max="7" width="15.140625" customWidth="1"/>
    <col min="8" max="8" width="18.28515625" customWidth="1"/>
    <col min="9" max="9" width="51.28515625" bestFit="1" customWidth="1"/>
  </cols>
  <sheetData>
    <row r="1" spans="1:9" ht="18.75" hidden="1" x14ac:dyDescent="0.3">
      <c r="H1" s="94"/>
      <c r="I1" s="94"/>
    </row>
    <row r="2" spans="1:9" ht="18" customHeight="1" x14ac:dyDescent="0.25">
      <c r="A2" s="103" t="s">
        <v>69</v>
      </c>
      <c r="B2" s="104"/>
      <c r="C2" s="104"/>
      <c r="D2" s="104"/>
      <c r="E2" s="104"/>
      <c r="F2" s="104"/>
      <c r="G2" s="104"/>
      <c r="H2" s="104"/>
      <c r="I2" s="104"/>
    </row>
    <row r="3" spans="1:9" ht="16.5" customHeight="1" x14ac:dyDescent="0.25">
      <c r="A3" s="100"/>
      <c r="B3" s="101"/>
      <c r="C3" s="101"/>
      <c r="D3" s="101"/>
      <c r="E3" s="101"/>
      <c r="F3" s="101"/>
      <c r="G3" s="101"/>
      <c r="H3" s="101"/>
    </row>
    <row r="4" spans="1:9" x14ac:dyDescent="0.25">
      <c r="A4" s="102" t="s">
        <v>7</v>
      </c>
      <c r="B4" s="102" t="s">
        <v>8</v>
      </c>
      <c r="C4" s="102" t="s">
        <v>6</v>
      </c>
      <c r="D4" s="102"/>
      <c r="E4" s="102"/>
      <c r="F4" s="102"/>
      <c r="G4" s="102"/>
      <c r="H4" s="102"/>
      <c r="I4" s="71"/>
    </row>
    <row r="5" spans="1:9" x14ac:dyDescent="0.25">
      <c r="A5" s="102"/>
      <c r="B5" s="102"/>
      <c r="C5" s="49">
        <v>0</v>
      </c>
      <c r="D5" s="49">
        <v>1</v>
      </c>
      <c r="E5" s="49">
        <v>2</v>
      </c>
      <c r="F5" s="49">
        <v>3</v>
      </c>
      <c r="G5" s="49">
        <v>4</v>
      </c>
      <c r="H5" s="49">
        <v>5</v>
      </c>
      <c r="I5" s="72"/>
    </row>
    <row r="6" spans="1:9" x14ac:dyDescent="0.25">
      <c r="A6" s="53">
        <v>1</v>
      </c>
      <c r="B6" s="50" t="s">
        <v>50</v>
      </c>
      <c r="C6" s="47"/>
      <c r="D6" s="47">
        <v>1500</v>
      </c>
      <c r="E6" s="47">
        <f>D6*$C30</f>
        <v>1545</v>
      </c>
      <c r="F6" s="47">
        <f>E6*$C30</f>
        <v>1591.3500000000001</v>
      </c>
      <c r="G6" s="47">
        <f>F6*$C30</f>
        <v>1639.0905000000002</v>
      </c>
      <c r="H6" s="47">
        <f>G6*$C30</f>
        <v>1688.2632150000004</v>
      </c>
      <c r="I6" s="44"/>
    </row>
    <row r="7" spans="1:9" x14ac:dyDescent="0.25">
      <c r="A7" s="97">
        <v>2</v>
      </c>
      <c r="B7" s="61" t="s">
        <v>10</v>
      </c>
      <c r="C7" s="62"/>
      <c r="D7" s="62">
        <v>130</v>
      </c>
      <c r="E7" s="62">
        <f>D7*$D30</f>
        <v>132.6</v>
      </c>
      <c r="F7" s="62">
        <f>E7*$D30</f>
        <v>135.25200000000001</v>
      </c>
      <c r="G7" s="62">
        <f>F7*$D30</f>
        <v>137.95704000000001</v>
      </c>
      <c r="H7" s="62">
        <f>G7*$D30</f>
        <v>140.71618080000002</v>
      </c>
      <c r="I7" s="44"/>
    </row>
    <row r="8" spans="1:9" x14ac:dyDescent="0.25">
      <c r="A8" s="97"/>
      <c r="B8" s="4" t="s">
        <v>65</v>
      </c>
      <c r="C8" s="47"/>
      <c r="D8" s="47">
        <f>D6*D7</f>
        <v>195000</v>
      </c>
      <c r="E8" s="47">
        <f t="shared" ref="E8:H8" si="0">E6*E7</f>
        <v>204867</v>
      </c>
      <c r="F8" s="47">
        <f t="shared" si="0"/>
        <v>215233.27020000003</v>
      </c>
      <c r="G8" s="47">
        <f t="shared" si="0"/>
        <v>226124.07367212005</v>
      </c>
      <c r="H8" s="47">
        <f t="shared" si="0"/>
        <v>237565.95179992935</v>
      </c>
      <c r="I8" s="44"/>
    </row>
    <row r="9" spans="1:9" x14ac:dyDescent="0.25">
      <c r="A9" s="97">
        <v>3</v>
      </c>
      <c r="B9" s="50" t="s">
        <v>52</v>
      </c>
      <c r="C9" s="47"/>
      <c r="D9" s="47">
        <v>-90000</v>
      </c>
      <c r="E9" s="47">
        <v>-90000</v>
      </c>
      <c r="F9" s="47">
        <v>-90000</v>
      </c>
      <c r="G9" s="47">
        <v>-90000</v>
      </c>
      <c r="H9" s="47">
        <v>-90000</v>
      </c>
      <c r="I9" s="44"/>
    </row>
    <row r="10" spans="1:9" x14ac:dyDescent="0.25">
      <c r="A10" s="97"/>
      <c r="B10" s="50" t="s">
        <v>53</v>
      </c>
      <c r="C10" s="47"/>
      <c r="D10" s="47">
        <f>-50*(D8/D6)</f>
        <v>-6500</v>
      </c>
      <c r="E10" s="47">
        <f t="shared" ref="E10:H10" si="1">-50*(E8/E6)</f>
        <v>-6630</v>
      </c>
      <c r="F10" s="47">
        <f t="shared" si="1"/>
        <v>-6762.6</v>
      </c>
      <c r="G10" s="47">
        <f t="shared" si="1"/>
        <v>-6897.8520000000008</v>
      </c>
      <c r="H10" s="47">
        <f t="shared" si="1"/>
        <v>-7035.809040000001</v>
      </c>
      <c r="I10" s="44"/>
    </row>
    <row r="11" spans="1:9" x14ac:dyDescent="0.25">
      <c r="A11" s="97">
        <v>4</v>
      </c>
      <c r="B11" s="50" t="s">
        <v>57</v>
      </c>
      <c r="C11" s="47"/>
      <c r="D11" s="47">
        <v>-16000</v>
      </c>
      <c r="E11" s="47">
        <v>-16000</v>
      </c>
      <c r="F11" s="47">
        <v>-16000</v>
      </c>
      <c r="G11" s="47">
        <v>-16000</v>
      </c>
      <c r="H11" s="47">
        <v>-16000</v>
      </c>
      <c r="I11" s="44"/>
    </row>
    <row r="12" spans="1:9" x14ac:dyDescent="0.25">
      <c r="A12" s="97"/>
      <c r="B12" s="50" t="s">
        <v>58</v>
      </c>
      <c r="C12" s="47"/>
      <c r="D12" s="47">
        <v>-10166.67</v>
      </c>
      <c r="E12" s="47">
        <v>-10166.67</v>
      </c>
      <c r="F12" s="47">
        <v>-10166.67</v>
      </c>
      <c r="G12" s="47">
        <v>-10166.67</v>
      </c>
      <c r="H12" s="47">
        <v>-10166.67</v>
      </c>
      <c r="I12" s="44"/>
    </row>
    <row r="13" spans="1:9" x14ac:dyDescent="0.25">
      <c r="A13" s="97"/>
      <c r="B13" s="50" t="s">
        <v>60</v>
      </c>
      <c r="C13" s="47"/>
      <c r="D13" s="47"/>
      <c r="E13" s="47"/>
      <c r="F13" s="47"/>
      <c r="G13" s="47"/>
      <c r="H13" s="47">
        <v>0</v>
      </c>
      <c r="I13" s="44"/>
    </row>
    <row r="14" spans="1:9" x14ac:dyDescent="0.25">
      <c r="A14" s="97"/>
      <c r="B14" s="50" t="s">
        <v>59</v>
      </c>
      <c r="C14" s="47"/>
      <c r="D14" s="47"/>
      <c r="E14" s="47"/>
      <c r="F14" s="47"/>
      <c r="G14" s="47"/>
      <c r="H14" s="47">
        <v>40000</v>
      </c>
      <c r="I14" s="44"/>
    </row>
    <row r="15" spans="1:9" x14ac:dyDescent="0.25">
      <c r="A15" s="98" t="s">
        <v>20</v>
      </c>
      <c r="B15" s="98"/>
      <c r="C15" s="59"/>
      <c r="D15" s="59">
        <f>D6+D8+D9+D10+D11+D12</f>
        <v>73833.33</v>
      </c>
      <c r="E15" s="59">
        <f>E6+E8+E9+E10+E11+E12</f>
        <v>83615.33</v>
      </c>
      <c r="F15" s="59">
        <f t="shared" ref="F15:G15" si="2">F6+F8+F9+F10+F11+F12</f>
        <v>93895.35020000003</v>
      </c>
      <c r="G15" s="59">
        <f t="shared" si="2"/>
        <v>104698.64217212005</v>
      </c>
      <c r="H15" s="59">
        <f>H6+H8+H9+H10+H11+H12+H13+H14</f>
        <v>156051.73597492935</v>
      </c>
      <c r="I15" s="44"/>
    </row>
    <row r="16" spans="1:9" x14ac:dyDescent="0.25">
      <c r="A16" s="54">
        <v>5</v>
      </c>
      <c r="B16" s="51" t="s">
        <v>61</v>
      </c>
      <c r="C16" s="48"/>
      <c r="D16" s="48">
        <v>0.83</v>
      </c>
      <c r="E16" s="48">
        <v>0.83</v>
      </c>
      <c r="F16" s="48">
        <v>0.83</v>
      </c>
      <c r="G16" s="48">
        <v>0.83</v>
      </c>
      <c r="H16" s="48">
        <v>0.83</v>
      </c>
      <c r="I16" s="13"/>
    </row>
    <row r="17" spans="1:9" x14ac:dyDescent="0.25">
      <c r="A17" s="98" t="s">
        <v>62</v>
      </c>
      <c r="B17" s="98"/>
      <c r="C17" s="59"/>
      <c r="D17" s="59">
        <f>D15*D16</f>
        <v>61281.6639</v>
      </c>
      <c r="E17" s="59">
        <f t="shared" ref="E17:H17" si="3">E15*E16</f>
        <v>69400.723899999997</v>
      </c>
      <c r="F17" s="59">
        <f t="shared" si="3"/>
        <v>77933.140666000021</v>
      </c>
      <c r="G17" s="59">
        <f t="shared" si="3"/>
        <v>86899.873002859633</v>
      </c>
      <c r="H17" s="59">
        <f t="shared" si="3"/>
        <v>129522.94085919135</v>
      </c>
      <c r="I17" s="13"/>
    </row>
    <row r="18" spans="1:9" x14ac:dyDescent="0.25">
      <c r="A18" s="99">
        <v>4</v>
      </c>
      <c r="B18" s="51" t="s">
        <v>64</v>
      </c>
      <c r="C18" s="48"/>
      <c r="D18" s="48">
        <v>16000</v>
      </c>
      <c r="E18" s="48">
        <v>16000</v>
      </c>
      <c r="F18" s="48">
        <v>16000</v>
      </c>
      <c r="G18" s="48">
        <v>16000</v>
      </c>
      <c r="H18" s="48">
        <v>16000</v>
      </c>
      <c r="I18" s="13"/>
    </row>
    <row r="19" spans="1:9" x14ac:dyDescent="0.25">
      <c r="A19" s="99"/>
      <c r="B19" s="51" t="s">
        <v>63</v>
      </c>
      <c r="C19" s="48"/>
      <c r="D19" s="48">
        <v>10166.67</v>
      </c>
      <c r="E19" s="48">
        <v>10166.67</v>
      </c>
      <c r="F19" s="48">
        <v>10166.67</v>
      </c>
      <c r="G19" s="48">
        <v>10166.67</v>
      </c>
      <c r="H19" s="48">
        <v>10166.67</v>
      </c>
      <c r="I19" s="13"/>
    </row>
    <row r="20" spans="1:9" x14ac:dyDescent="0.25">
      <c r="A20" s="99"/>
      <c r="B20" s="51" t="s">
        <v>54</v>
      </c>
      <c r="C20" s="48">
        <v>-30500</v>
      </c>
      <c r="D20" s="48"/>
      <c r="E20" s="48"/>
      <c r="F20" s="48">
        <v>-30500</v>
      </c>
      <c r="G20" s="48"/>
      <c r="H20" s="48"/>
      <c r="I20" s="13"/>
    </row>
    <row r="21" spans="1:9" x14ac:dyDescent="0.25">
      <c r="A21" s="99"/>
      <c r="B21" s="50" t="s">
        <v>56</v>
      </c>
      <c r="C21" s="47">
        <v>-80000</v>
      </c>
      <c r="D21" s="47"/>
      <c r="E21" s="47"/>
      <c r="F21" s="47"/>
      <c r="G21" s="47"/>
      <c r="H21" s="47">
        <v>-80000</v>
      </c>
      <c r="I21" s="44"/>
    </row>
    <row r="22" spans="1:9" x14ac:dyDescent="0.25">
      <c r="A22" s="99"/>
      <c r="B22" s="51" t="s">
        <v>55</v>
      </c>
      <c r="C22" s="48">
        <v>-50000</v>
      </c>
      <c r="D22" s="47"/>
      <c r="E22" s="47"/>
      <c r="F22" s="47"/>
      <c r="G22" s="47"/>
      <c r="H22" s="47"/>
      <c r="I22" s="44"/>
    </row>
    <row r="23" spans="1:9" x14ac:dyDescent="0.25">
      <c r="A23" s="54">
        <v>6</v>
      </c>
      <c r="B23" s="51" t="s">
        <v>27</v>
      </c>
      <c r="C23" s="48">
        <f>(D9+D10)/2</f>
        <v>-48250</v>
      </c>
      <c r="D23" s="47">
        <f>(E9+E10)/2-C23</f>
        <v>-65</v>
      </c>
      <c r="E23" s="47">
        <f>(F9+F10)/2-D23-C23</f>
        <v>-66.30000000000291</v>
      </c>
      <c r="F23" s="47">
        <f>(G9+G10)/2-E23-D23-C23</f>
        <v>-67.625999999996566</v>
      </c>
      <c r="G23" s="47">
        <f>(H9+H10)/2-F23-E23-D23-C23</f>
        <v>-68.97852000000421</v>
      </c>
      <c r="H23" s="47">
        <f>-(C23+D23+E23+F23+G23)</f>
        <v>48517.904520000004</v>
      </c>
      <c r="I23" s="68" t="s">
        <v>72</v>
      </c>
    </row>
    <row r="24" spans="1:9" x14ac:dyDescent="0.25">
      <c r="A24" s="54">
        <v>7</v>
      </c>
      <c r="B24" s="51" t="s">
        <v>30</v>
      </c>
      <c r="C24" s="48"/>
      <c r="D24" s="47"/>
      <c r="E24" s="47"/>
      <c r="F24" s="47"/>
      <c r="G24" s="47"/>
      <c r="H24" s="47">
        <f>80000+(D11+E11+F11+G11+H11)+10500+(G12+H12)+50000</f>
        <v>40166.660000000003</v>
      </c>
      <c r="I24" s="68" t="s">
        <v>71</v>
      </c>
    </row>
    <row r="25" spans="1:9" x14ac:dyDescent="0.25">
      <c r="A25" s="95" t="s">
        <v>31</v>
      </c>
      <c r="B25" s="96"/>
      <c r="C25" s="52">
        <f>C20+C21+C22+C23</f>
        <v>-208750</v>
      </c>
      <c r="D25" s="52">
        <f>SUM(D17:D23)</f>
        <v>87383.333899999998</v>
      </c>
      <c r="E25" s="52">
        <f>SUM(E17:E23)</f>
        <v>95501.093899999993</v>
      </c>
      <c r="F25" s="52">
        <f>SUM(F17:F23)</f>
        <v>73532.184666000016</v>
      </c>
      <c r="G25" s="52">
        <f>SUM(G17:G23)</f>
        <v>112997.56448285963</v>
      </c>
      <c r="H25" s="52">
        <f>SUM(H17:H24)</f>
        <v>164374.17537919138</v>
      </c>
      <c r="I25" s="44"/>
    </row>
    <row r="26" spans="1:9" ht="4.5" customHeight="1" x14ac:dyDescent="0.25"/>
    <row r="27" spans="1:9" ht="3.75" customHeight="1" thickBot="1" x14ac:dyDescent="0.3"/>
    <row r="28" spans="1:9" ht="15.75" hidden="1" thickBot="1" x14ac:dyDescent="0.3"/>
    <row r="29" spans="1:9" x14ac:dyDescent="0.25">
      <c r="A29" s="2"/>
      <c r="B29" s="63" t="s">
        <v>67</v>
      </c>
      <c r="C29" s="46" t="s">
        <v>66</v>
      </c>
      <c r="D29" s="65" t="s">
        <v>51</v>
      </c>
      <c r="E29" s="46" t="s">
        <v>68</v>
      </c>
    </row>
    <row r="30" spans="1:9" ht="15.75" thickBot="1" x14ac:dyDescent="0.3">
      <c r="B30" s="64">
        <f>NPV(0.2,C25:H25)</f>
        <v>77912.262795749397</v>
      </c>
      <c r="C30" s="45">
        <v>1.03</v>
      </c>
      <c r="D30" s="66">
        <v>1.02</v>
      </c>
      <c r="E30" s="67">
        <f>IRR(C25:H25,16500)</f>
        <v>0.37161826950313781</v>
      </c>
    </row>
    <row r="31" spans="1:9" x14ac:dyDescent="0.25">
      <c r="B31" s="69" t="s">
        <v>74</v>
      </c>
      <c r="E31" s="70" t="s">
        <v>73</v>
      </c>
    </row>
    <row r="32" spans="1:9" ht="111.75" customHeight="1" x14ac:dyDescent="0.25">
      <c r="A32" s="92" t="s">
        <v>70</v>
      </c>
      <c r="B32" s="93"/>
      <c r="C32" s="93"/>
      <c r="D32" s="93"/>
      <c r="E32" s="93"/>
      <c r="F32" s="93"/>
      <c r="G32" s="93"/>
      <c r="H32" s="93"/>
    </row>
    <row r="41" spans="1:1" x14ac:dyDescent="0.25">
      <c r="A41" s="15"/>
    </row>
    <row r="42" spans="1:1" x14ac:dyDescent="0.25">
      <c r="A42" s="14"/>
    </row>
    <row r="43" spans="1:1" x14ac:dyDescent="0.25">
      <c r="A43" s="14"/>
    </row>
    <row r="44" spans="1:1" x14ac:dyDescent="0.25">
      <c r="A44" s="14"/>
    </row>
  </sheetData>
  <mergeCells count="15">
    <mergeCell ref="A32:H32"/>
    <mergeCell ref="H1:I1"/>
    <mergeCell ref="A25:B25"/>
    <mergeCell ref="A9:A10"/>
    <mergeCell ref="A7:A8"/>
    <mergeCell ref="A15:B15"/>
    <mergeCell ref="A11:A14"/>
    <mergeCell ref="A17:B17"/>
    <mergeCell ref="A18:A22"/>
    <mergeCell ref="I4:I5"/>
    <mergeCell ref="A3:H3"/>
    <mergeCell ref="A4:A5"/>
    <mergeCell ref="B4:B5"/>
    <mergeCell ref="C4:H4"/>
    <mergeCell ref="A2:I2"/>
  </mergeCells>
  <printOptions horizontalCentered="1" verticalCentered="1"/>
  <pageMargins left="0.39370078740157483" right="0" top="0" bottom="0" header="0" footer="0"/>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Proyecto</vt:lpstr>
      <vt:lpstr>Flujo de Fondos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Patito</dc:creator>
  <cp:lastModifiedBy>Bruno Curti</cp:lastModifiedBy>
  <cp:lastPrinted>2011-06-28T02:20:16Z</cp:lastPrinted>
  <dcterms:created xsi:type="dcterms:W3CDTF">2011-06-08T23:30:43Z</dcterms:created>
  <dcterms:modified xsi:type="dcterms:W3CDTF">2016-06-07T23:46:13Z</dcterms:modified>
</cp:coreProperties>
</file>