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defaultThemeVersion="166925"/>
  <mc:AlternateContent xmlns:mc="http://schemas.openxmlformats.org/markup-compatibility/2006">
    <mc:Choice Requires="x15">
      <x15ac:absPath xmlns:x15ac="http://schemas.microsoft.com/office/spreadsheetml/2010/11/ac" url="https://cooperunion-my.sharepoint.com/personal/michelle_weng_cooper_edu/Documents/"/>
    </mc:Choice>
  </mc:AlternateContent>
  <xr:revisionPtr revIDLastSave="0" documentId="8_{F884B0B9-9CD4-4583-AD96-0CE88642C153}" xr6:coauthVersionLast="47" xr6:coauthVersionMax="47" xr10:uidLastSave="{00000000-0000-0000-0000-000000000000}"/>
  <bookViews>
    <workbookView xWindow="-120" yWindow="-120" windowWidth="38640" windowHeight="21240" firstSheet="3" activeTab="3" xr2:uid="{02FD3D51-5CE0-534F-AB12-033603F11C97}"/>
  </bookViews>
  <sheets>
    <sheet name="Q1" sheetId="1" r:id="rId1"/>
    <sheet name="Q2" sheetId="2" r:id="rId2"/>
    <sheet name="Q3" sheetId="3" r:id="rId3"/>
    <sheet name="Q4" sheetId="4" r:id="rId4"/>
    <sheet name="Q5" sheetId="5" r:id="rId5"/>
  </sheets>
  <definedNames>
    <definedName name="solver_adj" localSheetId="1" hidden="1">'Q2'!$B$36</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opt" localSheetId="1" hidden="1">'Q2'!$K$40</definedName>
    <definedName name="solver_pre" localSheetId="1" hidden="1">0.000001</definedName>
    <definedName name="solver_rbv" localSheetId="1" hidden="1">1</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118610.76</definedName>
    <definedName name="solver_ver" localSheetId="1"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4" l="1"/>
  <c r="F33" i="4" s="1"/>
  <c r="E21" i="4"/>
  <c r="E35" i="4" s="1"/>
  <c r="F35" i="4" s="1"/>
  <c r="E16" i="4"/>
  <c r="F16" i="4" s="1"/>
  <c r="E17" i="4"/>
  <c r="E15" i="4"/>
  <c r="E34" i="4"/>
  <c r="F34" i="4" s="1"/>
  <c r="E32" i="4"/>
  <c r="E31" i="4"/>
  <c r="E30" i="4"/>
  <c r="F30" i="4" s="1"/>
  <c r="B35" i="4"/>
  <c r="B34" i="4"/>
  <c r="B33" i="4"/>
  <c r="B32" i="4"/>
  <c r="B31" i="4"/>
  <c r="B30" i="4"/>
  <c r="B29" i="4"/>
  <c r="E14" i="4"/>
  <c r="E13" i="4"/>
  <c r="F13" i="4" s="1"/>
  <c r="C24" i="5"/>
  <c r="D20" i="5"/>
  <c r="B24" i="5"/>
  <c r="B7" i="5"/>
  <c r="B8" i="5"/>
  <c r="E17" i="5" s="1"/>
  <c r="E10" i="5"/>
  <c r="E9" i="5"/>
  <c r="F15" i="4"/>
  <c r="F17" i="4"/>
  <c r="F14" i="4"/>
  <c r="B12" i="4"/>
  <c r="B14" i="4"/>
  <c r="B15" i="4"/>
  <c r="B16" i="4"/>
  <c r="B17" i="4"/>
  <c r="B18" i="4"/>
  <c r="B13" i="4"/>
  <c r="F10" i="3"/>
  <c r="B26" i="3"/>
  <c r="E10" i="3"/>
  <c r="D10" i="3"/>
  <c r="B16" i="3"/>
  <c r="C16" i="3" s="1"/>
  <c r="B15" i="3"/>
  <c r="B14" i="3"/>
  <c r="B13" i="3"/>
  <c r="B12" i="3"/>
  <c r="C12" i="3" s="1"/>
  <c r="B11" i="3"/>
  <c r="B10" i="3"/>
  <c r="D27" i="2"/>
  <c r="B22" i="2"/>
  <c r="B23" i="2"/>
  <c r="B24" i="2"/>
  <c r="B25" i="2"/>
  <c r="B26" i="2"/>
  <c r="B21" i="2"/>
  <c r="C27" i="2"/>
  <c r="B27" i="2"/>
  <c r="B26" i="1"/>
  <c r="B25" i="1"/>
  <c r="C26" i="1"/>
  <c r="E17" i="1"/>
  <c r="E18" i="1" s="1"/>
  <c r="H14" i="1" l="1"/>
  <c r="H15" i="1"/>
  <c r="H13" i="1"/>
  <c r="K40" i="2"/>
  <c r="K41" i="2"/>
  <c r="K14" i="2"/>
  <c r="K13" i="2"/>
  <c r="C11" i="3"/>
  <c r="D11" i="3" s="1"/>
  <c r="D12" i="3"/>
  <c r="C13" i="3"/>
  <c r="D13" i="3" s="1"/>
  <c r="C14" i="3"/>
  <c r="D14" i="3"/>
  <c r="C15" i="3"/>
  <c r="D15" i="3"/>
  <c r="D16" i="3"/>
  <c r="B30" i="5"/>
  <c r="C30" i="5" s="1"/>
  <c r="E18" i="4"/>
  <c r="F18" i="4" s="1"/>
  <c r="C25" i="4" s="1"/>
  <c r="B29" i="5"/>
  <c r="C29" i="5" s="1"/>
  <c r="F32" i="4"/>
  <c r="F31" i="4"/>
  <c r="C39" i="4" s="1"/>
  <c r="B27" i="5"/>
  <c r="C27" i="5" s="1"/>
  <c r="B28" i="5"/>
  <c r="C28" i="5" s="1"/>
  <c r="B26" i="5"/>
  <c r="C26" i="5" s="1"/>
  <c r="B25" i="5"/>
  <c r="C25" i="5" s="1"/>
  <c r="F16" i="3" l="1"/>
  <c r="E16" i="3"/>
  <c r="F15" i="3"/>
  <c r="E15" i="3"/>
  <c r="F14" i="3"/>
  <c r="E14" i="3"/>
  <c r="F13" i="3"/>
  <c r="E13" i="3"/>
  <c r="F12" i="3"/>
  <c r="E12" i="3"/>
  <c r="F11" i="3"/>
  <c r="E11" i="3"/>
  <c r="B30" i="3" s="1"/>
  <c r="B21" i="3"/>
  <c r="B33" i="5"/>
  <c r="C31" i="5"/>
  <c r="B38" i="3" l="1"/>
  <c r="C31" i="3"/>
  <c r="C39" i="3"/>
</calcChain>
</file>

<file path=xl/sharedStrings.xml><?xml version="1.0" encoding="utf-8"?>
<sst xmlns="http://schemas.openxmlformats.org/spreadsheetml/2006/main" count="183" uniqueCount="114">
  <si>
    <t>Q1</t>
  </si>
  <si>
    <t xml:space="preserve">i </t>
  </si>
  <si>
    <t>/yr-yr</t>
  </si>
  <si>
    <t>m</t>
  </si>
  <si>
    <t>yrs</t>
  </si>
  <si>
    <t>Design A</t>
  </si>
  <si>
    <t>Design B</t>
  </si>
  <si>
    <t>Design C</t>
  </si>
  <si>
    <t>First cost</t>
  </si>
  <si>
    <t>Economic Lf</t>
  </si>
  <si>
    <t>SV</t>
  </si>
  <si>
    <t>OC/yr</t>
  </si>
  <si>
    <t>Maint./yr</t>
  </si>
  <si>
    <t>PWA=</t>
  </si>
  <si>
    <t>100000+100000(P/F,6,3)+25000(P/A,6,6)+15000(P/A,6,6)</t>
  </si>
  <si>
    <t>=</t>
  </si>
  <si>
    <t xml:space="preserve">Sensitivity Analysis- determines the effect on the PW based on input variables </t>
  </si>
  <si>
    <t>PWB=</t>
  </si>
  <si>
    <t>150000-10000(P/F,6,6)+10000(P/A,6,6)+7500(P/A,6,6)</t>
  </si>
  <si>
    <t>Cost-wise, choose Design B.</t>
  </si>
  <si>
    <t>PWC=</t>
  </si>
  <si>
    <t>225000-MV6(P/F,6,6)+5000(P/A,6,6)+6000(P/A,6,6)</t>
  </si>
  <si>
    <t xml:space="preserve">Sensitivity: Design C may be a better choice because OC and Maint. Costs per year may not stay constant (may inflate, for example). In that case, Design C triumps because it has lower OC and Maint at t=0 and would therefore increase less. Other observations is that the first cost of Design C is higher, but it is still the second best option. Additionally, it is also more advantageous because SV is higher and economic life is higher. </t>
  </si>
  <si>
    <t>BV6=</t>
  </si>
  <si>
    <t>225000-(6/9)(225000-25000)</t>
  </si>
  <si>
    <t>MV6=</t>
  </si>
  <si>
    <t>BV6*0.7</t>
  </si>
  <si>
    <t xml:space="preserve"> </t>
  </si>
  <si>
    <t>Design B, the selected design assumed MV6=BV6*0.7. It's not a guarantee that the market to book ratio would always be constant. Market value usually exponentially decreases while Book value is a linear regression. As a result, for the prediction to work, the market value has to be not radically decreasing in the future (t=6-9). How would you know if market value is not radically decreasing in that timeframe, well, that's probably another type of qualitative or quantitative analysis.</t>
  </si>
  <si>
    <t>(P/F,i,n) = (1+i)^(-n)</t>
  </si>
  <si>
    <t>(P/A,i,n) = [(1+i)^n-1]/[i(1+i)^n)</t>
  </si>
  <si>
    <t>n</t>
  </si>
  <si>
    <t>(P/F,6,n)</t>
  </si>
  <si>
    <t>(P/A,6,n)</t>
  </si>
  <si>
    <t>--</t>
  </si>
  <si>
    <t>Q2</t>
  </si>
  <si>
    <t>i</t>
  </si>
  <si>
    <t xml:space="preserve">m </t>
  </si>
  <si>
    <t>Design X</t>
  </si>
  <si>
    <t>Design Y</t>
  </si>
  <si>
    <t>EUACX=</t>
  </si>
  <si>
    <t>300000(A/P,6,7)-15000(A/F,6,7)+[75000(P/F,6,1)+75000(P/F,6,2)+…+75000(P/F,6,7)]*(A/P,6,7)</t>
  </si>
  <si>
    <t>EUACY=</t>
  </si>
  <si>
    <t>500000(A/P,6,7)-50000(A/F,6,7)+[35000(P/F,6,1)+35000(P/F,6,2)+…+35000(P/F,6,7)]*(A/P,6,7)</t>
  </si>
  <si>
    <t>Design X&gt;Design Y</t>
  </si>
  <si>
    <t>(A/P,i,n) = [i(1+i)^n]/ [(1+i)^n-1]</t>
  </si>
  <si>
    <t>(A/F,i,n) = i/[(1+i)^n-1]</t>
  </si>
  <si>
    <t>(A/P,6,n)</t>
  </si>
  <si>
    <t>(A/F,6,n)</t>
  </si>
  <si>
    <t>What causes break even to occur</t>
  </si>
  <si>
    <t>Q3</t>
  </si>
  <si>
    <t>Tax Rate</t>
  </si>
  <si>
    <t>MARR</t>
  </si>
  <si>
    <t>*parenthesis indicates a negative value (excel put it on its own, can't get rid of it)</t>
  </si>
  <si>
    <t>Net Cash Flow</t>
  </si>
  <si>
    <t>Deducted (B10:B16*$B$3)</t>
  </si>
  <si>
    <t>Part a) Leftover</t>
  </si>
  <si>
    <t>Part b)</t>
  </si>
  <si>
    <t>Part c)</t>
  </si>
  <si>
    <t>Part a)</t>
  </si>
  <si>
    <t>IRR=IRR(D10:D16)</t>
  </si>
  <si>
    <t>IRR&gt;MARR so, this product is worth marketing</t>
  </si>
  <si>
    <t>higher by interest</t>
  </si>
  <si>
    <t>so</t>
  </si>
  <si>
    <t>Leftover*1.1</t>
  </si>
  <si>
    <t>IRR = IRR(E10:E16)</t>
  </si>
  <si>
    <t>How much of an increase from part a?</t>
  </si>
  <si>
    <t>lower by interest</t>
  </si>
  <si>
    <t>Leftover*0.9</t>
  </si>
  <si>
    <t>IRR = IRR(F10:F16)</t>
  </si>
  <si>
    <t>How much of a decrease from part a?</t>
  </si>
  <si>
    <t>Q4</t>
  </si>
  <si>
    <t>MARR part a)</t>
  </si>
  <si>
    <t>part b)</t>
  </si>
  <si>
    <t>Economic lf</t>
  </si>
  <si>
    <t xml:space="preserve">yrs </t>
  </si>
  <si>
    <t>First Cost</t>
  </si>
  <si>
    <t>SV @ t=4</t>
  </si>
  <si>
    <t>Savings/yr (before tax operating costs)</t>
  </si>
  <si>
    <t>Cash Flow</t>
  </si>
  <si>
    <t>Part a) Net Cash Flow</t>
  </si>
  <si>
    <t>Salvaged + bought again (B7+B6-FirstCost; B6 and B7 taxed)</t>
  </si>
  <si>
    <t>Salvaged BV (P-D*2) + Saving</t>
  </si>
  <si>
    <t>Straight Line Depreciation: D=(First Cost-SV)/n=</t>
  </si>
  <si>
    <t>/yr</t>
  </si>
  <si>
    <t>At yr 6, salvaged 2 years early, so used 85000-D*2</t>
  </si>
  <si>
    <t>(set n=4)</t>
  </si>
  <si>
    <t>IRR = IRR(F19:F25)</t>
  </si>
  <si>
    <t>IRR&gt;MARR so this product is worth marketing/acceptable</t>
  </si>
  <si>
    <t>Part b) After Tax</t>
  </si>
  <si>
    <t xml:space="preserve">Savings </t>
  </si>
  <si>
    <t xml:space="preserve">Savings+ Salvaged + bought again </t>
  </si>
  <si>
    <t>Salvaged + Saving</t>
  </si>
  <si>
    <t>IRR = IRR(G36:G42)</t>
  </si>
  <si>
    <t>Objective: IRR = MARR</t>
  </si>
  <si>
    <t>Q5</t>
  </si>
  <si>
    <t>Tax rate</t>
  </si>
  <si>
    <t>OC/yr= 300000*12</t>
  </si>
  <si>
    <t>SV (t=6)</t>
  </si>
  <si>
    <t>Sales/copy = selling price-retailer cost=0.25-0.05=</t>
  </si>
  <si>
    <t>Variable cost/copy = ink paper cost-ad revenue = 0.10-0.05=</t>
  </si>
  <si>
    <t>25 weekdays in a month</t>
  </si>
  <si>
    <t xml:space="preserve">How many copies per day must be sold to break even? </t>
  </si>
  <si>
    <t>Break even: IRR=MARR</t>
  </si>
  <si>
    <t>Let n = # of copies/day</t>
  </si>
  <si>
    <t>(set n = 10)</t>
  </si>
  <si>
    <t>Revenue/copy = sales-variable cost</t>
  </si>
  <si>
    <t>Revenue/yr = 25 active days/month*12 months/yr*(Revenue/copy)*n copies/day</t>
  </si>
  <si>
    <t>n (copies/day)=</t>
  </si>
  <si>
    <t>NCF (after tax)</t>
  </si>
  <si>
    <t xml:space="preserve">Salvaged BV (P-D*6) + Rev -OC-FirstCost </t>
  </si>
  <si>
    <t>summation</t>
  </si>
  <si>
    <t xml:space="preserve">IRR </t>
  </si>
  <si>
    <t>Note: Apparently IRR is not affected by depreciation so although it was calculated in this problem, it is never really used in NCF (after tax) except in the calculation of BV at t=6 where the press machine is salvaged early by 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</si>
</sst>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font>
      <sz val="12"/>
      <color theme="1"/>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9" fontId="0" fillId="0" borderId="0" xfId="2" applyFont="1"/>
    <xf numFmtId="2" fontId="0" fillId="0" borderId="0" xfId="0" applyNumberFormat="1"/>
    <xf numFmtId="0" fontId="0" fillId="0" borderId="0" xfId="0" quotePrefix="1"/>
    <xf numFmtId="0" fontId="0" fillId="2" borderId="0" xfId="0" applyFill="1"/>
    <xf numFmtId="2" fontId="0" fillId="2" borderId="0" xfId="0" applyNumberFormat="1" applyFill="1"/>
    <xf numFmtId="44" fontId="0" fillId="0" borderId="0" xfId="1" applyFont="1"/>
    <xf numFmtId="44" fontId="0" fillId="0" borderId="0" xfId="0" applyNumberFormat="1"/>
    <xf numFmtId="39" fontId="0" fillId="0" borderId="0" xfId="1" applyNumberFormat="1" applyFont="1"/>
    <xf numFmtId="9" fontId="0" fillId="0" borderId="0" xfId="0" applyNumberFormat="1"/>
    <xf numFmtId="0" fontId="2" fillId="2" borderId="0" xfId="0" applyFont="1" applyFill="1"/>
    <xf numFmtId="9" fontId="2" fillId="2" borderId="0" xfId="0" applyNumberFormat="1" applyFont="1" applyFill="1"/>
    <xf numFmtId="0" fontId="3" fillId="0" borderId="0" xfId="0" applyFont="1"/>
    <xf numFmtId="0" fontId="0" fillId="0" borderId="0" xfId="0" applyAlignment="1">
      <alignment wrapText="1"/>
    </xf>
    <xf numFmtId="10" fontId="0" fillId="0" borderId="0" xfId="2" applyNumberFormat="1" applyFont="1"/>
    <xf numFmtId="1" fontId="2" fillId="2" borderId="0" xfId="0" applyNumberFormat="1" applyFont="1" applyFill="1"/>
    <xf numFmtId="2" fontId="2" fillId="2" borderId="0" xfId="0" applyNumberFormat="1" applyFont="1" applyFill="1"/>
    <xf numFmtId="0" fontId="2" fillId="2" borderId="0" xfId="0" applyFont="1" applyFill="1" applyAlignment="1">
      <alignment wrapText="1"/>
    </xf>
    <xf numFmtId="0" fontId="0" fillId="0" borderId="0" xfId="0" applyAlignment="1">
      <alignment vertical="top" wrapText="1"/>
    </xf>
    <xf numFmtId="0" fontId="0" fillId="0" borderId="0" xfId="0" applyAlignment="1">
      <alignment wrapText="1"/>
    </xf>
    <xf numFmtId="0" fontId="2" fillId="0" borderId="0" xfId="0" applyFont="1" applyAlignment="1">
      <alignment horizontal="center" vertical="top"/>
    </xf>
    <xf numFmtId="0" fontId="0" fillId="0" borderId="0" xfId="0"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199828</xdr:rowOff>
    </xdr:from>
    <xdr:to>
      <xdr:col>3</xdr:col>
      <xdr:colOff>451908</xdr:colOff>
      <xdr:row>22</xdr:row>
      <xdr:rowOff>0</xdr:rowOff>
    </xdr:to>
    <xdr:pic>
      <xdr:nvPicPr>
        <xdr:cNvPr id="2" name="Picture 1">
          <a:extLst>
            <a:ext uri="{FF2B5EF4-FFF2-40B4-BE49-F238E27FC236}">
              <a16:creationId xmlns:a16="http://schemas.microsoft.com/office/drawing/2014/main" id="{17007B57-8D3E-6953-8E95-76E718D331CE}"/>
            </a:ext>
          </a:extLst>
        </xdr:cNvPr>
        <xdr:cNvPicPr>
          <a:picLocks noChangeAspect="1"/>
        </xdr:cNvPicPr>
      </xdr:nvPicPr>
      <xdr:blipFill>
        <a:blip xmlns:r="http://schemas.openxmlformats.org/officeDocument/2006/relationships" r:embed="rId1"/>
        <a:stretch>
          <a:fillRect/>
        </a:stretch>
      </xdr:blipFill>
      <xdr:spPr>
        <a:xfrm>
          <a:off x="2032000" y="4263828"/>
          <a:ext cx="972608" cy="206572"/>
        </a:xfrm>
        <a:prstGeom prst="rect">
          <a:avLst/>
        </a:prstGeom>
      </xdr:spPr>
    </xdr:pic>
    <xdr:clientData/>
  </xdr:twoCellAnchor>
  <xdr:twoCellAnchor editAs="oneCell">
    <xdr:from>
      <xdr:col>2</xdr:col>
      <xdr:colOff>330200</xdr:colOff>
      <xdr:row>22</xdr:row>
      <xdr:rowOff>0</xdr:rowOff>
    </xdr:from>
    <xdr:to>
      <xdr:col>5</xdr:col>
      <xdr:colOff>101600</xdr:colOff>
      <xdr:row>23</xdr:row>
      <xdr:rowOff>19806</xdr:rowOff>
    </xdr:to>
    <xdr:pic>
      <xdr:nvPicPr>
        <xdr:cNvPr id="3" name="Picture 2">
          <a:extLst>
            <a:ext uri="{FF2B5EF4-FFF2-40B4-BE49-F238E27FC236}">
              <a16:creationId xmlns:a16="http://schemas.microsoft.com/office/drawing/2014/main" id="{6FFFD4FF-AAF2-5B1F-D03D-914996C56386}"/>
            </a:ext>
          </a:extLst>
        </xdr:cNvPr>
        <xdr:cNvPicPr>
          <a:picLocks noChangeAspect="1"/>
        </xdr:cNvPicPr>
      </xdr:nvPicPr>
      <xdr:blipFill>
        <a:blip xmlns:r="http://schemas.openxmlformats.org/officeDocument/2006/relationships" r:embed="rId2"/>
        <a:stretch>
          <a:fillRect/>
        </a:stretch>
      </xdr:blipFill>
      <xdr:spPr>
        <a:xfrm>
          <a:off x="2057400" y="4470400"/>
          <a:ext cx="2247900" cy="223006"/>
        </a:xfrm>
        <a:prstGeom prst="rect">
          <a:avLst/>
        </a:prstGeom>
      </xdr:spPr>
    </xdr:pic>
    <xdr:clientData/>
  </xdr:twoCellAnchor>
  <xdr:twoCellAnchor editAs="oneCell">
    <xdr:from>
      <xdr:col>0</xdr:col>
      <xdr:colOff>88748</xdr:colOff>
      <xdr:row>28</xdr:row>
      <xdr:rowOff>186267</xdr:rowOff>
    </xdr:from>
    <xdr:to>
      <xdr:col>6</xdr:col>
      <xdr:colOff>21167</xdr:colOff>
      <xdr:row>49</xdr:row>
      <xdr:rowOff>50800</xdr:rowOff>
    </xdr:to>
    <xdr:pic>
      <xdr:nvPicPr>
        <xdr:cNvPr id="4" name="Picture 3">
          <a:extLst>
            <a:ext uri="{FF2B5EF4-FFF2-40B4-BE49-F238E27FC236}">
              <a16:creationId xmlns:a16="http://schemas.microsoft.com/office/drawing/2014/main" id="{8DA396CD-E77E-5390-8F70-BC629CE56473}"/>
            </a:ext>
          </a:extLst>
        </xdr:cNvPr>
        <xdr:cNvPicPr>
          <a:picLocks noChangeAspect="1"/>
        </xdr:cNvPicPr>
      </xdr:nvPicPr>
      <xdr:blipFill>
        <a:blip xmlns:r="http://schemas.openxmlformats.org/officeDocument/2006/relationships" r:embed="rId3"/>
        <a:stretch>
          <a:fillRect/>
        </a:stretch>
      </xdr:blipFill>
      <xdr:spPr>
        <a:xfrm>
          <a:off x="88748" y="5875867"/>
          <a:ext cx="4978552" cy="4131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747713</xdr:colOff>
      <xdr:row>11</xdr:row>
      <xdr:rowOff>127000</xdr:rowOff>
    </xdr:from>
    <xdr:to>
      <xdr:col>17</xdr:col>
      <xdr:colOff>735013</xdr:colOff>
      <xdr:row>44</xdr:row>
      <xdr:rowOff>88900</xdr:rowOff>
    </xdr:to>
    <xdr:pic>
      <xdr:nvPicPr>
        <xdr:cNvPr id="3" name="Picture 2">
          <a:extLst>
            <a:ext uri="{FF2B5EF4-FFF2-40B4-BE49-F238E27FC236}">
              <a16:creationId xmlns:a16="http://schemas.microsoft.com/office/drawing/2014/main" id="{26109F8E-EF80-F66E-DEDA-59C5E92DB0E7}"/>
            </a:ext>
          </a:extLst>
        </xdr:cNvPr>
        <xdr:cNvPicPr>
          <a:picLocks noChangeAspect="1"/>
        </xdr:cNvPicPr>
      </xdr:nvPicPr>
      <xdr:blipFill>
        <a:blip xmlns:r="http://schemas.openxmlformats.org/officeDocument/2006/relationships" r:embed="rId1"/>
        <a:stretch>
          <a:fillRect/>
        </a:stretch>
      </xdr:blipFill>
      <xdr:spPr>
        <a:xfrm>
          <a:off x="9915526" y="2309813"/>
          <a:ext cx="4987925" cy="65103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662609</xdr:colOff>
      <xdr:row>27</xdr:row>
      <xdr:rowOff>92029</xdr:rowOff>
    </xdr:from>
    <xdr:to>
      <xdr:col>10</xdr:col>
      <xdr:colOff>126034</xdr:colOff>
      <xdr:row>36</xdr:row>
      <xdr:rowOff>66629</xdr:rowOff>
    </xdr:to>
    <xdr:pic>
      <xdr:nvPicPr>
        <xdr:cNvPr id="5" name="Picture 3">
          <a:extLst>
            <a:ext uri="{FF2B5EF4-FFF2-40B4-BE49-F238E27FC236}">
              <a16:creationId xmlns:a16="http://schemas.microsoft.com/office/drawing/2014/main" id="{9F9343A0-0B2B-D551-7060-C27A24261BAA}"/>
            </a:ext>
          </a:extLst>
        </xdr:cNvPr>
        <xdr:cNvPicPr>
          <a:picLocks noChangeAspect="1"/>
        </xdr:cNvPicPr>
      </xdr:nvPicPr>
      <xdr:blipFill>
        <a:blip xmlns:r="http://schemas.openxmlformats.org/officeDocument/2006/relationships" r:embed="rId1"/>
        <a:stretch>
          <a:fillRect/>
        </a:stretch>
      </xdr:blipFill>
      <xdr:spPr>
        <a:xfrm>
          <a:off x="7527971" y="7712029"/>
          <a:ext cx="3454400" cy="222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59765</xdr:colOff>
      <xdr:row>20</xdr:row>
      <xdr:rowOff>104588</xdr:rowOff>
    </xdr:from>
    <xdr:to>
      <xdr:col>8</xdr:col>
      <xdr:colOff>709861</xdr:colOff>
      <xdr:row>29</xdr:row>
      <xdr:rowOff>321422</xdr:rowOff>
    </xdr:to>
    <xdr:pic>
      <xdr:nvPicPr>
        <xdr:cNvPr id="6" name="Picture 4">
          <a:extLst>
            <a:ext uri="{FF2B5EF4-FFF2-40B4-BE49-F238E27FC236}">
              <a16:creationId xmlns:a16="http://schemas.microsoft.com/office/drawing/2014/main" id="{05CF18F5-0723-EEE7-7581-00CC5F8F9E1C}"/>
            </a:ext>
          </a:extLst>
        </xdr:cNvPr>
        <xdr:cNvPicPr>
          <a:picLocks noChangeAspect="1"/>
        </xdr:cNvPicPr>
      </xdr:nvPicPr>
      <xdr:blipFill>
        <a:blip xmlns:r="http://schemas.openxmlformats.org/officeDocument/2006/relationships" r:embed="rId1"/>
        <a:stretch>
          <a:fillRect/>
        </a:stretch>
      </xdr:blipFill>
      <xdr:spPr>
        <a:xfrm>
          <a:off x="4885765" y="6424706"/>
          <a:ext cx="3164696" cy="2017059"/>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6314-588B-B444-B068-1A69B141199D}">
  <sheetPr>
    <pageSetUpPr fitToPage="1"/>
  </sheetPr>
  <dimension ref="A1:O27"/>
  <sheetViews>
    <sheetView topLeftCell="A28" zoomScale="119" workbookViewId="0">
      <selection activeCell="G42" sqref="G42"/>
    </sheetView>
  </sheetViews>
  <sheetFormatPr defaultColWidth="11" defaultRowHeight="15.75"/>
  <cols>
    <col min="1" max="1" width="11.875" customWidth="1"/>
    <col min="8" max="8" width="11.625" bestFit="1" customWidth="1"/>
  </cols>
  <sheetData>
    <row r="1" spans="1:15">
      <c r="A1" t="s">
        <v>0</v>
      </c>
    </row>
    <row r="2" spans="1:15">
      <c r="A2" t="s">
        <v>1</v>
      </c>
      <c r="B2" s="1">
        <v>0.06</v>
      </c>
      <c r="C2" t="s">
        <v>2</v>
      </c>
    </row>
    <row r="3" spans="1:15">
      <c r="A3" t="s">
        <v>3</v>
      </c>
      <c r="B3">
        <v>6</v>
      </c>
      <c r="C3" t="s">
        <v>4</v>
      </c>
    </row>
    <row r="5" spans="1:15">
      <c r="B5" t="s">
        <v>5</v>
      </c>
      <c r="C5" t="s">
        <v>6</v>
      </c>
      <c r="D5" t="s">
        <v>7</v>
      </c>
    </row>
    <row r="6" spans="1:15">
      <c r="A6" t="s">
        <v>8</v>
      </c>
      <c r="B6">
        <v>100000</v>
      </c>
      <c r="C6">
        <v>150000</v>
      </c>
      <c r="D6">
        <v>225000</v>
      </c>
    </row>
    <row r="7" spans="1:15">
      <c r="A7" t="s">
        <v>9</v>
      </c>
      <c r="B7">
        <v>3</v>
      </c>
      <c r="C7">
        <v>6</v>
      </c>
      <c r="D7">
        <v>9</v>
      </c>
    </row>
    <row r="8" spans="1:15">
      <c r="A8" t="s">
        <v>10</v>
      </c>
      <c r="B8">
        <v>0</v>
      </c>
      <c r="C8">
        <v>10000</v>
      </c>
      <c r="D8">
        <v>25000</v>
      </c>
    </row>
    <row r="9" spans="1:15">
      <c r="A9" t="s">
        <v>11</v>
      </c>
      <c r="B9">
        <v>25000</v>
      </c>
      <c r="C9">
        <v>10000</v>
      </c>
      <c r="D9">
        <v>5000</v>
      </c>
    </row>
    <row r="10" spans="1:15">
      <c r="A10" t="s">
        <v>12</v>
      </c>
      <c r="B10">
        <v>15000</v>
      </c>
      <c r="C10">
        <v>7500</v>
      </c>
      <c r="D10">
        <v>6000</v>
      </c>
    </row>
    <row r="13" spans="1:15">
      <c r="A13" t="s">
        <v>13</v>
      </c>
      <c r="B13" t="s">
        <v>14</v>
      </c>
      <c r="G13" s="3" t="s">
        <v>15</v>
      </c>
      <c r="H13" s="2">
        <f>B6+B6*B25+B9*C26+B10*C26</f>
        <v>380654.90134344593</v>
      </c>
      <c r="J13" s="12" t="s">
        <v>16</v>
      </c>
      <c r="K13" s="12"/>
    </row>
    <row r="14" spans="1:15">
      <c r="A14" t="s">
        <v>17</v>
      </c>
      <c r="B14" t="s">
        <v>18</v>
      </c>
      <c r="G14" s="3" t="s">
        <v>15</v>
      </c>
      <c r="H14" s="16">
        <f>C6-C8*B26+C9*C26+C10*C26</f>
        <v>229003.57030069764</v>
      </c>
      <c r="J14" t="s">
        <v>19</v>
      </c>
    </row>
    <row r="15" spans="1:15" ht="15.95" customHeight="1">
      <c r="A15" t="s">
        <v>20</v>
      </c>
      <c r="B15" t="s">
        <v>21</v>
      </c>
      <c r="G15" s="3" t="s">
        <v>15</v>
      </c>
      <c r="H15" s="2">
        <f>D6-E18*B26+D9*C26+D10*C26</f>
        <v>233855.59957451344</v>
      </c>
      <c r="J15" s="18" t="s">
        <v>22</v>
      </c>
      <c r="K15" s="21"/>
      <c r="L15" s="21"/>
      <c r="M15" s="21"/>
      <c r="N15" s="21"/>
      <c r="O15" s="21"/>
    </row>
    <row r="16" spans="1:15">
      <c r="J16" s="21"/>
      <c r="K16" s="21"/>
      <c r="L16" s="21"/>
      <c r="M16" s="21"/>
      <c r="N16" s="21"/>
      <c r="O16" s="21"/>
    </row>
    <row r="17" spans="1:15" ht="15.95" customHeight="1">
      <c r="A17" t="s">
        <v>23</v>
      </c>
      <c r="B17" t="s">
        <v>24</v>
      </c>
      <c r="E17" s="2">
        <f>D6-(C7/D7)*(D6-D8)</f>
        <v>91666.666666666686</v>
      </c>
      <c r="J17" s="21"/>
      <c r="K17" s="21"/>
      <c r="L17" s="21"/>
      <c r="M17" s="21"/>
      <c r="N17" s="21"/>
      <c r="O17" s="21"/>
    </row>
    <row r="18" spans="1:15">
      <c r="A18" t="s">
        <v>25</v>
      </c>
      <c r="B18" t="s">
        <v>26</v>
      </c>
      <c r="E18" s="2">
        <f>E17*0.7</f>
        <v>64166.666666666679</v>
      </c>
      <c r="J18" s="21"/>
      <c r="K18" s="21"/>
      <c r="L18" s="21"/>
      <c r="M18" s="21"/>
      <c r="N18" s="21"/>
      <c r="O18" s="21"/>
    </row>
    <row r="19" spans="1:15">
      <c r="J19" s="21"/>
      <c r="K19" s="21"/>
      <c r="L19" s="21"/>
      <c r="M19" s="21"/>
      <c r="N19" s="21"/>
      <c r="O19" s="21"/>
    </row>
    <row r="20" spans="1:15">
      <c r="H20" t="s">
        <v>27</v>
      </c>
      <c r="J20" s="21"/>
      <c r="K20" s="21"/>
      <c r="L20" s="21"/>
      <c r="M20" s="21"/>
      <c r="N20" s="21"/>
      <c r="O20" s="21"/>
    </row>
    <row r="21" spans="1:15">
      <c r="J21" s="19" t="s">
        <v>28</v>
      </c>
      <c r="K21" s="19"/>
      <c r="L21" s="19"/>
      <c r="M21" s="19"/>
      <c r="N21" s="19"/>
      <c r="O21" s="19"/>
    </row>
    <row r="22" spans="1:15">
      <c r="A22" t="s">
        <v>29</v>
      </c>
      <c r="J22" s="19"/>
      <c r="K22" s="19"/>
      <c r="L22" s="19"/>
      <c r="M22" s="19"/>
      <c r="N22" s="19"/>
      <c r="O22" s="19"/>
    </row>
    <row r="23" spans="1:15">
      <c r="A23" t="s">
        <v>30</v>
      </c>
      <c r="J23" s="19"/>
      <c r="K23" s="19"/>
      <c r="L23" s="19"/>
      <c r="M23" s="19"/>
      <c r="N23" s="19"/>
      <c r="O23" s="19"/>
    </row>
    <row r="24" spans="1:15">
      <c r="A24" t="s">
        <v>31</v>
      </c>
      <c r="B24" t="s">
        <v>32</v>
      </c>
      <c r="C24" t="s">
        <v>33</v>
      </c>
      <c r="J24" s="19"/>
      <c r="K24" s="19"/>
      <c r="L24" s="19"/>
      <c r="M24" s="19"/>
      <c r="N24" s="19"/>
      <c r="O24" s="19"/>
    </row>
    <row r="25" spans="1:15">
      <c r="A25">
        <v>3</v>
      </c>
      <c r="B25">
        <f>(1+$B$2)^(-A25)</f>
        <v>0.8396192830323016</v>
      </c>
      <c r="C25" s="3" t="s">
        <v>34</v>
      </c>
      <c r="J25" s="19"/>
      <c r="K25" s="19"/>
      <c r="L25" s="19"/>
      <c r="M25" s="19"/>
      <c r="N25" s="19"/>
      <c r="O25" s="19"/>
    </row>
    <row r="26" spans="1:15">
      <c r="A26">
        <v>6</v>
      </c>
      <c r="B26">
        <f>(1+$B$2)^(-A26)</f>
        <v>0.70496054043967626</v>
      </c>
      <c r="C26">
        <f>((1+$B$2)^A26-1)/($B$2*(1+$B$2)^A26)</f>
        <v>4.9173243260053949</v>
      </c>
      <c r="J26" s="19"/>
      <c r="K26" s="19"/>
      <c r="L26" s="19"/>
      <c r="M26" s="19"/>
      <c r="N26" s="19"/>
      <c r="O26" s="19"/>
    </row>
    <row r="27" spans="1:15">
      <c r="J27" s="19"/>
      <c r="K27" s="19"/>
      <c r="L27" s="19"/>
      <c r="M27" s="19"/>
      <c r="N27" s="19"/>
      <c r="O27" s="19"/>
    </row>
  </sheetData>
  <mergeCells count="2">
    <mergeCell ref="J15:O20"/>
    <mergeCell ref="J21:O27"/>
  </mergeCells>
  <pageMargins left="0.7" right="0.7" top="0.75" bottom="0.75" header="0.3" footer="0.3"/>
  <pageSetup scale="6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195FC-8A0D-CC43-8F5B-9D51621DF177}">
  <sheetPr>
    <pageSetUpPr fitToPage="1"/>
  </sheetPr>
  <dimension ref="A1:K41"/>
  <sheetViews>
    <sheetView topLeftCell="A9" zoomScale="75" workbookViewId="0">
      <selection activeCell="J38" sqref="J38"/>
    </sheetView>
  </sheetViews>
  <sheetFormatPr defaultColWidth="11" defaultRowHeight="15.75"/>
  <sheetData>
    <row r="1" spans="1:11">
      <c r="A1" t="s">
        <v>35</v>
      </c>
    </row>
    <row r="2" spans="1:11">
      <c r="A2" t="s">
        <v>36</v>
      </c>
      <c r="B2" s="1">
        <v>0.06</v>
      </c>
      <c r="C2" t="s">
        <v>2</v>
      </c>
    </row>
    <row r="3" spans="1:11">
      <c r="A3" t="s">
        <v>37</v>
      </c>
      <c r="B3">
        <v>7</v>
      </c>
      <c r="C3" t="s">
        <v>4</v>
      </c>
    </row>
    <row r="5" spans="1:11">
      <c r="B5" t="s">
        <v>38</v>
      </c>
      <c r="C5" t="s">
        <v>39</v>
      </c>
    </row>
    <row r="6" spans="1:11">
      <c r="A6" t="s">
        <v>8</v>
      </c>
      <c r="B6">
        <v>300000</v>
      </c>
      <c r="C6">
        <v>500000</v>
      </c>
    </row>
    <row r="7" spans="1:11">
      <c r="A7" t="s">
        <v>9</v>
      </c>
      <c r="B7">
        <v>7</v>
      </c>
      <c r="C7">
        <v>7</v>
      </c>
    </row>
    <row r="8" spans="1:11">
      <c r="A8" t="s">
        <v>10</v>
      </c>
      <c r="B8">
        <v>15000</v>
      </c>
      <c r="C8">
        <v>50000</v>
      </c>
    </row>
    <row r="9" spans="1:11">
      <c r="A9" t="s">
        <v>11</v>
      </c>
      <c r="B9">
        <v>50000</v>
      </c>
      <c r="C9">
        <v>25000</v>
      </c>
    </row>
    <row r="10" spans="1:11">
      <c r="A10" t="s">
        <v>12</v>
      </c>
      <c r="B10">
        <v>25000</v>
      </c>
      <c r="C10">
        <v>10000</v>
      </c>
    </row>
    <row r="13" spans="1:11">
      <c r="A13" t="s">
        <v>40</v>
      </c>
      <c r="B13" t="s">
        <v>41</v>
      </c>
      <c r="J13" s="4" t="s">
        <v>15</v>
      </c>
      <c r="K13" s="5">
        <f>B6*$C$27-B8*$D$27+((B9+B10)*$B$21+(B9+B10)*$B$22+(B9+B10)*$B$23+(B9+B10)*$B$24+(B9+B10)*$B$25+(B9+B10)*$B$26+(B9+B10)*$B$27)*$C$27</f>
        <v>126953.48014681795</v>
      </c>
    </row>
    <row r="14" spans="1:11">
      <c r="A14" t="s">
        <v>42</v>
      </c>
      <c r="B14" t="s">
        <v>43</v>
      </c>
      <c r="J14" s="4" t="s">
        <v>15</v>
      </c>
      <c r="K14" s="5">
        <f>C6*$C$27-C8*$D$27+((C9+C10)*$B$21+(C9+C10)*$B$22+(C9+C10)*$B$23+(C9+C10)*$B$24+(C9+C10)*$B$25+(C9+C10)*$B$26+(C9+C10)*$B$27)*$C$27</f>
        <v>118610.75812655478</v>
      </c>
    </row>
    <row r="15" spans="1:11">
      <c r="J15" s="20" t="s">
        <v>44</v>
      </c>
      <c r="K15" s="20"/>
    </row>
    <row r="17" spans="1:4">
      <c r="A17" t="s">
        <v>29</v>
      </c>
    </row>
    <row r="18" spans="1:4">
      <c r="A18" t="s">
        <v>45</v>
      </c>
    </row>
    <row r="19" spans="1:4">
      <c r="A19" t="s">
        <v>46</v>
      </c>
    </row>
    <row r="20" spans="1:4">
      <c r="A20" t="s">
        <v>31</v>
      </c>
      <c r="B20" t="s">
        <v>32</v>
      </c>
      <c r="C20" t="s">
        <v>47</v>
      </c>
      <c r="D20" t="s">
        <v>48</v>
      </c>
    </row>
    <row r="21" spans="1:4">
      <c r="A21">
        <v>1</v>
      </c>
      <c r="B21">
        <f>(1+$B$2)^(-A21)</f>
        <v>0.94339622641509424</v>
      </c>
      <c r="C21" s="3" t="s">
        <v>34</v>
      </c>
      <c r="D21" s="3" t="s">
        <v>34</v>
      </c>
    </row>
    <row r="22" spans="1:4">
      <c r="A22">
        <v>2</v>
      </c>
      <c r="B22">
        <f t="shared" ref="B22:B26" si="0">(1+$B$2)^(-A22)</f>
        <v>0.88999644001423983</v>
      </c>
      <c r="C22" s="3" t="s">
        <v>34</v>
      </c>
      <c r="D22" s="3" t="s">
        <v>34</v>
      </c>
    </row>
    <row r="23" spans="1:4">
      <c r="A23">
        <v>3</v>
      </c>
      <c r="B23">
        <f t="shared" si="0"/>
        <v>0.8396192830323016</v>
      </c>
      <c r="C23" s="3" t="s">
        <v>34</v>
      </c>
      <c r="D23" s="3" t="s">
        <v>34</v>
      </c>
    </row>
    <row r="24" spans="1:4">
      <c r="A24">
        <v>4</v>
      </c>
      <c r="B24">
        <f t="shared" si="0"/>
        <v>0.79209366323802044</v>
      </c>
      <c r="C24" s="3" t="s">
        <v>34</v>
      </c>
      <c r="D24" s="3" t="s">
        <v>34</v>
      </c>
    </row>
    <row r="25" spans="1:4">
      <c r="A25">
        <v>5</v>
      </c>
      <c r="B25">
        <f t="shared" si="0"/>
        <v>0.74725817286605689</v>
      </c>
      <c r="C25" s="3" t="s">
        <v>34</v>
      </c>
      <c r="D25" s="3" t="s">
        <v>34</v>
      </c>
    </row>
    <row r="26" spans="1:4">
      <c r="A26">
        <v>6</v>
      </c>
      <c r="B26">
        <f t="shared" si="0"/>
        <v>0.70496054043967626</v>
      </c>
      <c r="C26" s="3" t="s">
        <v>34</v>
      </c>
      <c r="D26" s="3" t="s">
        <v>34</v>
      </c>
    </row>
    <row r="27" spans="1:4">
      <c r="A27">
        <v>7</v>
      </c>
      <c r="B27">
        <f>(1+$B$2)^(-A27)</f>
        <v>0.66505711362233599</v>
      </c>
      <c r="C27">
        <f>($B$2*(1+$B$2)^A27)/((1+$B$2)^A27-1)</f>
        <v>0.17913501805901069</v>
      </c>
      <c r="D27">
        <f>$B$2/((1+B2)^A27-1)</f>
        <v>0.11913501805901068</v>
      </c>
    </row>
    <row r="31" spans="1:4">
      <c r="A31" t="s">
        <v>49</v>
      </c>
    </row>
    <row r="32" spans="1:4">
      <c r="B32" t="s">
        <v>38</v>
      </c>
      <c r="C32" t="s">
        <v>39</v>
      </c>
    </row>
    <row r="33" spans="1:11">
      <c r="A33" t="s">
        <v>8</v>
      </c>
      <c r="B33">
        <v>300000</v>
      </c>
      <c r="C33">
        <v>500000</v>
      </c>
    </row>
    <row r="34" spans="1:11">
      <c r="A34" t="s">
        <v>9</v>
      </c>
      <c r="B34">
        <v>7</v>
      </c>
      <c r="C34">
        <v>7</v>
      </c>
    </row>
    <row r="35" spans="1:11">
      <c r="A35" t="s">
        <v>10</v>
      </c>
      <c r="B35">
        <v>15000</v>
      </c>
      <c r="C35">
        <v>50000</v>
      </c>
    </row>
    <row r="36" spans="1:11">
      <c r="A36" s="10" t="s">
        <v>11</v>
      </c>
      <c r="B36" s="10">
        <v>41657.279852182051</v>
      </c>
      <c r="C36">
        <v>25000</v>
      </c>
    </row>
    <row r="37" spans="1:11">
      <c r="A37" t="s">
        <v>12</v>
      </c>
      <c r="B37">
        <v>25000</v>
      </c>
      <c r="C37">
        <v>10000</v>
      </c>
    </row>
    <row r="40" spans="1:11">
      <c r="A40" t="s">
        <v>40</v>
      </c>
      <c r="B40" t="s">
        <v>41</v>
      </c>
      <c r="J40" t="s">
        <v>15</v>
      </c>
      <c r="K40" s="2">
        <f>B33*$C$27-B35*$D$27+((B36+B37)*$B$21+(B36+B37)*$B$22+(B36+B37)*$B$23+(B36+B37)*$B$24+(B36+B37)*$B$25+(B36+B37)*$B$26+(B36+B37)*$B$27)*$C$27</f>
        <v>118610.759999</v>
      </c>
    </row>
    <row r="41" spans="1:11">
      <c r="A41" t="s">
        <v>42</v>
      </c>
      <c r="B41" t="s">
        <v>43</v>
      </c>
      <c r="J41" t="s">
        <v>15</v>
      </c>
      <c r="K41" s="2">
        <f>C33*$C$27-C35*$D$27+((C36+C37)*$B$21+(C36+C37)*$B$22+(C36+C37)*$B$23+(C36+C37)*$B$24+(C36+C37)*$B$25+(C36+C37)*$B$26+(C36+C37)*$B$27)*$C$27</f>
        <v>118610.75812655478</v>
      </c>
    </row>
  </sheetData>
  <mergeCells count="1">
    <mergeCell ref="J15:K15"/>
  </mergeCells>
  <pageMargins left="0.7" right="0.7" top="0.75" bottom="0.75" header="0.3" footer="0.3"/>
  <pageSetup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E6E2A-95DB-7241-A02D-F923EFC682B4}">
  <sheetPr>
    <pageSetUpPr fitToPage="1"/>
  </sheetPr>
  <dimension ref="A1:I39"/>
  <sheetViews>
    <sheetView zoomScale="85" workbookViewId="0">
      <selection activeCell="D36" sqref="D36"/>
    </sheetView>
  </sheetViews>
  <sheetFormatPr defaultColWidth="11" defaultRowHeight="15.75"/>
  <cols>
    <col min="1" max="1" width="16.5" customWidth="1"/>
    <col min="2" max="2" width="16" customWidth="1"/>
    <col min="3" max="3" width="22.5" customWidth="1"/>
    <col min="4" max="4" width="15.625" bestFit="1" customWidth="1"/>
    <col min="5" max="5" width="16.125" customWidth="1"/>
    <col min="6" max="6" width="16.875" customWidth="1"/>
    <col min="8" max="8" width="18.375" customWidth="1"/>
  </cols>
  <sheetData>
    <row r="1" spans="1:9">
      <c r="A1" t="s">
        <v>50</v>
      </c>
    </row>
    <row r="3" spans="1:9">
      <c r="A3" t="s">
        <v>51</v>
      </c>
      <c r="B3" s="1">
        <v>0.21</v>
      </c>
    </row>
    <row r="4" spans="1:9">
      <c r="A4" t="s">
        <v>52</v>
      </c>
      <c r="B4" s="1">
        <v>0.1</v>
      </c>
    </row>
    <row r="5" spans="1:9">
      <c r="A5" t="s">
        <v>37</v>
      </c>
      <c r="B5">
        <v>6</v>
      </c>
      <c r="C5" t="s">
        <v>4</v>
      </c>
    </row>
    <row r="8" spans="1:9">
      <c r="A8" t="s">
        <v>53</v>
      </c>
    </row>
    <row r="9" spans="1:9">
      <c r="A9" t="s">
        <v>31</v>
      </c>
      <c r="B9" t="s">
        <v>54</v>
      </c>
      <c r="C9" t="s">
        <v>55</v>
      </c>
      <c r="D9" t="s">
        <v>56</v>
      </c>
      <c r="E9" t="s">
        <v>57</v>
      </c>
      <c r="F9" t="s">
        <v>58</v>
      </c>
      <c r="G9" s="3"/>
      <c r="I9" s="3"/>
    </row>
    <row r="10" spans="1:9">
      <c r="A10">
        <v>0</v>
      </c>
      <c r="B10" s="8">
        <f>-20*10^6</f>
        <v>-20000000</v>
      </c>
      <c r="C10" s="8">
        <v>0</v>
      </c>
      <c r="D10" s="8">
        <f t="shared" ref="D10" si="0">-20*10^6</f>
        <v>-20000000</v>
      </c>
      <c r="E10" s="8">
        <f>-20*10^6</f>
        <v>-20000000</v>
      </c>
      <c r="F10" s="6">
        <f>-22000000</f>
        <v>-22000000</v>
      </c>
    </row>
    <row r="11" spans="1:9">
      <c r="A11">
        <v>1</v>
      </c>
      <c r="B11" s="6">
        <f>8*10^6</f>
        <v>8000000</v>
      </c>
      <c r="C11" s="7">
        <f>B11*$B$3</f>
        <v>1680000</v>
      </c>
      <c r="D11" s="7">
        <f t="shared" ref="D11:D16" si="1">B11-C11</f>
        <v>6320000</v>
      </c>
      <c r="E11" s="7">
        <f t="shared" ref="E11:E16" si="2">D11*1.1</f>
        <v>6952000.0000000009</v>
      </c>
      <c r="F11" s="7">
        <f t="shared" ref="F11:F16" si="3">D11*0.9</f>
        <v>5688000</v>
      </c>
    </row>
    <row r="12" spans="1:9">
      <c r="A12">
        <v>2</v>
      </c>
      <c r="B12" s="6">
        <f>17*10^6</f>
        <v>17000000</v>
      </c>
      <c r="C12" s="7">
        <f t="shared" ref="C12:C16" si="4">B12*$B$3</f>
        <v>3570000</v>
      </c>
      <c r="D12" s="7">
        <f t="shared" si="1"/>
        <v>13430000</v>
      </c>
      <c r="E12" s="7">
        <f t="shared" si="2"/>
        <v>14773000.000000002</v>
      </c>
      <c r="F12" s="7">
        <f t="shared" si="3"/>
        <v>12087000</v>
      </c>
    </row>
    <row r="13" spans="1:9">
      <c r="A13">
        <v>3</v>
      </c>
      <c r="B13" s="6">
        <f>19*10^6</f>
        <v>19000000</v>
      </c>
      <c r="C13" s="7">
        <f t="shared" si="4"/>
        <v>3990000</v>
      </c>
      <c r="D13" s="7">
        <f t="shared" si="1"/>
        <v>15010000</v>
      </c>
      <c r="E13" s="7">
        <f t="shared" si="2"/>
        <v>16511000.000000002</v>
      </c>
      <c r="F13" s="7">
        <f t="shared" si="3"/>
        <v>13509000</v>
      </c>
    </row>
    <row r="14" spans="1:9">
      <c r="A14">
        <v>4</v>
      </c>
      <c r="B14" s="6">
        <f>18*10^6</f>
        <v>18000000</v>
      </c>
      <c r="C14" s="7">
        <f t="shared" si="4"/>
        <v>3780000</v>
      </c>
      <c r="D14" s="7">
        <f t="shared" si="1"/>
        <v>14220000</v>
      </c>
      <c r="E14" s="7">
        <f t="shared" si="2"/>
        <v>15642000.000000002</v>
      </c>
      <c r="F14" s="7">
        <f t="shared" si="3"/>
        <v>12798000</v>
      </c>
    </row>
    <row r="15" spans="1:9">
      <c r="A15">
        <v>5</v>
      </c>
      <c r="B15" s="6">
        <f>10*10^6</f>
        <v>10000000</v>
      </c>
      <c r="C15" s="7">
        <f t="shared" si="4"/>
        <v>2100000</v>
      </c>
      <c r="D15" s="7">
        <f t="shared" si="1"/>
        <v>7900000</v>
      </c>
      <c r="E15" s="7">
        <f t="shared" si="2"/>
        <v>8690000</v>
      </c>
      <c r="F15" s="7">
        <f t="shared" si="3"/>
        <v>7110000</v>
      </c>
    </row>
    <row r="16" spans="1:9">
      <c r="A16">
        <v>6</v>
      </c>
      <c r="B16" s="6">
        <f>3*10^6</f>
        <v>3000000</v>
      </c>
      <c r="C16" s="7">
        <f t="shared" si="4"/>
        <v>630000</v>
      </c>
      <c r="D16" s="7">
        <f t="shared" si="1"/>
        <v>2370000</v>
      </c>
      <c r="E16" s="7">
        <f t="shared" si="2"/>
        <v>2607000</v>
      </c>
      <c r="F16" s="7">
        <f t="shared" si="3"/>
        <v>2133000</v>
      </c>
    </row>
    <row r="20" spans="1:3">
      <c r="A20" t="s">
        <v>59</v>
      </c>
    </row>
    <row r="21" spans="1:3">
      <c r="A21" t="s">
        <v>60</v>
      </c>
      <c r="B21" s="9">
        <f>IRR(D10:D16)</f>
        <v>0.46049551703812197</v>
      </c>
    </row>
    <row r="22" spans="1:3">
      <c r="A22" s="10" t="s">
        <v>61</v>
      </c>
      <c r="B22" s="4"/>
      <c r="C22" s="4"/>
    </row>
    <row r="25" spans="1:3">
      <c r="A25" t="s">
        <v>57</v>
      </c>
    </row>
    <row r="26" spans="1:3">
      <c r="A26" t="s">
        <v>62</v>
      </c>
      <c r="B26" s="1">
        <f>0.1</f>
        <v>0.1</v>
      </c>
    </row>
    <row r="27" spans="1:3">
      <c r="A27" t="s">
        <v>63</v>
      </c>
    </row>
    <row r="28" spans="1:3">
      <c r="A28" t="s">
        <v>64</v>
      </c>
    </row>
    <row r="30" spans="1:3">
      <c r="A30" t="s">
        <v>65</v>
      </c>
      <c r="B30" s="9">
        <f>IRR(E10:E16)</f>
        <v>0.5164207735659172</v>
      </c>
    </row>
    <row r="31" spans="1:3">
      <c r="A31" s="10" t="s">
        <v>66</v>
      </c>
      <c r="B31" s="4"/>
      <c r="C31" s="11">
        <f>B30-B21</f>
        <v>5.5925256527795231E-2</v>
      </c>
    </row>
    <row r="33" spans="1:3">
      <c r="A33" t="s">
        <v>58</v>
      </c>
    </row>
    <row r="34" spans="1:3">
      <c r="A34" t="s">
        <v>67</v>
      </c>
      <c r="B34" s="9">
        <v>0.1</v>
      </c>
    </row>
    <row r="35" spans="1:3">
      <c r="A35" t="s">
        <v>63</v>
      </c>
    </row>
    <row r="36" spans="1:3">
      <c r="A36" t="s">
        <v>68</v>
      </c>
    </row>
    <row r="38" spans="1:3">
      <c r="A38" t="s">
        <v>69</v>
      </c>
      <c r="B38" s="9">
        <f>IRR(F10:F16)</f>
        <v>0.35290208907630394</v>
      </c>
    </row>
    <row r="39" spans="1:3">
      <c r="A39" s="10" t="s">
        <v>70</v>
      </c>
      <c r="B39" s="4"/>
      <c r="C39" s="11">
        <f>B38-B21</f>
        <v>-0.10759342796181803</v>
      </c>
    </row>
  </sheetData>
  <pageMargins left="0.7" right="0.7" top="0.75" bottom="0.75" header="0.3" footer="0.3"/>
  <pageSetup scale="82"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4F19-5493-E440-AFBA-6B91BD396342}">
  <sheetPr>
    <pageSetUpPr fitToPage="1"/>
  </sheetPr>
  <dimension ref="A1:K40"/>
  <sheetViews>
    <sheetView tabSelected="1" topLeftCell="A11" zoomScale="69" workbookViewId="0">
      <selection activeCell="M38" sqref="M38"/>
    </sheetView>
  </sheetViews>
  <sheetFormatPr defaultColWidth="11" defaultRowHeight="15.75"/>
  <cols>
    <col min="1" max="1" width="13.375" customWidth="1"/>
    <col min="2" max="2" width="13.125" customWidth="1"/>
    <col min="4" max="4" width="15.625" customWidth="1"/>
    <col min="5" max="5" width="17.625" customWidth="1"/>
    <col min="6" max="7" width="19.375" customWidth="1"/>
  </cols>
  <sheetData>
    <row r="1" spans="1:10">
      <c r="A1" t="s">
        <v>71</v>
      </c>
    </row>
    <row r="2" spans="1:10">
      <c r="A2" t="s">
        <v>51</v>
      </c>
      <c r="B2" s="1">
        <v>0.21</v>
      </c>
    </row>
    <row r="3" spans="1:10">
      <c r="A3" t="s">
        <v>72</v>
      </c>
      <c r="B3" s="1">
        <v>0.1</v>
      </c>
      <c r="C3" t="s">
        <v>73</v>
      </c>
      <c r="D3" s="1">
        <v>0.2</v>
      </c>
    </row>
    <row r="4" spans="1:10">
      <c r="A4" t="s">
        <v>74</v>
      </c>
      <c r="B4">
        <v>6</v>
      </c>
      <c r="C4" t="s">
        <v>75</v>
      </c>
    </row>
    <row r="5" spans="1:10">
      <c r="A5" t="s">
        <v>76</v>
      </c>
      <c r="B5">
        <v>85000</v>
      </c>
    </row>
    <row r="6" spans="1:10">
      <c r="A6" t="s">
        <v>77</v>
      </c>
      <c r="B6">
        <v>30000</v>
      </c>
    </row>
    <row r="7" spans="1:10" ht="63">
      <c r="A7" s="13" t="s">
        <v>78</v>
      </c>
      <c r="B7">
        <v>32000</v>
      </c>
      <c r="D7">
        <v>25280</v>
      </c>
      <c r="E7" s="3"/>
    </row>
    <row r="9" spans="1:10">
      <c r="A9" t="s">
        <v>59</v>
      </c>
    </row>
    <row r="10" spans="1:10">
      <c r="A10" t="s">
        <v>29</v>
      </c>
    </row>
    <row r="11" spans="1:10">
      <c r="A11" t="s">
        <v>31</v>
      </c>
      <c r="B11" t="s">
        <v>32</v>
      </c>
      <c r="E11" t="s">
        <v>79</v>
      </c>
      <c r="F11" t="s">
        <v>80</v>
      </c>
      <c r="G11" s="3"/>
      <c r="J11" s="14"/>
    </row>
    <row r="12" spans="1:10">
      <c r="A12">
        <v>0</v>
      </c>
      <c r="B12">
        <f>(1+$B$3)^(-A12)</f>
        <v>1</v>
      </c>
      <c r="D12" t="s">
        <v>76</v>
      </c>
      <c r="E12" s="6">
        <v>-85000</v>
      </c>
      <c r="F12" s="6">
        <v>-85000</v>
      </c>
      <c r="G12" s="6"/>
      <c r="J12" s="14"/>
    </row>
    <row r="13" spans="1:10">
      <c r="A13">
        <v>1</v>
      </c>
      <c r="B13">
        <f>(1+$B$3)^(-A13)</f>
        <v>0.90909090909090906</v>
      </c>
      <c r="E13" s="6">
        <f>$B$7</f>
        <v>32000</v>
      </c>
      <c r="F13" s="7">
        <f>E13*(1-$B$2)</f>
        <v>25280</v>
      </c>
      <c r="G13" s="6"/>
      <c r="J13" s="14"/>
    </row>
    <row r="14" spans="1:10">
      <c r="A14">
        <v>2</v>
      </c>
      <c r="B14">
        <f t="shared" ref="B14:B18" si="0">(1+$B$3)^(-A14)</f>
        <v>0.82644628099173545</v>
      </c>
      <c r="E14" s="6">
        <f t="shared" ref="E14" si="1">$B$7</f>
        <v>32000</v>
      </c>
      <c r="F14" s="7">
        <f>E14*(1-$B$2)</f>
        <v>25280</v>
      </c>
      <c r="G14" s="6"/>
      <c r="J14" s="14"/>
    </row>
    <row r="15" spans="1:10">
      <c r="A15">
        <v>3</v>
      </c>
      <c r="B15">
        <f t="shared" si="0"/>
        <v>0.75131480090157754</v>
      </c>
      <c r="E15" s="6">
        <f>$B$7</f>
        <v>32000</v>
      </c>
      <c r="F15" s="7">
        <f t="shared" ref="F15:F17" si="2">E15*(1-$B$2)</f>
        <v>25280</v>
      </c>
      <c r="G15" s="6"/>
      <c r="H15" s="13"/>
      <c r="I15" s="13"/>
      <c r="J15" s="14"/>
    </row>
    <row r="16" spans="1:10" ht="63">
      <c r="A16">
        <v>4</v>
      </c>
      <c r="B16">
        <f t="shared" si="0"/>
        <v>0.68301345536507052</v>
      </c>
      <c r="D16" s="13" t="s">
        <v>81</v>
      </c>
      <c r="E16" s="6">
        <f>B7+B6-B5</f>
        <v>-23000</v>
      </c>
      <c r="F16" s="6">
        <f>E16</f>
        <v>-23000</v>
      </c>
      <c r="G16" s="6"/>
      <c r="H16" s="13"/>
      <c r="I16" s="13"/>
      <c r="J16" s="14"/>
    </row>
    <row r="17" spans="1:11">
      <c r="A17">
        <v>5</v>
      </c>
      <c r="B17">
        <f t="shared" si="0"/>
        <v>0.62092132305915493</v>
      </c>
      <c r="E17" s="6">
        <f>$B$7</f>
        <v>32000</v>
      </c>
      <c r="F17" s="7">
        <f t="shared" si="2"/>
        <v>25280</v>
      </c>
      <c r="G17" s="6"/>
      <c r="H17" s="13"/>
      <c r="I17" s="13"/>
    </row>
    <row r="18" spans="1:11" ht="31.5">
      <c r="A18">
        <v>6</v>
      </c>
      <c r="B18">
        <f t="shared" si="0"/>
        <v>0.56447393005377722</v>
      </c>
      <c r="D18" s="13" t="s">
        <v>82</v>
      </c>
      <c r="E18" s="6">
        <f>B5-E21*2+B7</f>
        <v>89500</v>
      </c>
      <c r="F18" s="7">
        <f>E18*(1-$B$2)</f>
        <v>70705</v>
      </c>
      <c r="G18" s="6"/>
      <c r="H18" s="13"/>
      <c r="I18" s="13"/>
    </row>
    <row r="19" spans="1:11">
      <c r="E19" s="6"/>
      <c r="G19" s="13"/>
      <c r="H19" s="13"/>
      <c r="I19" s="13"/>
    </row>
    <row r="21" spans="1:11">
      <c r="A21" t="s">
        <v>83</v>
      </c>
      <c r="E21">
        <f>(B5-B6)/4</f>
        <v>13750</v>
      </c>
      <c r="F21" t="s">
        <v>84</v>
      </c>
      <c r="G21" t="s">
        <v>85</v>
      </c>
    </row>
    <row r="22" spans="1:11">
      <c r="A22" t="s">
        <v>86</v>
      </c>
      <c r="J22" s="13"/>
      <c r="K22" s="13"/>
    </row>
    <row r="23" spans="1:11" ht="63.95" customHeight="1">
      <c r="J23" s="13"/>
      <c r="K23" s="13"/>
    </row>
    <row r="24" spans="1:11">
      <c r="A24" t="s">
        <v>59</v>
      </c>
      <c r="J24" s="13"/>
      <c r="K24" s="13"/>
    </row>
    <row r="25" spans="1:11">
      <c r="A25" t="s">
        <v>87</v>
      </c>
      <c r="C25" s="9">
        <f>IRR(F12:F18)</f>
        <v>0.16051748091605633</v>
      </c>
      <c r="J25" s="13"/>
      <c r="K25" s="13"/>
    </row>
    <row r="26" spans="1:11">
      <c r="A26" s="10" t="s">
        <v>88</v>
      </c>
      <c r="B26" s="10"/>
      <c r="C26" s="10"/>
      <c r="D26" s="10"/>
      <c r="J26" s="13"/>
      <c r="K26" s="13"/>
    </row>
    <row r="28" spans="1:11">
      <c r="A28" t="s">
        <v>31</v>
      </c>
      <c r="B28" t="s">
        <v>32</v>
      </c>
      <c r="E28" t="s">
        <v>79</v>
      </c>
      <c r="F28" t="s">
        <v>89</v>
      </c>
      <c r="G28" s="3"/>
    </row>
    <row r="29" spans="1:11">
      <c r="A29">
        <v>0</v>
      </c>
      <c r="B29">
        <f>(1+$B$3)^(-A29)</f>
        <v>1</v>
      </c>
      <c r="D29" t="s">
        <v>76</v>
      </c>
      <c r="E29" s="6">
        <v>-85000</v>
      </c>
      <c r="F29" s="6">
        <v>-85000</v>
      </c>
      <c r="G29" s="7"/>
    </row>
    <row r="30" spans="1:11">
      <c r="A30">
        <v>1</v>
      </c>
      <c r="B30">
        <f>(1+$B$3)^(-A30)</f>
        <v>0.90909090909090906</v>
      </c>
      <c r="D30" t="s">
        <v>90</v>
      </c>
      <c r="E30" s="6">
        <f>$B$40</f>
        <v>35295.81907273284</v>
      </c>
      <c r="F30" s="7">
        <f>E30*(1-B2)</f>
        <v>27883.697067458947</v>
      </c>
      <c r="G30" s="7"/>
    </row>
    <row r="31" spans="1:11">
      <c r="A31">
        <v>2</v>
      </c>
      <c r="B31">
        <f t="shared" ref="B31:B35" si="3">(1+$B$3)^(-A31)</f>
        <v>0.82644628099173545</v>
      </c>
      <c r="D31" t="s">
        <v>90</v>
      </c>
      <c r="E31" s="6">
        <f>$B$40</f>
        <v>35295.81907273284</v>
      </c>
      <c r="F31" s="7">
        <f>E34*(1-$B$2)</f>
        <v>27883.697067458947</v>
      </c>
      <c r="G31" s="7"/>
    </row>
    <row r="32" spans="1:11">
      <c r="A32">
        <v>3</v>
      </c>
      <c r="B32">
        <f t="shared" si="3"/>
        <v>0.75131480090157754</v>
      </c>
      <c r="D32" t="s">
        <v>90</v>
      </c>
      <c r="E32" s="6">
        <f>$B$40</f>
        <v>35295.81907273284</v>
      </c>
      <c r="F32" s="7">
        <f>E34*(1-$B$2)</f>
        <v>27883.697067458947</v>
      </c>
      <c r="G32" s="7"/>
    </row>
    <row r="33" spans="1:7" ht="47.25">
      <c r="A33">
        <v>4</v>
      </c>
      <c r="B33">
        <f t="shared" si="3"/>
        <v>0.68301345536507052</v>
      </c>
      <c r="D33" s="13" t="s">
        <v>91</v>
      </c>
      <c r="E33" s="6">
        <f>B40+B6-B5</f>
        <v>-19704.18092726716</v>
      </c>
      <c r="F33" s="7">
        <f>E33</f>
        <v>-19704.18092726716</v>
      </c>
      <c r="G33" s="7"/>
    </row>
    <row r="34" spans="1:7">
      <c r="A34">
        <v>5</v>
      </c>
      <c r="B34">
        <f t="shared" si="3"/>
        <v>0.62092132305915493</v>
      </c>
      <c r="D34" t="s">
        <v>90</v>
      </c>
      <c r="E34" s="6">
        <f>$B$40</f>
        <v>35295.81907273284</v>
      </c>
      <c r="F34" s="7">
        <f>E34*(1-$B$2)</f>
        <v>27883.697067458947</v>
      </c>
      <c r="G34" s="7"/>
    </row>
    <row r="35" spans="1:7">
      <c r="A35">
        <v>6</v>
      </c>
      <c r="B35">
        <f t="shared" si="3"/>
        <v>0.56447393005377722</v>
      </c>
      <c r="D35" t="s">
        <v>92</v>
      </c>
      <c r="E35" s="6">
        <f>B5-E21*2+B40</f>
        <v>92795.819072732847</v>
      </c>
      <c r="F35" s="7">
        <f>E35*(1-$B$2)</f>
        <v>73308.697067458954</v>
      </c>
      <c r="G35" s="7"/>
    </row>
    <row r="36" spans="1:7">
      <c r="E36" s="6"/>
      <c r="F36" s="7"/>
      <c r="G36" s="7"/>
    </row>
    <row r="37" spans="1:7">
      <c r="E37" s="6"/>
      <c r="F37" s="7"/>
      <c r="G37" s="7"/>
    </row>
    <row r="38" spans="1:7">
      <c r="A38" t="s">
        <v>57</v>
      </c>
    </row>
    <row r="39" spans="1:7">
      <c r="A39" t="s">
        <v>93</v>
      </c>
      <c r="C39" s="9">
        <f>IRR(F29:F35)</f>
        <v>0.19996020465213471</v>
      </c>
      <c r="D39" t="s">
        <v>94</v>
      </c>
    </row>
    <row r="40" spans="1:7" ht="65.25" customHeight="1">
      <c r="A40" s="17" t="s">
        <v>78</v>
      </c>
      <c r="B40" s="16">
        <v>35295.81907273284</v>
      </c>
    </row>
  </sheetData>
  <pageMargins left="0.7" right="0.7" top="0.75" bottom="0.75" header="0.3" footer="0.3"/>
  <pageSetup scale="58" fitToWidth="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15FCC-8B81-8944-9AFA-741A9FE5CA44}">
  <sheetPr>
    <pageSetUpPr fitToPage="1"/>
  </sheetPr>
  <dimension ref="A1:F33"/>
  <sheetViews>
    <sheetView topLeftCell="A17" zoomScale="85" workbookViewId="0">
      <selection activeCell="B33" sqref="B33"/>
    </sheetView>
  </sheetViews>
  <sheetFormatPr defaultColWidth="11" defaultRowHeight="15.75"/>
  <cols>
    <col min="1" max="1" width="16.625" customWidth="1"/>
    <col min="2" max="2" width="12.375" customWidth="1"/>
    <col min="3" max="3" width="12.875" customWidth="1"/>
  </cols>
  <sheetData>
    <row r="1" spans="1:5">
      <c r="A1" t="s">
        <v>95</v>
      </c>
    </row>
    <row r="2" spans="1:5">
      <c r="A2" t="s">
        <v>96</v>
      </c>
      <c r="B2" s="1">
        <v>0.21</v>
      </c>
    </row>
    <row r="3" spans="1:5">
      <c r="A3" t="s">
        <v>52</v>
      </c>
      <c r="B3" s="1">
        <v>0.1</v>
      </c>
    </row>
    <row r="4" spans="1:5">
      <c r="A4" t="s">
        <v>74</v>
      </c>
      <c r="B4">
        <v>6</v>
      </c>
      <c r="C4" t="s">
        <v>4</v>
      </c>
    </row>
    <row r="6" spans="1:5">
      <c r="A6" t="s">
        <v>76</v>
      </c>
      <c r="B6">
        <v>600000</v>
      </c>
    </row>
    <row r="7" spans="1:5">
      <c r="A7" t="s">
        <v>97</v>
      </c>
      <c r="B7">
        <f>300000*12</f>
        <v>3600000</v>
      </c>
    </row>
    <row r="8" spans="1:5">
      <c r="A8" t="s">
        <v>98</v>
      </c>
      <c r="B8">
        <f>100000</f>
        <v>100000</v>
      </c>
    </row>
    <row r="9" spans="1:5">
      <c r="A9" t="s">
        <v>99</v>
      </c>
      <c r="E9" s="2">
        <f>0.25-0.05</f>
        <v>0.2</v>
      </c>
    </row>
    <row r="10" spans="1:5">
      <c r="A10" t="s">
        <v>100</v>
      </c>
      <c r="E10">
        <f>0.1-0.05</f>
        <v>0.05</v>
      </c>
    </row>
    <row r="11" spans="1:5">
      <c r="A11" t="s">
        <v>101</v>
      </c>
    </row>
    <row r="13" spans="1:5">
      <c r="A13" t="s">
        <v>102</v>
      </c>
    </row>
    <row r="14" spans="1:5">
      <c r="A14" t="s">
        <v>103</v>
      </c>
    </row>
    <row r="15" spans="1:5">
      <c r="A15" t="s">
        <v>104</v>
      </c>
    </row>
    <row r="17" spans="1:6">
      <c r="A17" t="s">
        <v>83</v>
      </c>
      <c r="E17" s="2">
        <f>(B6-B8)/10</f>
        <v>50000</v>
      </c>
      <c r="F17" t="s">
        <v>84</v>
      </c>
    </row>
    <row r="18" spans="1:6">
      <c r="A18" t="s">
        <v>105</v>
      </c>
    </row>
    <row r="19" spans="1:6" ht="99" customHeight="1">
      <c r="A19" t="s">
        <v>106</v>
      </c>
      <c r="D19">
        <v>0.15</v>
      </c>
    </row>
    <row r="20" spans="1:6" ht="94.5">
      <c r="A20" s="13" t="s">
        <v>107</v>
      </c>
      <c r="D20">
        <f>25*12*D19*B21</f>
        <v>3816433.4897201699</v>
      </c>
    </row>
    <row r="21" spans="1:6">
      <c r="A21" s="10" t="s">
        <v>108</v>
      </c>
      <c r="B21" s="15">
        <v>84809.633104892666</v>
      </c>
    </row>
    <row r="23" spans="1:6">
      <c r="A23" t="s">
        <v>31</v>
      </c>
      <c r="B23" t="s">
        <v>79</v>
      </c>
      <c r="C23" t="s">
        <v>109</v>
      </c>
      <c r="D23" s="3"/>
    </row>
    <row r="24" spans="1:6">
      <c r="A24">
        <v>0</v>
      </c>
      <c r="B24">
        <f>-600000</f>
        <v>-600000</v>
      </c>
      <c r="C24">
        <f>-600000</f>
        <v>-600000</v>
      </c>
    </row>
    <row r="25" spans="1:6">
      <c r="A25">
        <v>1</v>
      </c>
      <c r="B25">
        <f>$D$20-$B$7</f>
        <v>216433.48972016992</v>
      </c>
      <c r="C25">
        <f>B25*(1-$B$2)</f>
        <v>170982.45687893426</v>
      </c>
    </row>
    <row r="26" spans="1:6">
      <c r="A26">
        <v>2</v>
      </c>
      <c r="B26">
        <f>$D$20-$B$7</f>
        <v>216433.48972016992</v>
      </c>
      <c r="C26">
        <f t="shared" ref="C26:C29" si="0">B26*(1-$B$2)</f>
        <v>170982.45687893426</v>
      </c>
    </row>
    <row r="27" spans="1:6">
      <c r="A27">
        <v>3</v>
      </c>
      <c r="B27">
        <f>$D$20-$B$7</f>
        <v>216433.48972016992</v>
      </c>
      <c r="C27">
        <f t="shared" si="0"/>
        <v>170982.45687893426</v>
      </c>
    </row>
    <row r="28" spans="1:6">
      <c r="A28">
        <v>4</v>
      </c>
      <c r="B28">
        <f>$D$20-$B$7</f>
        <v>216433.48972016992</v>
      </c>
      <c r="C28">
        <f t="shared" si="0"/>
        <v>170982.45687893426</v>
      </c>
    </row>
    <row r="29" spans="1:6">
      <c r="A29">
        <v>5</v>
      </c>
      <c r="B29">
        <f>$D$20-$B$7</f>
        <v>216433.48972016992</v>
      </c>
      <c r="C29">
        <f t="shared" si="0"/>
        <v>170982.45687893426</v>
      </c>
    </row>
    <row r="30" spans="1:6" ht="63">
      <c r="A30">
        <v>6</v>
      </c>
      <c r="B30">
        <f>$D$20-$B$7+(B6-E17*B4)-B6</f>
        <v>-83566.51027983008</v>
      </c>
      <c r="C30">
        <f>B30</f>
        <v>-83566.51027983008</v>
      </c>
      <c r="D30" s="13" t="s">
        <v>110</v>
      </c>
    </row>
    <row r="31" spans="1:6">
      <c r="B31" t="s">
        <v>111</v>
      </c>
      <c r="C31">
        <f>SUM(C24:C30)</f>
        <v>171345.77411484125</v>
      </c>
    </row>
    <row r="33" spans="1:3">
      <c r="A33" t="s">
        <v>112</v>
      </c>
      <c r="B33" s="9">
        <f>IRR(C24:C30)</f>
        <v>0.10070660432860179</v>
      </c>
      <c r="C33" t="s">
        <v>113</v>
      </c>
    </row>
  </sheetData>
  <pageMargins left="0.7" right="0.7" top="0.75" bottom="0.75" header="0.3" footer="0.3"/>
  <pageSetup scale="51"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4D3E6A17C4EB42BF84C73DEB4DE165" ma:contentTypeVersion="12" ma:contentTypeDescription="Create a new document." ma:contentTypeScope="" ma:versionID="fa09322871894b27033ee91edfe7cde2">
  <xsd:schema xmlns:xsd="http://www.w3.org/2001/XMLSchema" xmlns:xs="http://www.w3.org/2001/XMLSchema" xmlns:p="http://schemas.microsoft.com/office/2006/metadata/properties" xmlns:ns3="804a83ad-ae26-4a15-861e-76ace231eacf" xmlns:ns4="43cebbc4-89d0-4312-9e9e-1761e04dfd01" targetNamespace="http://schemas.microsoft.com/office/2006/metadata/properties" ma:root="true" ma:fieldsID="e17c1effd312f7e6f87dcb4a2f6a018b" ns3:_="" ns4:_="">
    <xsd:import namespace="804a83ad-ae26-4a15-861e-76ace231eacf"/>
    <xsd:import namespace="43cebbc4-89d0-4312-9e9e-1761e04dfd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4a83ad-ae26-4a15-861e-76ace231ea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cebbc4-89d0-4312-9e9e-1761e04dfd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C5D200-C697-44DC-B88E-BBECEF400D1F}"/>
</file>

<file path=customXml/itemProps2.xml><?xml version="1.0" encoding="utf-8"?>
<ds:datastoreItem xmlns:ds="http://schemas.openxmlformats.org/officeDocument/2006/customXml" ds:itemID="{170BCB40-C46B-43CB-91B6-BDD56A1F4D4E}"/>
</file>

<file path=customXml/itemProps3.xml><?xml version="1.0" encoding="utf-8"?>
<ds:datastoreItem xmlns:ds="http://schemas.openxmlformats.org/officeDocument/2006/customXml" ds:itemID="{F6CF4631-B355-4398-B481-FEB984AF88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Weng</dc:creator>
  <cp:keywords/>
  <dc:description/>
  <cp:lastModifiedBy/>
  <cp:revision/>
  <dcterms:created xsi:type="dcterms:W3CDTF">2022-12-12T21:38:52Z</dcterms:created>
  <dcterms:modified xsi:type="dcterms:W3CDTF">2022-12-24T02:04:10Z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0x010100724D3E6A17C4EB42BF84C73DEB4DE165</vt:lpwstr>
  </property>
</Properties>
</file>