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00" windowHeight="12330"/>
  </bookViews>
  <sheets>
    <sheet name="2022OCBC" sheetId="3" r:id="rId1"/>
    <sheet name="2021OCBC" sheetId="1" r:id="rId2"/>
    <sheet name="2020OCBC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3" i="3" l="1"/>
  <c r="J22" i="3"/>
  <c r="J19" i="3"/>
  <c r="F19" i="3"/>
  <c r="V18" i="3"/>
  <c r="V19" i="3" s="1"/>
  <c r="J18" i="3"/>
  <c r="F18" i="3"/>
  <c r="T18" i="3"/>
  <c r="T19" i="3" s="1"/>
  <c r="Q18" i="3"/>
  <c r="Q19" i="3" s="1"/>
  <c r="Z18" i="3"/>
  <c r="S18" i="3"/>
  <c r="S19" i="3" s="1"/>
  <c r="P18" i="3"/>
  <c r="P19" i="3" s="1"/>
  <c r="O18" i="3"/>
  <c r="O19" i="3" s="1"/>
  <c r="N18" i="3"/>
  <c r="N19" i="3" s="1"/>
  <c r="X18" i="3"/>
  <c r="U18" i="3"/>
  <c r="U19" i="3" s="1"/>
  <c r="M18" i="3"/>
  <c r="AA18" i="3"/>
  <c r="AA19" i="3" s="1"/>
  <c r="Y18" i="3"/>
  <c r="W18" i="3"/>
  <c r="W19" i="3" s="1"/>
  <c r="R18" i="3"/>
  <c r="L18" i="3"/>
  <c r="L19" i="3" s="1"/>
  <c r="G18" i="3"/>
  <c r="G19" i="3" s="1"/>
  <c r="D18" i="3"/>
  <c r="D19" i="3" s="1"/>
  <c r="Y19" i="3" l="1"/>
  <c r="R19" i="3"/>
  <c r="R22" i="3"/>
  <c r="I18" i="3"/>
  <c r="I19" i="3" s="1"/>
  <c r="Z19" i="3"/>
  <c r="E18" i="3"/>
  <c r="M22" i="3"/>
  <c r="M19" i="3"/>
  <c r="X19" i="3"/>
  <c r="K18" i="3"/>
  <c r="N18" i="2"/>
  <c r="M22" i="2" s="1"/>
  <c r="I15" i="2"/>
  <c r="E15" i="2"/>
  <c r="D15" i="2"/>
  <c r="G15" i="2"/>
  <c r="U15" i="2"/>
  <c r="Z15" i="2"/>
  <c r="M15" i="2"/>
  <c r="R15" i="2"/>
  <c r="L15" i="2"/>
  <c r="V15" i="2"/>
  <c r="T15" i="2"/>
  <c r="I14" i="2"/>
  <c r="D14" i="2"/>
  <c r="G14" i="2"/>
  <c r="E14" i="2" s="1"/>
  <c r="P14" i="2"/>
  <c r="K14" i="2"/>
  <c r="Z14" i="2"/>
  <c r="U14" i="2"/>
  <c r="R14" i="2"/>
  <c r="L14" i="2"/>
  <c r="M14" i="2"/>
  <c r="V14" i="2"/>
  <c r="K22" i="1"/>
  <c r="N14" i="2"/>
  <c r="Z11" i="2"/>
  <c r="I11" i="2" s="1"/>
  <c r="G12" i="2"/>
  <c r="D13" i="2"/>
  <c r="I13" i="2"/>
  <c r="Z13" i="2"/>
  <c r="M13" i="2"/>
  <c r="E13" i="2"/>
  <c r="U13" i="2"/>
  <c r="V13" i="2"/>
  <c r="L13" i="2"/>
  <c r="R13" i="2"/>
  <c r="G13" i="2"/>
  <c r="L18" i="2"/>
  <c r="L19" i="2" s="1"/>
  <c r="Q13" i="2"/>
  <c r="I12" i="2"/>
  <c r="D12" i="2"/>
  <c r="D11" i="2"/>
  <c r="E12" i="2"/>
  <c r="V12" i="2"/>
  <c r="U12" i="2"/>
  <c r="R12" i="2"/>
  <c r="L12" i="2"/>
  <c r="Z12" i="2"/>
  <c r="Q12" i="2"/>
  <c r="M12" i="2"/>
  <c r="G11" i="2"/>
  <c r="E11" i="2" s="1"/>
  <c r="M11" i="2"/>
  <c r="V11" i="2"/>
  <c r="U11" i="2"/>
  <c r="L11" i="2"/>
  <c r="R11" i="2"/>
  <c r="Q11" i="2"/>
  <c r="I10" i="2"/>
  <c r="D10" i="2"/>
  <c r="G10" i="2"/>
  <c r="U10" i="2"/>
  <c r="K10" i="2"/>
  <c r="L10" i="2"/>
  <c r="E10" i="2"/>
  <c r="M10" i="2"/>
  <c r="V10" i="2"/>
  <c r="Z10" i="2"/>
  <c r="R10" i="2"/>
  <c r="I9" i="2"/>
  <c r="E9" i="2"/>
  <c r="D9" i="2"/>
  <c r="G9" i="2"/>
  <c r="U9" i="2"/>
  <c r="M9" i="2"/>
  <c r="L9" i="2"/>
  <c r="Z9" i="2"/>
  <c r="N9" i="2"/>
  <c r="R9" i="2"/>
  <c r="M22" i="1"/>
  <c r="M23" i="1" s="1"/>
  <c r="I8" i="2"/>
  <c r="D8" i="2"/>
  <c r="G8" i="2"/>
  <c r="L8" i="2"/>
  <c r="R8" i="2"/>
  <c r="E8" i="2"/>
  <c r="M8" i="2"/>
  <c r="V8" i="2"/>
  <c r="U8" i="2"/>
  <c r="Z8" i="2"/>
  <c r="I7" i="2"/>
  <c r="E7" i="2"/>
  <c r="D7" i="2"/>
  <c r="G7" i="2"/>
  <c r="L7" i="2"/>
  <c r="U7" i="2"/>
  <c r="M7" i="2"/>
  <c r="V7" i="2"/>
  <c r="Q7" i="2"/>
  <c r="I6" i="2"/>
  <c r="E6" i="2"/>
  <c r="D6" i="2"/>
  <c r="G6" i="2"/>
  <c r="M6" i="2"/>
  <c r="U6" i="2"/>
  <c r="L6" i="2"/>
  <c r="Z6" i="2"/>
  <c r="N6" i="2"/>
  <c r="V6" i="2"/>
  <c r="Y6" i="2"/>
  <c r="Z4" i="2"/>
  <c r="I5" i="2"/>
  <c r="E5" i="2"/>
  <c r="E4" i="2"/>
  <c r="D5" i="2"/>
  <c r="D4" i="2"/>
  <c r="G5" i="2"/>
  <c r="Z5" i="2"/>
  <c r="U5" i="2"/>
  <c r="L5" i="2"/>
  <c r="V5" i="2"/>
  <c r="M5" i="2"/>
  <c r="R5" i="2"/>
  <c r="Y5" i="2"/>
  <c r="Y18" i="2" s="1"/>
  <c r="G4" i="2"/>
  <c r="Q4" i="2"/>
  <c r="U4" i="2"/>
  <c r="L4" i="2"/>
  <c r="Q18" i="2"/>
  <c r="Q19" i="2" s="1"/>
  <c r="M4" i="2"/>
  <c r="V4" i="2"/>
  <c r="R4" i="2"/>
  <c r="X4" i="2"/>
  <c r="X18" i="2" s="1"/>
  <c r="W4" i="2"/>
  <c r="Y4" i="2"/>
  <c r="P4" i="2"/>
  <c r="S18" i="2"/>
  <c r="S19" i="2" s="1"/>
  <c r="J18" i="2"/>
  <c r="J22" i="2" s="1"/>
  <c r="F18" i="2"/>
  <c r="F19" i="2" s="1"/>
  <c r="W18" i="2"/>
  <c r="P18" i="2"/>
  <c r="P19" i="2" s="1"/>
  <c r="O18" i="2"/>
  <c r="O19" i="2" s="1"/>
  <c r="T18" i="2"/>
  <c r="T19" i="2" s="1"/>
  <c r="AB26" i="1"/>
  <c r="AB22" i="1"/>
  <c r="AA22" i="1"/>
  <c r="AA23" i="1"/>
  <c r="E21" i="1"/>
  <c r="J23" i="1"/>
  <c r="L24" i="1" s="1"/>
  <c r="AC22" i="1"/>
  <c r="Z22" i="1"/>
  <c r="Y22" i="1"/>
  <c r="J22" i="1"/>
  <c r="X22" i="1"/>
  <c r="R22" i="1"/>
  <c r="J18" i="1"/>
  <c r="J19" i="1" s="1"/>
  <c r="U19" i="1"/>
  <c r="V19" i="1"/>
  <c r="W19" i="1"/>
  <c r="X19" i="1"/>
  <c r="Y19" i="1"/>
  <c r="Z19" i="1"/>
  <c r="AA19" i="1"/>
  <c r="U18" i="1"/>
  <c r="V18" i="1"/>
  <c r="W18" i="1"/>
  <c r="X18" i="1"/>
  <c r="Y18" i="1"/>
  <c r="Z18" i="1"/>
  <c r="AA18" i="1"/>
  <c r="O19" i="1"/>
  <c r="P19" i="1"/>
  <c r="Q19" i="1"/>
  <c r="R19" i="1"/>
  <c r="S19" i="1"/>
  <c r="T19" i="1"/>
  <c r="O18" i="1"/>
  <c r="P18" i="1"/>
  <c r="Q18" i="1"/>
  <c r="R18" i="1"/>
  <c r="S18" i="1"/>
  <c r="T18" i="1"/>
  <c r="M19" i="1"/>
  <c r="N19" i="1"/>
  <c r="M18" i="1"/>
  <c r="N18" i="1"/>
  <c r="L19" i="1"/>
  <c r="L18" i="1"/>
  <c r="K19" i="1"/>
  <c r="K18" i="1"/>
  <c r="G19" i="1"/>
  <c r="G18" i="1"/>
  <c r="D4" i="1"/>
  <c r="E4" i="1"/>
  <c r="G4" i="1"/>
  <c r="L4" i="1"/>
  <c r="M4" i="1"/>
  <c r="R4" i="1"/>
  <c r="V4" i="1"/>
  <c r="W4" i="1"/>
  <c r="Y4" i="1"/>
  <c r="AA4" i="1"/>
  <c r="D5" i="1"/>
  <c r="G5" i="1"/>
  <c r="E5" i="1" s="1"/>
  <c r="K5" i="1"/>
  <c r="L5" i="1"/>
  <c r="M5" i="1"/>
  <c r="R5" i="1"/>
  <c r="V5" i="1"/>
  <c r="I5" i="1" s="1"/>
  <c r="W5" i="1"/>
  <c r="AA5" i="1"/>
  <c r="D6" i="1"/>
  <c r="G6" i="1"/>
  <c r="E6" i="1" s="1"/>
  <c r="L6" i="1"/>
  <c r="M6" i="1"/>
  <c r="O6" i="1"/>
  <c r="R6" i="1"/>
  <c r="V6" i="1"/>
  <c r="W6" i="1"/>
  <c r="AA6" i="1"/>
  <c r="D7" i="1"/>
  <c r="G7" i="1"/>
  <c r="E7" i="1" s="1"/>
  <c r="L7" i="1"/>
  <c r="M7" i="1"/>
  <c r="I7" i="1" s="1"/>
  <c r="R7" i="1"/>
  <c r="U7" i="1"/>
  <c r="V7" i="1"/>
  <c r="W7" i="1"/>
  <c r="AA7" i="1"/>
  <c r="D8" i="1"/>
  <c r="G8" i="1"/>
  <c r="E8" i="1" s="1"/>
  <c r="K8" i="1"/>
  <c r="L8" i="1"/>
  <c r="M8" i="1"/>
  <c r="N8" i="1"/>
  <c r="Q8" i="1"/>
  <c r="R8" i="1"/>
  <c r="V8" i="1"/>
  <c r="W8" i="1"/>
  <c r="X8" i="1"/>
  <c r="AA8" i="1"/>
  <c r="D9" i="1"/>
  <c r="E9" i="1"/>
  <c r="G9" i="1"/>
  <c r="L9" i="1"/>
  <c r="M9" i="1"/>
  <c r="R9" i="1"/>
  <c r="U9" i="1"/>
  <c r="V9" i="1"/>
  <c r="W9" i="1"/>
  <c r="AA9" i="1"/>
  <c r="D10" i="1"/>
  <c r="E10" i="1"/>
  <c r="G10" i="1"/>
  <c r="K10" i="1"/>
  <c r="L10" i="1"/>
  <c r="M10" i="1"/>
  <c r="N10" i="1"/>
  <c r="O10" i="1"/>
  <c r="Q10" i="1"/>
  <c r="R10" i="1"/>
  <c r="U10" i="1"/>
  <c r="V10" i="1"/>
  <c r="W10" i="1"/>
  <c r="X10" i="1"/>
  <c r="AA10" i="1"/>
  <c r="D11" i="1"/>
  <c r="G11" i="1"/>
  <c r="E11" i="1" s="1"/>
  <c r="L11" i="1"/>
  <c r="M11" i="1"/>
  <c r="N11" i="1"/>
  <c r="O11" i="1"/>
  <c r="U11" i="1"/>
  <c r="V11" i="1"/>
  <c r="W11" i="1"/>
  <c r="X11" i="1"/>
  <c r="AA11" i="1"/>
  <c r="D12" i="1"/>
  <c r="E12" i="1"/>
  <c r="G12" i="1"/>
  <c r="L12" i="1"/>
  <c r="M12" i="1"/>
  <c r="N12" i="1"/>
  <c r="O12" i="1"/>
  <c r="P12" i="1"/>
  <c r="R12" i="1"/>
  <c r="S12" i="1"/>
  <c r="V12" i="1"/>
  <c r="W12" i="1"/>
  <c r="X12" i="1"/>
  <c r="Z12" i="1"/>
  <c r="AA12" i="1"/>
  <c r="D13" i="1"/>
  <c r="G13" i="1"/>
  <c r="E13" i="1" s="1"/>
  <c r="L13" i="1"/>
  <c r="M13" i="1"/>
  <c r="N13" i="1"/>
  <c r="O13" i="1"/>
  <c r="R13" i="1"/>
  <c r="S13" i="1"/>
  <c r="U13" i="1"/>
  <c r="V13" i="1"/>
  <c r="W13" i="1"/>
  <c r="Z13" i="1"/>
  <c r="AA13" i="1"/>
  <c r="D14" i="1"/>
  <c r="E14" i="1"/>
  <c r="G14" i="1"/>
  <c r="L14" i="1"/>
  <c r="M14" i="1"/>
  <c r="N14" i="1"/>
  <c r="Q14" i="1"/>
  <c r="R14" i="1"/>
  <c r="S14" i="1"/>
  <c r="U14" i="1"/>
  <c r="V14" i="1"/>
  <c r="W14" i="1"/>
  <c r="AA14" i="1"/>
  <c r="D15" i="1"/>
  <c r="G15" i="1"/>
  <c r="E15" i="1" s="1"/>
  <c r="L15" i="1"/>
  <c r="M15" i="1"/>
  <c r="N15" i="1"/>
  <c r="O15" i="1"/>
  <c r="Q15" i="1"/>
  <c r="R15" i="1"/>
  <c r="S15" i="1"/>
  <c r="T15" i="1"/>
  <c r="V15" i="1"/>
  <c r="W15" i="1"/>
  <c r="X15" i="1"/>
  <c r="AA15" i="1"/>
  <c r="F18" i="1"/>
  <c r="F19" i="1" s="1"/>
  <c r="M23" i="3" l="1"/>
  <c r="E19" i="3"/>
  <c r="J23" i="3"/>
  <c r="K19" i="3"/>
  <c r="N19" i="2"/>
  <c r="V24" i="1"/>
  <c r="W24" i="1" s="1"/>
  <c r="X24" i="1" s="1"/>
  <c r="Y24" i="1" s="1"/>
  <c r="Z24" i="1" s="1"/>
  <c r="AA24" i="1" s="1"/>
  <c r="R18" i="2"/>
  <c r="R19" i="2" s="1"/>
  <c r="G18" i="2"/>
  <c r="G19" i="2" s="1"/>
  <c r="Z18" i="2"/>
  <c r="Z19" i="2" s="1"/>
  <c r="V18" i="2"/>
  <c r="V19" i="2" s="1"/>
  <c r="U18" i="2"/>
  <c r="U19" i="2" s="1"/>
  <c r="I4" i="2"/>
  <c r="M18" i="2"/>
  <c r="M19" i="2" s="1"/>
  <c r="D18" i="2"/>
  <c r="D19" i="2" s="1"/>
  <c r="Z23" i="2"/>
  <c r="J19" i="2"/>
  <c r="Y22" i="2"/>
  <c r="Y19" i="2"/>
  <c r="W22" i="2"/>
  <c r="W19" i="2"/>
  <c r="X19" i="2"/>
  <c r="X22" i="2"/>
  <c r="E18" i="2"/>
  <c r="K18" i="2"/>
  <c r="I15" i="1"/>
  <c r="D18" i="1"/>
  <c r="D19" i="1" s="1"/>
  <c r="I11" i="1"/>
  <c r="I8" i="1"/>
  <c r="I6" i="1"/>
  <c r="I10" i="1"/>
  <c r="I14" i="1"/>
  <c r="I9" i="1"/>
  <c r="I12" i="1"/>
  <c r="I4" i="1"/>
  <c r="I13" i="1"/>
  <c r="E18" i="1"/>
  <c r="E19" i="1" s="1"/>
  <c r="R22" i="2" l="1"/>
  <c r="I18" i="2"/>
  <c r="I19" i="2" s="1"/>
  <c r="E21" i="2"/>
  <c r="E19" i="2"/>
  <c r="K22" i="2"/>
  <c r="J23" i="2" s="1"/>
  <c r="K19" i="2"/>
  <c r="I18" i="1"/>
  <c r="I19" i="1" s="1"/>
  <c r="M23" i="2" l="1"/>
</calcChain>
</file>

<file path=xl/sharedStrings.xml><?xml version="1.0" encoding="utf-8"?>
<sst xmlns="http://schemas.openxmlformats.org/spreadsheetml/2006/main" count="222" uniqueCount="88">
  <si>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</si>
  <si>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</si>
  <si>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</si>
  <si>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</si>
  <si>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</si>
  <si>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</si>
  <si>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</si>
  <si>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</si>
  <si>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</si>
  <si>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</si>
  <si>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</si>
  <si>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</si>
  <si>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</si>
  <si>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Category</t>
  </si>
  <si>
    <t>Income</t>
  </si>
  <si>
    <t>Outcome</t>
  </si>
  <si>
    <t>Salary</t>
  </si>
  <si>
    <t>other</t>
  </si>
  <si>
    <t>Total</t>
  </si>
  <si>
    <t>rent</t>
  </si>
  <si>
    <t>comment</t>
  </si>
  <si>
    <t>Grab</t>
  </si>
  <si>
    <t>Gojek</t>
  </si>
  <si>
    <t>Taobao&amp;JD</t>
  </si>
  <si>
    <t>Restaurant</t>
  </si>
  <si>
    <t>Net Income</t>
  </si>
  <si>
    <t>Month End</t>
  </si>
  <si>
    <t>Month Begin</t>
  </si>
  <si>
    <t>Daily Eat</t>
  </si>
  <si>
    <t>haircut</t>
  </si>
  <si>
    <t>Netflix20</t>
  </si>
  <si>
    <t>Withdrawl</t>
  </si>
  <si>
    <t>WiFi&amp;gomo</t>
  </si>
  <si>
    <t>Netflix20 Apple55 Changi160</t>
  </si>
  <si>
    <t>Plus!107 movie30 Netflix20 DIORbag7k wine32</t>
  </si>
  <si>
    <t>Average</t>
  </si>
  <si>
    <t>coldstorage&amp;redman</t>
  </si>
  <si>
    <t>ShengSiong</t>
  </si>
  <si>
    <t>Sijia</t>
  </si>
  <si>
    <t>wine44 Game109</t>
  </si>
  <si>
    <t>SiJiaKe&amp;YuHua</t>
  </si>
  <si>
    <t>Wastons&amp;GD</t>
  </si>
  <si>
    <t>IKEA&amp;other</t>
  </si>
  <si>
    <t>flower50 diamond12843 heritagedeposit6k</t>
  </si>
  <si>
    <t>Sijia Willie RJ</t>
  </si>
  <si>
    <t>NTUC</t>
  </si>
  <si>
    <t>utility</t>
  </si>
  <si>
    <t>Agentfee3500 CFA34</t>
  </si>
  <si>
    <t>Tax2203 MovingClean480 InkBox31</t>
  </si>
  <si>
    <t>ZongHua Sijia</t>
  </si>
  <si>
    <t>PR100 Game32</t>
  </si>
  <si>
    <t>SP Sijia</t>
  </si>
  <si>
    <t>Ring650 SGBIKE10 Cake66 Shoes189</t>
  </si>
  <si>
    <t>Aircon224.70 chocolate25 flower58</t>
  </si>
  <si>
    <t>flower54 Healthscreen26 Flowerdelivery17.3</t>
  </si>
  <si>
    <t>Ring696 Game13 iphon1620</t>
  </si>
  <si>
    <t>Online Shopping</t>
  </si>
  <si>
    <t>Rent</t>
  </si>
  <si>
    <t>Utility</t>
  </si>
  <si>
    <t>Supermarket</t>
  </si>
  <si>
    <t>Eat and Go</t>
  </si>
  <si>
    <t>Eat good</t>
  </si>
  <si>
    <t>Haircut</t>
  </si>
  <si>
    <t>Furniture</t>
  </si>
  <si>
    <t>Cash</t>
  </si>
  <si>
    <t>Other</t>
  </si>
  <si>
    <t>Game</t>
  </si>
  <si>
    <t>Gift</t>
  </si>
  <si>
    <t>Moving</t>
  </si>
  <si>
    <t>Tax</t>
  </si>
  <si>
    <t>Netflix20/mon(canceled)</t>
  </si>
  <si>
    <t>APPLE15 GUCCI460 Zhengyangdan25 mask 6</t>
  </si>
  <si>
    <t>ZYG SQ Sijia</t>
  </si>
  <si>
    <t>APPLE55 RafflesHealth60</t>
  </si>
  <si>
    <t>YY Sijia</t>
  </si>
  <si>
    <t>UNIQLO&amp;other</t>
  </si>
  <si>
    <t>燕窝340 Sijia1100 ChinTong9 Challenger10 Novela160</t>
  </si>
  <si>
    <t>SIjia</t>
  </si>
  <si>
    <t>Sijia500 Netflix20 LUISAVIAROMA204.18</t>
  </si>
  <si>
    <t>针灸127</t>
  </si>
  <si>
    <t>Tax237.80 Netflix20</t>
  </si>
  <si>
    <t xml:space="preserve"> LUISAVIAROMA155.79 Sijia1490</t>
  </si>
  <si>
    <t>Sijia2000</t>
  </si>
  <si>
    <t>Zoo104 SijiaCloth40.50 bag50 flower15</t>
  </si>
  <si>
    <t>Sijia1100 glasses358</t>
  </si>
  <si>
    <t>Sijia Muyun Willie</t>
  </si>
  <si>
    <t>Zoo83 companyGift236.5 ZY51</t>
  </si>
  <si>
    <t>706.9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</si>
</sst>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medium">
        <color auto="1"/>
      </diagonal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0" xfId="0" applyFont="1"/>
    <xf numFmtId="2" fontId="1" fillId="0" borderId="1" xfId="0" applyNumberFormat="1" applyFont="1" applyBorder="1"/>
    <xf numFmtId="2" fontId="1" fillId="0" borderId="0" xfId="0" applyNumberFormat="1" applyFont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2" fontId="1" fillId="0" borderId="1" xfId="0" applyNumberFormat="1" applyFont="1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Border="1"/>
    <xf numFmtId="2" fontId="3" fillId="3" borderId="1" xfId="0" applyNumberFormat="1" applyFont="1" applyFill="1" applyBorder="1"/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tabSelected="1" workbookViewId="0">
      <selection activeCell="K27" sqref="K27"/>
    </sheetView>
  </sheetViews>
  <sheetFormatPr defaultRowHeight="15" x14ac:dyDescent="0.25"/>
  <cols>
    <col min="1" max="1" width="10.28515625" bestFit="1" customWidth="1"/>
    <col min="2" max="2" width="15.42578125" bestFit="1" customWidth="1"/>
    <col min="3" max="3" width="13.5703125" bestFit="1" customWidth="1"/>
    <col min="4" max="4" width="14.140625" bestFit="1" customWidth="1"/>
    <col min="5" max="7" width="12" bestFit="1" customWidth="1"/>
    <col min="8" max="8" width="16.28515625" bestFit="1" customWidth="1"/>
    <col min="9" max="10" width="12" bestFit="1" customWidth="1"/>
    <col min="11" max="11" width="10.5703125" bestFit="1" customWidth="1"/>
    <col min="12" max="12" width="14.42578125" bestFit="1" customWidth="1"/>
    <col min="13" max="13" width="10.5703125" bestFit="1" customWidth="1"/>
    <col min="14" max="14" width="25" bestFit="1" customWidth="1"/>
    <col min="15" max="15" width="14.140625" bestFit="1" customWidth="1"/>
    <col min="16" max="16" width="17.85546875" bestFit="1" customWidth="1"/>
    <col min="17" max="17" width="16.42578125" bestFit="1" customWidth="1"/>
    <col min="18" max="18" width="10.5703125" bestFit="1" customWidth="1"/>
    <col min="20" max="20" width="14" bestFit="1" customWidth="1"/>
    <col min="21" max="21" width="19.5703125" bestFit="1" customWidth="1"/>
    <col min="22" max="22" width="10.7109375" bestFit="1" customWidth="1"/>
    <col min="23" max="23" width="13.42578125" bestFit="1" customWidth="1"/>
    <col min="24" max="24" width="14.42578125" bestFit="1" customWidth="1"/>
    <col min="25" max="25" width="9.28515625" bestFit="1" customWidth="1"/>
    <col min="26" max="26" width="12.85546875" bestFit="1" customWidth="1"/>
    <col min="27" max="27" width="12" bestFit="1" customWidth="1"/>
    <col min="28" max="28" width="8.42578125" bestFit="1" customWidth="1"/>
    <col min="29" max="29" width="9.5703125" bestFit="1" customWidth="1"/>
    <col min="30" max="30" width="7" bestFit="1" customWidth="1"/>
    <col min="31" max="31" width="29" bestFit="1" customWidth="1"/>
  </cols>
  <sheetData>
    <row r="1" spans="1:31" ht="19.5" thickBot="1" x14ac:dyDescent="0.35">
      <c r="A1" s="1" t="s">
        <v>0</v>
      </c>
      <c r="B1" s="1" t="s">
        <v>27</v>
      </c>
      <c r="C1" s="1" t="s">
        <v>26</v>
      </c>
      <c r="D1" s="1" t="s">
        <v>25</v>
      </c>
      <c r="E1" s="21" t="s">
        <v>14</v>
      </c>
      <c r="F1" s="21"/>
      <c r="G1" s="21"/>
      <c r="H1" s="21"/>
      <c r="I1" s="21" t="s">
        <v>15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 spans="1:31" ht="19.5" thickBot="1" x14ac:dyDescent="0.35">
      <c r="A2" s="20"/>
      <c r="B2" s="20"/>
      <c r="C2" s="20"/>
      <c r="D2" s="20"/>
      <c r="E2" s="5" t="s">
        <v>18</v>
      </c>
      <c r="F2" s="21" t="s">
        <v>13</v>
      </c>
      <c r="G2" s="21"/>
      <c r="H2" s="21"/>
      <c r="I2" s="5" t="s">
        <v>18</v>
      </c>
      <c r="J2" s="21" t="s">
        <v>13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 spans="1:31" ht="19.5" thickBot="1" x14ac:dyDescent="0.35">
      <c r="A3" s="20"/>
      <c r="B3" s="20"/>
      <c r="C3" s="20"/>
      <c r="D3" s="20"/>
      <c r="E3" s="6"/>
      <c r="F3" s="1" t="s">
        <v>16</v>
      </c>
      <c r="G3" s="1" t="s">
        <v>17</v>
      </c>
      <c r="H3" s="1" t="s">
        <v>20</v>
      </c>
      <c r="I3" s="6"/>
      <c r="J3" s="1" t="s">
        <v>19</v>
      </c>
      <c r="K3" s="1" t="s">
        <v>46</v>
      </c>
      <c r="L3" s="1" t="s">
        <v>32</v>
      </c>
      <c r="M3" s="1" t="s">
        <v>45</v>
      </c>
      <c r="N3" s="1" t="s">
        <v>36</v>
      </c>
      <c r="O3" s="1" t="s">
        <v>37</v>
      </c>
      <c r="P3" s="1" t="s">
        <v>40</v>
      </c>
      <c r="Q3" s="1" t="s">
        <v>41</v>
      </c>
      <c r="R3" s="1" t="s">
        <v>21</v>
      </c>
      <c r="S3" s="1" t="s">
        <v>22</v>
      </c>
      <c r="T3" s="1" t="s">
        <v>23</v>
      </c>
      <c r="U3" s="1" t="s">
        <v>56</v>
      </c>
      <c r="V3" s="1" t="s">
        <v>28</v>
      </c>
      <c r="W3" s="1" t="s">
        <v>24</v>
      </c>
      <c r="X3" s="1" t="s">
        <v>42</v>
      </c>
      <c r="Y3" s="1" t="s">
        <v>29</v>
      </c>
      <c r="Z3" s="1" t="s">
        <v>31</v>
      </c>
      <c r="AA3" s="1" t="s">
        <v>17</v>
      </c>
      <c r="AB3" s="21" t="s">
        <v>20</v>
      </c>
      <c r="AC3" s="21"/>
      <c r="AD3" s="21"/>
      <c r="AE3" s="21"/>
    </row>
    <row r="4" spans="1:31" ht="19.5" thickBot="1" x14ac:dyDescent="0.35">
      <c r="A4" s="1" t="s">
        <v>1</v>
      </c>
      <c r="B4" s="3"/>
      <c r="C4" s="3"/>
      <c r="D4" s="3"/>
      <c r="E4" s="8"/>
      <c r="F4" s="8"/>
      <c r="G4" s="3"/>
      <c r="H4" s="3"/>
      <c r="I4" s="8"/>
      <c r="J4" s="8"/>
      <c r="K4" s="3"/>
      <c r="L4" s="3"/>
      <c r="M4" s="8"/>
      <c r="N4" s="8"/>
      <c r="O4" s="8"/>
      <c r="P4" s="3"/>
      <c r="Q4" s="3"/>
      <c r="R4" s="8"/>
      <c r="S4" s="8"/>
      <c r="T4" s="3"/>
      <c r="U4" s="3"/>
      <c r="V4" s="8"/>
      <c r="W4" s="8"/>
      <c r="X4" s="3"/>
      <c r="Y4" s="3"/>
      <c r="Z4" s="3"/>
      <c r="AA4" s="3"/>
      <c r="AB4" s="22"/>
      <c r="AC4" s="22"/>
      <c r="AD4" s="22"/>
      <c r="AE4" s="22"/>
    </row>
    <row r="5" spans="1:31" ht="19.5" thickBot="1" x14ac:dyDescent="0.35">
      <c r="A5" s="1" t="s">
        <v>2</v>
      </c>
      <c r="B5" s="3"/>
      <c r="C5" s="3"/>
      <c r="D5" s="3"/>
      <c r="E5" s="8"/>
      <c r="F5" s="8"/>
      <c r="G5" s="3"/>
      <c r="H5" s="3"/>
      <c r="I5" s="8"/>
      <c r="J5" s="8"/>
      <c r="K5" s="3"/>
      <c r="L5" s="3"/>
      <c r="M5" s="8"/>
      <c r="N5" s="8"/>
      <c r="O5" s="8"/>
      <c r="P5" s="3"/>
      <c r="Q5" s="3"/>
      <c r="R5" s="8"/>
      <c r="S5" s="8"/>
      <c r="T5" s="3"/>
      <c r="U5" s="3"/>
      <c r="V5" s="8"/>
      <c r="W5" s="8"/>
      <c r="X5" s="3"/>
      <c r="Y5" s="3"/>
      <c r="Z5" s="3"/>
      <c r="AA5" s="3"/>
      <c r="AB5" s="22"/>
      <c r="AC5" s="22"/>
      <c r="AD5" s="22"/>
      <c r="AE5" s="22"/>
    </row>
    <row r="6" spans="1:31" ht="19.5" thickBot="1" x14ac:dyDescent="0.35">
      <c r="A6" s="1" t="s">
        <v>3</v>
      </c>
      <c r="B6" s="3"/>
      <c r="C6" s="3"/>
      <c r="D6" s="3"/>
      <c r="E6" s="8"/>
      <c r="F6" s="8"/>
      <c r="G6" s="3"/>
      <c r="H6" s="3"/>
      <c r="I6" s="8"/>
      <c r="J6" s="8"/>
      <c r="K6" s="3"/>
      <c r="L6" s="3"/>
      <c r="M6" s="8"/>
      <c r="N6" s="8"/>
      <c r="O6" s="8"/>
      <c r="P6" s="3"/>
      <c r="Q6" s="3"/>
      <c r="R6" s="8"/>
      <c r="S6" s="8"/>
      <c r="T6" s="3"/>
      <c r="U6" s="3"/>
      <c r="V6" s="8"/>
      <c r="W6" s="8"/>
      <c r="X6" s="3"/>
      <c r="Y6" s="3"/>
      <c r="Z6" s="3"/>
      <c r="AA6" s="3"/>
      <c r="AB6" s="22"/>
      <c r="AC6" s="22"/>
      <c r="AD6" s="22"/>
      <c r="AE6" s="22"/>
    </row>
    <row r="7" spans="1:31" ht="19.5" thickBot="1" x14ac:dyDescent="0.35">
      <c r="A7" s="1" t="s">
        <v>4</v>
      </c>
      <c r="B7" s="3"/>
      <c r="C7" s="3"/>
      <c r="D7" s="3"/>
      <c r="E7" s="8"/>
      <c r="F7" s="8"/>
      <c r="G7" s="3"/>
      <c r="H7" s="3"/>
      <c r="I7" s="8"/>
      <c r="J7" s="8"/>
      <c r="K7" s="3"/>
      <c r="L7" s="3"/>
      <c r="M7" s="8"/>
      <c r="N7" s="8"/>
      <c r="O7" s="8"/>
      <c r="P7" s="3"/>
      <c r="Q7" s="3"/>
      <c r="R7" s="8"/>
      <c r="S7" s="8"/>
      <c r="T7" s="3"/>
      <c r="U7" s="3"/>
      <c r="V7" s="8"/>
      <c r="W7" s="8"/>
      <c r="X7" s="3"/>
      <c r="Y7" s="3"/>
      <c r="Z7" s="3"/>
      <c r="AA7" s="3"/>
      <c r="AB7" s="22"/>
      <c r="AC7" s="22"/>
      <c r="AD7" s="22"/>
      <c r="AE7" s="22"/>
    </row>
    <row r="8" spans="1:31" ht="19.5" thickBot="1" x14ac:dyDescent="0.35">
      <c r="A8" s="1" t="s">
        <v>5</v>
      </c>
      <c r="B8" s="3"/>
      <c r="C8" s="3"/>
      <c r="D8" s="3"/>
      <c r="E8" s="8"/>
      <c r="F8" s="8"/>
      <c r="G8" s="3"/>
      <c r="H8" s="3"/>
      <c r="I8" s="8"/>
      <c r="J8" s="8"/>
      <c r="K8" s="3"/>
      <c r="L8" s="3"/>
      <c r="M8" s="8"/>
      <c r="N8" s="8"/>
      <c r="O8" s="8"/>
      <c r="P8" s="3"/>
      <c r="Q8" s="3"/>
      <c r="R8" s="8"/>
      <c r="S8" s="8"/>
      <c r="T8" s="3"/>
      <c r="U8" s="3"/>
      <c r="V8" s="8"/>
      <c r="W8" s="8"/>
      <c r="X8" s="3"/>
      <c r="Y8" s="3"/>
      <c r="Z8" s="3"/>
      <c r="AA8" s="3"/>
      <c r="AB8" s="22"/>
      <c r="AC8" s="22"/>
      <c r="AD8" s="22"/>
      <c r="AE8" s="22"/>
    </row>
    <row r="9" spans="1:31" ht="19.5" thickBot="1" x14ac:dyDescent="0.35">
      <c r="A9" s="1" t="s">
        <v>6</v>
      </c>
      <c r="B9" s="3"/>
      <c r="C9" s="3"/>
      <c r="D9" s="3"/>
      <c r="E9" s="8"/>
      <c r="F9" s="8"/>
      <c r="G9" s="3"/>
      <c r="H9" s="3"/>
      <c r="I9" s="8"/>
      <c r="J9" s="8"/>
      <c r="K9" s="3"/>
      <c r="L9" s="3"/>
      <c r="M9" s="8"/>
      <c r="N9" s="8"/>
      <c r="O9" s="8"/>
      <c r="P9" s="3"/>
      <c r="Q9" s="3"/>
      <c r="R9" s="8"/>
      <c r="S9" s="8"/>
      <c r="T9" s="3"/>
      <c r="U9" s="3"/>
      <c r="V9" s="8"/>
      <c r="W9" s="8"/>
      <c r="X9" s="3"/>
      <c r="Y9" s="3"/>
      <c r="Z9" s="3"/>
      <c r="AA9" s="3"/>
      <c r="AB9" s="22"/>
      <c r="AC9" s="22"/>
      <c r="AD9" s="22"/>
      <c r="AE9" s="22"/>
    </row>
    <row r="10" spans="1:31" ht="19.5" thickBot="1" x14ac:dyDescent="0.35">
      <c r="A10" s="1" t="s">
        <v>7</v>
      </c>
      <c r="B10" s="3"/>
      <c r="C10" s="3"/>
      <c r="D10" s="3"/>
      <c r="E10" s="8"/>
      <c r="F10" s="8"/>
      <c r="G10" s="3"/>
      <c r="H10" s="3"/>
      <c r="I10" s="8"/>
      <c r="J10" s="8"/>
      <c r="K10" s="3"/>
      <c r="L10" s="3"/>
      <c r="M10" s="8"/>
      <c r="N10" s="8"/>
      <c r="O10" s="8"/>
      <c r="P10" s="3"/>
      <c r="Q10" s="3"/>
      <c r="R10" s="8"/>
      <c r="S10" s="8"/>
      <c r="T10" s="3"/>
      <c r="U10" s="3"/>
      <c r="V10" s="8"/>
      <c r="W10" s="8"/>
      <c r="X10" s="3"/>
      <c r="Y10" s="3"/>
      <c r="Z10" s="3"/>
      <c r="AA10" s="3"/>
      <c r="AB10" s="22"/>
      <c r="AC10" s="22"/>
      <c r="AD10" s="22"/>
      <c r="AE10" s="22"/>
    </row>
    <row r="11" spans="1:31" ht="19.5" thickBot="1" x14ac:dyDescent="0.35">
      <c r="A11" s="1" t="s">
        <v>8</v>
      </c>
      <c r="B11" s="3"/>
      <c r="C11" s="3"/>
      <c r="D11" s="3"/>
      <c r="E11" s="8"/>
      <c r="F11" s="8"/>
      <c r="G11" s="3"/>
      <c r="H11" s="3"/>
      <c r="I11" s="8"/>
      <c r="J11" s="8"/>
      <c r="K11" s="3"/>
      <c r="L11" s="3"/>
      <c r="M11" s="8"/>
      <c r="N11" s="8"/>
      <c r="O11" s="8"/>
      <c r="P11" s="3"/>
      <c r="Q11" s="3"/>
      <c r="R11" s="8"/>
      <c r="S11" s="8"/>
      <c r="T11" s="3"/>
      <c r="U11" s="3"/>
      <c r="V11" s="8"/>
      <c r="W11" s="8"/>
      <c r="X11" s="3"/>
      <c r="Y11" s="3"/>
      <c r="Z11" s="3"/>
      <c r="AA11" s="3"/>
      <c r="AB11" s="22"/>
      <c r="AC11" s="22"/>
      <c r="AD11" s="22"/>
      <c r="AE11" s="22"/>
    </row>
    <row r="12" spans="1:31" ht="19.5" thickBot="1" x14ac:dyDescent="0.35">
      <c r="A12" s="1" t="s">
        <v>9</v>
      </c>
      <c r="B12" s="3"/>
      <c r="C12" s="3"/>
      <c r="D12" s="3"/>
      <c r="E12" s="8"/>
      <c r="F12" s="8"/>
      <c r="G12" s="3"/>
      <c r="H12" s="3"/>
      <c r="I12" s="8"/>
      <c r="J12" s="8"/>
      <c r="K12" s="3"/>
      <c r="L12" s="3"/>
      <c r="M12" s="8"/>
      <c r="N12" s="8"/>
      <c r="O12" s="8"/>
      <c r="P12" s="3"/>
      <c r="Q12" s="3"/>
      <c r="R12" s="8"/>
      <c r="S12" s="8"/>
      <c r="T12" s="3"/>
      <c r="U12" s="3"/>
      <c r="V12" s="8"/>
      <c r="W12" s="8"/>
      <c r="X12" s="3"/>
      <c r="Y12" s="3"/>
      <c r="Z12" s="3"/>
      <c r="AA12" s="3"/>
      <c r="AB12" s="22"/>
      <c r="AC12" s="22"/>
      <c r="AD12" s="22"/>
      <c r="AE12" s="22"/>
    </row>
    <row r="13" spans="1:31" ht="19.5" thickBot="1" x14ac:dyDescent="0.35">
      <c r="A13" s="1" t="s">
        <v>10</v>
      </c>
      <c r="B13" s="3"/>
      <c r="C13" s="3"/>
      <c r="D13" s="3"/>
      <c r="E13" s="8"/>
      <c r="F13" s="8"/>
      <c r="G13" s="3"/>
      <c r="H13" s="3"/>
      <c r="I13" s="8"/>
      <c r="J13" s="8"/>
      <c r="K13" s="3"/>
      <c r="L13" s="3"/>
      <c r="M13" s="8"/>
      <c r="N13" s="8"/>
      <c r="O13" s="8"/>
      <c r="P13" s="3"/>
      <c r="Q13" s="3"/>
      <c r="R13" s="8"/>
      <c r="S13" s="8"/>
      <c r="T13" s="3"/>
      <c r="U13" s="3"/>
      <c r="V13" s="8"/>
      <c r="W13" s="8"/>
      <c r="X13" s="3"/>
      <c r="Y13" s="3"/>
      <c r="Z13" s="3"/>
      <c r="AA13" s="3"/>
      <c r="AB13" s="22"/>
      <c r="AC13" s="22"/>
      <c r="AD13" s="22"/>
      <c r="AE13" s="22"/>
    </row>
    <row r="14" spans="1:31" ht="19.5" thickBot="1" x14ac:dyDescent="0.35">
      <c r="A14" s="1" t="s">
        <v>11</v>
      </c>
      <c r="B14" s="3"/>
      <c r="C14" s="3"/>
      <c r="D14" s="3"/>
      <c r="E14" s="8"/>
      <c r="F14" s="8"/>
      <c r="G14" s="3"/>
      <c r="H14" s="3"/>
      <c r="I14" s="8"/>
      <c r="J14" s="8"/>
      <c r="K14" s="3"/>
      <c r="L14" s="3"/>
      <c r="M14" s="8"/>
      <c r="N14" s="8"/>
      <c r="O14" s="8"/>
      <c r="P14" s="3"/>
      <c r="Q14" s="3"/>
      <c r="R14" s="8"/>
      <c r="S14" s="8"/>
      <c r="T14" s="3"/>
      <c r="U14" s="3"/>
      <c r="V14" s="8"/>
      <c r="W14" s="8"/>
      <c r="X14" s="3"/>
      <c r="Y14" s="3"/>
      <c r="Z14" s="3"/>
      <c r="AA14" s="3"/>
      <c r="AB14" s="22"/>
      <c r="AC14" s="22"/>
      <c r="AD14" s="22"/>
      <c r="AE14" s="22"/>
    </row>
    <row r="15" spans="1:31" ht="19.5" thickBot="1" x14ac:dyDescent="0.35">
      <c r="A15" s="1" t="s">
        <v>12</v>
      </c>
      <c r="B15" s="3"/>
      <c r="C15" s="3"/>
      <c r="D15" s="3"/>
      <c r="E15" s="8"/>
      <c r="F15" s="8"/>
      <c r="G15" s="3"/>
      <c r="H15" s="3"/>
      <c r="I15" s="8"/>
      <c r="J15" s="8"/>
      <c r="K15" s="3"/>
      <c r="L15" s="3"/>
      <c r="M15" s="8"/>
      <c r="N15" s="8"/>
      <c r="O15" s="8"/>
      <c r="P15" s="3"/>
      <c r="Q15" s="3"/>
      <c r="R15" s="8"/>
      <c r="S15" s="8"/>
      <c r="T15" s="3"/>
      <c r="U15" s="3"/>
      <c r="V15" s="8"/>
      <c r="W15" s="8"/>
      <c r="X15" s="3"/>
      <c r="Y15" s="3"/>
      <c r="Z15" s="3"/>
      <c r="AA15" s="3"/>
      <c r="AB15" s="22"/>
      <c r="AC15" s="22"/>
      <c r="AD15" s="22"/>
      <c r="AE15" s="22"/>
    </row>
    <row r="16" spans="1:31" ht="15.75" thickBot="1" x14ac:dyDescent="0.3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</row>
    <row r="17" spans="1:31" ht="15.75" thickBot="1" x14ac:dyDescent="0.3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</row>
    <row r="18" spans="1:31" ht="19.5" thickBot="1" x14ac:dyDescent="0.35">
      <c r="A18" s="5" t="s">
        <v>18</v>
      </c>
      <c r="B18" s="30"/>
      <c r="C18" s="30"/>
      <c r="D18" s="3">
        <f>SUM(D4:D15)</f>
        <v>0</v>
      </c>
      <c r="E18" s="3">
        <f>SUM(E4:E15)</f>
        <v>0</v>
      </c>
      <c r="F18" s="3">
        <f>SUM(F4:F15)</f>
        <v>0</v>
      </c>
      <c r="G18" s="3">
        <f>SUM(G4:G15)</f>
        <v>0</v>
      </c>
      <c r="H18" s="30"/>
      <c r="I18" s="8">
        <f>SUM(I4:I15)</f>
        <v>0</v>
      </c>
      <c r="J18" s="17">
        <f>SUM(J4:J15)</f>
        <v>0</v>
      </c>
      <c r="K18" s="8">
        <f>SUM(K4:K15)</f>
        <v>0</v>
      </c>
      <c r="L18" s="8">
        <f>SUM(L4:L15)</f>
        <v>0</v>
      </c>
      <c r="M18" s="8">
        <f t="shared" ref="M18:AA18" si="0">SUM(M4:M15)</f>
        <v>0</v>
      </c>
      <c r="N18" s="8">
        <f t="shared" si="0"/>
        <v>0</v>
      </c>
      <c r="O18" s="8">
        <f t="shared" si="0"/>
        <v>0</v>
      </c>
      <c r="P18" s="8">
        <f t="shared" si="0"/>
        <v>0</v>
      </c>
      <c r="Q18" s="8">
        <f t="shared" si="0"/>
        <v>0</v>
      </c>
      <c r="R18" s="8">
        <f t="shared" si="0"/>
        <v>0</v>
      </c>
      <c r="S18" s="8">
        <f t="shared" si="0"/>
        <v>0</v>
      </c>
      <c r="T18" s="8">
        <f t="shared" si="0"/>
        <v>0</v>
      </c>
      <c r="U18" s="8">
        <f t="shared" si="0"/>
        <v>0</v>
      </c>
      <c r="V18" s="8">
        <f t="shared" si="0"/>
        <v>0</v>
      </c>
      <c r="W18" s="8">
        <f t="shared" si="0"/>
        <v>0</v>
      </c>
      <c r="X18" s="8">
        <f t="shared" si="0"/>
        <v>0</v>
      </c>
      <c r="Y18" s="8">
        <f t="shared" si="0"/>
        <v>0</v>
      </c>
      <c r="Z18" s="8">
        <f t="shared" si="0"/>
        <v>0</v>
      </c>
      <c r="AA18" s="17">
        <f t="shared" si="0"/>
        <v>0</v>
      </c>
      <c r="AB18" s="20"/>
      <c r="AC18" s="20"/>
      <c r="AD18" s="20"/>
      <c r="AE18" s="20"/>
    </row>
    <row r="19" spans="1:31" ht="19.5" thickBot="1" x14ac:dyDescent="0.35">
      <c r="A19" s="5" t="s">
        <v>35</v>
      </c>
      <c r="B19" s="30"/>
      <c r="C19" s="30"/>
      <c r="D19" s="3">
        <f>D18/12</f>
        <v>0</v>
      </c>
      <c r="E19" s="3">
        <f>E18/12</f>
        <v>0</v>
      </c>
      <c r="F19" s="3">
        <f>F18/12</f>
        <v>0</v>
      </c>
      <c r="G19" s="3">
        <f>G18/12</f>
        <v>0</v>
      </c>
      <c r="H19" s="30"/>
      <c r="I19" s="8">
        <f>I18/12</f>
        <v>0</v>
      </c>
      <c r="J19" s="8">
        <f>J18/12</f>
        <v>0</v>
      </c>
      <c r="K19" s="8">
        <f>K18/12</f>
        <v>0</v>
      </c>
      <c r="L19" s="8">
        <f>L18/12</f>
        <v>0</v>
      </c>
      <c r="M19" s="8">
        <f t="shared" ref="M19:AA19" si="1">M18/12</f>
        <v>0</v>
      </c>
      <c r="N19" s="8">
        <f t="shared" si="1"/>
        <v>0</v>
      </c>
      <c r="O19" s="8">
        <f t="shared" si="1"/>
        <v>0</v>
      </c>
      <c r="P19" s="8">
        <f t="shared" si="1"/>
        <v>0</v>
      </c>
      <c r="Q19" s="8">
        <f t="shared" si="1"/>
        <v>0</v>
      </c>
      <c r="R19" s="8">
        <f t="shared" si="1"/>
        <v>0</v>
      </c>
      <c r="S19" s="8">
        <f t="shared" si="1"/>
        <v>0</v>
      </c>
      <c r="T19" s="8">
        <f t="shared" si="1"/>
        <v>0</v>
      </c>
      <c r="U19" s="8">
        <f t="shared" si="1"/>
        <v>0</v>
      </c>
      <c r="V19" s="8">
        <f t="shared" si="1"/>
        <v>0</v>
      </c>
      <c r="W19" s="8">
        <f t="shared" si="1"/>
        <v>0</v>
      </c>
      <c r="X19" s="8">
        <f t="shared" si="1"/>
        <v>0</v>
      </c>
      <c r="Y19" s="8">
        <f t="shared" si="1"/>
        <v>0</v>
      </c>
      <c r="Z19" s="8">
        <f t="shared" si="1"/>
        <v>0</v>
      </c>
      <c r="AA19" s="8">
        <f t="shared" si="1"/>
        <v>0</v>
      </c>
      <c r="AB19" s="20"/>
      <c r="AC19" s="20"/>
      <c r="AD19" s="20"/>
      <c r="AE19" s="20"/>
    </row>
    <row r="20" spans="1:31" ht="19.5" thickBot="1" x14ac:dyDescent="0.35">
      <c r="A20" s="15"/>
      <c r="B20" s="12"/>
      <c r="C20" s="12"/>
      <c r="D20" s="13"/>
      <c r="E20" s="13"/>
      <c r="F20" s="13"/>
      <c r="G20" s="13"/>
      <c r="H20" s="12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1"/>
      <c r="AC20" s="16"/>
      <c r="AD20" s="16"/>
      <c r="AE20" s="16"/>
    </row>
    <row r="21" spans="1:31" ht="19.5" thickBot="1" x14ac:dyDescent="0.35">
      <c r="A21" s="15"/>
      <c r="B21" s="12"/>
      <c r="C21" s="12"/>
      <c r="D21" s="13"/>
      <c r="E21" s="13"/>
      <c r="F21" s="13"/>
      <c r="G21" s="13"/>
      <c r="H21" s="12"/>
      <c r="I21" s="14"/>
      <c r="J21" s="8" t="s">
        <v>57</v>
      </c>
      <c r="K21" s="24" t="s">
        <v>58</v>
      </c>
      <c r="L21" s="24"/>
      <c r="M21" s="24" t="s">
        <v>59</v>
      </c>
      <c r="N21" s="24"/>
      <c r="O21" s="24"/>
      <c r="P21" s="24"/>
      <c r="Q21" s="24"/>
      <c r="R21" s="24" t="s">
        <v>60</v>
      </c>
      <c r="S21" s="24"/>
      <c r="T21" s="24"/>
      <c r="U21" s="24"/>
      <c r="V21" s="24"/>
      <c r="W21" s="8" t="s">
        <v>61</v>
      </c>
      <c r="X21" s="8" t="s">
        <v>63</v>
      </c>
      <c r="Y21" s="8" t="s">
        <v>62</v>
      </c>
      <c r="Z21" s="8" t="s">
        <v>64</v>
      </c>
      <c r="AA21" s="8" t="s">
        <v>66</v>
      </c>
      <c r="AB21" s="19" t="s">
        <v>67</v>
      </c>
      <c r="AC21" s="1" t="s">
        <v>68</v>
      </c>
      <c r="AD21" s="1" t="s">
        <v>69</v>
      </c>
      <c r="AE21" s="1" t="s">
        <v>65</v>
      </c>
    </row>
    <row r="22" spans="1:31" ht="19.5" thickBot="1" x14ac:dyDescent="0.35">
      <c r="A22" s="2"/>
      <c r="B22" s="4"/>
      <c r="C22" s="4"/>
      <c r="D22" s="4"/>
      <c r="E22" s="4"/>
      <c r="F22" s="4"/>
      <c r="G22" s="4"/>
      <c r="H22" s="4"/>
      <c r="I22" s="4"/>
      <c r="J22" s="3">
        <f>SUM(J18)</f>
        <v>0</v>
      </c>
      <c r="K22" s="23"/>
      <c r="L22" s="23"/>
      <c r="M22" s="23">
        <f>SUM(M18:Q18)</f>
        <v>0</v>
      </c>
      <c r="N22" s="23"/>
      <c r="O22" s="23"/>
      <c r="P22" s="23"/>
      <c r="Q22" s="23"/>
      <c r="R22" s="23">
        <f>SUM(R18:V18)</f>
        <v>0</v>
      </c>
      <c r="S22" s="23"/>
      <c r="T22" s="23"/>
      <c r="U22" s="23"/>
      <c r="V22" s="23"/>
      <c r="W22" s="18"/>
      <c r="X22" s="3"/>
      <c r="Y22" s="3"/>
      <c r="Z22" s="3"/>
      <c r="AA22" s="1"/>
      <c r="AB22" s="1"/>
      <c r="AC22" s="1"/>
      <c r="AD22" s="1"/>
      <c r="AE22" s="1"/>
    </row>
    <row r="23" spans="1:31" ht="19.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3">
        <f>SUM(J22:L22)</f>
        <v>0</v>
      </c>
      <c r="K23" s="21"/>
      <c r="L23" s="21"/>
      <c r="M23" s="23">
        <f>SUM(M22:V22)</f>
        <v>0</v>
      </c>
      <c r="N23" s="21"/>
      <c r="O23" s="21"/>
      <c r="P23" s="21"/>
      <c r="Q23" s="21"/>
      <c r="R23" s="21"/>
      <c r="S23" s="21"/>
      <c r="T23" s="21"/>
      <c r="U23" s="21"/>
      <c r="V23" s="21"/>
      <c r="W23" s="1"/>
      <c r="X23" s="1"/>
      <c r="Y23" s="1"/>
      <c r="Z23" s="1"/>
      <c r="AA23" s="27">
        <f>SUM(AA22:AD22)</f>
        <v>0</v>
      </c>
      <c r="AB23" s="28"/>
      <c r="AC23" s="28"/>
      <c r="AD23" s="29"/>
      <c r="AE23" s="1"/>
    </row>
  </sheetData>
  <mergeCells count="34">
    <mergeCell ref="K22:L22"/>
    <mergeCell ref="M22:Q22"/>
    <mergeCell ref="R22:V22"/>
    <mergeCell ref="J23:L23"/>
    <mergeCell ref="M23:V23"/>
    <mergeCell ref="AA23:AD23"/>
    <mergeCell ref="A16:AE17"/>
    <mergeCell ref="B18:C19"/>
    <mergeCell ref="H18:H19"/>
    <mergeCell ref="AB18:AE19"/>
    <mergeCell ref="K21:L21"/>
    <mergeCell ref="M21:Q21"/>
    <mergeCell ref="R21:V21"/>
    <mergeCell ref="AB10:AE10"/>
    <mergeCell ref="AB11:AE11"/>
    <mergeCell ref="AB12:AE12"/>
    <mergeCell ref="AB13:AE13"/>
    <mergeCell ref="AB14:AE14"/>
    <mergeCell ref="AB15:AE15"/>
    <mergeCell ref="AB4:AE4"/>
    <mergeCell ref="AB5:AE5"/>
    <mergeCell ref="AB6:AE6"/>
    <mergeCell ref="AB7:AE7"/>
    <mergeCell ref="AB8:AE8"/>
    <mergeCell ref="AB9:AE9"/>
    <mergeCell ref="E1:H1"/>
    <mergeCell ref="I1:AE1"/>
    <mergeCell ref="A2:A3"/>
    <mergeCell ref="B2:B3"/>
    <mergeCell ref="C2:C3"/>
    <mergeCell ref="D2:D3"/>
    <mergeCell ref="F2:H2"/>
    <mergeCell ref="J2:AE2"/>
    <mergeCell ref="AB3:AE3"/>
  </mergeCells>
  <conditionalFormatting sqref="W4:W15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{275698F9-C8F5-4A24-976D-4F035559B36A}</x14:id>
        </ext>
      </extLst>
    </cfRule>
  </conditionalFormatting>
  <conditionalFormatting sqref="V4:V15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{5A09134B-C23D-4201-9D3A-221EBD5C3775}</x14:id>
        </ext>
      </extLst>
    </cfRule>
  </conditionalFormatting>
  <conditionalFormatting sqref="S4:S15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{04C2B702-6751-4622-82C0-E30A2B0C774C}</x14:id>
        </ext>
      </extLst>
    </cfRule>
  </conditionalFormatting>
  <conditionalFormatting sqref="R4:R15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{7FC66C93-FC5B-4A5C-9C8F-0D07605B4D49}</x14:id>
        </ext>
      </extLst>
    </cfRule>
  </conditionalFormatting>
  <conditionalFormatting sqref="M4:M15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{B58D4867-2B39-4F56-8CF1-B1D25AD16434}</x14:id>
        </ext>
      </extLst>
    </cfRule>
  </conditionalFormatting>
  <conditionalFormatting sqref="N4:N15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{EA1D3523-190C-4E7F-9665-2D89949D9D13}</x14:id>
        </ext>
      </extLst>
    </cfRule>
  </conditionalFormatting>
  <conditionalFormatting sqref="O4:O15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{A3A93991-46EC-48E2-BE16-7B32D2254BDB}</x14:id>
        </ext>
      </extLst>
    </cfRule>
  </conditionalFormatting>
  <conditionalFormatting sqref="F4:F1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{7193310C-EF7F-4085-B9E8-D92F0DD24E59}</x14:id>
        </ext>
      </extLst>
    </cfRule>
  </conditionalFormatting>
  <conditionalFormatting sqref="I4:I15">
    <cfRule type="colorScale" priority="5">
      <colorScale>
        <cfvo type="min"/>
        <cfvo type="max"/>
        <color rgb="FFFCFCFF"/>
        <color rgb="FFF8696B"/>
      </colorScale>
    </cfRule>
  </conditionalFormatting>
  <conditionalFormatting sqref="G4:G1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{D9B6C264-099B-40CB-86BD-7DC2D2D1CFE1}</x14:id>
        </ext>
      </extLst>
    </cfRule>
  </conditionalFormatting>
  <conditionalFormatting sqref="E4:E15">
    <cfRule type="colorScale" priority="3">
      <colorScale>
        <cfvo type="min"/>
        <cfvo type="max"/>
        <color rgb="FFFCFCFF"/>
        <color rgb="FF63BE7B"/>
      </colorScale>
    </cfRule>
  </conditionalFormatting>
  <conditionalFormatting sqref="D4:D1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{BE54280E-92A5-47B6-BDFE-7E1625BF1D1F}</x14:id>
        </ext>
      </extLst>
    </cfRule>
  </conditionalFormatting>
  <conditionalFormatting sqref="K18:Z1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75698F9-C8F5-4A24-976D-4F035559B36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W4:W15</xm:sqref>
        </x14:conditionalFormatting>
        <x14:conditionalFormatting xmlns:xm="http://schemas.microsoft.com/office/excel/2006/main">
          <x14:cfRule type="dataBar" id="{5A09134B-C23D-4201-9D3A-221EBD5C377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V4:V15</xm:sqref>
        </x14:conditionalFormatting>
        <x14:conditionalFormatting xmlns:xm="http://schemas.microsoft.com/office/excel/2006/main">
          <x14:cfRule type="dataBar" id="{04C2B702-6751-4622-82C0-E30A2B0C774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S4:S15</xm:sqref>
        </x14:conditionalFormatting>
        <x14:conditionalFormatting xmlns:xm="http://schemas.microsoft.com/office/excel/2006/main">
          <x14:cfRule type="dataBar" id="{7FC66C93-FC5B-4A5C-9C8F-0D07605B4D4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R4:R15</xm:sqref>
        </x14:conditionalFormatting>
        <x14:conditionalFormatting xmlns:xm="http://schemas.microsoft.com/office/excel/2006/main">
          <x14:cfRule type="dataBar" id="{B58D4867-2B39-4F56-8CF1-B1D25AD1643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M4:M15</xm:sqref>
        </x14:conditionalFormatting>
        <x14:conditionalFormatting xmlns:xm="http://schemas.microsoft.com/office/excel/2006/main">
          <x14:cfRule type="dataBar" id="{EA1D3523-190C-4E7F-9665-2D89949D9D1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N4:N15</xm:sqref>
        </x14:conditionalFormatting>
        <x14:conditionalFormatting xmlns:xm="http://schemas.microsoft.com/office/excel/2006/main">
          <x14:cfRule type="dataBar" id="{A3A93991-46EC-48E2-BE16-7B32D2254BD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O4:O15</xm:sqref>
        </x14:conditionalFormatting>
        <x14:conditionalFormatting xmlns:xm="http://schemas.microsoft.com/office/excel/2006/main">
          <x14:cfRule type="dataBar" id="{7193310C-EF7F-4085-B9E8-D92F0DD24E5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F4:F15</xm:sqref>
        </x14:conditionalFormatting>
        <x14:conditionalFormatting xmlns:xm="http://schemas.microsoft.com/office/excel/2006/main">
          <x14:cfRule type="dataBar" id="{D9B6C264-099B-40CB-86BD-7DC2D2D1CFE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G4:G15</xm:sqref>
        </x14:conditionalFormatting>
        <x14:conditionalFormatting xmlns:xm="http://schemas.microsoft.com/office/excel/2006/main">
          <x14:cfRule type="dataBar" id="{BE54280E-92A5-47B6-BDFE-7E1625BF1D1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D4:D15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zoomScale="85" zoomScaleNormal="85" workbookViewId="0">
      <selection activeCell="AC28" sqref="AC28"/>
    </sheetView>
  </sheetViews>
  <sheetFormatPr defaultColWidth="8.7109375" defaultRowHeight="18.75" x14ac:dyDescent="0.3"/>
  <cols>
    <col min="1" max="1" width="10.28515625" style="2" bestFit="1" customWidth="1"/>
    <col min="2" max="2" width="15.42578125" style="2" bestFit="1" customWidth="1"/>
    <col min="3" max="3" width="13.5703125" style="2" bestFit="1" customWidth="1"/>
    <col min="4" max="4" width="14.140625" style="2" bestFit="1" customWidth="1"/>
    <col min="5" max="7" width="12" style="2" bestFit="1" customWidth="1"/>
    <col min="8" max="8" width="16.28515625" style="2" bestFit="1" customWidth="1"/>
    <col min="9" max="10" width="12" style="2" bestFit="1" customWidth="1"/>
    <col min="11" max="11" width="10.5703125" style="2" bestFit="1" customWidth="1"/>
    <col min="12" max="12" width="14.42578125" style="2" bestFit="1" customWidth="1"/>
    <col min="13" max="13" width="10.5703125" style="2" bestFit="1" customWidth="1"/>
    <col min="14" max="14" width="25" style="2" bestFit="1" customWidth="1"/>
    <col min="15" max="15" width="14.140625" style="2" bestFit="1" customWidth="1"/>
    <col min="16" max="16" width="17.85546875" style="2" bestFit="1" customWidth="1"/>
    <col min="17" max="17" width="16.42578125" style="2" bestFit="1" customWidth="1"/>
    <col min="18" max="18" width="10.5703125" style="2" bestFit="1" customWidth="1"/>
    <col min="19" max="19" width="9.140625" style="2" bestFit="1" customWidth="1"/>
    <col min="20" max="20" width="14" style="2" bestFit="1" customWidth="1"/>
    <col min="21" max="21" width="19.5703125" style="2" bestFit="1" customWidth="1"/>
    <col min="22" max="22" width="12" style="2" bestFit="1" customWidth="1"/>
    <col min="23" max="23" width="13.42578125" style="2" bestFit="1" customWidth="1"/>
    <col min="24" max="24" width="14.42578125" style="2" bestFit="1" customWidth="1"/>
    <col min="25" max="25" width="12" style="2" bestFit="1" customWidth="1"/>
    <col min="26" max="26" width="12.85546875" style="2" bestFit="1" customWidth="1"/>
    <col min="27" max="27" width="12" style="2" bestFit="1" customWidth="1"/>
    <col min="28" max="28" width="8.42578125" style="2" bestFit="1" customWidth="1"/>
    <col min="29" max="29" width="9.5703125" style="2" bestFit="1" customWidth="1"/>
    <col min="30" max="30" width="7" style="2" bestFit="1" customWidth="1"/>
    <col min="31" max="31" width="29" style="2" bestFit="1" customWidth="1"/>
    <col min="32" max="16384" width="8.7109375" style="2"/>
  </cols>
  <sheetData>
    <row r="1" spans="1:31" ht="19.5" thickBot="1" x14ac:dyDescent="0.35">
      <c r="A1" s="1" t="s">
        <v>0</v>
      </c>
      <c r="B1" s="1" t="s">
        <v>27</v>
      </c>
      <c r="C1" s="1" t="s">
        <v>26</v>
      </c>
      <c r="D1" s="1" t="s">
        <v>25</v>
      </c>
      <c r="E1" s="21" t="s">
        <v>14</v>
      </c>
      <c r="F1" s="21"/>
      <c r="G1" s="21"/>
      <c r="H1" s="21"/>
      <c r="I1" s="21" t="s">
        <v>15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 spans="1:31" ht="19.5" thickBot="1" x14ac:dyDescent="0.35">
      <c r="A2" s="20"/>
      <c r="B2" s="20"/>
      <c r="C2" s="20"/>
      <c r="D2" s="20"/>
      <c r="E2" s="5" t="s">
        <v>18</v>
      </c>
      <c r="F2" s="21" t="s">
        <v>13</v>
      </c>
      <c r="G2" s="21"/>
      <c r="H2" s="21"/>
      <c r="I2" s="5" t="s">
        <v>18</v>
      </c>
      <c r="J2" s="21" t="s">
        <v>13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 spans="1:31" ht="19.5" thickBot="1" x14ac:dyDescent="0.35">
      <c r="A3" s="20"/>
      <c r="B3" s="20"/>
      <c r="C3" s="20"/>
      <c r="D3" s="20"/>
      <c r="E3" s="6"/>
      <c r="F3" s="1" t="s">
        <v>16</v>
      </c>
      <c r="G3" s="1" t="s">
        <v>17</v>
      </c>
      <c r="H3" s="1" t="s">
        <v>20</v>
      </c>
      <c r="I3" s="6"/>
      <c r="J3" s="1" t="s">
        <v>19</v>
      </c>
      <c r="K3" s="1" t="s">
        <v>46</v>
      </c>
      <c r="L3" s="1" t="s">
        <v>32</v>
      </c>
      <c r="M3" s="1" t="s">
        <v>45</v>
      </c>
      <c r="N3" s="1" t="s">
        <v>36</v>
      </c>
      <c r="O3" s="1" t="s">
        <v>37</v>
      </c>
      <c r="P3" s="1" t="s">
        <v>40</v>
      </c>
      <c r="Q3" s="1" t="s">
        <v>41</v>
      </c>
      <c r="R3" s="1" t="s">
        <v>21</v>
      </c>
      <c r="S3" s="1" t="s">
        <v>22</v>
      </c>
      <c r="T3" s="1" t="s">
        <v>23</v>
      </c>
      <c r="U3" s="1" t="s">
        <v>56</v>
      </c>
      <c r="V3" s="1" t="s">
        <v>28</v>
      </c>
      <c r="W3" s="1" t="s">
        <v>24</v>
      </c>
      <c r="X3" s="1" t="s">
        <v>42</v>
      </c>
      <c r="Y3" s="1" t="s">
        <v>29</v>
      </c>
      <c r="Z3" s="1" t="s">
        <v>31</v>
      </c>
      <c r="AA3" s="1" t="s">
        <v>17</v>
      </c>
      <c r="AB3" s="21" t="s">
        <v>20</v>
      </c>
      <c r="AC3" s="21"/>
      <c r="AD3" s="21"/>
      <c r="AE3" s="21"/>
    </row>
    <row r="4" spans="1:31" ht="19.5" thickBot="1" x14ac:dyDescent="0.35">
      <c r="A4" s="1" t="s">
        <v>1</v>
      </c>
      <c r="B4" s="3">
        <v>37369</v>
      </c>
      <c r="C4" s="3">
        <v>38733</v>
      </c>
      <c r="D4" s="3">
        <f t="shared" ref="D4:D15" si="0">C4-B4</f>
        <v>1364</v>
      </c>
      <c r="E4" s="8">
        <f t="shared" ref="E4:E15" si="1">SUM(F4:G4)</f>
        <v>6410.8</v>
      </c>
      <c r="F4" s="8">
        <v>4805</v>
      </c>
      <c r="G4" s="3">
        <f>236.5+10.7+4.4+1350+4.2</f>
        <v>1605.8</v>
      </c>
      <c r="H4" s="3" t="s">
        <v>44</v>
      </c>
      <c r="I4" s="8">
        <f t="shared" ref="I4:I10" si="2">SUM(J4:AA4)</f>
        <v>5044.95</v>
      </c>
      <c r="J4" s="8">
        <v>2700</v>
      </c>
      <c r="K4" s="3">
        <v>0</v>
      </c>
      <c r="L4" s="3">
        <f>20+40</f>
        <v>60</v>
      </c>
      <c r="M4" s="8">
        <f>21+15.25+76+11.5+52</f>
        <v>175.75</v>
      </c>
      <c r="N4" s="8">
        <v>0</v>
      </c>
      <c r="O4" s="8">
        <v>0</v>
      </c>
      <c r="P4" s="3">
        <v>0</v>
      </c>
      <c r="Q4" s="3">
        <v>0</v>
      </c>
      <c r="R4" s="8">
        <f>50</f>
        <v>50</v>
      </c>
      <c r="S4" s="8">
        <v>0</v>
      </c>
      <c r="T4" s="3">
        <v>0</v>
      </c>
      <c r="U4" s="3">
        <v>421</v>
      </c>
      <c r="V4" s="8">
        <f>6.8+14+5+7+7+13.7+7+14.3+14.9+6.3+1.3+41+7.5+4.2+28+5.2+13.6+20+17.7+26.4+5.3</f>
        <v>266.2</v>
      </c>
      <c r="W4" s="8">
        <f>242.3-191+31.4</f>
        <v>82.700000000000017</v>
      </c>
      <c r="X4" s="3">
        <v>0</v>
      </c>
      <c r="Y4" s="3">
        <f>40</f>
        <v>40</v>
      </c>
      <c r="Z4" s="3">
        <v>1000</v>
      </c>
      <c r="AA4" s="3">
        <f>3.5+3.4+2.8+4.6+20+55+160</f>
        <v>249.3</v>
      </c>
      <c r="AB4" s="22" t="s">
        <v>33</v>
      </c>
      <c r="AC4" s="22"/>
      <c r="AD4" s="22"/>
      <c r="AE4" s="22"/>
    </row>
    <row r="5" spans="1:31" ht="19.5" thickBot="1" x14ac:dyDescent="0.35">
      <c r="A5" s="1" t="s">
        <v>2</v>
      </c>
      <c r="B5" s="3">
        <v>38733</v>
      </c>
      <c r="C5" s="3">
        <v>35259.54</v>
      </c>
      <c r="D5" s="3">
        <f t="shared" si="0"/>
        <v>-3473.4599999999991</v>
      </c>
      <c r="E5" s="8">
        <f t="shared" si="1"/>
        <v>8064.99</v>
      </c>
      <c r="F5" s="8">
        <v>6709.39</v>
      </c>
      <c r="G5" s="3">
        <f>2+1350+3.6</f>
        <v>1355.6</v>
      </c>
      <c r="H5" s="3" t="s">
        <v>38</v>
      </c>
      <c r="I5" s="8">
        <f t="shared" si="2"/>
        <v>11539.36</v>
      </c>
      <c r="J5" s="8">
        <v>2700</v>
      </c>
      <c r="K5" s="3">
        <f>205</f>
        <v>205</v>
      </c>
      <c r="L5" s="3">
        <f>20+40</f>
        <v>60</v>
      </c>
      <c r="M5" s="8">
        <f>42+74.1+32+12+73+26.72</f>
        <v>259.82</v>
      </c>
      <c r="N5" s="8">
        <v>0</v>
      </c>
      <c r="O5" s="8">
        <v>0</v>
      </c>
      <c r="P5" s="3">
        <v>0</v>
      </c>
      <c r="Q5" s="3">
        <v>36.200000000000003</v>
      </c>
      <c r="R5" s="8">
        <f>50+50+50</f>
        <v>150</v>
      </c>
      <c r="S5" s="8">
        <v>0</v>
      </c>
      <c r="T5" s="3">
        <v>0</v>
      </c>
      <c r="U5" s="3">
        <v>0</v>
      </c>
      <c r="V5" s="8">
        <f>27+19.2+12.1+27+12+16+23.6+16+16.6</f>
        <v>169.5</v>
      </c>
      <c r="W5" s="8">
        <f>61.1+3.2+67.1+89+60.5+31+46.26+41.2+232.5-47-46.4-46.4-46.4+184.8+43.2+33+34</f>
        <v>740.66000000000008</v>
      </c>
      <c r="X5" s="3">
        <v>0</v>
      </c>
      <c r="Y5" s="3">
        <v>55</v>
      </c>
      <c r="Z5" s="3">
        <v>0</v>
      </c>
      <c r="AA5" s="3">
        <f>107+28.5+20+2.68+6970+32+3</f>
        <v>7163.18</v>
      </c>
      <c r="AB5" s="22" t="s">
        <v>34</v>
      </c>
      <c r="AC5" s="22"/>
      <c r="AD5" s="22"/>
      <c r="AE5" s="22"/>
    </row>
    <row r="6" spans="1:31" ht="19.5" thickBot="1" x14ac:dyDescent="0.35">
      <c r="A6" s="1" t="s">
        <v>3</v>
      </c>
      <c r="B6" s="3">
        <v>35259.54</v>
      </c>
      <c r="C6" s="3">
        <v>36919.99</v>
      </c>
      <c r="D6" s="3">
        <f t="shared" si="0"/>
        <v>1660.4499999999971</v>
      </c>
      <c r="E6" s="8">
        <f t="shared" si="1"/>
        <v>6160.0300000000007</v>
      </c>
      <c r="F6" s="8">
        <v>4804.8500000000004</v>
      </c>
      <c r="G6" s="3">
        <f>1.46+1350+3.72</f>
        <v>1355.18</v>
      </c>
      <c r="H6" s="3" t="s">
        <v>38</v>
      </c>
      <c r="I6" s="8">
        <f t="shared" si="2"/>
        <v>4498.6600000000008</v>
      </c>
      <c r="J6" s="8">
        <v>2700</v>
      </c>
      <c r="K6" s="3">
        <v>192.3</v>
      </c>
      <c r="L6" s="3">
        <f>39.9+20</f>
        <v>59.9</v>
      </c>
      <c r="M6" s="8">
        <f>79.06+59.87+44.33+43.1+55.35</f>
        <v>281.70999999999998</v>
      </c>
      <c r="N6" s="8">
        <v>0</v>
      </c>
      <c r="O6" s="8">
        <f>24</f>
        <v>24</v>
      </c>
      <c r="P6" s="3">
        <v>0</v>
      </c>
      <c r="Q6" s="3">
        <v>53.2</v>
      </c>
      <c r="R6" s="8">
        <f>50+50+10+10+50+50</f>
        <v>220</v>
      </c>
      <c r="S6" s="8">
        <v>0</v>
      </c>
      <c r="T6" s="3">
        <v>0</v>
      </c>
      <c r="U6" s="3">
        <v>0</v>
      </c>
      <c r="V6" s="8">
        <f>23+14.6+8.2+13.4+8.2+18+20+15.8+27.8+23.6+12.1+12.6</f>
        <v>197.29999999999998</v>
      </c>
      <c r="W6" s="8">
        <f>47.7+62.25+64.15+62.62+53.67+87.16+41.78+54.14+37.95+9+43.31+74.5</f>
        <v>638.23</v>
      </c>
      <c r="X6" s="3">
        <v>0</v>
      </c>
      <c r="Y6" s="3">
        <v>107</v>
      </c>
      <c r="Z6" s="3">
        <v>0</v>
      </c>
      <c r="AA6" s="3">
        <f>1.84+1+19.98+2.2</f>
        <v>25.02</v>
      </c>
      <c r="AB6" s="22"/>
      <c r="AC6" s="22"/>
      <c r="AD6" s="22"/>
      <c r="AE6" s="22"/>
    </row>
    <row r="7" spans="1:31" ht="19.5" thickBot="1" x14ac:dyDescent="0.35">
      <c r="A7" s="1" t="s">
        <v>4</v>
      </c>
      <c r="B7" s="3">
        <v>36919.99</v>
      </c>
      <c r="C7" s="3">
        <v>40708.879999999997</v>
      </c>
      <c r="D7" s="3">
        <f t="shared" si="0"/>
        <v>3788.8899999999994</v>
      </c>
      <c r="E7" s="8">
        <f t="shared" si="1"/>
        <v>7934.5</v>
      </c>
      <c r="F7" s="8">
        <v>6578.95</v>
      </c>
      <c r="G7" s="3">
        <f>1.59+1350+3.96</f>
        <v>1355.55</v>
      </c>
      <c r="H7" s="3" t="s">
        <v>38</v>
      </c>
      <c r="I7" s="8">
        <f t="shared" si="2"/>
        <v>4145.3599999999997</v>
      </c>
      <c r="J7" s="8">
        <v>2700</v>
      </c>
      <c r="K7" s="3">
        <v>0</v>
      </c>
      <c r="L7" s="3">
        <f>20+39.9</f>
        <v>59.9</v>
      </c>
      <c r="M7" s="8">
        <f>38.55+42.97+4.73+23.7+37.39+42.89</f>
        <v>190.23000000000002</v>
      </c>
      <c r="N7" s="8">
        <v>0</v>
      </c>
      <c r="O7" s="8">
        <v>0</v>
      </c>
      <c r="P7" s="3">
        <v>19.7</v>
      </c>
      <c r="Q7" s="3">
        <v>0</v>
      </c>
      <c r="R7" s="8">
        <f>50+50+50+50</f>
        <v>200</v>
      </c>
      <c r="S7" s="8">
        <v>0</v>
      </c>
      <c r="T7" s="3">
        <v>0</v>
      </c>
      <c r="U7" s="3">
        <f>6.9</f>
        <v>6.9</v>
      </c>
      <c r="V7" s="8">
        <f>19.15+1+12.8+15.5+26.4+47-12+12.1+23.95+4.7+23.1+15+19.9+28.8+22.95+17.6</f>
        <v>277.95</v>
      </c>
      <c r="W7" s="8">
        <f>16.8+70.15+53.67+47.08+38.2+46.61+44.37+8.8+44.9+5.14+38.49+44.75</f>
        <v>458.96</v>
      </c>
      <c r="X7" s="3">
        <v>0</v>
      </c>
      <c r="Y7" s="3">
        <v>40</v>
      </c>
      <c r="Z7" s="3">
        <v>0</v>
      </c>
      <c r="AA7" s="3">
        <f>44+1.02+2.04+5.7+109+19.98+3.12+2.14+3.04+1.68</f>
        <v>191.71999999999997</v>
      </c>
      <c r="AB7" s="22" t="s">
        <v>39</v>
      </c>
      <c r="AC7" s="22"/>
      <c r="AD7" s="22"/>
      <c r="AE7" s="22"/>
    </row>
    <row r="8" spans="1:31" ht="19.5" thickBot="1" x14ac:dyDescent="0.35">
      <c r="A8" s="1" t="s">
        <v>5</v>
      </c>
      <c r="B8" s="3">
        <v>40708.879999999997</v>
      </c>
      <c r="C8" s="3">
        <v>25603.98</v>
      </c>
      <c r="D8" s="3">
        <f t="shared" si="0"/>
        <v>-15104.899999999998</v>
      </c>
      <c r="E8" s="8">
        <f t="shared" si="1"/>
        <v>7905.8700000000008</v>
      </c>
      <c r="F8" s="8">
        <v>6401.81</v>
      </c>
      <c r="G8" s="3">
        <f>1.56+50+1350+100+2.5</f>
        <v>1504.06</v>
      </c>
      <c r="H8" s="3" t="s">
        <v>38</v>
      </c>
      <c r="I8" s="8">
        <f t="shared" si="2"/>
        <v>23010.769999999997</v>
      </c>
      <c r="J8" s="8">
        <v>2700</v>
      </c>
      <c r="K8" s="3">
        <f>117.24+129.47</f>
        <v>246.70999999999998</v>
      </c>
      <c r="L8" s="3">
        <f>20+39.9</f>
        <v>59.9</v>
      </c>
      <c r="M8" s="8">
        <f>39.74+8.85+14.03+18.65+121.18+5.7+50.63+49.91</f>
        <v>308.69000000000005</v>
      </c>
      <c r="N8" s="8">
        <f>6.4</f>
        <v>6.4</v>
      </c>
      <c r="O8" s="8">
        <v>0</v>
      </c>
      <c r="P8" s="3">
        <v>0</v>
      </c>
      <c r="Q8" s="3">
        <f>24</f>
        <v>24</v>
      </c>
      <c r="R8" s="8">
        <f>50+50+100+50</f>
        <v>250</v>
      </c>
      <c r="S8" s="8">
        <v>0</v>
      </c>
      <c r="T8" s="3">
        <v>0</v>
      </c>
      <c r="U8" s="3">
        <v>0</v>
      </c>
      <c r="V8" s="8">
        <f>20.65+24+19.9+15.6+14.3+22.4+20.4+8.3</f>
        <v>145.55000000000001</v>
      </c>
      <c r="W8" s="8">
        <f>48.73+78+34.8+109.64+33.7</f>
        <v>304.86999999999995</v>
      </c>
      <c r="X8" s="3">
        <f>39.9</f>
        <v>39.9</v>
      </c>
      <c r="Y8" s="3">
        <v>0</v>
      </c>
      <c r="Z8" s="3">
        <v>0</v>
      </c>
      <c r="AA8" s="3">
        <f>2.24+50+12843.21+1.44+1.72+19.98+3000+2.04+3000+4.12</f>
        <v>18924.749999999996</v>
      </c>
      <c r="AB8" s="22" t="s">
        <v>43</v>
      </c>
      <c r="AC8" s="22"/>
      <c r="AD8" s="22"/>
      <c r="AE8" s="22"/>
    </row>
    <row r="9" spans="1:31" ht="19.5" thickBot="1" x14ac:dyDescent="0.35">
      <c r="A9" s="1" t="s">
        <v>6</v>
      </c>
      <c r="B9" s="3">
        <v>25603.98</v>
      </c>
      <c r="C9" s="3">
        <v>24570.61</v>
      </c>
      <c r="D9" s="3">
        <f t="shared" si="0"/>
        <v>-1033.369999999999</v>
      </c>
      <c r="E9" s="8">
        <f t="shared" si="1"/>
        <v>6187.22</v>
      </c>
      <c r="F9" s="8">
        <v>4804.8500000000004</v>
      </c>
      <c r="G9" s="3">
        <f>30+1350+0.52+1.85</f>
        <v>1382.37</v>
      </c>
      <c r="H9" s="3" t="s">
        <v>38</v>
      </c>
      <c r="I9" s="8">
        <f t="shared" si="2"/>
        <v>7220.59</v>
      </c>
      <c r="J9" s="8">
        <v>2700</v>
      </c>
      <c r="K9" s="3">
        <v>0</v>
      </c>
      <c r="L9" s="3">
        <f>20+39.9</f>
        <v>59.9</v>
      </c>
      <c r="M9" s="8">
        <f>75.47+65+112.03+2.45+33.5</f>
        <v>288.45</v>
      </c>
      <c r="N9" s="8">
        <v>0</v>
      </c>
      <c r="O9" s="8">
        <v>0</v>
      </c>
      <c r="P9" s="3">
        <v>0</v>
      </c>
      <c r="Q9" s="3">
        <v>0</v>
      </c>
      <c r="R9" s="8">
        <f>100+50+100</f>
        <v>250</v>
      </c>
      <c r="S9" s="8">
        <v>0</v>
      </c>
      <c r="T9" s="3">
        <v>0</v>
      </c>
      <c r="U9" s="3">
        <f>39.5+19.51</f>
        <v>59.010000000000005</v>
      </c>
      <c r="V9" s="8">
        <f>14.3+14.5+20.1+22.05+14.3+26.8+12.1+12.8</f>
        <v>136.94999999999999</v>
      </c>
      <c r="W9" s="8">
        <f>51.67+76.27</f>
        <v>127.94</v>
      </c>
      <c r="X9" s="3">
        <v>0</v>
      </c>
      <c r="Y9" s="3">
        <v>40</v>
      </c>
      <c r="Z9" s="3">
        <v>0</v>
      </c>
      <c r="AA9" s="3">
        <f>3498+3.04+19.98+34.28+3.04</f>
        <v>3558.34</v>
      </c>
      <c r="AB9" s="22" t="s">
        <v>47</v>
      </c>
      <c r="AC9" s="22"/>
      <c r="AD9" s="22"/>
      <c r="AE9" s="22"/>
    </row>
    <row r="10" spans="1:31" ht="19.5" thickBot="1" x14ac:dyDescent="0.35">
      <c r="A10" s="1" t="s">
        <v>7</v>
      </c>
      <c r="B10" s="3">
        <v>24570.61</v>
      </c>
      <c r="C10" s="3">
        <v>23780.77</v>
      </c>
      <c r="D10" s="3">
        <f t="shared" si="0"/>
        <v>-789.84000000000015</v>
      </c>
      <c r="E10" s="8">
        <f t="shared" si="1"/>
        <v>6438.82</v>
      </c>
      <c r="F10" s="8">
        <v>4937</v>
      </c>
      <c r="G10" s="3">
        <f>1.82+1500</f>
        <v>1501.82</v>
      </c>
      <c r="H10" s="3" t="s">
        <v>38</v>
      </c>
      <c r="I10" s="8">
        <f t="shared" si="2"/>
        <v>7230.4299999999994</v>
      </c>
      <c r="J10" s="8">
        <v>3000</v>
      </c>
      <c r="K10" s="3">
        <f>182.93+149.38</f>
        <v>332.31</v>
      </c>
      <c r="L10" s="3">
        <f>20+56.71</f>
        <v>76.710000000000008</v>
      </c>
      <c r="M10" s="8">
        <f>57.64+14+36.35+49.5+11.76+26.9+3.95+20.6+50.27</f>
        <v>270.96999999999997</v>
      </c>
      <c r="N10" s="8">
        <f>39.78</f>
        <v>39.78</v>
      </c>
      <c r="O10" s="8">
        <f>22.55</f>
        <v>22.55</v>
      </c>
      <c r="P10" s="3">
        <v>0</v>
      </c>
      <c r="Q10" s="3">
        <f>4.9</f>
        <v>4.9000000000000004</v>
      </c>
      <c r="R10" s="8">
        <f>50+50+50+100+100</f>
        <v>350</v>
      </c>
      <c r="S10" s="8">
        <v>0</v>
      </c>
      <c r="T10" s="3">
        <v>0</v>
      </c>
      <c r="U10" s="3">
        <f>124+31.2</f>
        <v>155.19999999999999</v>
      </c>
      <c r="V10" s="8">
        <f>19.3+15.7+18.05+17.85+17.4</f>
        <v>88.300000000000011</v>
      </c>
      <c r="W10" s="8">
        <f>34.6+40.49+42.84</f>
        <v>117.93</v>
      </c>
      <c r="X10" s="3">
        <f>12.9</f>
        <v>12.9</v>
      </c>
      <c r="Y10" s="3">
        <v>0</v>
      </c>
      <c r="Z10" s="3">
        <v>0</v>
      </c>
      <c r="AA10" s="3">
        <f>3.75+2203.12+2.62+19.98+2.62+2.62+2.62+1.31+400+80+2.62+3.75+2.87+31</f>
        <v>2758.8799999999992</v>
      </c>
      <c r="AB10" s="22" t="s">
        <v>48</v>
      </c>
      <c r="AC10" s="22"/>
      <c r="AD10" s="22"/>
      <c r="AE10" s="22"/>
    </row>
    <row r="11" spans="1:31" ht="19.5" thickBot="1" x14ac:dyDescent="0.35">
      <c r="A11" s="1" t="s">
        <v>8</v>
      </c>
      <c r="B11" s="3">
        <v>23780.77</v>
      </c>
      <c r="C11" s="3">
        <v>32307.8</v>
      </c>
      <c r="D11" s="3">
        <f t="shared" si="0"/>
        <v>8527.0299999999988</v>
      </c>
      <c r="E11" s="8">
        <f t="shared" si="1"/>
        <v>13516.46</v>
      </c>
      <c r="F11" s="8">
        <v>6562.4</v>
      </c>
      <c r="G11" s="3">
        <f>5400+50+1500+1.54+2.52</f>
        <v>6954.06</v>
      </c>
      <c r="H11" s="3" t="s">
        <v>49</v>
      </c>
      <c r="I11" s="8">
        <f t="shared" ref="I11:I15" si="3">SUM(J11:AA11)</f>
        <v>5005.43</v>
      </c>
      <c r="J11" s="8">
        <v>3000</v>
      </c>
      <c r="K11" s="3">
        <v>675.65</v>
      </c>
      <c r="L11" s="3">
        <f>20</f>
        <v>20</v>
      </c>
      <c r="M11" s="8">
        <f>16.2+30.48+13.9+51.5+44.87+2.24+26.3+1.35</f>
        <v>186.84</v>
      </c>
      <c r="N11" s="8">
        <f>22.9+65.95+53.45</f>
        <v>142.30000000000001</v>
      </c>
      <c r="O11" s="8">
        <f>56.6+45.8+31.9</f>
        <v>134.30000000000001</v>
      </c>
      <c r="P11" s="3">
        <v>0</v>
      </c>
      <c r="Q11" s="3">
        <v>18.3</v>
      </c>
      <c r="R11" s="8">
        <v>0</v>
      </c>
      <c r="S11" s="8">
        <v>0</v>
      </c>
      <c r="T11" s="3">
        <v>0</v>
      </c>
      <c r="U11" s="3">
        <f>46.5</f>
        <v>46.5</v>
      </c>
      <c r="V11" s="8">
        <f>24.5+12.44+13.2+22+4.7+24.4+27.6</f>
        <v>128.84</v>
      </c>
      <c r="W11" s="8">
        <f>46.49+112.35+56.26</f>
        <v>215.1</v>
      </c>
      <c r="X11" s="3">
        <f>4.9+4.7+43.8+14.8+91.7</f>
        <v>159.9</v>
      </c>
      <c r="Y11" s="3">
        <v>35</v>
      </c>
      <c r="Z11" s="3">
        <v>100</v>
      </c>
      <c r="AA11" s="3">
        <f>0.92+1.2+100+2.43+2.24+1.48+2.43+16+16</f>
        <v>142.70000000000002</v>
      </c>
      <c r="AB11" s="22" t="s">
        <v>50</v>
      </c>
      <c r="AC11" s="22"/>
      <c r="AD11" s="22"/>
      <c r="AE11" s="22"/>
    </row>
    <row r="12" spans="1:31" ht="19.5" thickBot="1" x14ac:dyDescent="0.35">
      <c r="A12" s="1" t="s">
        <v>9</v>
      </c>
      <c r="B12" s="3">
        <v>32307.8</v>
      </c>
      <c r="C12" s="3">
        <v>33938</v>
      </c>
      <c r="D12" s="3">
        <f t="shared" si="0"/>
        <v>1630.2000000000007</v>
      </c>
      <c r="E12" s="8">
        <f t="shared" si="1"/>
        <v>6945.24</v>
      </c>
      <c r="F12" s="8">
        <v>4937</v>
      </c>
      <c r="G12" s="3">
        <f>504.27+1500+0.94+3.03</f>
        <v>2008.24</v>
      </c>
      <c r="H12" s="3" t="s">
        <v>51</v>
      </c>
      <c r="I12" s="8">
        <f t="shared" si="3"/>
        <v>5299.0400000000009</v>
      </c>
      <c r="J12" s="8">
        <v>3000</v>
      </c>
      <c r="K12" s="3">
        <v>188.05</v>
      </c>
      <c r="L12" s="3">
        <f>20</f>
        <v>20</v>
      </c>
      <c r="M12" s="8">
        <f>30.61+43.13+10.15+13.75+25.8+43.82</f>
        <v>167.26000000000002</v>
      </c>
      <c r="N12" s="8">
        <f>36.65+9.2+18.4</f>
        <v>64.25</v>
      </c>
      <c r="O12" s="8">
        <f>36.05</f>
        <v>36.049999999999997</v>
      </c>
      <c r="P12" s="3">
        <f>41.35</f>
        <v>41.35</v>
      </c>
      <c r="Q12" s="3">
        <v>0</v>
      </c>
      <c r="R12" s="8">
        <f>100+50+50</f>
        <v>200</v>
      </c>
      <c r="S12" s="8">
        <f>6.5+7+9.5+4.7+11+7.6+14.1+9.6+9.4</f>
        <v>79.400000000000006</v>
      </c>
      <c r="T12" s="3">
        <v>0</v>
      </c>
      <c r="U12" s="3">
        <v>0</v>
      </c>
      <c r="V12" s="8">
        <f>32.1+20.3+59.5-7.8-10.3-8.4</f>
        <v>85.4</v>
      </c>
      <c r="W12" s="8">
        <f>31.07+51.9+63.35+84.74+68.27</f>
        <v>299.33</v>
      </c>
      <c r="X12" s="3">
        <f>1.7+8.1+8</f>
        <v>17.799999999999997</v>
      </c>
      <c r="Y12" s="3">
        <v>0</v>
      </c>
      <c r="Z12" s="3">
        <f>80+80</f>
        <v>160</v>
      </c>
      <c r="AA12" s="3">
        <f>1.31+2.36+1.12+1.31+1.38+650+2.43+5+1.02+1.38+0.92+2.44+10+66+1.12+1.12+189+1.12+1.12</f>
        <v>940.15</v>
      </c>
      <c r="AB12" s="22" t="s">
        <v>52</v>
      </c>
      <c r="AC12" s="22"/>
      <c r="AD12" s="22"/>
      <c r="AE12" s="22"/>
    </row>
    <row r="13" spans="1:31" ht="19.5" thickBot="1" x14ac:dyDescent="0.35">
      <c r="A13" s="1" t="s">
        <v>10</v>
      </c>
      <c r="B13" s="3">
        <v>33938</v>
      </c>
      <c r="C13" s="3">
        <v>34651.69</v>
      </c>
      <c r="D13" s="3">
        <f t="shared" si="0"/>
        <v>713.69000000000233</v>
      </c>
      <c r="E13" s="8">
        <f t="shared" si="1"/>
        <v>6441.97</v>
      </c>
      <c r="F13" s="8">
        <v>4937</v>
      </c>
      <c r="G13" s="3">
        <f>1500+1.55+3.42</f>
        <v>1504.97</v>
      </c>
      <c r="H13" s="3" t="s">
        <v>38</v>
      </c>
      <c r="I13" s="8">
        <f t="shared" si="3"/>
        <v>4429.2800000000007</v>
      </c>
      <c r="J13" s="8">
        <v>3000</v>
      </c>
      <c r="K13" s="3">
        <v>181.13</v>
      </c>
      <c r="L13" s="3">
        <f>42.9+20</f>
        <v>62.9</v>
      </c>
      <c r="M13" s="8">
        <f>41.51+2.5+2.89+32.41+29.41</f>
        <v>108.72</v>
      </c>
      <c r="N13" s="8">
        <f>27.16</f>
        <v>27.16</v>
      </c>
      <c r="O13" s="8">
        <f>25.25</f>
        <v>25.25</v>
      </c>
      <c r="P13" s="3">
        <v>0</v>
      </c>
      <c r="Q13" s="3">
        <v>0</v>
      </c>
      <c r="R13" s="8">
        <f>50+50+50+50</f>
        <v>200</v>
      </c>
      <c r="S13" s="8">
        <f>6.4+1+8.3+9.5+17.5</f>
        <v>42.7</v>
      </c>
      <c r="T13" s="3">
        <v>0</v>
      </c>
      <c r="U13" s="3">
        <f>104-14</f>
        <v>90</v>
      </c>
      <c r="V13" s="8">
        <f>26.32+21.4+17.89+9.6+8.3+23.4+10.6+11.9+33.2+13.1+26.8</f>
        <v>202.51000000000002</v>
      </c>
      <c r="W13" s="8">
        <f>61.4+36</f>
        <v>97.4</v>
      </c>
      <c r="X13" s="3">
        <v>0</v>
      </c>
      <c r="Y13" s="3">
        <v>0</v>
      </c>
      <c r="Z13" s="3">
        <f>80</f>
        <v>80</v>
      </c>
      <c r="AA13" s="3">
        <f>1.31+1.38+224.7+1.12+25+58</f>
        <v>311.51</v>
      </c>
      <c r="AB13" s="22" t="s">
        <v>53</v>
      </c>
      <c r="AC13" s="22"/>
      <c r="AD13" s="22"/>
      <c r="AE13" s="22"/>
    </row>
    <row r="14" spans="1:31" ht="19.5" thickBot="1" x14ac:dyDescent="0.35">
      <c r="A14" s="1" t="s">
        <v>11</v>
      </c>
      <c r="B14" s="3">
        <v>34651.69</v>
      </c>
      <c r="C14" s="3">
        <v>39829.26</v>
      </c>
      <c r="D14" s="3">
        <f t="shared" si="0"/>
        <v>5177.57</v>
      </c>
      <c r="E14" s="8">
        <f t="shared" si="1"/>
        <v>8062.91</v>
      </c>
      <c r="F14" s="8">
        <v>6555.56</v>
      </c>
      <c r="G14" s="3">
        <f>2+1.86+1500+3.49</f>
        <v>1507.35</v>
      </c>
      <c r="H14" s="3" t="s">
        <v>38</v>
      </c>
      <c r="I14" s="8">
        <f t="shared" si="3"/>
        <v>4184.3400000000011</v>
      </c>
      <c r="J14" s="8">
        <v>3000</v>
      </c>
      <c r="K14" s="3">
        <v>0</v>
      </c>
      <c r="L14" s="3">
        <f>42.9+20</f>
        <v>62.9</v>
      </c>
      <c r="M14" s="8">
        <f>79.7+2.3+26.03+63.13+24.16</f>
        <v>195.32</v>
      </c>
      <c r="N14" s="8">
        <f>49.39+86.21+15.43+50.25+15.66</f>
        <v>216.94</v>
      </c>
      <c r="O14" s="8">
        <v>0</v>
      </c>
      <c r="P14" s="3">
        <v>0</v>
      </c>
      <c r="Q14" s="3">
        <f>44.03</f>
        <v>44.03</v>
      </c>
      <c r="R14" s="8">
        <f>50+50+50</f>
        <v>150</v>
      </c>
      <c r="S14" s="8">
        <f>18.49+9.3+13.8+9.6+6.5+9</f>
        <v>66.69</v>
      </c>
      <c r="T14" s="3">
        <v>0</v>
      </c>
      <c r="U14" s="3">
        <f>71+12.59+75-65</f>
        <v>93.59</v>
      </c>
      <c r="V14" s="8">
        <f>4.7+18.2+23.4+24.92+23.46+34.83+24.6</f>
        <v>154.10999999999999</v>
      </c>
      <c r="W14" s="8">
        <f>63.68</f>
        <v>63.68</v>
      </c>
      <c r="X14" s="3"/>
      <c r="Y14" s="3">
        <v>35</v>
      </c>
      <c r="Z14" s="3">
        <v>0</v>
      </c>
      <c r="AA14" s="3">
        <f>53.97+25.95+2.82+17.3+0.06+1.98</f>
        <v>102.08</v>
      </c>
      <c r="AB14" s="22" t="s">
        <v>54</v>
      </c>
      <c r="AC14" s="22"/>
      <c r="AD14" s="22"/>
      <c r="AE14" s="22"/>
    </row>
    <row r="15" spans="1:31" ht="19.5" thickBot="1" x14ac:dyDescent="0.35">
      <c r="A15" s="1" t="s">
        <v>12</v>
      </c>
      <c r="B15" s="3">
        <v>39829.26</v>
      </c>
      <c r="C15" s="3">
        <v>44017</v>
      </c>
      <c r="D15" s="3">
        <f t="shared" si="0"/>
        <v>4187.739999999998</v>
      </c>
      <c r="E15" s="8">
        <f t="shared" si="1"/>
        <v>11374.380000000001</v>
      </c>
      <c r="F15" s="8">
        <v>9874</v>
      </c>
      <c r="G15" s="3">
        <f>1500+0.38</f>
        <v>1500.38</v>
      </c>
      <c r="H15" s="3" t="s">
        <v>38</v>
      </c>
      <c r="I15" s="8">
        <f t="shared" si="3"/>
        <v>7021.1999999999989</v>
      </c>
      <c r="J15" s="8">
        <v>3000</v>
      </c>
      <c r="K15" s="3">
        <v>423.73</v>
      </c>
      <c r="L15" s="3">
        <f>42.9+20</f>
        <v>62.9</v>
      </c>
      <c r="M15" s="8">
        <f>30.74+38</f>
        <v>68.739999999999995</v>
      </c>
      <c r="N15" s="8">
        <f>38.3+59+14.43+25.99</f>
        <v>137.72</v>
      </c>
      <c r="O15" s="8">
        <f>51.1</f>
        <v>51.1</v>
      </c>
      <c r="P15" s="3">
        <v>0</v>
      </c>
      <c r="Q15" s="3">
        <f>54.25+18</f>
        <v>72.25</v>
      </c>
      <c r="R15" s="8">
        <f>50+50+50+50+50</f>
        <v>250</v>
      </c>
      <c r="S15" s="8">
        <f>23.4</f>
        <v>23.4</v>
      </c>
      <c r="T15" s="3">
        <f>14.35</f>
        <v>14.35</v>
      </c>
      <c r="U15" s="3">
        <v>0</v>
      </c>
      <c r="V15" s="8">
        <f>23.4+5.5+34+12.1+12.9+37+2.3+17.8</f>
        <v>145</v>
      </c>
      <c r="W15" s="8">
        <f>134.2+49.5+94.87+20.8</f>
        <v>299.37</v>
      </c>
      <c r="X15" s="3">
        <f>10.2+73.5</f>
        <v>83.7</v>
      </c>
      <c r="Y15" s="3">
        <v>55</v>
      </c>
      <c r="Z15" s="3">
        <v>0</v>
      </c>
      <c r="AA15" s="3">
        <f>1.02+696+3.98+0.11+0.92+12.81+1619.1</f>
        <v>2333.9399999999996</v>
      </c>
      <c r="AB15" s="22" t="s">
        <v>55</v>
      </c>
      <c r="AC15" s="22"/>
      <c r="AD15" s="22"/>
      <c r="AE15" s="22"/>
    </row>
    <row r="16" spans="1:31" ht="19.5" thickBot="1" x14ac:dyDescent="0.3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</row>
    <row r="17" spans="1:31" s="10" customFormat="1" ht="19.5" thickBot="1" x14ac:dyDescent="0.3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</row>
    <row r="18" spans="1:31" ht="19.5" thickBot="1" x14ac:dyDescent="0.35">
      <c r="A18" s="5" t="s">
        <v>18</v>
      </c>
      <c r="B18" s="30"/>
      <c r="C18" s="30"/>
      <c r="D18" s="3">
        <f>SUM(D4:D15)</f>
        <v>6648</v>
      </c>
      <c r="E18" s="3">
        <f>SUM(E4:E15)</f>
        <v>95443.190000000017</v>
      </c>
      <c r="F18" s="3">
        <f>SUM(F4:F15)</f>
        <v>71907.81</v>
      </c>
      <c r="G18" s="3">
        <f>SUM(G4:G15)</f>
        <v>23535.380000000005</v>
      </c>
      <c r="H18" s="30"/>
      <c r="I18" s="8">
        <f>SUM(I4:I15)</f>
        <v>88629.409999999989</v>
      </c>
      <c r="J18" s="17">
        <f>SUM(J4:J15)</f>
        <v>34200</v>
      </c>
      <c r="K18" s="8">
        <f>SUM(K4:K15)</f>
        <v>2444.8799999999997</v>
      </c>
      <c r="L18" s="8">
        <f>SUM(L4:L15)</f>
        <v>665.00999999999988</v>
      </c>
      <c r="M18" s="8">
        <f t="shared" ref="M18:N18" si="4">SUM(M4:M15)</f>
        <v>2502.5</v>
      </c>
      <c r="N18" s="8">
        <f t="shared" si="4"/>
        <v>634.55000000000007</v>
      </c>
      <c r="O18" s="8">
        <f t="shared" ref="O18" si="5">SUM(O4:O15)</f>
        <v>293.25000000000006</v>
      </c>
      <c r="P18" s="8">
        <f t="shared" ref="P18" si="6">SUM(P4:P15)</f>
        <v>61.05</v>
      </c>
      <c r="Q18" s="8">
        <f t="shared" ref="Q18" si="7">SUM(Q4:Q15)</f>
        <v>252.88000000000002</v>
      </c>
      <c r="R18" s="8">
        <f t="shared" ref="R18" si="8">SUM(R4:R15)</f>
        <v>2270</v>
      </c>
      <c r="S18" s="8">
        <f t="shared" ref="S18" si="9">SUM(S4:S15)</f>
        <v>212.19000000000003</v>
      </c>
      <c r="T18" s="8">
        <f t="shared" ref="T18" si="10">SUM(T4:T15)</f>
        <v>14.35</v>
      </c>
      <c r="U18" s="8">
        <f t="shared" ref="U18" si="11">SUM(U4:U15)</f>
        <v>872.19999999999993</v>
      </c>
      <c r="V18" s="8">
        <f t="shared" ref="V18" si="12">SUM(V4:V15)</f>
        <v>1997.61</v>
      </c>
      <c r="W18" s="8">
        <f t="shared" ref="W18" si="13">SUM(W4:W15)</f>
        <v>3446.1699999999996</v>
      </c>
      <c r="X18" s="8">
        <f t="shared" ref="X18" si="14">SUM(X4:X15)</f>
        <v>314.2</v>
      </c>
      <c r="Y18" s="8">
        <f t="shared" ref="Y18" si="15">SUM(Y4:Y15)</f>
        <v>407</v>
      </c>
      <c r="Z18" s="8">
        <f t="shared" ref="Z18" si="16">SUM(Z4:Z15)</f>
        <v>1340</v>
      </c>
      <c r="AA18" s="17">
        <f t="shared" ref="AA18" si="17">SUM(AA4:AA15)</f>
        <v>36701.57</v>
      </c>
      <c r="AB18" s="20"/>
      <c r="AC18" s="20"/>
      <c r="AD18" s="20"/>
      <c r="AE18" s="20"/>
    </row>
    <row r="19" spans="1:31" ht="19.5" thickBot="1" x14ac:dyDescent="0.35">
      <c r="A19" s="5" t="s">
        <v>35</v>
      </c>
      <c r="B19" s="30"/>
      <c r="C19" s="30"/>
      <c r="D19" s="3">
        <f>D18/12</f>
        <v>554</v>
      </c>
      <c r="E19" s="3">
        <f>E18/12</f>
        <v>7953.5991666666678</v>
      </c>
      <c r="F19" s="3">
        <f>F18/12</f>
        <v>5992.3175000000001</v>
      </c>
      <c r="G19" s="3">
        <f>G18/12</f>
        <v>1961.281666666667</v>
      </c>
      <c r="H19" s="30"/>
      <c r="I19" s="8">
        <f>I18/12</f>
        <v>7385.7841666666654</v>
      </c>
      <c r="J19" s="8">
        <f>J18/12</f>
        <v>2850</v>
      </c>
      <c r="K19" s="8">
        <f>K18/12</f>
        <v>203.73999999999998</v>
      </c>
      <c r="L19" s="8">
        <f>L18/12</f>
        <v>55.41749999999999</v>
      </c>
      <c r="M19" s="8">
        <f t="shared" ref="M19:N19" si="18">M18/12</f>
        <v>208.54166666666666</v>
      </c>
      <c r="N19" s="8">
        <f t="shared" si="18"/>
        <v>52.87916666666667</v>
      </c>
      <c r="O19" s="8">
        <f t="shared" ref="O19" si="19">O18/12</f>
        <v>24.437500000000004</v>
      </c>
      <c r="P19" s="8">
        <f t="shared" ref="P19" si="20">P18/12</f>
        <v>5.0874999999999995</v>
      </c>
      <c r="Q19" s="8">
        <f t="shared" ref="Q19" si="21">Q18/12</f>
        <v>21.073333333333334</v>
      </c>
      <c r="R19" s="8">
        <f t="shared" ref="R19" si="22">R18/12</f>
        <v>189.16666666666666</v>
      </c>
      <c r="S19" s="8">
        <f t="shared" ref="S19" si="23">S18/12</f>
        <v>17.682500000000001</v>
      </c>
      <c r="T19" s="8">
        <f t="shared" ref="T19" si="24">T18/12</f>
        <v>1.1958333333333333</v>
      </c>
      <c r="U19" s="8">
        <f t="shared" ref="U19" si="25">U18/12</f>
        <v>72.683333333333323</v>
      </c>
      <c r="V19" s="8">
        <f t="shared" ref="V19" si="26">V18/12</f>
        <v>166.4675</v>
      </c>
      <c r="W19" s="8">
        <f t="shared" ref="W19" si="27">W18/12</f>
        <v>287.18083333333328</v>
      </c>
      <c r="X19" s="8">
        <f t="shared" ref="X19" si="28">X18/12</f>
        <v>26.183333333333334</v>
      </c>
      <c r="Y19" s="8">
        <f t="shared" ref="Y19" si="29">Y18/12</f>
        <v>33.916666666666664</v>
      </c>
      <c r="Z19" s="8">
        <f t="shared" ref="Z19" si="30">Z18/12</f>
        <v>111.66666666666667</v>
      </c>
      <c r="AA19" s="8">
        <f t="shared" ref="AA19" si="31">AA18/12</f>
        <v>3058.4641666666666</v>
      </c>
      <c r="AB19" s="20"/>
      <c r="AC19" s="20"/>
      <c r="AD19" s="20"/>
      <c r="AE19" s="20"/>
    </row>
    <row r="20" spans="1:31" s="16" customFormat="1" ht="19.5" thickBot="1" x14ac:dyDescent="0.35">
      <c r="A20" s="15"/>
      <c r="B20" s="12"/>
      <c r="C20" s="12"/>
      <c r="D20" s="13"/>
      <c r="E20" s="13"/>
      <c r="F20" s="13"/>
      <c r="G20" s="13"/>
      <c r="H20" s="12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1"/>
    </row>
    <row r="21" spans="1:31" s="16" customFormat="1" ht="19.5" thickBot="1" x14ac:dyDescent="0.35">
      <c r="A21" s="15"/>
      <c r="B21" s="12"/>
      <c r="C21" s="12"/>
      <c r="D21" s="13"/>
      <c r="E21" s="13">
        <f>E18-5400</f>
        <v>90043.190000000017</v>
      </c>
      <c r="F21" s="13"/>
      <c r="G21" s="13"/>
      <c r="H21" s="12"/>
      <c r="I21" s="14"/>
      <c r="J21" s="8" t="s">
        <v>57</v>
      </c>
      <c r="K21" s="24" t="s">
        <v>58</v>
      </c>
      <c r="L21" s="24"/>
      <c r="M21" s="24" t="s">
        <v>59</v>
      </c>
      <c r="N21" s="24"/>
      <c r="O21" s="24"/>
      <c r="P21" s="24"/>
      <c r="Q21" s="24"/>
      <c r="R21" s="24" t="s">
        <v>60</v>
      </c>
      <c r="S21" s="24"/>
      <c r="T21" s="24"/>
      <c r="U21" s="24"/>
      <c r="V21" s="24"/>
      <c r="W21" s="8" t="s">
        <v>61</v>
      </c>
      <c r="X21" s="8" t="s">
        <v>63</v>
      </c>
      <c r="Y21" s="8" t="s">
        <v>62</v>
      </c>
      <c r="Z21" s="8" t="s">
        <v>64</v>
      </c>
      <c r="AA21" s="8" t="s">
        <v>66</v>
      </c>
      <c r="AB21" s="9" t="s">
        <v>67</v>
      </c>
      <c r="AC21" s="1" t="s">
        <v>68</v>
      </c>
      <c r="AD21" s="1" t="s">
        <v>69</v>
      </c>
      <c r="AE21" s="1" t="s">
        <v>65</v>
      </c>
    </row>
    <row r="22" spans="1:31" ht="19.5" thickBot="1" x14ac:dyDescent="0.35">
      <c r="B22" s="4"/>
      <c r="C22" s="4"/>
      <c r="D22" s="4"/>
      <c r="E22" s="4"/>
      <c r="F22" s="4"/>
      <c r="G22" s="4"/>
      <c r="H22" s="4"/>
      <c r="I22" s="4"/>
      <c r="J22" s="3">
        <f>SUM(J18)</f>
        <v>34200</v>
      </c>
      <c r="K22" s="23">
        <f>SUM(K18:L18)+224.7</f>
        <v>3334.5899999999992</v>
      </c>
      <c r="L22" s="23"/>
      <c r="M22" s="23">
        <f>SUM(M18:Q18)</f>
        <v>3744.2300000000005</v>
      </c>
      <c r="N22" s="23"/>
      <c r="O22" s="23"/>
      <c r="P22" s="23"/>
      <c r="Q22" s="23"/>
      <c r="R22" s="23">
        <f>SUM(R18:V18)</f>
        <v>5366.3499999999995</v>
      </c>
      <c r="S22" s="23"/>
      <c r="T22" s="23"/>
      <c r="U22" s="23"/>
      <c r="V22" s="23"/>
      <c r="W22" s="18">
        <v>3446.17</v>
      </c>
      <c r="X22" s="3">
        <f>SUM(X18)</f>
        <v>314.2</v>
      </c>
      <c r="Y22" s="3">
        <f>SUM(Y18)</f>
        <v>407</v>
      </c>
      <c r="Z22" s="3">
        <f>SUM(Z18)</f>
        <v>1340</v>
      </c>
      <c r="AA22" s="1">
        <f>109+421+32+13</f>
        <v>575</v>
      </c>
      <c r="AB22" s="1">
        <f>7000+50+12843+650+66+25+58+54+696</f>
        <v>21442</v>
      </c>
      <c r="AC22" s="1">
        <f>6000-5400+3500+480</f>
        <v>4580</v>
      </c>
      <c r="AD22" s="1">
        <v>2203</v>
      </c>
      <c r="AE22" s="1" t="s">
        <v>70</v>
      </c>
    </row>
    <row r="23" spans="1:31" ht="19.5" thickBot="1" x14ac:dyDescent="0.35">
      <c r="J23" s="23">
        <f>SUM(J22:L22)</f>
        <v>37534.589999999997</v>
      </c>
      <c r="K23" s="21"/>
      <c r="L23" s="21"/>
      <c r="M23" s="23">
        <f>SUM(M22:V22)</f>
        <v>9110.58</v>
      </c>
      <c r="N23" s="21"/>
      <c r="O23" s="21"/>
      <c r="P23" s="21"/>
      <c r="Q23" s="21"/>
      <c r="R23" s="21"/>
      <c r="S23" s="21"/>
      <c r="T23" s="21"/>
      <c r="U23" s="21"/>
      <c r="V23" s="21"/>
      <c r="W23" s="1"/>
      <c r="X23" s="1"/>
      <c r="Y23" s="1"/>
      <c r="Z23" s="1"/>
      <c r="AA23" s="27">
        <f>SUM(AA22:AD22)</f>
        <v>28800</v>
      </c>
      <c r="AB23" s="28"/>
      <c r="AC23" s="28"/>
      <c r="AD23" s="29"/>
      <c r="AE23" s="1"/>
    </row>
    <row r="24" spans="1:31" x14ac:dyDescent="0.3">
      <c r="L24" s="4">
        <f>E21-J23</f>
        <v>52508.60000000002</v>
      </c>
      <c r="V24" s="4">
        <f>L24-M23</f>
        <v>43398.020000000019</v>
      </c>
      <c r="W24" s="4">
        <f>V24-W22</f>
        <v>39951.85000000002</v>
      </c>
      <c r="X24" s="4">
        <f>W24-X22</f>
        <v>39637.650000000023</v>
      </c>
      <c r="Y24" s="4">
        <f>X24-Y22</f>
        <v>39230.650000000023</v>
      </c>
      <c r="Z24" s="4">
        <f>Y24-Z22</f>
        <v>37890.650000000023</v>
      </c>
      <c r="AA24" s="25">
        <f>Z24-AA23</f>
        <v>9090.6500000000233</v>
      </c>
      <c r="AB24" s="26"/>
      <c r="AC24" s="26"/>
      <c r="AD24" s="26"/>
    </row>
    <row r="26" spans="1:31" x14ac:dyDescent="0.3">
      <c r="AB26" s="2">
        <f>7000+50+66+25+58+54</f>
        <v>7253</v>
      </c>
    </row>
  </sheetData>
  <mergeCells count="35">
    <mergeCell ref="M23:V23"/>
    <mergeCell ref="J23:L23"/>
    <mergeCell ref="AA24:AD24"/>
    <mergeCell ref="AA23:AD23"/>
    <mergeCell ref="AB12:AE12"/>
    <mergeCell ref="AB13:AE13"/>
    <mergeCell ref="AB14:AE14"/>
    <mergeCell ref="AB15:AE15"/>
    <mergeCell ref="A16:AE17"/>
    <mergeCell ref="B18:C19"/>
    <mergeCell ref="H18:H19"/>
    <mergeCell ref="AB4:AE4"/>
    <mergeCell ref="AB6:AE6"/>
    <mergeCell ref="AB5:AE5"/>
    <mergeCell ref="M22:Q22"/>
    <mergeCell ref="K22:L22"/>
    <mergeCell ref="K21:L21"/>
    <mergeCell ref="M21:Q21"/>
    <mergeCell ref="R21:V21"/>
    <mergeCell ref="R22:V22"/>
    <mergeCell ref="AB18:AE19"/>
    <mergeCell ref="AB7:AE7"/>
    <mergeCell ref="AB8:AE8"/>
    <mergeCell ref="AB9:AE9"/>
    <mergeCell ref="AB10:AE10"/>
    <mergeCell ref="AB11:AE11"/>
    <mergeCell ref="A2:A3"/>
    <mergeCell ref="E1:H1"/>
    <mergeCell ref="F2:H2"/>
    <mergeCell ref="I1:AE1"/>
    <mergeCell ref="J2:AE2"/>
    <mergeCell ref="AB3:AE3"/>
    <mergeCell ref="B2:B3"/>
    <mergeCell ref="C2:C3"/>
    <mergeCell ref="D2:D3"/>
  </mergeCells>
  <conditionalFormatting sqref="W4:W15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{47AC15BE-4F32-4C54-A57D-7328B5825CA6}</x14:id>
        </ext>
      </extLst>
    </cfRule>
  </conditionalFormatting>
  <conditionalFormatting sqref="V4:V15"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{83420DA8-24E0-4E6B-ACE7-C82797E190BF}</x14:id>
        </ext>
      </extLst>
    </cfRule>
  </conditionalFormatting>
  <conditionalFormatting sqref="S4:S15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{D73F9BD9-C52E-4AE5-A09A-B182C7851B63}</x14:id>
        </ext>
      </extLst>
    </cfRule>
  </conditionalFormatting>
  <conditionalFormatting sqref="R4:R15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{E0882CF5-01C3-46A2-8CDB-BBEBF98B4565}</x14:id>
        </ext>
      </extLst>
    </cfRule>
  </conditionalFormatting>
  <conditionalFormatting sqref="M4:M15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{12EA00AB-CB84-4EA9-BBCC-045F0BE0C0AA}</x14:id>
        </ext>
      </extLst>
    </cfRule>
  </conditionalFormatting>
  <conditionalFormatting sqref="N4:N15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{FFEF6357-BB89-4C98-8500-990FE8FF94BD}</x14:id>
        </ext>
      </extLst>
    </cfRule>
  </conditionalFormatting>
  <conditionalFormatting sqref="O4:O15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{90B37C39-2BD4-4EAB-A048-2B2DEF8267B2}</x14:id>
        </ext>
      </extLst>
    </cfRule>
  </conditionalFormatting>
  <conditionalFormatting sqref="F4:F1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{EC059250-6598-42CF-B75A-C2DB2C900C9D}</x14:id>
        </ext>
      </extLst>
    </cfRule>
  </conditionalFormatting>
  <conditionalFormatting sqref="I4:I15">
    <cfRule type="colorScale" priority="6">
      <colorScale>
        <cfvo type="min"/>
        <cfvo type="max"/>
        <color rgb="FFFCFCFF"/>
        <color rgb="FFF8696B"/>
      </colorScale>
    </cfRule>
  </conditionalFormatting>
  <conditionalFormatting sqref="G4:G15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{402E6ED1-4214-4763-98B8-E945AA550E81}</x14:id>
        </ext>
      </extLst>
    </cfRule>
  </conditionalFormatting>
  <conditionalFormatting sqref="E4:E15">
    <cfRule type="colorScale" priority="4">
      <colorScale>
        <cfvo type="min"/>
        <cfvo type="max"/>
        <color rgb="FFFCFCFF"/>
        <color rgb="FF63BE7B"/>
      </colorScale>
    </cfRule>
  </conditionalFormatting>
  <conditionalFormatting sqref="D4:D1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{87FC3088-7B7E-475D-B40F-151CBB16BA79}</x14:id>
        </ext>
      </extLst>
    </cfRule>
  </conditionalFormatting>
  <conditionalFormatting sqref="K18:Z1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3" verticalDpi="0" r:id="rId1"/>
  <ignoredErrors>
    <ignoredError sqref="R6 R14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AC15BE-4F32-4C54-A57D-7328B5825C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W4:W15</xm:sqref>
        </x14:conditionalFormatting>
        <x14:conditionalFormatting xmlns:xm="http://schemas.microsoft.com/office/excel/2006/main">
          <x14:cfRule type="dataBar" id="{83420DA8-24E0-4E6B-ACE7-C82797E190B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V4:V15</xm:sqref>
        </x14:conditionalFormatting>
        <x14:conditionalFormatting xmlns:xm="http://schemas.microsoft.com/office/excel/2006/main">
          <x14:cfRule type="dataBar" id="{D73F9BD9-C52E-4AE5-A09A-B182C7851B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S4:S15</xm:sqref>
        </x14:conditionalFormatting>
        <x14:conditionalFormatting xmlns:xm="http://schemas.microsoft.com/office/excel/2006/main">
          <x14:cfRule type="dataBar" id="{E0882CF5-01C3-46A2-8CDB-BBEBF98B456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R4:R15</xm:sqref>
        </x14:conditionalFormatting>
        <x14:conditionalFormatting xmlns:xm="http://schemas.microsoft.com/office/excel/2006/main">
          <x14:cfRule type="dataBar" id="{12EA00AB-CB84-4EA9-BBCC-045F0BE0C0A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M4:M15</xm:sqref>
        </x14:conditionalFormatting>
        <x14:conditionalFormatting xmlns:xm="http://schemas.microsoft.com/office/excel/2006/main">
          <x14:cfRule type="dataBar" id="{FFEF6357-BB89-4C98-8500-990FE8FF94B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N4:N15</xm:sqref>
        </x14:conditionalFormatting>
        <x14:conditionalFormatting xmlns:xm="http://schemas.microsoft.com/office/excel/2006/main">
          <x14:cfRule type="dataBar" id="{90B37C39-2BD4-4EAB-A048-2B2DEF8267B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O4:O15</xm:sqref>
        </x14:conditionalFormatting>
        <x14:conditionalFormatting xmlns:xm="http://schemas.microsoft.com/office/excel/2006/main">
          <x14:cfRule type="dataBar" id="{EC059250-6598-42CF-B75A-C2DB2C900C9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F4:F15</xm:sqref>
        </x14:conditionalFormatting>
        <x14:conditionalFormatting xmlns:xm="http://schemas.microsoft.com/office/excel/2006/main">
          <x14:cfRule type="dataBar" id="{402E6ED1-4214-4763-98B8-E945AA550E8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G4:G15</xm:sqref>
        </x14:conditionalFormatting>
        <x14:conditionalFormatting xmlns:xm="http://schemas.microsoft.com/office/excel/2006/main">
          <x14:cfRule type="dataBar" id="{87FC3088-7B7E-475D-B40F-151CBB16BA7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D4:D15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zoomScale="85" zoomScaleNormal="85" workbookViewId="0">
      <selection activeCell="M19" sqref="M19"/>
    </sheetView>
  </sheetViews>
  <sheetFormatPr defaultRowHeight="15.75" x14ac:dyDescent="0.25"/>
  <cols>
    <col min="1" max="1" width="9.5703125" style="7" bestFit="1" customWidth="1"/>
    <col min="2" max="2" width="14.7109375" style="7" bestFit="1" customWidth="1"/>
    <col min="3" max="3" width="12.85546875" style="7" bestFit="1" customWidth="1"/>
    <col min="4" max="4" width="13.140625" style="7" bestFit="1" customWidth="1"/>
    <col min="5" max="5" width="12.5703125" style="7" customWidth="1"/>
    <col min="6" max="6" width="10.5703125" style="7" bestFit="1" customWidth="1"/>
    <col min="7" max="7" width="9.28515625" style="7" bestFit="1" customWidth="1"/>
    <col min="8" max="8" width="35.5703125" style="7" bestFit="1" customWidth="1"/>
    <col min="9" max="10" width="10.5703125" style="7" bestFit="1" customWidth="1"/>
    <col min="11" max="11" width="8" style="7" bestFit="1" customWidth="1"/>
    <col min="12" max="12" width="13.42578125" style="7" bestFit="1" customWidth="1"/>
    <col min="13" max="13" width="9.28515625" style="7" bestFit="1" customWidth="1"/>
    <col min="14" max="14" width="17" style="7" bestFit="1" customWidth="1"/>
    <col min="15" max="15" width="13.140625" style="7" bestFit="1" customWidth="1"/>
    <col min="16" max="16" width="16.85546875" style="7" bestFit="1" customWidth="1"/>
    <col min="17" max="17" width="15.140625" style="7" bestFit="1" customWidth="1"/>
    <col min="18" max="18" width="9.28515625" style="7" bestFit="1" customWidth="1"/>
    <col min="19" max="19" width="13.140625" style="7" bestFit="1" customWidth="1"/>
    <col min="20" max="20" width="18.7109375" style="7" bestFit="1" customWidth="1"/>
    <col min="21" max="21" width="13.7109375" style="7" customWidth="1"/>
    <col min="22" max="22" width="12.42578125" style="7" bestFit="1" customWidth="1"/>
    <col min="23" max="23" width="13.28515625" style="7" bestFit="1" customWidth="1"/>
    <col min="24" max="24" width="8.5703125" style="7" bestFit="1" customWidth="1"/>
    <col min="25" max="25" width="12.140625" style="7" bestFit="1" customWidth="1"/>
    <col min="26" max="26" width="9.28515625" style="7" bestFit="1" customWidth="1"/>
    <col min="27" max="27" width="7.42578125" style="7" bestFit="1" customWidth="1"/>
    <col min="28" max="28" width="9" style="7" bestFit="1" customWidth="1"/>
    <col min="29" max="29" width="6.140625" style="7" bestFit="1" customWidth="1"/>
    <col min="30" max="30" width="36.5703125" style="7" customWidth="1"/>
  </cols>
  <sheetData>
    <row r="1" spans="1:30" ht="19.5" thickBot="1" x14ac:dyDescent="0.35">
      <c r="A1" s="1" t="s">
        <v>0</v>
      </c>
      <c r="B1" s="1" t="s">
        <v>27</v>
      </c>
      <c r="C1" s="1" t="s">
        <v>26</v>
      </c>
      <c r="D1" s="1" t="s">
        <v>25</v>
      </c>
      <c r="E1" s="21" t="s">
        <v>14</v>
      </c>
      <c r="F1" s="21"/>
      <c r="G1" s="21"/>
      <c r="H1" s="21"/>
      <c r="I1" s="21" t="s">
        <v>15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1:30" ht="19.5" thickBot="1" x14ac:dyDescent="0.35">
      <c r="A2" s="20"/>
      <c r="B2" s="20"/>
      <c r="C2" s="20"/>
      <c r="D2" s="20"/>
      <c r="E2" s="5" t="s">
        <v>18</v>
      </c>
      <c r="F2" s="21" t="s">
        <v>13</v>
      </c>
      <c r="G2" s="21"/>
      <c r="H2" s="21"/>
      <c r="I2" s="5" t="s">
        <v>18</v>
      </c>
      <c r="J2" s="21" t="s">
        <v>13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30" ht="19.5" thickBot="1" x14ac:dyDescent="0.35">
      <c r="A3" s="20"/>
      <c r="B3" s="20"/>
      <c r="C3" s="20"/>
      <c r="D3" s="20"/>
      <c r="E3" s="6"/>
      <c r="F3" s="1" t="s">
        <v>16</v>
      </c>
      <c r="G3" s="1" t="s">
        <v>17</v>
      </c>
      <c r="H3" s="1" t="s">
        <v>20</v>
      </c>
      <c r="I3" s="6"/>
      <c r="J3" s="1" t="s">
        <v>19</v>
      </c>
      <c r="K3" s="1" t="s">
        <v>46</v>
      </c>
      <c r="L3" s="1" t="s">
        <v>32</v>
      </c>
      <c r="M3" s="1" t="s">
        <v>45</v>
      </c>
      <c r="N3" s="1" t="s">
        <v>75</v>
      </c>
      <c r="O3" s="1" t="s">
        <v>37</v>
      </c>
      <c r="P3" s="1" t="s">
        <v>40</v>
      </c>
      <c r="Q3" s="1" t="s">
        <v>41</v>
      </c>
      <c r="R3" s="1" t="s">
        <v>21</v>
      </c>
      <c r="S3" s="1" t="s">
        <v>23</v>
      </c>
      <c r="T3" s="1" t="s">
        <v>56</v>
      </c>
      <c r="U3" s="1" t="s">
        <v>28</v>
      </c>
      <c r="V3" s="1" t="s">
        <v>24</v>
      </c>
      <c r="W3" s="1" t="s">
        <v>42</v>
      </c>
      <c r="X3" s="1" t="s">
        <v>29</v>
      </c>
      <c r="Y3" s="1" t="s">
        <v>31</v>
      </c>
      <c r="Z3" s="1" t="s">
        <v>17</v>
      </c>
      <c r="AA3" s="21" t="s">
        <v>20</v>
      </c>
      <c r="AB3" s="21"/>
      <c r="AC3" s="21"/>
      <c r="AD3" s="21"/>
    </row>
    <row r="4" spans="1:30" ht="19.5" thickBot="1" x14ac:dyDescent="0.35">
      <c r="A4" s="1" t="s">
        <v>1</v>
      </c>
      <c r="B4" s="3">
        <v>10646.45</v>
      </c>
      <c r="C4" s="3">
        <v>10386.959999999999</v>
      </c>
      <c r="D4" s="3">
        <f t="shared" ref="D4:D15" si="0">-B4+C4</f>
        <v>-259.4900000000016</v>
      </c>
      <c r="E4" s="8">
        <f t="shared" ref="E4:E15" si="1">SUM(F4:G4)</f>
        <v>5135.8599999999997</v>
      </c>
      <c r="F4" s="8">
        <v>4868</v>
      </c>
      <c r="G4" s="3">
        <f>6.8+6.8+2.86+250+1.4</f>
        <v>267.85999999999996</v>
      </c>
      <c r="H4" s="3" t="s">
        <v>72</v>
      </c>
      <c r="I4" s="8">
        <f t="shared" ref="I4:I15" si="2">SUM(J4:Z4)</f>
        <v>5394.35</v>
      </c>
      <c r="J4" s="8">
        <v>2700</v>
      </c>
      <c r="K4" s="3">
        <v>81.53</v>
      </c>
      <c r="L4" s="3">
        <f>20+37.3+20</f>
        <v>77.3</v>
      </c>
      <c r="M4" s="8">
        <f>20.65+28.99+39.65+2.95+30.3+24.28+24.39+26.3</f>
        <v>197.51</v>
      </c>
      <c r="N4" s="8">
        <v>9.9</v>
      </c>
      <c r="O4" s="8">
        <v>0</v>
      </c>
      <c r="P4" s="3">
        <f>10.15</f>
        <v>10.15</v>
      </c>
      <c r="Q4" s="3">
        <f>34+33.3+9.8+195.9</f>
        <v>273</v>
      </c>
      <c r="R4" s="8">
        <f>50+100</f>
        <v>150</v>
      </c>
      <c r="S4" s="3">
        <v>0</v>
      </c>
      <c r="T4" s="3">
        <v>0</v>
      </c>
      <c r="U4" s="8">
        <f>6.5+32.72+11.7+8.88+18.75+31.4+6+4.5+13.05+36.4+24+14+11.3+8.95+34+23+14.6+6.5+37+7.2</f>
        <v>350.45000000000005</v>
      </c>
      <c r="V4" s="8">
        <f>44.75+85.45+83.8+64.74+42+81.21+61.1+41.7+46+81.33+79.33</f>
        <v>711.41000000000008</v>
      </c>
      <c r="W4" s="3">
        <f>43.8+16</f>
        <v>59.8</v>
      </c>
      <c r="X4" s="3">
        <f>45</f>
        <v>45</v>
      </c>
      <c r="Y4" s="3">
        <f>200</f>
        <v>200</v>
      </c>
      <c r="Z4" s="3">
        <f>0.42+14.98+0.92+0.92+3.32+0.92+2.24+460+0.92+3.28+25+0.92+6+3.32+2.46+2.68</f>
        <v>528.30000000000007</v>
      </c>
      <c r="AA4" s="22" t="s">
        <v>71</v>
      </c>
      <c r="AB4" s="22"/>
      <c r="AC4" s="22"/>
      <c r="AD4" s="22"/>
    </row>
    <row r="5" spans="1:30" ht="19.5" thickBot="1" x14ac:dyDescent="0.35">
      <c r="A5" s="1" t="s">
        <v>2</v>
      </c>
      <c r="B5" s="3">
        <v>10386.959999999999</v>
      </c>
      <c r="C5" s="3">
        <v>13970.98</v>
      </c>
      <c r="D5" s="3">
        <f t="shared" si="0"/>
        <v>3584.0200000000004</v>
      </c>
      <c r="E5" s="8">
        <f t="shared" si="1"/>
        <v>7595.34</v>
      </c>
      <c r="F5" s="8">
        <v>5820.94</v>
      </c>
      <c r="G5" s="3">
        <f>400+20+2.94+1350+1.46</f>
        <v>1774.4</v>
      </c>
      <c r="H5" s="3" t="s">
        <v>74</v>
      </c>
      <c r="I5" s="8">
        <f t="shared" si="2"/>
        <v>4026.2200000000003</v>
      </c>
      <c r="J5" s="8">
        <v>2700</v>
      </c>
      <c r="K5" s="3">
        <v>85.1</v>
      </c>
      <c r="L5" s="3">
        <f>37.3</f>
        <v>37.299999999999997</v>
      </c>
      <c r="M5" s="8">
        <f>28.28+41.85+63.98+25.3+54+49.55</f>
        <v>262.95999999999998</v>
      </c>
      <c r="N5" s="8">
        <v>14.9</v>
      </c>
      <c r="O5" s="8">
        <v>0</v>
      </c>
      <c r="P5" s="3">
        <v>0</v>
      </c>
      <c r="Q5" s="3">
        <v>6.24</v>
      </c>
      <c r="R5" s="8">
        <f>200</f>
        <v>200</v>
      </c>
      <c r="S5" s="3">
        <v>0</v>
      </c>
      <c r="T5" s="3">
        <v>0</v>
      </c>
      <c r="U5" s="8">
        <f>5.7+7.8+26.65+22.8+9.8+15.6+15.5+37.03+30.2+30.82+9.8+6.4+7.8+41.6+21.91+10.35+30.7+15.6+12.9+9.4</f>
        <v>368.36</v>
      </c>
      <c r="V5" s="8">
        <f>46.37+47.8+45.87</f>
        <v>140.04</v>
      </c>
      <c r="W5" s="3">
        <v>0</v>
      </c>
      <c r="X5" s="3">
        <v>0</v>
      </c>
      <c r="Y5" s="3">
        <f>80</f>
        <v>80</v>
      </c>
      <c r="Z5" s="3">
        <f>4+1.54+54.98+4.56+59.4+5+0.92+0.92</f>
        <v>131.31999999999996</v>
      </c>
      <c r="AA5" s="22" t="s">
        <v>73</v>
      </c>
      <c r="AB5" s="22"/>
      <c r="AC5" s="22"/>
      <c r="AD5" s="22"/>
    </row>
    <row r="6" spans="1:30" ht="19.5" thickBot="1" x14ac:dyDescent="0.35">
      <c r="A6" s="1" t="s">
        <v>3</v>
      </c>
      <c r="B6" s="3">
        <v>13970.98</v>
      </c>
      <c r="C6" s="3">
        <v>14522.61</v>
      </c>
      <c r="D6" s="3">
        <f t="shared" si="0"/>
        <v>551.63000000000102</v>
      </c>
      <c r="E6" s="8">
        <f t="shared" si="1"/>
        <v>5976.69</v>
      </c>
      <c r="F6" s="8">
        <v>4620</v>
      </c>
      <c r="G6" s="3">
        <f>4.33+1350+2.36</f>
        <v>1356.6899999999998</v>
      </c>
      <c r="H6" s="3" t="s">
        <v>38</v>
      </c>
      <c r="I6" s="8">
        <f t="shared" si="2"/>
        <v>5410.1600000000008</v>
      </c>
      <c r="J6" s="8">
        <v>2700</v>
      </c>
      <c r="K6" s="3">
        <v>77.569999999999993</v>
      </c>
      <c r="L6" s="3">
        <f>20+37.3+20</f>
        <v>77.3</v>
      </c>
      <c r="M6" s="8">
        <f>64.2+33.18+48.1+32.88+45.1+22.31+9.81+53.7+39.7</f>
        <v>348.97999999999996</v>
      </c>
      <c r="N6" s="8">
        <f>99</f>
        <v>99</v>
      </c>
      <c r="O6" s="8">
        <v>0</v>
      </c>
      <c r="P6" s="3">
        <v>0</v>
      </c>
      <c r="Q6" s="3">
        <v>21.94</v>
      </c>
      <c r="R6" s="8">
        <v>0</v>
      </c>
      <c r="S6" s="3">
        <v>0</v>
      </c>
      <c r="T6" s="3">
        <v>0</v>
      </c>
      <c r="U6" s="8">
        <f>15.8+11.65+9.8+9.4+21.9+26.3+16.2+34.87+13+4.2+23.4+12.2+8.4+6.5+22.04+5+8.4+15</f>
        <v>264.05999999999995</v>
      </c>
      <c r="V6" s="8">
        <f>62.51</f>
        <v>62.51</v>
      </c>
      <c r="W6" s="3">
        <v>0</v>
      </c>
      <c r="X6" s="3">
        <v>40</v>
      </c>
      <c r="Y6" s="3">
        <f>100</f>
        <v>100</v>
      </c>
      <c r="Z6" s="3">
        <f>340+1000+8.9+9.9+100+160</f>
        <v>1618.8000000000002</v>
      </c>
      <c r="AA6" s="22" t="s">
        <v>76</v>
      </c>
      <c r="AB6" s="22"/>
      <c r="AC6" s="22"/>
      <c r="AD6" s="22"/>
    </row>
    <row r="7" spans="1:30" ht="19.5" thickBot="1" x14ac:dyDescent="0.35">
      <c r="A7" s="1" t="s">
        <v>4</v>
      </c>
      <c r="B7" s="3">
        <v>14522.61</v>
      </c>
      <c r="C7" s="3">
        <v>16929.060000000001</v>
      </c>
      <c r="D7" s="3">
        <f t="shared" si="0"/>
        <v>2406.4500000000007</v>
      </c>
      <c r="E7" s="8">
        <f t="shared" si="1"/>
        <v>5973.75</v>
      </c>
      <c r="F7" s="8">
        <v>4620</v>
      </c>
      <c r="G7" s="3">
        <f>1.05+1350+2.7</f>
        <v>1353.75</v>
      </c>
      <c r="H7" s="3" t="s">
        <v>77</v>
      </c>
      <c r="I7" s="8">
        <f t="shared" si="2"/>
        <v>3567.3000000000006</v>
      </c>
      <c r="J7" s="8">
        <v>2700</v>
      </c>
      <c r="K7" s="3">
        <v>79</v>
      </c>
      <c r="L7" s="3">
        <f>37.3+20</f>
        <v>57.3</v>
      </c>
      <c r="M7" s="8">
        <f>14.72+38.24+60.44+30.36+43.53+46.95+155.87</f>
        <v>390.11</v>
      </c>
      <c r="N7" s="8">
        <v>0</v>
      </c>
      <c r="O7" s="8">
        <v>0</v>
      </c>
      <c r="P7" s="3">
        <v>0</v>
      </c>
      <c r="Q7" s="3">
        <f>38.83</f>
        <v>38.83</v>
      </c>
      <c r="R7" s="8">
        <v>0</v>
      </c>
      <c r="S7" s="3">
        <v>0</v>
      </c>
      <c r="T7" s="3">
        <v>0</v>
      </c>
      <c r="U7" s="8">
        <f>10.4+18.3+32.6+31+36.6+15.3+34+32+33.6</f>
        <v>243.8</v>
      </c>
      <c r="V7" s="8">
        <f>38.28</f>
        <v>38.28</v>
      </c>
      <c r="W7" s="3">
        <v>0</v>
      </c>
      <c r="X7" s="3">
        <v>0</v>
      </c>
      <c r="Y7" s="3">
        <v>0</v>
      </c>
      <c r="Z7" s="3">
        <v>19.98</v>
      </c>
      <c r="AA7" s="22" t="s">
        <v>30</v>
      </c>
      <c r="AB7" s="22"/>
      <c r="AC7" s="22"/>
      <c r="AD7" s="22"/>
    </row>
    <row r="8" spans="1:30" ht="19.5" thickBot="1" x14ac:dyDescent="0.35">
      <c r="A8" s="1" t="s">
        <v>5</v>
      </c>
      <c r="B8" s="3">
        <v>16929.060000000001</v>
      </c>
      <c r="C8" s="3">
        <v>17155.73</v>
      </c>
      <c r="D8" s="3">
        <f t="shared" si="0"/>
        <v>226.66999999999825</v>
      </c>
      <c r="E8" s="8">
        <f t="shared" si="1"/>
        <v>4623.7</v>
      </c>
      <c r="F8" s="8">
        <v>4620</v>
      </c>
      <c r="G8" s="3">
        <f>0.94+2.76</f>
        <v>3.6999999999999997</v>
      </c>
      <c r="H8" s="3"/>
      <c r="I8" s="8">
        <f t="shared" si="2"/>
        <v>4397.0300000000007</v>
      </c>
      <c r="J8" s="8">
        <v>2700</v>
      </c>
      <c r="K8" s="3">
        <v>84.15</v>
      </c>
      <c r="L8" s="3">
        <f>37.3+20</f>
        <v>57.3</v>
      </c>
      <c r="M8" s="8">
        <f>75.14+81.04+46.19</f>
        <v>202.37</v>
      </c>
      <c r="N8" s="8">
        <v>0</v>
      </c>
      <c r="O8" s="8">
        <v>0</v>
      </c>
      <c r="P8" s="3">
        <v>0</v>
      </c>
      <c r="Q8" s="3">
        <v>0</v>
      </c>
      <c r="R8" s="8">
        <f>50+50+50+50</f>
        <v>200</v>
      </c>
      <c r="S8" s="3">
        <v>0</v>
      </c>
      <c r="T8" s="3">
        <v>0</v>
      </c>
      <c r="U8" s="8">
        <f>31.5+33.28+37+31.3+34.4+31.3</f>
        <v>198.78000000000003</v>
      </c>
      <c r="V8" s="8">
        <f>83.93-48+42.5+43+61.3+47.54</f>
        <v>230.27</v>
      </c>
      <c r="W8" s="3">
        <v>0</v>
      </c>
      <c r="X8" s="3">
        <v>0</v>
      </c>
      <c r="Y8" s="3">
        <v>0</v>
      </c>
      <c r="Z8" s="3">
        <f>500+19.98+204.18</f>
        <v>724.16000000000008</v>
      </c>
      <c r="AA8" s="22" t="s">
        <v>78</v>
      </c>
      <c r="AB8" s="22"/>
      <c r="AC8" s="22"/>
      <c r="AD8" s="22"/>
    </row>
    <row r="9" spans="1:30" ht="19.5" thickBot="1" x14ac:dyDescent="0.35">
      <c r="A9" s="1" t="s">
        <v>6</v>
      </c>
      <c r="B9" s="3">
        <v>17155.73</v>
      </c>
      <c r="C9" s="3">
        <v>19355.400000000001</v>
      </c>
      <c r="D9" s="3">
        <f t="shared" si="0"/>
        <v>2199.6700000000019</v>
      </c>
      <c r="E9" s="8">
        <f t="shared" si="1"/>
        <v>5974.5599999999995</v>
      </c>
      <c r="F9" s="8">
        <v>4620</v>
      </c>
      <c r="G9" s="3">
        <f>1.79+1350+2.77</f>
        <v>1354.56</v>
      </c>
      <c r="H9" s="3" t="s">
        <v>38</v>
      </c>
      <c r="I9" s="8">
        <f t="shared" si="2"/>
        <v>3774.89</v>
      </c>
      <c r="J9" s="8">
        <v>2700</v>
      </c>
      <c r="K9" s="3">
        <v>0</v>
      </c>
      <c r="L9" s="3">
        <f>39.9+20</f>
        <v>59.9</v>
      </c>
      <c r="M9" s="8">
        <f>70.2+78.69+128.39+53.72+108.59+146.2</f>
        <v>585.79</v>
      </c>
      <c r="N9" s="8">
        <f>21.7</f>
        <v>21.7</v>
      </c>
      <c r="O9" s="8">
        <v>0</v>
      </c>
      <c r="P9" s="3">
        <v>0</v>
      </c>
      <c r="Q9" s="3">
        <v>0</v>
      </c>
      <c r="R9" s="8">
        <f>100</f>
        <v>100</v>
      </c>
      <c r="S9" s="3">
        <v>0</v>
      </c>
      <c r="T9" s="3">
        <v>0</v>
      </c>
      <c r="U9" s="8">
        <f>28.7+35+34.15+34+12.7+14.85</f>
        <v>159.39999999999998</v>
      </c>
      <c r="V9" s="8">
        <v>0</v>
      </c>
      <c r="W9" s="3">
        <v>0</v>
      </c>
      <c r="X9" s="3">
        <v>0</v>
      </c>
      <c r="Y9" s="3">
        <v>0</v>
      </c>
      <c r="Z9" s="3">
        <f>0.04+1.48+19.98+126.6</f>
        <v>148.1</v>
      </c>
      <c r="AA9" s="22" t="s">
        <v>79</v>
      </c>
      <c r="AB9" s="22"/>
      <c r="AC9" s="22"/>
      <c r="AD9" s="22"/>
    </row>
    <row r="10" spans="1:30" ht="19.5" thickBot="1" x14ac:dyDescent="0.35">
      <c r="A10" s="1" t="s">
        <v>7</v>
      </c>
      <c r="B10" s="3">
        <v>19355.400000000001</v>
      </c>
      <c r="C10" s="3">
        <v>21235.37</v>
      </c>
      <c r="D10" s="3">
        <f t="shared" si="0"/>
        <v>1879.9699999999975</v>
      </c>
      <c r="E10" s="8">
        <f t="shared" si="1"/>
        <v>6270.65</v>
      </c>
      <c r="F10" s="8">
        <v>4620</v>
      </c>
      <c r="G10" s="3">
        <f>155.79+140+1350+1.62+3.24</f>
        <v>1650.6499999999999</v>
      </c>
      <c r="H10" s="3" t="s">
        <v>81</v>
      </c>
      <c r="I10" s="8">
        <f t="shared" si="2"/>
        <v>4390.6799999999994</v>
      </c>
      <c r="J10" s="8">
        <v>2700</v>
      </c>
      <c r="K10" s="3">
        <f>282.98+120.47</f>
        <v>403.45000000000005</v>
      </c>
      <c r="L10" s="3">
        <f>39.9+20</f>
        <v>59.9</v>
      </c>
      <c r="M10" s="8">
        <f>91.95+41.5+80.25</f>
        <v>213.7</v>
      </c>
      <c r="N10" s="8">
        <v>0</v>
      </c>
      <c r="O10" s="8">
        <v>0</v>
      </c>
      <c r="P10" s="3">
        <v>0</v>
      </c>
      <c r="Q10" s="3">
        <v>0</v>
      </c>
      <c r="R10" s="8">
        <f>50+100</f>
        <v>150</v>
      </c>
      <c r="S10" s="3">
        <v>0</v>
      </c>
      <c r="T10" s="3">
        <v>0</v>
      </c>
      <c r="U10" s="8">
        <f>30.5+6+18.55+12.1+23.15+17.79+23.15+22.45+12.29+21.05+6.6+7.8+20.45+31.6+23.35+12.1</f>
        <v>288.93</v>
      </c>
      <c r="V10" s="8">
        <f>54.23+138.89+100.28-33.5</f>
        <v>259.89999999999998</v>
      </c>
      <c r="W10" s="3">
        <v>16.100000000000001</v>
      </c>
      <c r="X10" s="3">
        <v>40</v>
      </c>
      <c r="Y10" s="3">
        <v>0</v>
      </c>
      <c r="Z10" s="3">
        <f>237.8+19.98+0.92</f>
        <v>258.70000000000005</v>
      </c>
      <c r="AA10" s="22" t="s">
        <v>80</v>
      </c>
      <c r="AB10" s="22"/>
      <c r="AC10" s="22"/>
      <c r="AD10" s="22"/>
    </row>
    <row r="11" spans="1:30" ht="19.5" thickBot="1" x14ac:dyDescent="0.35">
      <c r="A11" s="1" t="s">
        <v>8</v>
      </c>
      <c r="B11" s="3">
        <v>21235.37</v>
      </c>
      <c r="C11" s="3">
        <v>22538.04</v>
      </c>
      <c r="D11" s="3">
        <f t="shared" si="0"/>
        <v>1302.6700000000019</v>
      </c>
      <c r="E11" s="8">
        <f t="shared" si="1"/>
        <v>8138.06</v>
      </c>
      <c r="F11" s="8">
        <v>6682.05</v>
      </c>
      <c r="G11" s="3">
        <f>1450+2.45+3.56</f>
        <v>1456.01</v>
      </c>
      <c r="H11" s="3" t="s">
        <v>38</v>
      </c>
      <c r="I11" s="8">
        <f t="shared" si="2"/>
        <v>4431.29</v>
      </c>
      <c r="J11" s="8">
        <v>2700</v>
      </c>
      <c r="K11" s="3">
        <v>136.91</v>
      </c>
      <c r="L11" s="3">
        <f>39.9+20</f>
        <v>59.9</v>
      </c>
      <c r="M11" s="8">
        <f>28.2+93.05+58.05+92.34</f>
        <v>271.64</v>
      </c>
      <c r="N11" s="8">
        <v>0</v>
      </c>
      <c r="O11" s="8">
        <v>0</v>
      </c>
      <c r="P11" s="3">
        <v>0</v>
      </c>
      <c r="Q11" s="3">
        <f>25</f>
        <v>25</v>
      </c>
      <c r="R11" s="8">
        <f>17.23+100</f>
        <v>117.23</v>
      </c>
      <c r="S11" s="3">
        <v>0</v>
      </c>
      <c r="T11" s="3">
        <v>0</v>
      </c>
      <c r="U11" s="8">
        <f>22.45+22.5+3.3+3+12.1+22.25+19.05+26.8+11.5+20.75+13+12.1+11+12.1+16.85+27.75+12</f>
        <v>268.5</v>
      </c>
      <c r="V11" s="8">
        <f>54.61+50.15+50.73+75.32+39.9+65-45-105+64.85+160.1+54.14</f>
        <v>464.79999999999995</v>
      </c>
      <c r="W11" s="3">
        <v>78</v>
      </c>
      <c r="X11" s="3">
        <v>40</v>
      </c>
      <c r="Y11" s="3">
        <v>0</v>
      </c>
      <c r="Z11" s="3">
        <f>29+40.5+74.8+49+1.22+19.98+2.62+1.6+25+6.71+15+1.84+2.04</f>
        <v>269.31</v>
      </c>
      <c r="AA11" s="22" t="s">
        <v>83</v>
      </c>
      <c r="AB11" s="22"/>
      <c r="AC11" s="22"/>
      <c r="AD11" s="22"/>
    </row>
    <row r="12" spans="1:30" ht="19.5" thickBot="1" x14ac:dyDescent="0.35">
      <c r="A12" s="1" t="s">
        <v>9</v>
      </c>
      <c r="B12" s="3">
        <v>22538.04</v>
      </c>
      <c r="C12" s="3">
        <v>26934.34</v>
      </c>
      <c r="D12" s="3">
        <f t="shared" si="0"/>
        <v>4396.2999999999993</v>
      </c>
      <c r="E12" s="8">
        <f t="shared" si="1"/>
        <v>6273.02</v>
      </c>
      <c r="F12" s="8">
        <v>4916.6400000000003</v>
      </c>
      <c r="G12" s="3">
        <f>2.72+1350+3.66</f>
        <v>1356.38</v>
      </c>
      <c r="H12" s="3" t="s">
        <v>38</v>
      </c>
      <c r="I12" s="8">
        <f t="shared" si="2"/>
        <v>4283.8200000000006</v>
      </c>
      <c r="J12" s="8">
        <v>2700</v>
      </c>
      <c r="K12" s="3">
        <v>0</v>
      </c>
      <c r="L12" s="3">
        <f>39.9+20</f>
        <v>59.9</v>
      </c>
      <c r="M12" s="8">
        <f>27.74+102.35+37.67+20.1</f>
        <v>187.85999999999999</v>
      </c>
      <c r="N12" s="8">
        <v>44.4</v>
      </c>
      <c r="O12" s="8">
        <v>0</v>
      </c>
      <c r="P12" s="3">
        <v>33.450000000000003</v>
      </c>
      <c r="Q12" s="3">
        <f>65.76+11.12</f>
        <v>76.88000000000001</v>
      </c>
      <c r="R12" s="8">
        <f>50+100+100</f>
        <v>250</v>
      </c>
      <c r="S12" s="3">
        <v>0</v>
      </c>
      <c r="T12" s="3">
        <v>0</v>
      </c>
      <c r="U12" s="8">
        <f>31.1+14.7+10.4+10.4+12.1+34+18.85+5.7+8.4+29.95-10+10.2+12+9.4+16.3+5+20.85+12.3</f>
        <v>251.64999999999998</v>
      </c>
      <c r="V12" s="8">
        <f>53.91+130+102.75+49.9+140.8+21.4+44</f>
        <v>542.76</v>
      </c>
      <c r="W12" s="3">
        <v>0</v>
      </c>
      <c r="X12" s="3">
        <v>0</v>
      </c>
      <c r="Y12" s="3">
        <v>100</v>
      </c>
      <c r="Z12" s="3">
        <f>2.66+6.66+3.7+19.98+1.68+2.24</f>
        <v>36.92</v>
      </c>
      <c r="AA12" s="22"/>
      <c r="AB12" s="22"/>
      <c r="AC12" s="22"/>
      <c r="AD12" s="22"/>
    </row>
    <row r="13" spans="1:30" ht="19.5" thickBot="1" x14ac:dyDescent="0.35">
      <c r="A13" s="1" t="s">
        <v>10</v>
      </c>
      <c r="B13" s="3">
        <v>26934.34</v>
      </c>
      <c r="C13" s="3">
        <v>30195.52</v>
      </c>
      <c r="D13" s="3">
        <f t="shared" si="0"/>
        <v>3261.1800000000003</v>
      </c>
      <c r="E13" s="8">
        <f t="shared" si="1"/>
        <v>7361.75</v>
      </c>
      <c r="F13" s="8">
        <v>5359.85</v>
      </c>
      <c r="G13" s="3">
        <f>1.9+2000</f>
        <v>2001.9</v>
      </c>
      <c r="H13" s="3" t="s">
        <v>82</v>
      </c>
      <c r="I13" s="8">
        <f t="shared" si="2"/>
        <v>4105.3500000000004</v>
      </c>
      <c r="J13" s="8">
        <v>2700</v>
      </c>
      <c r="K13" s="3">
        <v>120.67</v>
      </c>
      <c r="L13" s="3">
        <f>39.9+10+20</f>
        <v>69.900000000000006</v>
      </c>
      <c r="M13" s="8">
        <f>61.4+90.95+79.43+71.67+64.2</f>
        <v>367.65</v>
      </c>
      <c r="N13" s="8">
        <v>0</v>
      </c>
      <c r="O13" s="8">
        <v>0</v>
      </c>
      <c r="P13" s="3">
        <v>0</v>
      </c>
      <c r="Q13" s="3">
        <f>27</f>
        <v>27</v>
      </c>
      <c r="R13" s="8">
        <f>100</f>
        <v>100</v>
      </c>
      <c r="S13" s="3">
        <v>0</v>
      </c>
      <c r="T13" s="3">
        <v>0</v>
      </c>
      <c r="U13" s="8">
        <f>9.4+10.2+22.2+7.8+11.2+14.55+18.35+12.1+38-7.8-7.8+10.4+10.8+10.1+38-7.8+16.6+6.8+8.4+9.4</f>
        <v>230.89999999999998</v>
      </c>
      <c r="V13" s="8">
        <f>40+140.06+47.32+74.7+75.65+41.43</f>
        <v>419.16</v>
      </c>
      <c r="W13" s="3">
        <v>0</v>
      </c>
      <c r="X13" s="3">
        <v>40</v>
      </c>
      <c r="Y13" s="3">
        <v>0</v>
      </c>
      <c r="Z13" s="3">
        <f>2.24+1.6+19.98+0.92+2.94+2.39</f>
        <v>30.070000000000004</v>
      </c>
      <c r="AA13" s="22"/>
      <c r="AB13" s="22"/>
      <c r="AC13" s="22"/>
      <c r="AD13" s="22"/>
    </row>
    <row r="14" spans="1:30" ht="19.5" thickBot="1" x14ac:dyDescent="0.35">
      <c r="A14" s="1" t="s">
        <v>11</v>
      </c>
      <c r="B14" s="3">
        <v>30195.52</v>
      </c>
      <c r="C14" s="3">
        <v>30628.21</v>
      </c>
      <c r="D14" s="3">
        <f t="shared" si="0"/>
        <v>432.68999999999869</v>
      </c>
      <c r="E14" s="8">
        <f t="shared" si="1"/>
        <v>6572.7800000000007</v>
      </c>
      <c r="F14" s="8">
        <v>4998.96</v>
      </c>
      <c r="G14" s="3">
        <f>1.63+1350+30+189.49+2.7</f>
        <v>1573.8200000000002</v>
      </c>
      <c r="H14" s="3" t="s">
        <v>85</v>
      </c>
      <c r="I14" s="8">
        <f t="shared" si="2"/>
        <v>6140.09</v>
      </c>
      <c r="J14" s="8">
        <v>2700</v>
      </c>
      <c r="K14" s="3">
        <f>108.69+124.55</f>
        <v>233.24</v>
      </c>
      <c r="L14" s="3">
        <f>20+39.9</f>
        <v>59.9</v>
      </c>
      <c r="M14" s="8">
        <f>99.76+73.18+58.99+48.81</f>
        <v>280.74</v>
      </c>
      <c r="N14" s="8">
        <f>667-150</f>
        <v>517</v>
      </c>
      <c r="O14" s="8">
        <v>0</v>
      </c>
      <c r="P14" s="3">
        <f>10.55</f>
        <v>10.55</v>
      </c>
      <c r="Q14" s="3">
        <v>0</v>
      </c>
      <c r="R14" s="8">
        <f>50+50+50</f>
        <v>150</v>
      </c>
      <c r="S14" s="3">
        <v>0</v>
      </c>
      <c r="T14" s="3">
        <v>0</v>
      </c>
      <c r="U14" s="8">
        <f>12.8+19.9+9.4+20.2+9.2+12.2+18.1+9.2+7.4+2.4+18.25+30.3+10.2+19+38</f>
        <v>236.55</v>
      </c>
      <c r="V14" s="8">
        <f>85.92+42.68+66.6+62.17+56.03+51.08+47.79</f>
        <v>412.27</v>
      </c>
      <c r="W14" s="3">
        <v>52.5</v>
      </c>
      <c r="X14" s="3">
        <v>0</v>
      </c>
      <c r="Y14" s="3">
        <v>0</v>
      </c>
      <c r="Z14" s="3">
        <f>2.64+1.72+2.6+19.98+400+358+2.4+700</f>
        <v>1487.3400000000001</v>
      </c>
      <c r="AA14" s="22" t="s">
        <v>84</v>
      </c>
      <c r="AB14" s="22"/>
      <c r="AC14" s="22"/>
      <c r="AD14" s="22"/>
    </row>
    <row r="15" spans="1:30" ht="19.5" thickBot="1" x14ac:dyDescent="0.35">
      <c r="A15" s="1" t="s">
        <v>12</v>
      </c>
      <c r="B15" s="3">
        <v>30628.21</v>
      </c>
      <c r="C15" s="3">
        <v>37369.269999999997</v>
      </c>
      <c r="D15" s="3">
        <f t="shared" si="0"/>
        <v>6741.0599999999977</v>
      </c>
      <c r="E15" s="8">
        <f t="shared" si="1"/>
        <v>11288.91</v>
      </c>
      <c r="F15" s="8">
        <v>9934.7000000000007</v>
      </c>
      <c r="G15" s="3">
        <f>1.29+1350+2.92</f>
        <v>1354.21</v>
      </c>
      <c r="H15" s="3" t="s">
        <v>38</v>
      </c>
      <c r="I15" s="8">
        <f t="shared" si="2"/>
        <v>4547.8500000000004</v>
      </c>
      <c r="J15" s="8">
        <v>2700</v>
      </c>
      <c r="K15" s="3">
        <v>0</v>
      </c>
      <c r="L15" s="3">
        <f>39.9+20</f>
        <v>59.9</v>
      </c>
      <c r="M15" s="8">
        <f>29.81+60.85+6.7+70.46+30.9+32.06</f>
        <v>230.78</v>
      </c>
      <c r="N15" s="8">
        <v>0</v>
      </c>
      <c r="O15" s="8">
        <v>0</v>
      </c>
      <c r="P15" s="3">
        <v>0</v>
      </c>
      <c r="Q15" s="3">
        <v>0</v>
      </c>
      <c r="R15" s="8">
        <f>20+20+18.35+20+100+100</f>
        <v>278.35000000000002</v>
      </c>
      <c r="S15" s="3">
        <v>0</v>
      </c>
      <c r="T15" s="3">
        <f>189.49+12</f>
        <v>201.49</v>
      </c>
      <c r="U15" s="8">
        <f>12.9+8.8+10.4+34.8+8+31.7+5.3+6.5+9.6+46.75+24.35+31.54+16.35+12.1+8.8+11.2+10.4+15+6+1+25.5+10.6+6.8+5.2+5.2+6+7</f>
        <v>377.78999999999996</v>
      </c>
      <c r="V15" s="8">
        <f>85.21+59.91+38.13+80.65+40</f>
        <v>303.89999999999998</v>
      </c>
      <c r="W15" s="3">
        <v>0</v>
      </c>
      <c r="X15" s="3">
        <v>0</v>
      </c>
      <c r="Y15" s="3">
        <v>0</v>
      </c>
      <c r="Z15" s="3">
        <f>61.2+1.64+22+3.32+91.3+49+45+19.98+51.2+51</f>
        <v>395.64</v>
      </c>
      <c r="AA15" s="22" t="s">
        <v>86</v>
      </c>
      <c r="AB15" s="22"/>
      <c r="AC15" s="22"/>
      <c r="AD15" s="22"/>
    </row>
    <row r="16" spans="1:30" thickBot="1" x14ac:dyDescent="0.3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spans="1:30" thickBot="1" x14ac:dyDescent="0.3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 spans="1:30" ht="19.5" thickBot="1" x14ac:dyDescent="0.35">
      <c r="A18" s="5" t="s">
        <v>18</v>
      </c>
      <c r="B18" s="30"/>
      <c r="C18" s="30"/>
      <c r="D18" s="3">
        <f>SUM(D4:D15)</f>
        <v>26722.819999999996</v>
      </c>
      <c r="E18" s="3">
        <f>SUM(E4:E15)</f>
        <v>81185.070000000007</v>
      </c>
      <c r="F18" s="3">
        <f>SUM(F4:F15)</f>
        <v>65681.14</v>
      </c>
      <c r="G18" s="3">
        <f>SUM(G4:G15)</f>
        <v>15503.93</v>
      </c>
      <c r="H18" s="30"/>
      <c r="I18" s="8">
        <f>SUM(I4:I15)</f>
        <v>54469.029999999992</v>
      </c>
      <c r="J18" s="17">
        <f>SUM(J4:J15)</f>
        <v>32400</v>
      </c>
      <c r="K18" s="8">
        <f>SUM(K4:K15)</f>
        <v>1301.6200000000001</v>
      </c>
      <c r="L18" s="8">
        <f>SUM(L4:L15)</f>
        <v>735.79999999999984</v>
      </c>
      <c r="M18" s="8">
        <f t="shared" ref="M18:Z18" si="3">SUM(M4:M15)</f>
        <v>3540.0899999999997</v>
      </c>
      <c r="N18" s="8">
        <f>SUM(N4:N15)</f>
        <v>706.9</v>
      </c>
      <c r="O18" s="8">
        <f t="shared" si="3"/>
        <v>0</v>
      </c>
      <c r="P18" s="8">
        <f t="shared" si="3"/>
        <v>54.150000000000006</v>
      </c>
      <c r="Q18" s="8">
        <f t="shared" si="3"/>
        <v>468.89</v>
      </c>
      <c r="R18" s="8">
        <f t="shared" si="3"/>
        <v>1695.58</v>
      </c>
      <c r="S18" s="8">
        <f t="shared" si="3"/>
        <v>0</v>
      </c>
      <c r="T18" s="8">
        <f t="shared" si="3"/>
        <v>201.49</v>
      </c>
      <c r="U18" s="8">
        <f t="shared" si="3"/>
        <v>3239.17</v>
      </c>
      <c r="V18" s="8">
        <f t="shared" si="3"/>
        <v>3585.2999999999997</v>
      </c>
      <c r="W18" s="8">
        <f t="shared" si="3"/>
        <v>206.4</v>
      </c>
      <c r="X18" s="8">
        <f t="shared" si="3"/>
        <v>205</v>
      </c>
      <c r="Y18" s="8">
        <f t="shared" si="3"/>
        <v>480</v>
      </c>
      <c r="Z18" s="17">
        <f t="shared" si="3"/>
        <v>5648.6400000000012</v>
      </c>
      <c r="AA18" s="20"/>
      <c r="AB18" s="20"/>
      <c r="AC18" s="20"/>
      <c r="AD18" s="20"/>
    </row>
    <row r="19" spans="1:30" ht="19.5" thickBot="1" x14ac:dyDescent="0.35">
      <c r="A19" s="5" t="s">
        <v>35</v>
      </c>
      <c r="B19" s="30"/>
      <c r="C19" s="30"/>
      <c r="D19" s="3">
        <f>D18/12</f>
        <v>2226.9016666666662</v>
      </c>
      <c r="E19" s="3">
        <f>E18/12</f>
        <v>6765.4225000000006</v>
      </c>
      <c r="F19" s="3">
        <f>F18/12</f>
        <v>5473.4283333333333</v>
      </c>
      <c r="G19" s="3">
        <f>G18/12</f>
        <v>1291.9941666666666</v>
      </c>
      <c r="H19" s="30"/>
      <c r="I19" s="8">
        <f>I18/12</f>
        <v>4539.0858333333326</v>
      </c>
      <c r="J19" s="8">
        <f>J18/12</f>
        <v>2700</v>
      </c>
      <c r="K19" s="8">
        <f>K18/12</f>
        <v>108.46833333333335</v>
      </c>
      <c r="L19" s="8">
        <f>L18/12</f>
        <v>61.316666666666656</v>
      </c>
      <c r="M19" s="8">
        <f t="shared" ref="M19:Z19" si="4">M18/12</f>
        <v>295.00749999999999</v>
      </c>
      <c r="N19" s="8">
        <f t="shared" si="4"/>
        <v>58.908333333333331</v>
      </c>
      <c r="O19" s="8">
        <f t="shared" si="4"/>
        <v>0</v>
      </c>
      <c r="P19" s="8">
        <f t="shared" si="4"/>
        <v>4.5125000000000002</v>
      </c>
      <c r="Q19" s="8">
        <f t="shared" si="4"/>
        <v>39.074166666666663</v>
      </c>
      <c r="R19" s="8">
        <f t="shared" si="4"/>
        <v>141.29833333333332</v>
      </c>
      <c r="S19" s="8">
        <f t="shared" si="4"/>
        <v>0</v>
      </c>
      <c r="T19" s="8">
        <f t="shared" si="4"/>
        <v>16.790833333333335</v>
      </c>
      <c r="U19" s="8">
        <f t="shared" si="4"/>
        <v>269.93083333333334</v>
      </c>
      <c r="V19" s="8">
        <f t="shared" si="4"/>
        <v>298.77499999999998</v>
      </c>
      <c r="W19" s="8">
        <f t="shared" si="4"/>
        <v>17.2</v>
      </c>
      <c r="X19" s="8">
        <f t="shared" si="4"/>
        <v>17.083333333333332</v>
      </c>
      <c r="Y19" s="8">
        <f t="shared" si="4"/>
        <v>40</v>
      </c>
      <c r="Z19" s="8">
        <f t="shared" si="4"/>
        <v>470.72000000000008</v>
      </c>
      <c r="AA19" s="20"/>
      <c r="AB19" s="20"/>
      <c r="AC19" s="20"/>
      <c r="AD19" s="20"/>
    </row>
    <row r="20" spans="1:30" ht="19.5" thickBot="1" x14ac:dyDescent="0.35">
      <c r="A20" s="15"/>
      <c r="B20" s="12"/>
      <c r="C20" s="12"/>
      <c r="D20" s="13"/>
      <c r="E20" s="13"/>
      <c r="F20" s="13"/>
      <c r="G20" s="13"/>
      <c r="H20" s="12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1"/>
      <c r="AB20" s="16"/>
      <c r="AC20" s="16"/>
      <c r="AD20" s="16"/>
    </row>
    <row r="21" spans="1:30" ht="19.5" thickBot="1" x14ac:dyDescent="0.35">
      <c r="A21" s="15"/>
      <c r="B21" s="12"/>
      <c r="C21" s="12"/>
      <c r="D21" s="13"/>
      <c r="E21" s="13">
        <f>E18-5400</f>
        <v>75785.070000000007</v>
      </c>
      <c r="F21" s="13"/>
      <c r="G21" s="13"/>
      <c r="H21" s="12"/>
      <c r="I21" s="14"/>
      <c r="J21" s="8" t="s">
        <v>57</v>
      </c>
      <c r="K21" s="24" t="s">
        <v>58</v>
      </c>
      <c r="L21" s="24"/>
      <c r="M21" s="24" t="s">
        <v>59</v>
      </c>
      <c r="N21" s="24"/>
      <c r="O21" s="24"/>
      <c r="P21" s="24"/>
      <c r="Q21" s="24"/>
      <c r="R21" s="24" t="s">
        <v>60</v>
      </c>
      <c r="S21" s="24"/>
      <c r="T21" s="24"/>
      <c r="U21" s="24"/>
      <c r="V21" s="8" t="s">
        <v>61</v>
      </c>
      <c r="W21" s="8" t="s">
        <v>63</v>
      </c>
      <c r="X21" s="8" t="s">
        <v>62</v>
      </c>
      <c r="Y21" s="8" t="s">
        <v>64</v>
      </c>
      <c r="Z21" s="8" t="s">
        <v>66</v>
      </c>
      <c r="AA21" s="9" t="s">
        <v>67</v>
      </c>
      <c r="AB21" s="1" t="s">
        <v>68</v>
      </c>
      <c r="AC21" s="1" t="s">
        <v>69</v>
      </c>
      <c r="AD21" s="1" t="s">
        <v>65</v>
      </c>
    </row>
    <row r="22" spans="1:30" ht="19.5" thickBot="1" x14ac:dyDescent="0.35">
      <c r="A22" s="2"/>
      <c r="B22" s="4"/>
      <c r="C22" s="4"/>
      <c r="D22" s="4"/>
      <c r="E22" s="4"/>
      <c r="F22" s="4"/>
      <c r="G22" s="4"/>
      <c r="H22" s="4"/>
      <c r="I22" s="4"/>
      <c r="J22" s="3">
        <f>SUM(J18)</f>
        <v>32400</v>
      </c>
      <c r="K22" s="23">
        <f>SUM(K18:L18)+224.7</f>
        <v>2262.12</v>
      </c>
      <c r="L22" s="23"/>
      <c r="M22" s="23">
        <f>SUM(M18:Q18)-N18</f>
        <v>4063.1299999999997</v>
      </c>
      <c r="N22" s="23"/>
      <c r="O22" s="23"/>
      <c r="P22" s="23"/>
      <c r="Q22" s="23"/>
      <c r="R22" s="23">
        <f>SUM(R18:U18)</f>
        <v>5136.24</v>
      </c>
      <c r="S22" s="23"/>
      <c r="T22" s="23"/>
      <c r="U22" s="23"/>
      <c r="V22" s="18">
        <v>3446.17</v>
      </c>
      <c r="W22" s="3">
        <f>SUM(W18)</f>
        <v>206.4</v>
      </c>
      <c r="X22" s="3">
        <f>SUM(X18)</f>
        <v>205</v>
      </c>
      <c r="Y22" s="3">
        <f>SUM(Y18)</f>
        <v>480</v>
      </c>
      <c r="Z22" s="1"/>
      <c r="AA22" s="1"/>
      <c r="AB22" s="1"/>
      <c r="AC22" s="1"/>
      <c r="AD22" s="1"/>
    </row>
    <row r="23" spans="1:30" ht="19.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3">
        <f>SUM(J22:L22)</f>
        <v>34662.120000000003</v>
      </c>
      <c r="K23" s="21"/>
      <c r="L23" s="21"/>
      <c r="M23" s="23">
        <f>SUM(M22:U22)</f>
        <v>9199.369999999999</v>
      </c>
      <c r="N23" s="21"/>
      <c r="O23" s="21"/>
      <c r="P23" s="21"/>
      <c r="Q23" s="21"/>
      <c r="R23" s="21"/>
      <c r="S23" s="21"/>
      <c r="T23" s="21"/>
      <c r="U23" s="21"/>
      <c r="V23" s="1"/>
      <c r="W23" s="1"/>
      <c r="X23" s="1"/>
      <c r="Y23" s="1"/>
      <c r="Z23" s="27">
        <f>SUM(Z22:AC22)</f>
        <v>0</v>
      </c>
      <c r="AA23" s="28"/>
      <c r="AB23" s="28"/>
      <c r="AC23" s="29"/>
      <c r="AD23" s="1"/>
    </row>
    <row r="24" spans="1:30" x14ac:dyDescent="0.25">
      <c r="N24" s="7" t="s">
        <v>87</v>
      </c>
    </row>
  </sheetData>
  <mergeCells count="34">
    <mergeCell ref="Z23:AC23"/>
    <mergeCell ref="A16:AD17"/>
    <mergeCell ref="B18:C19"/>
    <mergeCell ref="H18:H19"/>
    <mergeCell ref="AA18:AD19"/>
    <mergeCell ref="K21:L21"/>
    <mergeCell ref="M21:Q21"/>
    <mergeCell ref="R21:U21"/>
    <mergeCell ref="K22:L22"/>
    <mergeCell ref="M22:Q22"/>
    <mergeCell ref="R22:U22"/>
    <mergeCell ref="J23:L23"/>
    <mergeCell ref="M23:U23"/>
    <mergeCell ref="AA15:AD15"/>
    <mergeCell ref="AA4:AD4"/>
    <mergeCell ref="AA5:AD5"/>
    <mergeCell ref="AA6:AD6"/>
    <mergeCell ref="AA7:AD7"/>
    <mergeCell ref="AA8:AD8"/>
    <mergeCell ref="AA9:AD9"/>
    <mergeCell ref="AA10:AD10"/>
    <mergeCell ref="AA11:AD11"/>
    <mergeCell ref="AA12:AD12"/>
    <mergeCell ref="AA13:AD13"/>
    <mergeCell ref="AA14:AD14"/>
    <mergeCell ref="E1:H1"/>
    <mergeCell ref="I1:AD1"/>
    <mergeCell ref="A2:A3"/>
    <mergeCell ref="B2:B3"/>
    <mergeCell ref="C2:C3"/>
    <mergeCell ref="D2:D3"/>
    <mergeCell ref="F2:H2"/>
    <mergeCell ref="J2:AD2"/>
    <mergeCell ref="AA3:AD3"/>
  </mergeCells>
  <conditionalFormatting sqref="V4:V15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{BFB8F834-FD42-44FB-9B85-FDB15EBB0346}</x14:id>
        </ext>
      </extLst>
    </cfRule>
  </conditionalFormatting>
  <conditionalFormatting sqref="U4:U15"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{5A5B107F-8781-431A-9946-EF1F42EA36A0}</x14:id>
        </ext>
      </extLst>
    </cfRule>
  </conditionalFormatting>
  <conditionalFormatting sqref="R4:R15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{E0262E55-922C-429F-A99A-74261A58F3FD}</x14:id>
        </ext>
      </extLst>
    </cfRule>
  </conditionalFormatting>
  <conditionalFormatting sqref="M4:M15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{450361D6-07D7-4ADA-ACD9-A98CE73C429B}</x14:id>
        </ext>
      </extLst>
    </cfRule>
  </conditionalFormatting>
  <conditionalFormatting sqref="O4:O15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{202D5A09-D364-4672-B69D-D44B829AA693}</x14:id>
        </ext>
      </extLst>
    </cfRule>
  </conditionalFormatting>
  <conditionalFormatting sqref="F4:F8 F10:F15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{34018526-AAA0-4412-900B-8E5502FCE757}</x14:id>
        </ext>
      </extLst>
    </cfRule>
  </conditionalFormatting>
  <conditionalFormatting sqref="I4:I15">
    <cfRule type="colorScale" priority="7">
      <colorScale>
        <cfvo type="min"/>
        <cfvo type="max"/>
        <color rgb="FFFCFCFF"/>
        <color rgb="FFF8696B"/>
      </colorScale>
    </cfRule>
  </conditionalFormatting>
  <conditionalFormatting sqref="G4:G1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{F057D88E-EDAF-416C-9FF9-1F044C9416CC}</x14:id>
        </ext>
      </extLst>
    </cfRule>
  </conditionalFormatting>
  <conditionalFormatting sqref="E4:E8 E9:F9 E10:E15">
    <cfRule type="colorScale" priority="5">
      <colorScale>
        <cfvo type="min"/>
        <cfvo type="max"/>
        <color rgb="FFFCFCFF"/>
        <color rgb="FF63BE7B"/>
      </colorScale>
    </cfRule>
  </conditionalFormatting>
  <conditionalFormatting sqref="D4:D1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{D5B2D320-FD44-4443-AC05-FE718CD8E9B4}</x14:id>
        </ext>
      </extLst>
    </cfRule>
  </conditionalFormatting>
  <conditionalFormatting sqref="K18:Y18">
    <cfRule type="colorScale" priority="22">
      <colorScale>
        <cfvo type="min"/>
        <cfvo type="max"/>
        <color rgb="FFFCFCFF"/>
        <color rgb="FFF8696B"/>
      </colorScale>
    </cfRule>
  </conditionalFormatting>
  <conditionalFormatting sqref="N4:N15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{49CB7EF2-E9A9-407A-B560-A62CFDC2798C}</x14:id>
        </ext>
      </extLst>
    </cfRule>
  </conditionalFormatting>
  <pageMargins left="0.7" right="0.7" top="0.75" bottom="0.75" header="0.3" footer="0.3"/>
  <ignoredErrors>
    <ignoredError sqref="L5:L6 R11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B8F834-FD42-44FB-9B85-FDB15EBB034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V4:V15</xm:sqref>
        </x14:conditionalFormatting>
        <x14:conditionalFormatting xmlns:xm="http://schemas.microsoft.com/office/excel/2006/main">
          <x14:cfRule type="dataBar" id="{5A5B107F-8781-431A-9946-EF1F42EA36A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U4:U15</xm:sqref>
        </x14:conditionalFormatting>
        <x14:conditionalFormatting xmlns:xm="http://schemas.microsoft.com/office/excel/2006/main">
          <x14:cfRule type="dataBar" id="{E0262E55-922C-429F-A99A-74261A58F3F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R4:R15</xm:sqref>
        </x14:conditionalFormatting>
        <x14:conditionalFormatting xmlns:xm="http://schemas.microsoft.com/office/excel/2006/main">
          <x14:cfRule type="dataBar" id="{450361D6-07D7-4ADA-ACD9-A98CE73C429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M4:M15</xm:sqref>
        </x14:conditionalFormatting>
        <x14:conditionalFormatting xmlns:xm="http://schemas.microsoft.com/office/excel/2006/main">
          <x14:cfRule type="dataBar" id="{202D5A09-D364-4672-B69D-D44B829AA69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O4:O15</xm:sqref>
        </x14:conditionalFormatting>
        <x14:conditionalFormatting xmlns:xm="http://schemas.microsoft.com/office/excel/2006/main">
          <x14:cfRule type="dataBar" id="{34018526-AAA0-4412-900B-8E5502FCE75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F4:F8 F10:F15</xm:sqref>
        </x14:conditionalFormatting>
        <x14:conditionalFormatting xmlns:xm="http://schemas.microsoft.com/office/excel/2006/main">
          <x14:cfRule type="dataBar" id="{F057D88E-EDAF-416C-9FF9-1F044C9416C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G4:G15</xm:sqref>
        </x14:conditionalFormatting>
        <x14:conditionalFormatting xmlns:xm="http://schemas.microsoft.com/office/excel/2006/main">
          <x14:cfRule type="dataBar" id="{D5B2D320-FD44-4443-AC05-FE718CD8E9B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D4:D15</xm:sqref>
        </x14:conditionalFormatting>
        <x14:conditionalFormatting xmlns:xm="http://schemas.microsoft.com/office/excel/2006/main">
          <x14:cfRule type="dataBar" id="{49CB7EF2-E9A9-407A-B560-A62CFDC2798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N4:N15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2022OCBC</vt:lpstr>
      <vt:lpstr>2021OCBC</vt:lpstr>
      <vt:lpstr>2020OCBC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2022-02-02T16:12:58Z</dcterms:modified>
</cp:coreProperties>
</file>