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7a3b2a8fe56d667/Materia de Esdudo do dia/ELT 224/Praticas/Projeto Final - Parte 1/W/Entregar/"/>
    </mc:Choice>
  </mc:AlternateContent>
  <bookViews>
    <workbookView xWindow="0" yWindow="0" windowWidth="32025" windowHeight="6315"/>
  </bookViews>
  <sheets>
    <sheet name="Tom. e Ilum." sheetId="2" r:id="rId1"/>
    <sheet name="Dim. Fios" sheetId="1" r:id="rId2"/>
    <sheet name="Demanda" sheetId="3" r:id="rId3"/>
    <sheet name="Eletrodutos" sheetId="4" r:id="rId4"/>
  </sheets>
  <calcPr calcId="152511"/>
</workbook>
</file>

<file path=xl/calcChain.xml><?xml version="1.0" encoding="utf-8"?>
<calcChain xmlns="http://schemas.openxmlformats.org/spreadsheetml/2006/main">
  <c r="D14" i="2" l="1"/>
  <c r="D99" i="2" l="1"/>
  <c r="F98" i="2"/>
  <c r="F97" i="2"/>
  <c r="F96" i="2"/>
  <c r="F95" i="2"/>
  <c r="F94" i="2"/>
  <c r="F93" i="2"/>
  <c r="F90" i="2"/>
  <c r="F91" i="2"/>
  <c r="F92" i="2"/>
  <c r="J14" i="2"/>
  <c r="N14" i="2"/>
  <c r="M14" i="2"/>
  <c r="O13" i="2"/>
  <c r="P13" i="2"/>
  <c r="Q13" i="2"/>
  <c r="T13" i="2"/>
  <c r="L13" i="2"/>
  <c r="N86" i="2"/>
  <c r="M86" i="2"/>
  <c r="J86" i="2"/>
  <c r="N93" i="2"/>
  <c r="R93" i="2"/>
  <c r="M93" i="2"/>
  <c r="J93" i="2"/>
  <c r="T92" i="2"/>
  <c r="Q92" i="2"/>
  <c r="P92" i="2"/>
  <c r="S92" i="2" s="1"/>
  <c r="L92" i="2"/>
  <c r="T91" i="2"/>
  <c r="Q91" i="2"/>
  <c r="P91" i="2"/>
  <c r="O91" i="2"/>
  <c r="L91" i="2"/>
  <c r="T90" i="2"/>
  <c r="Q90" i="2"/>
  <c r="P90" i="2"/>
  <c r="O90" i="2"/>
  <c r="L90" i="2"/>
  <c r="T89" i="2"/>
  <c r="Q89" i="2"/>
  <c r="P89" i="2"/>
  <c r="P93" i="2" s="1"/>
  <c r="O89" i="2"/>
  <c r="L89" i="2"/>
  <c r="L93" i="2" l="1"/>
  <c r="T93" i="2"/>
  <c r="Q93" i="2"/>
  <c r="O93" i="2"/>
  <c r="S91" i="2"/>
  <c r="S90" i="2"/>
  <c r="S89" i="2"/>
  <c r="S13" i="2"/>
  <c r="F89" i="2"/>
  <c r="D86" i="2"/>
  <c r="F85" i="2"/>
  <c r="F84" i="2"/>
  <c r="F83" i="2"/>
  <c r="F82" i="2"/>
  <c r="F81" i="2"/>
  <c r="F80" i="2"/>
  <c r="F79" i="2"/>
  <c r="F78" i="2"/>
  <c r="D72" i="2"/>
  <c r="F71" i="2"/>
  <c r="F70" i="2"/>
  <c r="F69" i="2"/>
  <c r="F68" i="2"/>
  <c r="F67" i="2"/>
  <c r="F66" i="2"/>
  <c r="F65" i="2"/>
  <c r="F64" i="2"/>
  <c r="F63" i="2"/>
  <c r="F62" i="2"/>
  <c r="D59" i="2"/>
  <c r="F58" i="2"/>
  <c r="F57" i="2"/>
  <c r="F56" i="2"/>
  <c r="F55" i="2"/>
  <c r="F54" i="2"/>
  <c r="F53" i="2"/>
  <c r="F52" i="2"/>
  <c r="S93" i="2" l="1"/>
  <c r="U93" i="2" s="1"/>
  <c r="D49" i="2"/>
  <c r="F48" i="2"/>
  <c r="F47" i="2"/>
  <c r="F46" i="2"/>
  <c r="F45" i="2"/>
  <c r="F44" i="2"/>
  <c r="F43" i="2"/>
  <c r="F42" i="2"/>
  <c r="F41" i="2"/>
  <c r="T85" i="2" l="1"/>
  <c r="Q85" i="2"/>
  <c r="P85" i="2"/>
  <c r="O85" i="2"/>
  <c r="S85" i="2" s="1"/>
  <c r="L85" i="2"/>
  <c r="T84" i="2"/>
  <c r="Q84" i="2"/>
  <c r="P84" i="2"/>
  <c r="O84" i="2"/>
  <c r="L84" i="2"/>
  <c r="T83" i="2"/>
  <c r="Q83" i="2"/>
  <c r="P83" i="2"/>
  <c r="O83" i="2"/>
  <c r="L83" i="2"/>
  <c r="T82" i="2"/>
  <c r="Q82" i="2"/>
  <c r="P82" i="2"/>
  <c r="O82" i="2"/>
  <c r="S82" i="2" s="1"/>
  <c r="L82" i="2"/>
  <c r="T81" i="2"/>
  <c r="Q81" i="2"/>
  <c r="P81" i="2"/>
  <c r="O81" i="2"/>
  <c r="S81" i="2" s="1"/>
  <c r="L81" i="2"/>
  <c r="T80" i="2"/>
  <c r="Q80" i="2"/>
  <c r="P80" i="2"/>
  <c r="O80" i="2"/>
  <c r="L80" i="2"/>
  <c r="T79" i="2"/>
  <c r="Q79" i="2"/>
  <c r="P79" i="2"/>
  <c r="O79" i="2"/>
  <c r="L79" i="2"/>
  <c r="T78" i="2"/>
  <c r="T86" i="2" s="1"/>
  <c r="Q78" i="2"/>
  <c r="P78" i="2"/>
  <c r="O78" i="2"/>
  <c r="L78" i="2"/>
  <c r="L86" i="2" s="1"/>
  <c r="M75" i="2"/>
  <c r="N75" i="2"/>
  <c r="J75" i="2"/>
  <c r="M70" i="2"/>
  <c r="N70" i="2"/>
  <c r="J70" i="2"/>
  <c r="L73" i="2"/>
  <c r="O73" i="2"/>
  <c r="P73" i="2"/>
  <c r="P75" i="2" s="1"/>
  <c r="Q73" i="2"/>
  <c r="T73" i="2"/>
  <c r="L74" i="2"/>
  <c r="O74" i="2"/>
  <c r="P74" i="2"/>
  <c r="Q74" i="2"/>
  <c r="T74" i="2"/>
  <c r="M56" i="2"/>
  <c r="N56" i="2"/>
  <c r="J56" i="2"/>
  <c r="L59" i="2"/>
  <c r="O59" i="2"/>
  <c r="P59" i="2"/>
  <c r="Q59" i="2"/>
  <c r="T59" i="2"/>
  <c r="L60" i="2"/>
  <c r="O60" i="2"/>
  <c r="P60" i="2"/>
  <c r="Q60" i="2"/>
  <c r="T60" i="2"/>
  <c r="L61" i="2"/>
  <c r="O61" i="2"/>
  <c r="P61" i="2"/>
  <c r="Q61" i="2"/>
  <c r="T61" i="2"/>
  <c r="L62" i="2"/>
  <c r="O62" i="2"/>
  <c r="P62" i="2"/>
  <c r="Q62" i="2"/>
  <c r="T62" i="2"/>
  <c r="L63" i="2"/>
  <c r="O63" i="2"/>
  <c r="P63" i="2"/>
  <c r="Q63" i="2"/>
  <c r="T63" i="2"/>
  <c r="L64" i="2"/>
  <c r="O64" i="2"/>
  <c r="P64" i="2"/>
  <c r="Q64" i="2"/>
  <c r="T64" i="2"/>
  <c r="L65" i="2"/>
  <c r="O65" i="2"/>
  <c r="P65" i="2"/>
  <c r="Q65" i="2"/>
  <c r="T65" i="2"/>
  <c r="L66" i="2"/>
  <c r="O66" i="2"/>
  <c r="P66" i="2"/>
  <c r="Q66" i="2"/>
  <c r="T66" i="2"/>
  <c r="L67" i="2"/>
  <c r="O67" i="2"/>
  <c r="P67" i="2"/>
  <c r="Q67" i="2"/>
  <c r="T67" i="2"/>
  <c r="L68" i="2"/>
  <c r="O68" i="2"/>
  <c r="P68" i="2"/>
  <c r="Q68" i="2"/>
  <c r="T68" i="2"/>
  <c r="L69" i="2"/>
  <c r="O69" i="2"/>
  <c r="P69" i="2"/>
  <c r="Q69" i="2"/>
  <c r="T69" i="2"/>
  <c r="M46" i="2"/>
  <c r="N46" i="2"/>
  <c r="J46" i="2"/>
  <c r="L49" i="2"/>
  <c r="O49" i="2"/>
  <c r="P49" i="2"/>
  <c r="Q49" i="2"/>
  <c r="T49" i="2"/>
  <c r="L50" i="2"/>
  <c r="O50" i="2"/>
  <c r="P50" i="2"/>
  <c r="Q50" i="2"/>
  <c r="T50" i="2"/>
  <c r="L51" i="2"/>
  <c r="O51" i="2"/>
  <c r="P51" i="2"/>
  <c r="Q51" i="2"/>
  <c r="T51" i="2"/>
  <c r="L52" i="2"/>
  <c r="O52" i="2"/>
  <c r="P52" i="2"/>
  <c r="Q52" i="2"/>
  <c r="T52" i="2"/>
  <c r="L53" i="2"/>
  <c r="O53" i="2"/>
  <c r="P53" i="2"/>
  <c r="Q53" i="2"/>
  <c r="T53" i="2"/>
  <c r="L54" i="2"/>
  <c r="O54" i="2"/>
  <c r="P54" i="2"/>
  <c r="Q54" i="2"/>
  <c r="T54" i="2"/>
  <c r="L55" i="2"/>
  <c r="O55" i="2"/>
  <c r="P55" i="2"/>
  <c r="Q55" i="2"/>
  <c r="T55" i="2"/>
  <c r="T45" i="2"/>
  <c r="Q45" i="2"/>
  <c r="P45" i="2"/>
  <c r="O45" i="2"/>
  <c r="L45" i="2"/>
  <c r="T44" i="2"/>
  <c r="Q44" i="2"/>
  <c r="P44" i="2"/>
  <c r="O44" i="2"/>
  <c r="L44" i="2"/>
  <c r="T43" i="2"/>
  <c r="Q43" i="2"/>
  <c r="P43" i="2"/>
  <c r="O43" i="2"/>
  <c r="L43" i="2"/>
  <c r="T42" i="2"/>
  <c r="Q42" i="2"/>
  <c r="P42" i="2"/>
  <c r="O42" i="2"/>
  <c r="L42" i="2"/>
  <c r="T41" i="2"/>
  <c r="Q41" i="2"/>
  <c r="P41" i="2"/>
  <c r="O41" i="2"/>
  <c r="L41" i="2"/>
  <c r="T40" i="2"/>
  <c r="Q40" i="2"/>
  <c r="P40" i="2"/>
  <c r="O40" i="2"/>
  <c r="L40" i="2"/>
  <c r="T39" i="2"/>
  <c r="Q39" i="2"/>
  <c r="P39" i="2"/>
  <c r="O39" i="2"/>
  <c r="L39" i="2"/>
  <c r="T38" i="2"/>
  <c r="Q38" i="2"/>
  <c r="P38" i="2"/>
  <c r="O38" i="2"/>
  <c r="L38" i="2"/>
  <c r="N34" i="2"/>
  <c r="M34" i="2"/>
  <c r="J34" i="2"/>
  <c r="D38" i="2"/>
  <c r="D26" i="2"/>
  <c r="T33" i="2"/>
  <c r="Q33" i="2"/>
  <c r="P33" i="2"/>
  <c r="O33" i="2"/>
  <c r="L33" i="2"/>
  <c r="T32" i="2"/>
  <c r="Q32" i="2"/>
  <c r="P32" i="2"/>
  <c r="O32" i="2"/>
  <c r="L32" i="2"/>
  <c r="T31" i="2"/>
  <c r="Q31" i="2"/>
  <c r="P31" i="2"/>
  <c r="O31" i="2"/>
  <c r="L31" i="2"/>
  <c r="T30" i="2"/>
  <c r="Q30" i="2"/>
  <c r="P30" i="2"/>
  <c r="O30" i="2"/>
  <c r="L30" i="2"/>
  <c r="T29" i="2"/>
  <c r="Q29" i="2"/>
  <c r="P29" i="2"/>
  <c r="O29" i="2"/>
  <c r="L29" i="2"/>
  <c r="T28" i="2"/>
  <c r="Q28" i="2"/>
  <c r="P28" i="2"/>
  <c r="O28" i="2"/>
  <c r="L28" i="2"/>
  <c r="T27" i="2"/>
  <c r="Q27" i="2"/>
  <c r="P27" i="2"/>
  <c r="O27" i="2"/>
  <c r="L27" i="2"/>
  <c r="T26" i="2"/>
  <c r="Q26" i="2"/>
  <c r="P26" i="2"/>
  <c r="O26" i="2"/>
  <c r="L26" i="2"/>
  <c r="T25" i="2"/>
  <c r="Q25" i="2"/>
  <c r="P25" i="2"/>
  <c r="O25" i="2"/>
  <c r="L25" i="2"/>
  <c r="T24" i="2"/>
  <c r="Q24" i="2"/>
  <c r="P24" i="2"/>
  <c r="O24" i="2"/>
  <c r="L24" i="2"/>
  <c r="T23" i="2"/>
  <c r="Q23" i="2"/>
  <c r="P23" i="2"/>
  <c r="O23" i="2"/>
  <c r="L23" i="2"/>
  <c r="T22" i="2"/>
  <c r="Q22" i="2"/>
  <c r="P22" i="2"/>
  <c r="O22" i="2"/>
  <c r="L22" i="2"/>
  <c r="T21" i="2"/>
  <c r="Q21" i="2"/>
  <c r="P21" i="2"/>
  <c r="O21" i="2"/>
  <c r="L21" i="2"/>
  <c r="T20" i="2"/>
  <c r="Q20" i="2"/>
  <c r="P20" i="2"/>
  <c r="O20" i="2"/>
  <c r="L20" i="2"/>
  <c r="T19" i="2"/>
  <c r="Q19" i="2"/>
  <c r="P19" i="2"/>
  <c r="O19" i="2"/>
  <c r="L19" i="2"/>
  <c r="T18" i="2"/>
  <c r="Q18" i="2"/>
  <c r="P18" i="2"/>
  <c r="O18" i="2"/>
  <c r="L18" i="2"/>
  <c r="T17" i="2"/>
  <c r="Q17" i="2"/>
  <c r="P17" i="2"/>
  <c r="O17" i="2"/>
  <c r="L17" i="2"/>
  <c r="T12" i="2"/>
  <c r="Q12" i="2"/>
  <c r="P12" i="2"/>
  <c r="O12" i="2"/>
  <c r="L12" i="2"/>
  <c r="T11" i="2"/>
  <c r="Q11" i="2"/>
  <c r="P11" i="2"/>
  <c r="L11" i="2"/>
  <c r="T10" i="2"/>
  <c r="Q10" i="2"/>
  <c r="P10" i="2"/>
  <c r="O10" i="2"/>
  <c r="L10" i="2"/>
  <c r="T9" i="2"/>
  <c r="Q9" i="2"/>
  <c r="P9" i="2"/>
  <c r="O9" i="2"/>
  <c r="L9" i="2"/>
  <c r="T8" i="2"/>
  <c r="Q8" i="2"/>
  <c r="P8" i="2"/>
  <c r="O8" i="2"/>
  <c r="L8" i="2"/>
  <c r="T7" i="2"/>
  <c r="Q7" i="2"/>
  <c r="P7" i="2"/>
  <c r="O7" i="2"/>
  <c r="L7" i="2"/>
  <c r="T6" i="2"/>
  <c r="Q6" i="2"/>
  <c r="P6" i="2"/>
  <c r="O6" i="2"/>
  <c r="L6" i="2"/>
  <c r="T5" i="2"/>
  <c r="Q5" i="2"/>
  <c r="P5" i="2"/>
  <c r="O5" i="2"/>
  <c r="L5" i="2"/>
  <c r="T4" i="2"/>
  <c r="Q4" i="2"/>
  <c r="P4" i="2"/>
  <c r="O4" i="2"/>
  <c r="L4" i="2"/>
  <c r="F13" i="2"/>
  <c r="F12" i="2"/>
  <c r="F11" i="2"/>
  <c r="F10" i="2"/>
  <c r="F9" i="2"/>
  <c r="F8" i="2"/>
  <c r="F7" i="2"/>
  <c r="F6" i="2"/>
  <c r="F5" i="2"/>
  <c r="F4" i="2"/>
  <c r="F3" i="2"/>
  <c r="S69" i="2" l="1"/>
  <c r="S68" i="2"/>
  <c r="L75" i="2"/>
  <c r="L14" i="2"/>
  <c r="Q14" i="2"/>
  <c r="S11" i="2"/>
  <c r="S12" i="2"/>
  <c r="T34" i="2"/>
  <c r="S23" i="2"/>
  <c r="S24" i="2"/>
  <c r="S31" i="2"/>
  <c r="S32" i="2"/>
  <c r="S51" i="2"/>
  <c r="S64" i="2"/>
  <c r="S4" i="2"/>
  <c r="S17" i="2"/>
  <c r="S25" i="2"/>
  <c r="S44" i="2"/>
  <c r="S74" i="2"/>
  <c r="S20" i="2"/>
  <c r="Q46" i="2"/>
  <c r="P46" i="2"/>
  <c r="S55" i="2"/>
  <c r="Q56" i="2"/>
  <c r="L70" i="2"/>
  <c r="Q70" i="2"/>
  <c r="T75" i="2"/>
  <c r="S60" i="2"/>
  <c r="P70" i="2"/>
  <c r="T56" i="2"/>
  <c r="L56" i="2"/>
  <c r="T70" i="2"/>
  <c r="T14" i="2"/>
  <c r="L34" i="2"/>
  <c r="S28" i="2"/>
  <c r="O14" i="2"/>
  <c r="S22" i="2"/>
  <c r="T46" i="2"/>
  <c r="P56" i="2"/>
  <c r="S66" i="2"/>
  <c r="P14" i="2"/>
  <c r="Q34" i="2"/>
  <c r="P34" i="2"/>
  <c r="S38" i="2"/>
  <c r="L46" i="2"/>
  <c r="S41" i="2"/>
  <c r="S42" i="2"/>
  <c r="S65" i="2"/>
  <c r="S63" i="2"/>
  <c r="S61" i="2"/>
  <c r="S7" i="2"/>
  <c r="P86" i="2"/>
  <c r="O86" i="2"/>
  <c r="S9" i="2"/>
  <c r="Q86" i="2"/>
  <c r="S79" i="2"/>
  <c r="S80" i="2"/>
  <c r="S83" i="2"/>
  <c r="S84" i="2"/>
  <c r="S30" i="2"/>
  <c r="S33" i="2"/>
  <c r="S53" i="2"/>
  <c r="S50" i="2"/>
  <c r="S67" i="2"/>
  <c r="S78" i="2"/>
  <c r="S5" i="2"/>
  <c r="S8" i="2"/>
  <c r="S10" i="2"/>
  <c r="S18" i="2"/>
  <c r="S21" i="2"/>
  <c r="S27" i="2"/>
  <c r="O34" i="2"/>
  <c r="S52" i="2"/>
  <c r="S49" i="2"/>
  <c r="O46" i="2"/>
  <c r="Q75" i="2"/>
  <c r="S40" i="2"/>
  <c r="S6" i="2"/>
  <c r="S19" i="2"/>
  <c r="S26" i="2"/>
  <c r="S29" i="2"/>
  <c r="S39" i="2"/>
  <c r="S43" i="2"/>
  <c r="S45" i="2"/>
  <c r="S54" i="2"/>
  <c r="S62" i="2"/>
  <c r="S59" i="2"/>
  <c r="O56" i="2"/>
  <c r="O70" i="2"/>
  <c r="S73" i="2"/>
  <c r="O75" i="2"/>
  <c r="S75" i="2" l="1"/>
  <c r="U75" i="2" s="1"/>
  <c r="S56" i="2"/>
  <c r="U56" i="2" s="1"/>
  <c r="S46" i="2"/>
  <c r="U46" i="2" s="1"/>
  <c r="S14" i="2"/>
  <c r="U14" i="2" s="1"/>
  <c r="S34" i="2"/>
  <c r="U34" i="2" s="1"/>
  <c r="S86" i="2"/>
  <c r="U86" i="2" s="1"/>
  <c r="S70" i="2"/>
  <c r="U70" i="2" s="1"/>
  <c r="F20" i="2"/>
  <c r="F21" i="2"/>
  <c r="F22" i="2"/>
  <c r="F23" i="2"/>
  <c r="F24" i="2"/>
  <c r="F25" i="2"/>
  <c r="F37" i="2"/>
  <c r="F36" i="2"/>
  <c r="F35" i="2"/>
  <c r="F34" i="2"/>
  <c r="F33" i="2"/>
  <c r="F32" i="2"/>
  <c r="F31" i="2"/>
  <c r="F30" i="2"/>
  <c r="F29" i="2"/>
  <c r="F19" i="2"/>
  <c r="F18" i="2"/>
  <c r="C4" i="4" l="1"/>
  <c r="D4" i="4"/>
  <c r="E4" i="4"/>
  <c r="B4" i="4"/>
  <c r="F5" i="4" l="1"/>
  <c r="F6" i="4" s="1"/>
  <c r="W21" i="1"/>
  <c r="H18" i="3"/>
  <c r="I18" i="3" s="1"/>
  <c r="E5" i="1" l="1"/>
  <c r="E6" i="1"/>
  <c r="E7" i="1"/>
  <c r="E8" i="1"/>
  <c r="E9" i="1"/>
  <c r="E10" i="1"/>
  <c r="E4" i="1"/>
  <c r="D5" i="1"/>
  <c r="D6" i="1"/>
  <c r="D7" i="1"/>
  <c r="D8" i="1"/>
  <c r="D9" i="1"/>
  <c r="D10" i="1"/>
  <c r="D4" i="1"/>
  <c r="C5" i="1"/>
  <c r="C6" i="1"/>
  <c r="C7" i="1"/>
  <c r="C8" i="1"/>
  <c r="C9" i="1"/>
  <c r="C10" i="1"/>
  <c r="C4" i="1"/>
  <c r="B5" i="1"/>
  <c r="B6" i="1"/>
  <c r="B7" i="1"/>
  <c r="B8" i="1"/>
  <c r="B9" i="1"/>
  <c r="B10" i="1"/>
  <c r="B4" i="1"/>
  <c r="I9" i="3" l="1"/>
  <c r="H9" i="3"/>
  <c r="G9" i="3"/>
  <c r="D9" i="3" l="1"/>
  <c r="G14" i="3" s="1"/>
  <c r="J19" i="3" l="1"/>
  <c r="L18" i="3"/>
  <c r="J18" i="3"/>
  <c r="K18" i="3"/>
  <c r="G18" i="3"/>
  <c r="H19" i="3"/>
  <c r="I19" i="3" s="1"/>
  <c r="K19" i="3"/>
  <c r="G19" i="3"/>
  <c r="L19" i="3"/>
  <c r="W15" i="1"/>
  <c r="W16" i="1"/>
  <c r="W17" i="1"/>
  <c r="W18" i="1"/>
  <c r="W19" i="1"/>
  <c r="W20" i="1"/>
  <c r="W14" i="1"/>
  <c r="M5" i="1"/>
  <c r="M6" i="1"/>
  <c r="M7" i="1"/>
  <c r="M8" i="1"/>
  <c r="M9" i="1"/>
  <c r="M10" i="1"/>
  <c r="K6" i="1" l="1"/>
  <c r="L6" i="1" s="1"/>
  <c r="K7" i="1"/>
  <c r="L7" i="1" s="1"/>
  <c r="K8" i="1"/>
  <c r="L8" i="1" s="1"/>
  <c r="K9" i="1"/>
  <c r="L9" i="1" s="1"/>
  <c r="K10" i="1"/>
  <c r="L10" i="1" s="1"/>
  <c r="K5" i="1"/>
  <c r="L5" i="1" s="1"/>
  <c r="I5" i="1" l="1"/>
  <c r="I6" i="1"/>
  <c r="I7" i="1"/>
  <c r="I8" i="1"/>
  <c r="I9" i="1"/>
  <c r="I10" i="1"/>
  <c r="I4" i="1"/>
  <c r="F10" i="1"/>
  <c r="O10" i="1" s="1"/>
  <c r="F9" i="1"/>
  <c r="O9" i="1" s="1"/>
  <c r="F8" i="1"/>
  <c r="O8" i="1" s="1"/>
  <c r="F7" i="1"/>
  <c r="O7" i="1" s="1"/>
  <c r="F6" i="1"/>
  <c r="O6" i="1" s="1"/>
  <c r="F5" i="1"/>
  <c r="O5" i="1" s="1"/>
  <c r="F4" i="1"/>
  <c r="J10" i="1" l="1"/>
  <c r="N10" i="1" s="1"/>
  <c r="J4" i="1"/>
  <c r="G10" i="1"/>
  <c r="K4" i="1" l="1"/>
  <c r="L4" i="1" s="1"/>
  <c r="O4" i="1" s="1"/>
  <c r="G5" i="1"/>
  <c r="G6" i="1"/>
  <c r="G7" i="1"/>
  <c r="G8" i="1"/>
  <c r="G9" i="1"/>
  <c r="J8" i="1" l="1"/>
  <c r="N8" i="1" s="1"/>
  <c r="M4" i="1"/>
  <c r="G4" i="1"/>
  <c r="J5" i="1"/>
  <c r="N5" i="1" s="1"/>
  <c r="J6" i="1"/>
  <c r="N6" i="1" s="1"/>
  <c r="J7" i="1" l="1"/>
  <c r="N7" i="1" s="1"/>
  <c r="J9" i="1"/>
  <c r="N9" i="1" s="1"/>
  <c r="N4" i="1"/>
</calcChain>
</file>

<file path=xl/sharedStrings.xml><?xml version="1.0" encoding="utf-8"?>
<sst xmlns="http://schemas.openxmlformats.org/spreadsheetml/2006/main" count="518" uniqueCount="204">
  <si>
    <t>Circuito 1</t>
  </si>
  <si>
    <t>Circuito 2</t>
  </si>
  <si>
    <t>Circuito 3</t>
  </si>
  <si>
    <t>Circuito 4</t>
  </si>
  <si>
    <t>Circuito</t>
  </si>
  <si>
    <t>Tipo</t>
  </si>
  <si>
    <t>Potência (VA)</t>
  </si>
  <si>
    <t>Tensão (V)</t>
  </si>
  <si>
    <t>Corrente (A)</t>
  </si>
  <si>
    <t>Nº de circuitos no eletroduto</t>
  </si>
  <si>
    <t>Fator de Redução (Agrupamento)</t>
  </si>
  <si>
    <t>Condução de Corrente (mm²)</t>
  </si>
  <si>
    <t>Condução Corrigida (mm²)</t>
  </si>
  <si>
    <t>Queda de Tensão (mm²)</t>
  </si>
  <si>
    <t>Queda de Tensão Corrigida (mm²)</t>
  </si>
  <si>
    <t>Seção Mínima (mm²)</t>
  </si>
  <si>
    <t>Bitola (mm²)</t>
  </si>
  <si>
    <t>Disjuntor (A)</t>
  </si>
  <si>
    <t>Circuito 5</t>
  </si>
  <si>
    <t>Circuito 6</t>
  </si>
  <si>
    <t>Fator de Correção =</t>
  </si>
  <si>
    <t>Circuito 7</t>
  </si>
  <si>
    <r>
      <t>DIMENSIONAMENTO DOS FIOS - Condutor de Cobre, Isolação PVC, Temperatura 40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C</t>
    </r>
  </si>
  <si>
    <t>Circuitos</t>
  </si>
  <si>
    <t>Tensão</t>
  </si>
  <si>
    <t>Distância 1</t>
  </si>
  <si>
    <t>Potência 1</t>
  </si>
  <si>
    <t>Distância 2</t>
  </si>
  <si>
    <t>Potência 2</t>
  </si>
  <si>
    <t>Distância 3</t>
  </si>
  <si>
    <t>Potência 3</t>
  </si>
  <si>
    <t>Distância 4</t>
  </si>
  <si>
    <t>Potência 4</t>
  </si>
  <si>
    <t>Distância 5</t>
  </si>
  <si>
    <t>Potência 5</t>
  </si>
  <si>
    <t>Distância 6</t>
  </si>
  <si>
    <t>Potência 6</t>
  </si>
  <si>
    <t>Distância 7</t>
  </si>
  <si>
    <t>Potência 7</t>
  </si>
  <si>
    <t>Queda de Tensão</t>
  </si>
  <si>
    <t>Circuito 8</t>
  </si>
  <si>
    <t>Circuito 9</t>
  </si>
  <si>
    <t>Circuito 10</t>
  </si>
  <si>
    <t>Distância 8</t>
  </si>
  <si>
    <t>Potência 8</t>
  </si>
  <si>
    <t>Distância 9</t>
  </si>
  <si>
    <t>Potência 9</t>
  </si>
  <si>
    <t>Potência 10</t>
  </si>
  <si>
    <t>Distância 10</t>
  </si>
  <si>
    <t>DIMENSIONAMENTO DOS FIOS POR QUEDA DE TENSÃO ( QDC 1 e 2)</t>
  </si>
  <si>
    <t>PARTE DE BAIXO</t>
  </si>
  <si>
    <t>Qtd.</t>
  </si>
  <si>
    <t>Potência (W)</t>
  </si>
  <si>
    <t>Carga Total (KW)</t>
  </si>
  <si>
    <t>Balanceamento (VA)</t>
  </si>
  <si>
    <t>Lampadas incandescentes</t>
  </si>
  <si>
    <t>Fase A</t>
  </si>
  <si>
    <t>Fase B</t>
  </si>
  <si>
    <t>Fase C</t>
  </si>
  <si>
    <t>Lampadas fluorescentes</t>
  </si>
  <si>
    <t>Tomadas Simples</t>
  </si>
  <si>
    <t>Tomada Força</t>
  </si>
  <si>
    <t>Total</t>
  </si>
  <si>
    <t>Unidades Consumidoras</t>
  </si>
  <si>
    <t>Demanda (KVA)</t>
  </si>
  <si>
    <t>Tipo de Fornecimento</t>
  </si>
  <si>
    <t>Nº de condutores</t>
  </si>
  <si>
    <t>Nº de fases</t>
  </si>
  <si>
    <t>Condutor (mm²)</t>
  </si>
  <si>
    <t>Eletroduto (mm)</t>
  </si>
  <si>
    <t>DIVISÃO DE CIRCUITOS</t>
  </si>
  <si>
    <t>Descrição</t>
  </si>
  <si>
    <t>Memorial de Cálculo</t>
  </si>
  <si>
    <t>Tomadas de Uso Geral (VA)</t>
  </si>
  <si>
    <t>TUE(W)</t>
  </si>
  <si>
    <t>Cargas tomadas VA</t>
  </si>
  <si>
    <t>Iluminação VA</t>
  </si>
  <si>
    <t>Cômodos</t>
  </si>
  <si>
    <t>Áreas m²</t>
  </si>
  <si>
    <t>Perímetro m</t>
  </si>
  <si>
    <t>TUG's Mínimas</t>
  </si>
  <si>
    <t>TUG Utilizadas</t>
  </si>
  <si>
    <t>TUE</t>
  </si>
  <si>
    <t>-</t>
  </si>
  <si>
    <t xml:space="preserve">QDC 1 </t>
  </si>
  <si>
    <t>Prédio</t>
  </si>
  <si>
    <t>Seção nominal (mm²)</t>
  </si>
  <si>
    <t>Diâmetro Externo nominal (mm)</t>
  </si>
  <si>
    <t xml:space="preserve">Condutores </t>
  </si>
  <si>
    <t>Bitola</t>
  </si>
  <si>
    <t>nº de condutores</t>
  </si>
  <si>
    <t>Área ocupada</t>
  </si>
  <si>
    <t>Eletroduto</t>
  </si>
  <si>
    <t>BANHEIRO</t>
  </si>
  <si>
    <t>QUARTO</t>
  </si>
  <si>
    <t>COZINHA</t>
  </si>
  <si>
    <t>SALA</t>
  </si>
  <si>
    <t>DISPENSA</t>
  </si>
  <si>
    <t>SALA/JANTA</t>
  </si>
  <si>
    <t>Quarto 2</t>
  </si>
  <si>
    <t>ÁREADESERVIÇO</t>
  </si>
  <si>
    <t>ADEGA</t>
  </si>
  <si>
    <t>ESCADA</t>
  </si>
  <si>
    <t>RECEPÇÃO</t>
  </si>
  <si>
    <t>ADMINISTRAÇÃO</t>
  </si>
  <si>
    <t>CORREDOR</t>
  </si>
  <si>
    <t>SALÃO</t>
  </si>
  <si>
    <t>VARANDA</t>
  </si>
  <si>
    <t>LOJA</t>
  </si>
  <si>
    <t>SALA DE ESPERA</t>
  </si>
  <si>
    <t>SALA DE REUNIÕES</t>
  </si>
  <si>
    <t>ALMOXARIFADO</t>
  </si>
  <si>
    <t>SALA DE ESTAR</t>
  </si>
  <si>
    <t>SALA DE JANTAR</t>
  </si>
  <si>
    <t>HALL</t>
  </si>
  <si>
    <t>RAMPA</t>
  </si>
  <si>
    <t>DEPÓSITO</t>
  </si>
  <si>
    <t>DEPÓSITO DE LIXO</t>
  </si>
  <si>
    <t>BOMBAS</t>
  </si>
  <si>
    <t>MEDIDORES</t>
  </si>
  <si>
    <t>MAQUINAS</t>
  </si>
  <si>
    <t>CISTERNA</t>
  </si>
  <si>
    <t>GARAGEM</t>
  </si>
  <si>
    <t>Iluminação</t>
  </si>
  <si>
    <t>LAVABO</t>
  </si>
  <si>
    <t>Rampa, Depósito, Medidores e Bomba</t>
  </si>
  <si>
    <t>Garagem</t>
  </si>
  <si>
    <t>TUG</t>
  </si>
  <si>
    <t>Lixo, Bombas, Medidores, Maquinas, Cisterna, Corredor</t>
  </si>
  <si>
    <t>Maquinas</t>
  </si>
  <si>
    <t>Bombas</t>
  </si>
  <si>
    <t>SUBSOLO</t>
  </si>
  <si>
    <t>Sala de Estar, Sala de Jantar, Cozinha e Lavabo.</t>
  </si>
  <si>
    <t>Quarto 1, Quarto 2, Banheiro 1 e Banheiro 2</t>
  </si>
  <si>
    <t>Cozinha</t>
  </si>
  <si>
    <t>Sala de Estar, Sala de Jantar, Quarto 1 e Lavabo</t>
  </si>
  <si>
    <t>Banheiro 1, Banheiro 2 e Quarto 2</t>
  </si>
  <si>
    <t>Banheiro 1</t>
  </si>
  <si>
    <t>Banheiro 2</t>
  </si>
  <si>
    <t>Varanda</t>
  </si>
  <si>
    <t>Masc</t>
  </si>
  <si>
    <t>Fem</t>
  </si>
  <si>
    <t>Apto 1</t>
  </si>
  <si>
    <t>Apto 2</t>
  </si>
  <si>
    <t>Apto 3</t>
  </si>
  <si>
    <t>Sala de Espera, Recepção, Administração, Sala de Reuniões</t>
  </si>
  <si>
    <t>Banheiro-Masc, Banheiro-Fem, Corredor</t>
  </si>
  <si>
    <t>Salão</t>
  </si>
  <si>
    <t>Loja 1, Banheiro 1</t>
  </si>
  <si>
    <t>Loja 2, Banheiro 2</t>
  </si>
  <si>
    <t>Salão de Eventos</t>
  </si>
  <si>
    <t>Salão de Eventos, Corredor (salão), Almoxarifado</t>
  </si>
  <si>
    <t>Circuito 11</t>
  </si>
  <si>
    <t>Circuito 12</t>
  </si>
  <si>
    <t>Loja 1</t>
  </si>
  <si>
    <t>Loja 2</t>
  </si>
  <si>
    <t>Sala de Reuniões</t>
  </si>
  <si>
    <t>Varanda, Playgrond</t>
  </si>
  <si>
    <t>Jogos Infantis</t>
  </si>
  <si>
    <t>JOGOS INFANTIS</t>
  </si>
  <si>
    <t>Maquinas, Lixo, Cisterna, Corredor</t>
  </si>
  <si>
    <t>Garagem/Armario</t>
  </si>
  <si>
    <t>Garagem, Garagem/Armario</t>
  </si>
  <si>
    <t>Depósito, Garagem/Armario</t>
  </si>
  <si>
    <t>1º Nivel</t>
  </si>
  <si>
    <t>2º ao 7º Nivel</t>
  </si>
  <si>
    <t xml:space="preserve">QDC 4                                 2ºNivel                             Apto 1           </t>
  </si>
  <si>
    <t>Quarto 1, Banheiro 1, Quarto 2, Banheiro 2</t>
  </si>
  <si>
    <t>Sala, Sala/Janta, Cozinha, Banheiro 3</t>
  </si>
  <si>
    <t>Quarto 1, Quarto 2, Sala, Sala/Janta, Cozinha</t>
  </si>
  <si>
    <t>Banheiro 1, Banheiro 2, Banheiro 3</t>
  </si>
  <si>
    <t>Lavabo</t>
  </si>
  <si>
    <t>Quarto, Banheiro 1, Dispensa,Cozinha</t>
  </si>
  <si>
    <t>Sala, Sala/Janta, Banheiro (lavabo)</t>
  </si>
  <si>
    <t>Quarto, Dispensa, Cozinha, Sala, Sala/Janta</t>
  </si>
  <si>
    <t>Banheiro 1, Banheiro (lavabo)</t>
  </si>
  <si>
    <t>Banheiro</t>
  </si>
  <si>
    <t>Quarto</t>
  </si>
  <si>
    <t>Quarto 1, Banheiro 1, Quarto 2</t>
  </si>
  <si>
    <t>Banheiro 2, Quarto 3, Adega, Dispensa, Cozinha, Banheiro (lavabo)</t>
  </si>
  <si>
    <t>Sala, Sala/Janta</t>
  </si>
  <si>
    <t>Quarto 1, Quarto 2, Quarto 3, Adega</t>
  </si>
  <si>
    <t>Dispensa, Cozinha, Sala, Sala/Janta</t>
  </si>
  <si>
    <t>Quarto 1</t>
  </si>
  <si>
    <t>OBS.:</t>
  </si>
  <si>
    <t xml:space="preserve">QDC 5                                 2ºNivel                             Apto 2           </t>
  </si>
  <si>
    <t xml:space="preserve">QDC 6                                 2ºNivel                             Apto 3           </t>
  </si>
  <si>
    <t xml:space="preserve">QDC 23                                 Área comum           </t>
  </si>
  <si>
    <t>Área de Serviço</t>
  </si>
  <si>
    <t>Área Comum(2º Nível)</t>
  </si>
  <si>
    <t>Área Comum(Terraço)</t>
  </si>
  <si>
    <t>Terraço(Apto)</t>
  </si>
  <si>
    <t xml:space="preserve">QDC 22                          Último Apto          </t>
  </si>
  <si>
    <t>QDC 1                                 Subsolo                         Exceto Escada</t>
  </si>
  <si>
    <t>Escada (11 lampadas contando do subsolo até 5º nivel)</t>
  </si>
  <si>
    <t>Escada (7 lampadas do 5º nivel até o terraço)</t>
  </si>
  <si>
    <t>Hall (2 lampadas do 1º andar até o até 5º andar)</t>
  </si>
  <si>
    <t>Hall (2 lampadas do 5º andar até o terraço)</t>
  </si>
  <si>
    <t>Varanda, Área de serviço</t>
  </si>
  <si>
    <t>Hall(1 tug do 1º andar até o terraço)</t>
  </si>
  <si>
    <t>Varanda + Area de Serviço</t>
  </si>
  <si>
    <t>QDC 2                                                    1ºNivel                           Exceto Escada</t>
  </si>
  <si>
    <t>QDC 3                                     1º Nivel                          Exceto Escada</t>
  </si>
  <si>
    <t>Observe que do 3º ao 7º Nivel, os apartamentos serão iguais, logo serão as mesma divsões de circuitos, tendo cada nivel 3 QDC's identicos aos do 2º Nivel, do QDC 7 até o QDC 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</si>
</sst>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2">
    <xf numFmtId="0" fontId="0" fillId="0" borderId="0" xfId="0"/>
    <xf numFmtId="2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2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0" fillId="0" borderId="3" xfId="0" applyNumberForma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1" fontId="2" fillId="0" borderId="3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2" fontId="2" fillId="0" borderId="9" xfId="0" applyNumberFormat="1" applyFont="1" applyBorder="1" applyAlignment="1">
      <alignment horizontal="center"/>
    </xf>
    <xf numFmtId="0" fontId="0" fillId="0" borderId="0" xfId="0" applyAlignment="1"/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quotePrefix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/>
    <xf numFmtId="2" fontId="0" fillId="0" borderId="0" xfId="0" applyNumberFormat="1" applyBorder="1" applyAlignment="1">
      <alignment horizontal="center"/>
    </xf>
    <xf numFmtId="49" fontId="0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0" fillId="0" borderId="3" xfId="0" applyFill="1" applyBorder="1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3" xfId="0" quotePrefix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1" fillId="0" borderId="3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Border="1"/>
    <xf numFmtId="0" fontId="4" fillId="2" borderId="1" xfId="0" applyFont="1" applyFill="1" applyBorder="1" applyAlignment="1">
      <alignment horizontal="center" vertical="center"/>
    </xf>
    <xf numFmtId="1" fontId="1" fillId="0" borderId="3" xfId="0" applyNumberFormat="1" applyFont="1" applyBorder="1"/>
    <xf numFmtId="0" fontId="1" fillId="0" borderId="2" xfId="0" quotePrefix="1" applyFont="1" applyBorder="1" applyAlignment="1">
      <alignment horizontal="center" vertical="center"/>
    </xf>
    <xf numFmtId="0" fontId="1" fillId="0" borderId="7" xfId="0" quotePrefix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2" fontId="0" fillId="0" borderId="9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0"/>
  <sheetViews>
    <sheetView tabSelected="1" topLeftCell="A40" zoomScaleNormal="100" workbookViewId="0">
      <selection activeCell="D14" sqref="D14"/>
    </sheetView>
  </sheetViews>
  <sheetFormatPr defaultRowHeight="15" x14ac:dyDescent="0.25"/>
  <cols>
    <col min="1" max="1" width="23" customWidth="1"/>
    <col min="2" max="2" width="10.28515625" bestFit="1" customWidth="1"/>
    <col min="3" max="3" width="10.7109375" bestFit="1" customWidth="1"/>
    <col min="4" max="4" width="13.28515625" bestFit="1" customWidth="1"/>
    <col min="5" max="5" width="10.42578125" bestFit="1" customWidth="1"/>
    <col min="6" max="6" width="12" bestFit="1" customWidth="1"/>
    <col min="7" max="7" width="53" customWidth="1"/>
    <col min="8" max="8" width="8.42578125" style="114" bestFit="1" customWidth="1"/>
    <col min="9" max="9" width="20.28515625" style="20" customWidth="1"/>
    <col min="10" max="10" width="8.85546875" style="20" bestFit="1" customWidth="1"/>
    <col min="11" max="11" width="12.140625" style="20" bestFit="1" customWidth="1"/>
    <col min="12" max="12" width="14.5703125" bestFit="1" customWidth="1"/>
    <col min="13" max="13" width="14.140625" bestFit="1" customWidth="1"/>
    <col min="14" max="14" width="4.42578125" style="20" bestFit="1" customWidth="1"/>
    <col min="15" max="15" width="8.42578125" style="20" customWidth="1"/>
    <col min="16" max="16" width="8.85546875" style="20" customWidth="1"/>
    <col min="17" max="17" width="7.140625" style="20" customWidth="1"/>
    <col min="18" max="18" width="7.85546875" style="114" bestFit="1" customWidth="1"/>
    <col min="19" max="19" width="17.7109375" bestFit="1" customWidth="1"/>
    <col min="20" max="20" width="13.28515625" bestFit="1" customWidth="1"/>
    <col min="21" max="21" width="12.28515625" bestFit="1" customWidth="1"/>
    <col min="22" max="22" width="11.140625" bestFit="1" customWidth="1"/>
  </cols>
  <sheetData>
    <row r="1" spans="1:21" ht="24.75" customHeight="1" x14ac:dyDescent="0.25">
      <c r="A1" s="124" t="s">
        <v>70</v>
      </c>
      <c r="B1" s="125"/>
      <c r="C1" s="125"/>
      <c r="D1" s="125"/>
      <c r="E1" s="125"/>
      <c r="F1" s="125"/>
      <c r="G1" s="126"/>
      <c r="I1" s="124" t="s">
        <v>72</v>
      </c>
      <c r="J1" s="125"/>
      <c r="K1" s="125"/>
      <c r="L1" s="125"/>
      <c r="M1" s="125"/>
      <c r="N1" s="126"/>
      <c r="O1" s="127" t="s">
        <v>73</v>
      </c>
      <c r="P1" s="128"/>
      <c r="Q1" s="129"/>
      <c r="R1" s="112" t="s">
        <v>74</v>
      </c>
      <c r="S1" s="17" t="s">
        <v>75</v>
      </c>
      <c r="T1" s="17" t="s">
        <v>76</v>
      </c>
      <c r="U1" s="42"/>
    </row>
    <row r="2" spans="1:21" ht="15" customHeight="1" x14ac:dyDescent="0.25">
      <c r="A2" s="130" t="s">
        <v>193</v>
      </c>
      <c r="B2" s="65" t="s">
        <v>4</v>
      </c>
      <c r="C2" s="65" t="s">
        <v>5</v>
      </c>
      <c r="D2" s="65" t="s">
        <v>6</v>
      </c>
      <c r="E2" s="65" t="s">
        <v>7</v>
      </c>
      <c r="F2" s="65" t="s">
        <v>8</v>
      </c>
      <c r="G2" s="65" t="s">
        <v>71</v>
      </c>
      <c r="I2" s="65" t="s">
        <v>77</v>
      </c>
      <c r="J2" s="65" t="s">
        <v>78</v>
      </c>
      <c r="K2" s="65" t="s">
        <v>79</v>
      </c>
      <c r="L2" s="65" t="s">
        <v>80</v>
      </c>
      <c r="M2" s="65" t="s">
        <v>81</v>
      </c>
      <c r="N2" s="65" t="s">
        <v>82</v>
      </c>
      <c r="O2" s="113">
        <v>100</v>
      </c>
      <c r="P2" s="113">
        <v>600</v>
      </c>
      <c r="Q2" s="113">
        <v>1000</v>
      </c>
      <c r="R2" s="113"/>
      <c r="S2" s="44"/>
      <c r="T2" s="44"/>
      <c r="U2" s="43"/>
    </row>
    <row r="3" spans="1:21" x14ac:dyDescent="0.25">
      <c r="A3" s="130"/>
      <c r="B3" s="39" t="s">
        <v>0</v>
      </c>
      <c r="C3" s="7" t="s">
        <v>123</v>
      </c>
      <c r="D3" s="39">
        <v>1120</v>
      </c>
      <c r="E3" s="7">
        <v>127</v>
      </c>
      <c r="F3" s="1">
        <f t="shared" ref="F3:F13" si="0">D3/E3</f>
        <v>8.8188976377952759</v>
      </c>
      <c r="G3" s="39" t="s">
        <v>125</v>
      </c>
      <c r="I3" s="87" t="s">
        <v>131</v>
      </c>
      <c r="J3" s="133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45"/>
    </row>
    <row r="4" spans="1:21" x14ac:dyDescent="0.25">
      <c r="A4" s="130"/>
      <c r="B4" s="39" t="s">
        <v>1</v>
      </c>
      <c r="C4" s="7" t="s">
        <v>123</v>
      </c>
      <c r="D4" s="39">
        <v>1180</v>
      </c>
      <c r="E4" s="7">
        <v>127</v>
      </c>
      <c r="F4" s="1">
        <f t="shared" si="0"/>
        <v>9.2913385826771648</v>
      </c>
      <c r="G4" s="39" t="s">
        <v>160</v>
      </c>
      <c r="I4" s="76" t="s">
        <v>115</v>
      </c>
      <c r="J4" s="77">
        <v>30</v>
      </c>
      <c r="K4" s="77">
        <v>14</v>
      </c>
      <c r="L4" s="39">
        <f t="shared" ref="L4:L13" si="1">IF(OR(I4="COZINHA",I4="COPA",I4="ÁREADESERVIÇO"),ROUNDUP(K4/(3.5),0),IF(OR(I4="ESCADA",I4="BANHEIRO"),"-",IF(OR(I4="VARANDA",I4="GARAGEM"),1,ROUNDUP(K4/5,0))))</f>
        <v>3</v>
      </c>
      <c r="M4" s="39">
        <v>0</v>
      </c>
      <c r="N4" s="39">
        <v>0</v>
      </c>
      <c r="O4" s="39">
        <f>IF(OR(I4="COZINHA",I4="COPA",I4="ÁREADESERVIÇO",I4="BANHEIRO")*AND(M4&gt;3),M4-3,IF(OR(I4="COZINHA",I4="COPA",I4="ÁREADESERVIÇO",I4="BANHEIRO")*AND(M4&lt;=3),"0",IF(OR(I4="VARANDA",I4="GARAGEM"),"0",(M4))))</f>
        <v>0</v>
      </c>
      <c r="P4" s="39" t="str">
        <f>IF(OR(I4="COZINHA",I4="COPA",I4="ÁREADESERVIÇO",I4="BANHEIRO")*AND(M4&gt;=3),3,IF(OR(I4="COZINHA",I4="COPA",I4="ÁREADESERVIÇO",I4="BANHEIRO")*AND(M4&lt;3),M4,"0"))</f>
        <v>0</v>
      </c>
      <c r="Q4" s="39" t="str">
        <f>IF(OR(I4="VARANDA",I4="GARAGEM"),1,"0")</f>
        <v>0</v>
      </c>
      <c r="R4" s="39"/>
      <c r="S4" s="39">
        <f t="shared" ref="S4:S12" si="2">O4*$O$2+$P$2*P4+Q4*$Q$2+R4*N4</f>
        <v>0</v>
      </c>
      <c r="T4" s="47">
        <f>IF(J4&lt;=6,100,100+ROUNDUP((J4-6)/4,0)*60)</f>
        <v>460</v>
      </c>
      <c r="U4" s="45"/>
    </row>
    <row r="5" spans="1:21" x14ac:dyDescent="0.25">
      <c r="A5" s="130"/>
      <c r="B5" s="39" t="s">
        <v>2</v>
      </c>
      <c r="C5" s="7" t="s">
        <v>123</v>
      </c>
      <c r="D5" s="39">
        <v>1270</v>
      </c>
      <c r="E5" s="7">
        <v>127</v>
      </c>
      <c r="F5" s="1">
        <f t="shared" si="0"/>
        <v>10</v>
      </c>
      <c r="G5" s="39" t="s">
        <v>126</v>
      </c>
      <c r="I5" s="76" t="s">
        <v>116</v>
      </c>
      <c r="J5" s="77">
        <v>17.71</v>
      </c>
      <c r="K5" s="77">
        <v>21.71</v>
      </c>
      <c r="L5" s="39">
        <f t="shared" si="1"/>
        <v>5</v>
      </c>
      <c r="M5" s="39">
        <v>5</v>
      </c>
      <c r="N5" s="7">
        <v>0</v>
      </c>
      <c r="O5" s="39">
        <f t="shared" ref="O5:O12" si="3">IF(OR(I5="COZINHA",I5="COPA",I5="ÁREADESERVIÇO",I5="BANHEIRO")*AND(M5&gt;3),M5-3,IF(OR(I5="COZINHA",I5="COPA",I5="ÁREADESERVIÇO",I5="BANHEIRO")*AND(M5&lt;=3),"0",IF(OR(I5="VARANDA",I5="GARAGEM"),"0",(M5))))</f>
        <v>5</v>
      </c>
      <c r="P5" s="39" t="str">
        <f t="shared" ref="P5:P12" si="4">IF(OR(I5="COZINHA",I5="COPA",I5="ÁREADESERVIÇO",I5="BANHEIRO")*AND(M5&gt;=3),3,IF(OR(I5="COZINHA",I5="COPA",I5="ÁREADESERVIÇO",I5="BANHEIRO")*AND(M5&lt;3),M5,"0"))</f>
        <v>0</v>
      </c>
      <c r="Q5" s="39" t="str">
        <f t="shared" ref="Q5:Q12" si="5">IF(OR(I5="VARANDA",I5="GARAGEM"),1,"0")</f>
        <v>0</v>
      </c>
      <c r="R5" s="39"/>
      <c r="S5" s="39">
        <f t="shared" si="2"/>
        <v>500</v>
      </c>
      <c r="T5" s="47">
        <f t="shared" ref="T5:T12" si="6">IF(J5&lt;=6,100,100+ROUNDUP((J5-6)/4,0)*60)</f>
        <v>280</v>
      </c>
      <c r="U5" s="45"/>
    </row>
    <row r="6" spans="1:21" x14ac:dyDescent="0.25">
      <c r="A6" s="130"/>
      <c r="B6" s="39" t="s">
        <v>3</v>
      </c>
      <c r="C6" s="7" t="s">
        <v>123</v>
      </c>
      <c r="D6" s="39">
        <v>1270</v>
      </c>
      <c r="E6" s="7">
        <v>127</v>
      </c>
      <c r="F6" s="1">
        <f t="shared" si="0"/>
        <v>10</v>
      </c>
      <c r="G6" s="39" t="s">
        <v>126</v>
      </c>
      <c r="I6" s="76" t="s">
        <v>117</v>
      </c>
      <c r="J6" s="77">
        <v>13.55</v>
      </c>
      <c r="K6" s="77">
        <v>14.85</v>
      </c>
      <c r="L6" s="39">
        <f t="shared" si="1"/>
        <v>3</v>
      </c>
      <c r="M6" s="39">
        <v>3</v>
      </c>
      <c r="N6" s="39">
        <v>0</v>
      </c>
      <c r="O6" s="39">
        <f t="shared" si="3"/>
        <v>3</v>
      </c>
      <c r="P6" s="39" t="str">
        <f t="shared" si="4"/>
        <v>0</v>
      </c>
      <c r="Q6" s="39" t="str">
        <f t="shared" si="5"/>
        <v>0</v>
      </c>
      <c r="R6" s="39"/>
      <c r="S6" s="39">
        <f t="shared" si="2"/>
        <v>300</v>
      </c>
      <c r="T6" s="47">
        <f t="shared" si="6"/>
        <v>220</v>
      </c>
      <c r="U6" s="45"/>
    </row>
    <row r="7" spans="1:21" x14ac:dyDescent="0.25">
      <c r="A7" s="130"/>
      <c r="B7" s="39" t="s">
        <v>18</v>
      </c>
      <c r="C7" s="7" t="s">
        <v>123</v>
      </c>
      <c r="D7" s="39">
        <v>1200</v>
      </c>
      <c r="E7" s="7">
        <v>127</v>
      </c>
      <c r="F7" s="1">
        <f t="shared" si="0"/>
        <v>9.4488188976377945</v>
      </c>
      <c r="G7" s="39" t="s">
        <v>161</v>
      </c>
      <c r="I7" s="76" t="s">
        <v>118</v>
      </c>
      <c r="J7" s="77">
        <v>7.4</v>
      </c>
      <c r="K7" s="77">
        <v>11</v>
      </c>
      <c r="L7" s="39">
        <f t="shared" si="1"/>
        <v>3</v>
      </c>
      <c r="M7" s="39">
        <v>3</v>
      </c>
      <c r="N7" s="39">
        <v>1</v>
      </c>
      <c r="O7" s="39">
        <f t="shared" si="3"/>
        <v>3</v>
      </c>
      <c r="P7" s="39" t="str">
        <f t="shared" si="4"/>
        <v>0</v>
      </c>
      <c r="Q7" s="39" t="str">
        <f t="shared" si="5"/>
        <v>0</v>
      </c>
      <c r="R7" s="39">
        <v>1500</v>
      </c>
      <c r="S7" s="39">
        <f t="shared" si="2"/>
        <v>1800</v>
      </c>
      <c r="T7" s="47">
        <f t="shared" si="6"/>
        <v>160</v>
      </c>
      <c r="U7" s="45"/>
    </row>
    <row r="8" spans="1:21" x14ac:dyDescent="0.25">
      <c r="A8" s="130"/>
      <c r="B8" s="39" t="s">
        <v>19</v>
      </c>
      <c r="C8" s="7" t="s">
        <v>123</v>
      </c>
      <c r="D8" s="39">
        <v>680</v>
      </c>
      <c r="E8" s="7">
        <v>127</v>
      </c>
      <c r="F8" s="1">
        <f t="shared" si="0"/>
        <v>5.3543307086614176</v>
      </c>
      <c r="G8" s="39" t="s">
        <v>162</v>
      </c>
      <c r="I8" s="76" t="s">
        <v>119</v>
      </c>
      <c r="J8" s="77">
        <v>10.54</v>
      </c>
      <c r="K8" s="77">
        <v>13</v>
      </c>
      <c r="L8" s="39">
        <f t="shared" si="1"/>
        <v>3</v>
      </c>
      <c r="M8" s="39">
        <v>2</v>
      </c>
      <c r="N8" s="39">
        <v>0</v>
      </c>
      <c r="O8" s="39">
        <f t="shared" si="3"/>
        <v>2</v>
      </c>
      <c r="P8" s="39" t="str">
        <f t="shared" si="4"/>
        <v>0</v>
      </c>
      <c r="Q8" s="39" t="str">
        <f t="shared" si="5"/>
        <v>0</v>
      </c>
      <c r="R8" s="39"/>
      <c r="S8" s="39">
        <f t="shared" si="2"/>
        <v>200</v>
      </c>
      <c r="T8" s="47">
        <f t="shared" si="6"/>
        <v>220</v>
      </c>
      <c r="U8" s="45"/>
    </row>
    <row r="9" spans="1:21" x14ac:dyDescent="0.25">
      <c r="A9" s="130"/>
      <c r="B9" s="39" t="s">
        <v>40</v>
      </c>
      <c r="C9" s="7" t="s">
        <v>127</v>
      </c>
      <c r="D9" s="39">
        <v>1800</v>
      </c>
      <c r="E9" s="7">
        <v>127</v>
      </c>
      <c r="F9" s="1">
        <f t="shared" si="0"/>
        <v>14.173228346456693</v>
      </c>
      <c r="G9" s="39" t="s">
        <v>128</v>
      </c>
      <c r="I9" s="76" t="s">
        <v>120</v>
      </c>
      <c r="J9" s="77">
        <v>12.1</v>
      </c>
      <c r="K9" s="77">
        <v>14.21</v>
      </c>
      <c r="L9" s="39">
        <f t="shared" si="1"/>
        <v>3</v>
      </c>
      <c r="M9" s="39">
        <v>3</v>
      </c>
      <c r="N9" s="39">
        <v>1</v>
      </c>
      <c r="O9" s="39">
        <f t="shared" si="3"/>
        <v>3</v>
      </c>
      <c r="P9" s="39" t="str">
        <f t="shared" si="4"/>
        <v>0</v>
      </c>
      <c r="Q9" s="39" t="str">
        <f t="shared" si="5"/>
        <v>0</v>
      </c>
      <c r="R9" s="39">
        <v>6000</v>
      </c>
      <c r="S9" s="39">
        <f t="shared" si="2"/>
        <v>6300</v>
      </c>
      <c r="T9" s="47">
        <f t="shared" si="6"/>
        <v>220</v>
      </c>
      <c r="U9" s="45"/>
    </row>
    <row r="10" spans="1:21" x14ac:dyDescent="0.25">
      <c r="A10" s="130"/>
      <c r="B10" s="39" t="s">
        <v>41</v>
      </c>
      <c r="C10" s="7" t="s">
        <v>127</v>
      </c>
      <c r="D10" s="39">
        <v>1900</v>
      </c>
      <c r="E10" s="7">
        <v>127</v>
      </c>
      <c r="F10" s="1">
        <f t="shared" si="0"/>
        <v>14.960629921259843</v>
      </c>
      <c r="G10" s="39" t="s">
        <v>163</v>
      </c>
      <c r="I10" s="76" t="s">
        <v>121</v>
      </c>
      <c r="J10" s="77">
        <v>22.13</v>
      </c>
      <c r="K10" s="77">
        <v>23.05</v>
      </c>
      <c r="L10" s="39">
        <f t="shared" si="1"/>
        <v>5</v>
      </c>
      <c r="M10" s="39">
        <v>5</v>
      </c>
      <c r="N10" s="39">
        <v>0</v>
      </c>
      <c r="O10" s="39">
        <f t="shared" si="3"/>
        <v>5</v>
      </c>
      <c r="P10" s="39" t="str">
        <f t="shared" si="4"/>
        <v>0</v>
      </c>
      <c r="Q10" s="39" t="str">
        <f t="shared" si="5"/>
        <v>0</v>
      </c>
      <c r="R10" s="39"/>
      <c r="S10" s="39">
        <f t="shared" si="2"/>
        <v>500</v>
      </c>
      <c r="T10" s="47">
        <f t="shared" si="6"/>
        <v>400</v>
      </c>
      <c r="U10" s="45"/>
    </row>
    <row r="11" spans="1:21" x14ac:dyDescent="0.25">
      <c r="A11" s="130"/>
      <c r="B11" s="39" t="s">
        <v>42</v>
      </c>
      <c r="C11" s="7" t="s">
        <v>127</v>
      </c>
      <c r="D11" s="39">
        <v>1000</v>
      </c>
      <c r="E11" s="7">
        <v>127</v>
      </c>
      <c r="F11" s="1">
        <f t="shared" si="0"/>
        <v>7.8740157480314963</v>
      </c>
      <c r="G11" s="39" t="s">
        <v>126</v>
      </c>
      <c r="H11" s="11"/>
      <c r="I11" s="76" t="s">
        <v>122</v>
      </c>
      <c r="J11" s="77">
        <v>294</v>
      </c>
      <c r="K11" s="77">
        <v>69</v>
      </c>
      <c r="L11" s="39">
        <f t="shared" si="1"/>
        <v>1</v>
      </c>
      <c r="M11" s="39">
        <v>16</v>
      </c>
      <c r="N11" s="39">
        <v>0</v>
      </c>
      <c r="O11" s="39">
        <v>14</v>
      </c>
      <c r="P11" s="39" t="str">
        <f t="shared" si="4"/>
        <v>0</v>
      </c>
      <c r="Q11" s="39">
        <f t="shared" si="5"/>
        <v>1</v>
      </c>
      <c r="R11" s="39"/>
      <c r="S11" s="39">
        <f t="shared" si="2"/>
        <v>2400</v>
      </c>
      <c r="T11" s="47">
        <f t="shared" si="6"/>
        <v>4420</v>
      </c>
      <c r="U11" s="45"/>
    </row>
    <row r="12" spans="1:21" x14ac:dyDescent="0.25">
      <c r="A12" s="130"/>
      <c r="B12" s="39" t="s">
        <v>152</v>
      </c>
      <c r="C12" s="7" t="s">
        <v>82</v>
      </c>
      <c r="D12" s="39">
        <v>6000</v>
      </c>
      <c r="E12" s="7">
        <v>220</v>
      </c>
      <c r="F12" s="1">
        <f t="shared" si="0"/>
        <v>27.272727272727273</v>
      </c>
      <c r="G12" s="39" t="s">
        <v>129</v>
      </c>
      <c r="H12" s="11"/>
      <c r="I12" s="76" t="s">
        <v>105</v>
      </c>
      <c r="J12" s="77">
        <v>18.79</v>
      </c>
      <c r="K12" s="77">
        <v>24.8</v>
      </c>
      <c r="L12" s="39">
        <f t="shared" si="1"/>
        <v>5</v>
      </c>
      <c r="M12" s="39">
        <v>2</v>
      </c>
      <c r="N12" s="39">
        <v>0</v>
      </c>
      <c r="O12" s="39">
        <f t="shared" si="3"/>
        <v>2</v>
      </c>
      <c r="P12" s="39" t="str">
        <f t="shared" si="4"/>
        <v>0</v>
      </c>
      <c r="Q12" s="39" t="str">
        <f t="shared" si="5"/>
        <v>0</v>
      </c>
      <c r="R12" s="96"/>
      <c r="S12" s="39">
        <f t="shared" si="2"/>
        <v>200</v>
      </c>
      <c r="T12" s="47">
        <f t="shared" si="6"/>
        <v>340</v>
      </c>
      <c r="U12" s="45"/>
    </row>
    <row r="13" spans="1:21" x14ac:dyDescent="0.25">
      <c r="A13" s="130"/>
      <c r="B13" s="39" t="s">
        <v>153</v>
      </c>
      <c r="C13" s="7" t="s">
        <v>82</v>
      </c>
      <c r="D13" s="39">
        <v>1500</v>
      </c>
      <c r="E13" s="7">
        <v>220</v>
      </c>
      <c r="F13" s="1">
        <f t="shared" si="0"/>
        <v>6.8181818181818183</v>
      </c>
      <c r="G13" s="39" t="s">
        <v>130</v>
      </c>
      <c r="H13" s="11"/>
      <c r="I13" s="76" t="s">
        <v>102</v>
      </c>
      <c r="J13" s="39">
        <v>10.68</v>
      </c>
      <c r="K13" s="39">
        <v>13.67</v>
      </c>
      <c r="L13" s="39" t="str">
        <f t="shared" si="1"/>
        <v>-</v>
      </c>
      <c r="M13" s="39">
        <v>0</v>
      </c>
      <c r="N13" s="39">
        <v>0</v>
      </c>
      <c r="O13" s="39">
        <f t="shared" ref="O13" si="7">IF(OR(I13="COZINHA",I13="COPA",I13="ÁREADESERVIÇO",I13="BANHEIRO")*AND(M13&gt;3),M13-3,IF(OR(I13="COZINHA",I13="COPA",I13="ÁREADESERVIÇO",I13="BANHEIRO")*AND(M13&lt;=3),"0",IF(OR(I13="VARANDA",I13="GARAGEM"),"0",(M13))))</f>
        <v>0</v>
      </c>
      <c r="P13" s="39" t="str">
        <f t="shared" ref="P13" si="8">IF(OR(I13="COZINHA",I13="COPA",I13="ÁREADESERVIÇO",I13="BANHEIRO")*AND(M13&gt;=3),3,IF(OR(I13="COZINHA",I13="COPA",I13="ÁREADESERVIÇO",I13="BANHEIRO")*AND(M13&lt;3),M13,"0"))</f>
        <v>0</v>
      </c>
      <c r="Q13" s="39" t="str">
        <f t="shared" ref="Q13" si="9">IF(OR(I13="VARANDA",I13="GARAGEM"),1,"0")</f>
        <v>0</v>
      </c>
      <c r="R13" s="96"/>
      <c r="S13" s="39">
        <f t="shared" ref="S13" si="10">O13*$O$2+$P$2*P13+Q13*$Q$2+R13*N13</f>
        <v>0</v>
      </c>
      <c r="T13" s="47">
        <f t="shared" ref="T13" si="11">IF(J13&lt;=6,100,100+ROUNDUP((J13-6)/4,0)*60)</f>
        <v>220</v>
      </c>
      <c r="U13" s="121"/>
    </row>
    <row r="14" spans="1:21" x14ac:dyDescent="0.25">
      <c r="A14" s="130"/>
      <c r="B14" s="89" t="s">
        <v>62</v>
      </c>
      <c r="C14" s="65" t="s">
        <v>83</v>
      </c>
      <c r="D14" s="89">
        <f>SUM(D3:D13)</f>
        <v>18920</v>
      </c>
      <c r="E14" s="65" t="s">
        <v>83</v>
      </c>
      <c r="F14" s="107" t="s">
        <v>83</v>
      </c>
      <c r="G14" s="89" t="s">
        <v>83</v>
      </c>
      <c r="H14" s="11"/>
      <c r="I14" s="65" t="s">
        <v>62</v>
      </c>
      <c r="J14" s="22">
        <f>SUM(J4:J13)</f>
        <v>436.90000000000003</v>
      </c>
      <c r="K14" s="116" t="s">
        <v>83</v>
      </c>
      <c r="L14" s="89">
        <f t="shared" ref="L14:Q14" si="12">SUM(L4:L13)</f>
        <v>31</v>
      </c>
      <c r="M14" s="89">
        <f t="shared" si="12"/>
        <v>39</v>
      </c>
      <c r="N14" s="116">
        <f t="shared" si="12"/>
        <v>2</v>
      </c>
      <c r="O14" s="116">
        <f t="shared" si="12"/>
        <v>37</v>
      </c>
      <c r="P14" s="116">
        <f t="shared" si="12"/>
        <v>0</v>
      </c>
      <c r="Q14" s="116">
        <f t="shared" si="12"/>
        <v>1</v>
      </c>
      <c r="R14" s="116" t="s">
        <v>83</v>
      </c>
      <c r="S14" s="89">
        <f>SUM(S4:S13)</f>
        <v>12200</v>
      </c>
      <c r="T14" s="97">
        <f>SUM(T4:T13)</f>
        <v>6940</v>
      </c>
      <c r="U14" s="120">
        <f>S14+T14</f>
        <v>19140</v>
      </c>
    </row>
    <row r="15" spans="1:21" x14ac:dyDescent="0.25">
      <c r="A15" s="55"/>
      <c r="B15" s="122"/>
      <c r="C15" s="43"/>
      <c r="D15" s="122"/>
      <c r="E15" s="43"/>
      <c r="F15" s="123"/>
      <c r="G15" s="12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45"/>
    </row>
    <row r="16" spans="1:21" x14ac:dyDescent="0.25">
      <c r="A16" s="131"/>
      <c r="B16" s="131"/>
      <c r="C16" s="131"/>
      <c r="D16" s="131"/>
      <c r="E16" s="131"/>
      <c r="F16" s="131"/>
      <c r="G16" s="131"/>
      <c r="I16" s="88" t="s">
        <v>164</v>
      </c>
      <c r="J16" s="135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45"/>
    </row>
    <row r="17" spans="1:22" ht="15" customHeight="1" x14ac:dyDescent="0.25">
      <c r="A17" s="130" t="s">
        <v>201</v>
      </c>
      <c r="B17" s="65" t="s">
        <v>4</v>
      </c>
      <c r="C17" s="65" t="s">
        <v>5</v>
      </c>
      <c r="D17" s="65" t="s">
        <v>6</v>
      </c>
      <c r="E17" s="65" t="s">
        <v>7</v>
      </c>
      <c r="F17" s="65" t="s">
        <v>8</v>
      </c>
      <c r="G17" s="65" t="s">
        <v>71</v>
      </c>
      <c r="I17" s="82" t="s">
        <v>109</v>
      </c>
      <c r="J17" s="46">
        <v>27.29</v>
      </c>
      <c r="K17" s="46">
        <v>25.98</v>
      </c>
      <c r="L17" s="39">
        <f t="shared" ref="L17:L33" si="13">IF(OR(I17="COZINHA",I17="COPA",I17="ÁREADESERVIÇO"),ROUNDUP(K17/(3.5),0),IF(OR(I17="ESCADA",I17="BANHEIRO"),"-",IF(OR(I17="VARANDA",I17="GARAGEM"),1,ROUNDUP(K17/5,0))))</f>
        <v>6</v>
      </c>
      <c r="M17" s="39">
        <v>6</v>
      </c>
      <c r="N17" s="39">
        <v>0</v>
      </c>
      <c r="O17" s="39">
        <f t="shared" ref="O17:O33" si="14">IF(OR(I17="COZINHA",I17="COPA",I17="ÁREADESERVIÇO",I17="BANHEIRO")*AND(M17&gt;3),M17-3,IF(OR(I17="COZINHA",I17="COPA",I17="ÁREADESERVIÇO",I17="BANHEIRO")*AND(M17&lt;=3),"0",IF(OR(I17="VARANDA",I17="GARAGEM"),"0",(M17))))</f>
        <v>6</v>
      </c>
      <c r="P17" s="39" t="str">
        <f t="shared" ref="P17:P33" si="15">IF(OR(I17="COZINHA",I17="COPA",I17="ÁREADESERVIÇO",I17="BANHEIRO")*AND(M17&gt;=3),3,IF(OR(I17="COZINHA",I17="COPA",I17="ÁREADESERVIÇO",I17="BANHEIRO")*AND(M17&lt;3),M17,"0"))</f>
        <v>0</v>
      </c>
      <c r="Q17" s="39" t="str">
        <f t="shared" ref="Q17:Q33" si="16">IF(OR(I17="VARANDA",I17="GARAGEM"),1,"0")</f>
        <v>0</v>
      </c>
      <c r="R17" s="39">
        <v>0</v>
      </c>
      <c r="S17" s="39">
        <f t="shared" ref="S17:S33" si="17">O17*$O$2+$P$2*P17+Q17*$Q$2+R17*N17</f>
        <v>600</v>
      </c>
      <c r="T17" s="47">
        <f t="shared" ref="T17:T33" si="18">IF(J17&lt;=6,100,100+ROUNDUP((J17-6)/4,0)*60)</f>
        <v>460</v>
      </c>
      <c r="U17" s="45"/>
    </row>
    <row r="18" spans="1:22" x14ac:dyDescent="0.25">
      <c r="A18" s="130"/>
      <c r="B18" s="39" t="s">
        <v>0</v>
      </c>
      <c r="C18" s="7" t="s">
        <v>123</v>
      </c>
      <c r="D18" s="39">
        <v>1120</v>
      </c>
      <c r="E18" s="7">
        <v>127</v>
      </c>
      <c r="F18" s="1">
        <f t="shared" ref="F18:F25" si="19">D18/E18</f>
        <v>8.8188976377952759</v>
      </c>
      <c r="G18" s="39" t="s">
        <v>145</v>
      </c>
      <c r="I18" s="39" t="s">
        <v>103</v>
      </c>
      <c r="J18" s="46">
        <v>5.78</v>
      </c>
      <c r="K18" s="46">
        <v>9.83</v>
      </c>
      <c r="L18" s="39">
        <f t="shared" si="13"/>
        <v>2</v>
      </c>
      <c r="M18" s="39">
        <v>2</v>
      </c>
      <c r="N18" s="39">
        <v>0</v>
      </c>
      <c r="O18" s="39">
        <f t="shared" si="14"/>
        <v>2</v>
      </c>
      <c r="P18" s="39" t="str">
        <f t="shared" si="15"/>
        <v>0</v>
      </c>
      <c r="Q18" s="39" t="str">
        <f t="shared" si="16"/>
        <v>0</v>
      </c>
      <c r="R18" s="39">
        <v>0</v>
      </c>
      <c r="S18" s="39">
        <f t="shared" si="17"/>
        <v>200</v>
      </c>
      <c r="T18" s="47">
        <f t="shared" si="18"/>
        <v>100</v>
      </c>
      <c r="U18" s="45"/>
    </row>
    <row r="19" spans="1:22" x14ac:dyDescent="0.25">
      <c r="A19" s="130"/>
      <c r="B19" s="39" t="s">
        <v>1</v>
      </c>
      <c r="C19" s="7" t="s">
        <v>123</v>
      </c>
      <c r="D19" s="39">
        <v>1140</v>
      </c>
      <c r="E19" s="7">
        <v>127</v>
      </c>
      <c r="F19" s="1">
        <f t="shared" si="19"/>
        <v>8.9763779527559056</v>
      </c>
      <c r="G19" s="39" t="s">
        <v>146</v>
      </c>
      <c r="I19" s="39" t="s">
        <v>104</v>
      </c>
      <c r="J19" s="46">
        <v>10.99</v>
      </c>
      <c r="K19" s="46">
        <v>14.22</v>
      </c>
      <c r="L19" s="39">
        <f t="shared" si="13"/>
        <v>3</v>
      </c>
      <c r="M19" s="39">
        <v>3</v>
      </c>
      <c r="N19" s="39">
        <v>0</v>
      </c>
      <c r="O19" s="39">
        <f t="shared" si="14"/>
        <v>3</v>
      </c>
      <c r="P19" s="39" t="str">
        <f t="shared" si="15"/>
        <v>0</v>
      </c>
      <c r="Q19" s="39" t="str">
        <f t="shared" si="16"/>
        <v>0</v>
      </c>
      <c r="R19" s="76">
        <v>0</v>
      </c>
      <c r="S19" s="39">
        <f t="shared" si="17"/>
        <v>300</v>
      </c>
      <c r="T19" s="47">
        <f t="shared" si="18"/>
        <v>220</v>
      </c>
      <c r="U19" s="45"/>
    </row>
    <row r="20" spans="1:22" x14ac:dyDescent="0.25">
      <c r="A20" s="130"/>
      <c r="B20" s="39" t="s">
        <v>2</v>
      </c>
      <c r="C20" s="7" t="s">
        <v>123</v>
      </c>
      <c r="D20" s="39">
        <v>500</v>
      </c>
      <c r="E20" s="7">
        <v>127</v>
      </c>
      <c r="F20" s="1">
        <f t="shared" si="19"/>
        <v>3.9370078740157481</v>
      </c>
      <c r="G20" s="39" t="s">
        <v>148</v>
      </c>
      <c r="I20" s="39" t="s">
        <v>110</v>
      </c>
      <c r="J20" s="46">
        <v>18.36</v>
      </c>
      <c r="K20" s="46">
        <v>17.149999999999999</v>
      </c>
      <c r="L20" s="39">
        <f t="shared" si="13"/>
        <v>4</v>
      </c>
      <c r="M20" s="39">
        <v>4</v>
      </c>
      <c r="N20" s="39">
        <v>1</v>
      </c>
      <c r="O20" s="39">
        <f t="shared" si="14"/>
        <v>4</v>
      </c>
      <c r="P20" s="39" t="str">
        <f t="shared" si="15"/>
        <v>0</v>
      </c>
      <c r="Q20" s="39" t="str">
        <f t="shared" si="16"/>
        <v>0</v>
      </c>
      <c r="R20" s="78">
        <v>2000</v>
      </c>
      <c r="S20" s="39">
        <f t="shared" si="17"/>
        <v>2400</v>
      </c>
      <c r="T20" s="47">
        <f t="shared" si="18"/>
        <v>340</v>
      </c>
      <c r="U20" s="45"/>
    </row>
    <row r="21" spans="1:22" x14ac:dyDescent="0.25">
      <c r="A21" s="130"/>
      <c r="B21" s="39" t="s">
        <v>3</v>
      </c>
      <c r="C21" s="7" t="s">
        <v>123</v>
      </c>
      <c r="D21" s="39">
        <v>380</v>
      </c>
      <c r="E21" s="7">
        <v>127</v>
      </c>
      <c r="F21" s="1">
        <f t="shared" si="19"/>
        <v>2.9921259842519685</v>
      </c>
      <c r="G21" s="39" t="s">
        <v>149</v>
      </c>
      <c r="H21" s="114" t="s">
        <v>140</v>
      </c>
      <c r="I21" s="39" t="s">
        <v>93</v>
      </c>
      <c r="J21" s="46">
        <v>15.6</v>
      </c>
      <c r="K21" s="46">
        <v>19.61</v>
      </c>
      <c r="L21" s="39" t="str">
        <f t="shared" si="13"/>
        <v>-</v>
      </c>
      <c r="M21" s="39">
        <v>1</v>
      </c>
      <c r="N21" s="39">
        <v>0</v>
      </c>
      <c r="O21" s="39" t="str">
        <f t="shared" si="14"/>
        <v>0</v>
      </c>
      <c r="P21" s="39">
        <f t="shared" si="15"/>
        <v>1</v>
      </c>
      <c r="Q21" s="39" t="str">
        <f t="shared" si="16"/>
        <v>0</v>
      </c>
      <c r="R21" s="76">
        <v>0</v>
      </c>
      <c r="S21" s="39">
        <f t="shared" si="17"/>
        <v>600</v>
      </c>
      <c r="T21" s="47">
        <f t="shared" si="18"/>
        <v>280</v>
      </c>
      <c r="U21" s="45"/>
    </row>
    <row r="22" spans="1:22" x14ac:dyDescent="0.25">
      <c r="A22" s="130"/>
      <c r="B22" s="39" t="s">
        <v>18</v>
      </c>
      <c r="C22" s="7" t="s">
        <v>123</v>
      </c>
      <c r="D22" s="39">
        <v>1170</v>
      </c>
      <c r="E22" s="7">
        <v>127</v>
      </c>
      <c r="F22" s="1">
        <f t="shared" si="19"/>
        <v>9.21259842519685</v>
      </c>
      <c r="G22" s="39" t="s">
        <v>150</v>
      </c>
      <c r="H22" s="114" t="s">
        <v>141</v>
      </c>
      <c r="I22" s="39" t="s">
        <v>93</v>
      </c>
      <c r="J22" s="46">
        <v>17.670000000000002</v>
      </c>
      <c r="K22" s="46">
        <v>20.13</v>
      </c>
      <c r="L22" s="39" t="str">
        <f t="shared" si="13"/>
        <v>-</v>
      </c>
      <c r="M22" s="39">
        <v>1</v>
      </c>
      <c r="N22" s="39">
        <v>0</v>
      </c>
      <c r="O22" s="39" t="str">
        <f t="shared" si="14"/>
        <v>0</v>
      </c>
      <c r="P22" s="39">
        <f t="shared" si="15"/>
        <v>1</v>
      </c>
      <c r="Q22" s="39" t="str">
        <f t="shared" si="16"/>
        <v>0</v>
      </c>
      <c r="R22" s="7">
        <v>0</v>
      </c>
      <c r="S22" s="39">
        <f t="shared" si="17"/>
        <v>600</v>
      </c>
      <c r="T22" s="47">
        <f t="shared" si="18"/>
        <v>280</v>
      </c>
      <c r="U22" s="45"/>
    </row>
    <row r="23" spans="1:22" x14ac:dyDescent="0.25">
      <c r="A23" s="130"/>
      <c r="B23" s="39" t="s">
        <v>19</v>
      </c>
      <c r="C23" s="7" t="s">
        <v>123</v>
      </c>
      <c r="D23" s="39">
        <v>870</v>
      </c>
      <c r="E23" s="7">
        <v>127</v>
      </c>
      <c r="F23" s="1">
        <f t="shared" si="19"/>
        <v>6.8503937007874018</v>
      </c>
      <c r="G23" s="39" t="s">
        <v>151</v>
      </c>
      <c r="I23" s="39" t="s">
        <v>105</v>
      </c>
      <c r="J23" s="46">
        <v>34.36</v>
      </c>
      <c r="K23" s="46">
        <v>39.93</v>
      </c>
      <c r="L23" s="39">
        <f t="shared" si="13"/>
        <v>8</v>
      </c>
      <c r="M23" s="39">
        <v>8</v>
      </c>
      <c r="N23" s="39">
        <v>0</v>
      </c>
      <c r="O23" s="39">
        <f t="shared" si="14"/>
        <v>8</v>
      </c>
      <c r="P23" s="39" t="str">
        <f t="shared" si="15"/>
        <v>0</v>
      </c>
      <c r="Q23" s="39" t="str">
        <f t="shared" si="16"/>
        <v>0</v>
      </c>
      <c r="R23" s="7">
        <v>0</v>
      </c>
      <c r="S23" s="39">
        <f t="shared" si="17"/>
        <v>800</v>
      </c>
      <c r="T23" s="47">
        <f t="shared" si="18"/>
        <v>580</v>
      </c>
      <c r="U23" s="45"/>
    </row>
    <row r="24" spans="1:22" ht="15" customHeight="1" x14ac:dyDescent="0.25">
      <c r="A24" s="130"/>
      <c r="B24" s="39" t="s">
        <v>21</v>
      </c>
      <c r="C24" s="7" t="s">
        <v>123</v>
      </c>
      <c r="D24" s="39">
        <v>880</v>
      </c>
      <c r="E24" s="7">
        <v>127</v>
      </c>
      <c r="F24" s="1">
        <f t="shared" si="19"/>
        <v>6.9291338582677167</v>
      </c>
      <c r="G24" s="39" t="s">
        <v>139</v>
      </c>
      <c r="I24" s="39" t="s">
        <v>102</v>
      </c>
      <c r="J24" s="46">
        <v>10.68</v>
      </c>
      <c r="K24" s="46">
        <v>13.71</v>
      </c>
      <c r="L24" s="39" t="str">
        <f t="shared" si="13"/>
        <v>-</v>
      </c>
      <c r="M24" s="39">
        <v>0</v>
      </c>
      <c r="N24" s="39">
        <v>0</v>
      </c>
      <c r="O24" s="39">
        <f t="shared" si="14"/>
        <v>0</v>
      </c>
      <c r="P24" s="39" t="str">
        <f t="shared" si="15"/>
        <v>0</v>
      </c>
      <c r="Q24" s="39" t="str">
        <f t="shared" si="16"/>
        <v>0</v>
      </c>
      <c r="R24" s="7">
        <v>0</v>
      </c>
      <c r="S24" s="39">
        <f t="shared" si="17"/>
        <v>0</v>
      </c>
      <c r="T24" s="47">
        <f t="shared" si="18"/>
        <v>220</v>
      </c>
      <c r="U24" s="45"/>
      <c r="V24" s="55"/>
    </row>
    <row r="25" spans="1:22" x14ac:dyDescent="0.25">
      <c r="A25" s="130"/>
      <c r="B25" s="39" t="s">
        <v>40</v>
      </c>
      <c r="C25" s="7" t="s">
        <v>123</v>
      </c>
      <c r="D25" s="39">
        <v>700</v>
      </c>
      <c r="E25" s="7">
        <v>127</v>
      </c>
      <c r="F25" s="1">
        <f t="shared" si="19"/>
        <v>5.5118110236220472</v>
      </c>
      <c r="G25" s="39" t="s">
        <v>158</v>
      </c>
      <c r="H25" s="114">
        <v>1</v>
      </c>
      <c r="I25" s="39" t="s">
        <v>108</v>
      </c>
      <c r="J25" s="46">
        <v>22.65</v>
      </c>
      <c r="K25" s="46">
        <v>20.6</v>
      </c>
      <c r="L25" s="39">
        <f t="shared" si="13"/>
        <v>5</v>
      </c>
      <c r="M25" s="39">
        <v>5</v>
      </c>
      <c r="N25" s="39">
        <v>1</v>
      </c>
      <c r="O25" s="39">
        <f t="shared" si="14"/>
        <v>5</v>
      </c>
      <c r="P25" s="39" t="str">
        <f t="shared" si="15"/>
        <v>0</v>
      </c>
      <c r="Q25" s="39" t="str">
        <f t="shared" si="16"/>
        <v>0</v>
      </c>
      <c r="R25" s="7">
        <v>2100</v>
      </c>
      <c r="S25" s="39">
        <f t="shared" si="17"/>
        <v>2600</v>
      </c>
      <c r="T25" s="47">
        <f t="shared" si="18"/>
        <v>400</v>
      </c>
      <c r="U25" s="45"/>
      <c r="V25" s="57"/>
    </row>
    <row r="26" spans="1:22" x14ac:dyDescent="0.25">
      <c r="A26" s="130"/>
      <c r="B26" s="80" t="s">
        <v>62</v>
      </c>
      <c r="C26" s="65" t="s">
        <v>83</v>
      </c>
      <c r="D26" s="80">
        <f>SUM(D18:D25)</f>
        <v>6760</v>
      </c>
      <c r="E26" s="65" t="s">
        <v>83</v>
      </c>
      <c r="F26" s="107" t="s">
        <v>83</v>
      </c>
      <c r="G26" s="35" t="s">
        <v>83</v>
      </c>
      <c r="H26" s="171">
        <v>1</v>
      </c>
      <c r="I26" s="39" t="s">
        <v>93</v>
      </c>
      <c r="J26" s="46">
        <v>2</v>
      </c>
      <c r="K26" s="46">
        <v>5.68</v>
      </c>
      <c r="L26" s="39" t="str">
        <f t="shared" si="13"/>
        <v>-</v>
      </c>
      <c r="M26" s="39">
        <v>1</v>
      </c>
      <c r="N26" s="39">
        <v>0</v>
      </c>
      <c r="O26" s="39" t="str">
        <f t="shared" si="14"/>
        <v>0</v>
      </c>
      <c r="P26" s="39">
        <f t="shared" si="15"/>
        <v>1</v>
      </c>
      <c r="Q26" s="39" t="str">
        <f t="shared" si="16"/>
        <v>0</v>
      </c>
      <c r="R26" s="7">
        <v>0</v>
      </c>
      <c r="S26" s="39">
        <f t="shared" si="17"/>
        <v>600</v>
      </c>
      <c r="T26" s="47">
        <f t="shared" si="18"/>
        <v>100</v>
      </c>
      <c r="U26" s="45"/>
      <c r="V26" s="45"/>
    </row>
    <row r="27" spans="1:22" ht="15" customHeight="1" x14ac:dyDescent="0.25">
      <c r="A27" s="132"/>
      <c r="B27" s="132"/>
      <c r="C27" s="132"/>
      <c r="D27" s="132"/>
      <c r="E27" s="132"/>
      <c r="F27" s="132"/>
      <c r="G27" s="132"/>
      <c r="H27" s="114">
        <v>2</v>
      </c>
      <c r="I27" s="39" t="s">
        <v>108</v>
      </c>
      <c r="J27" s="46">
        <v>16.62</v>
      </c>
      <c r="K27" s="46">
        <v>17.45</v>
      </c>
      <c r="L27" s="39">
        <f t="shared" si="13"/>
        <v>4</v>
      </c>
      <c r="M27" s="39">
        <v>4</v>
      </c>
      <c r="N27" s="39">
        <v>1</v>
      </c>
      <c r="O27" s="39">
        <f t="shared" si="14"/>
        <v>4</v>
      </c>
      <c r="P27" s="39" t="str">
        <f t="shared" si="15"/>
        <v>0</v>
      </c>
      <c r="Q27" s="39" t="str">
        <f t="shared" si="16"/>
        <v>0</v>
      </c>
      <c r="R27" s="7">
        <v>2000</v>
      </c>
      <c r="S27" s="39">
        <f t="shared" si="17"/>
        <v>2400</v>
      </c>
      <c r="T27" s="47">
        <f t="shared" si="18"/>
        <v>280</v>
      </c>
      <c r="U27" s="45"/>
      <c r="V27" s="45"/>
    </row>
    <row r="28" spans="1:22" ht="15.75" customHeight="1" x14ac:dyDescent="0.25">
      <c r="A28" s="130" t="s">
        <v>202</v>
      </c>
      <c r="B28" s="65" t="s">
        <v>4</v>
      </c>
      <c r="C28" s="65" t="s">
        <v>5</v>
      </c>
      <c r="D28" s="65" t="s">
        <v>6</v>
      </c>
      <c r="E28" s="65" t="s">
        <v>7</v>
      </c>
      <c r="F28" s="65" t="s">
        <v>8</v>
      </c>
      <c r="G28" s="65" t="s">
        <v>71</v>
      </c>
      <c r="H28" s="114">
        <v>2</v>
      </c>
      <c r="I28" s="39" t="s">
        <v>93</v>
      </c>
      <c r="J28" s="46">
        <v>2.02</v>
      </c>
      <c r="K28" s="46">
        <v>5.7</v>
      </c>
      <c r="L28" s="39" t="str">
        <f t="shared" si="13"/>
        <v>-</v>
      </c>
      <c r="M28" s="39">
        <v>1</v>
      </c>
      <c r="N28" s="39">
        <v>0</v>
      </c>
      <c r="O28" s="39" t="str">
        <f t="shared" si="14"/>
        <v>0</v>
      </c>
      <c r="P28" s="39">
        <f t="shared" si="15"/>
        <v>1</v>
      </c>
      <c r="Q28" s="39" t="str">
        <f t="shared" si="16"/>
        <v>0</v>
      </c>
      <c r="R28" s="7">
        <v>0</v>
      </c>
      <c r="S28" s="39">
        <f t="shared" si="17"/>
        <v>600</v>
      </c>
      <c r="T28" s="47">
        <f t="shared" si="18"/>
        <v>100</v>
      </c>
      <c r="U28" s="45"/>
      <c r="V28" s="45"/>
    </row>
    <row r="29" spans="1:22" x14ac:dyDescent="0.25">
      <c r="A29" s="130"/>
      <c r="B29" s="39" t="s">
        <v>0</v>
      </c>
      <c r="C29" s="7" t="s">
        <v>82</v>
      </c>
      <c r="D29" s="39">
        <v>2000</v>
      </c>
      <c r="E29" s="7">
        <v>220</v>
      </c>
      <c r="F29" s="1">
        <f t="shared" ref="F29:F37" si="20">D29/E29</f>
        <v>9.0909090909090917</v>
      </c>
      <c r="G29" s="39" t="s">
        <v>156</v>
      </c>
      <c r="I29" s="39" t="s">
        <v>106</v>
      </c>
      <c r="J29" s="46">
        <v>113.57</v>
      </c>
      <c r="K29" s="46">
        <v>46.43</v>
      </c>
      <c r="L29" s="39">
        <f t="shared" si="13"/>
        <v>10</v>
      </c>
      <c r="M29" s="39">
        <v>10</v>
      </c>
      <c r="N29" s="39">
        <v>0</v>
      </c>
      <c r="O29" s="39">
        <f t="shared" si="14"/>
        <v>10</v>
      </c>
      <c r="P29" s="39" t="str">
        <f t="shared" si="15"/>
        <v>0</v>
      </c>
      <c r="Q29" s="39" t="str">
        <f t="shared" si="16"/>
        <v>0</v>
      </c>
      <c r="R29" s="7">
        <v>0</v>
      </c>
      <c r="S29" s="39">
        <f t="shared" si="17"/>
        <v>1000</v>
      </c>
      <c r="T29" s="47">
        <f t="shared" si="18"/>
        <v>1720</v>
      </c>
      <c r="U29" s="45"/>
      <c r="V29" s="45"/>
    </row>
    <row r="30" spans="1:22" x14ac:dyDescent="0.25">
      <c r="A30" s="130"/>
      <c r="B30" s="39" t="s">
        <v>1</v>
      </c>
      <c r="C30" s="7" t="s">
        <v>127</v>
      </c>
      <c r="D30" s="39">
        <v>1500</v>
      </c>
      <c r="E30" s="7">
        <v>127</v>
      </c>
      <c r="F30" s="1">
        <f t="shared" si="20"/>
        <v>11.811023622047244</v>
      </c>
      <c r="G30" s="39" t="s">
        <v>145</v>
      </c>
      <c r="I30" s="39" t="s">
        <v>107</v>
      </c>
      <c r="J30" s="46">
        <v>56.13</v>
      </c>
      <c r="K30" s="46">
        <v>39.49</v>
      </c>
      <c r="L30" s="39">
        <f t="shared" si="13"/>
        <v>1</v>
      </c>
      <c r="M30" s="39">
        <v>1</v>
      </c>
      <c r="N30" s="39">
        <v>0</v>
      </c>
      <c r="O30" s="39" t="str">
        <f t="shared" si="14"/>
        <v>0</v>
      </c>
      <c r="P30" s="39" t="str">
        <f t="shared" si="15"/>
        <v>0</v>
      </c>
      <c r="Q30" s="39">
        <f t="shared" si="16"/>
        <v>1</v>
      </c>
      <c r="R30" s="7">
        <v>0</v>
      </c>
      <c r="S30" s="39">
        <f t="shared" si="17"/>
        <v>1000</v>
      </c>
      <c r="T30" s="47">
        <f t="shared" si="18"/>
        <v>880</v>
      </c>
      <c r="U30" s="45"/>
      <c r="V30" s="45"/>
    </row>
    <row r="31" spans="1:22" x14ac:dyDescent="0.25">
      <c r="A31" s="130"/>
      <c r="B31" s="39" t="s">
        <v>2</v>
      </c>
      <c r="C31" s="7" t="s">
        <v>127</v>
      </c>
      <c r="D31" s="39">
        <v>2000</v>
      </c>
      <c r="E31" s="7">
        <v>127</v>
      </c>
      <c r="F31" s="1">
        <f t="shared" si="20"/>
        <v>15.748031496062993</v>
      </c>
      <c r="G31" s="39" t="s">
        <v>146</v>
      </c>
      <c r="I31" s="39" t="s">
        <v>159</v>
      </c>
      <c r="J31" s="46">
        <v>45.24</v>
      </c>
      <c r="K31" s="46">
        <v>35.46</v>
      </c>
      <c r="L31" s="39">
        <f t="shared" si="13"/>
        <v>8</v>
      </c>
      <c r="M31" s="39">
        <v>8</v>
      </c>
      <c r="N31" s="7">
        <v>0</v>
      </c>
      <c r="O31" s="39">
        <f t="shared" si="14"/>
        <v>8</v>
      </c>
      <c r="P31" s="39" t="str">
        <f t="shared" si="15"/>
        <v>0</v>
      </c>
      <c r="Q31" s="39" t="str">
        <f t="shared" si="16"/>
        <v>0</v>
      </c>
      <c r="R31" s="7">
        <v>0</v>
      </c>
      <c r="S31" s="39">
        <f t="shared" si="17"/>
        <v>800</v>
      </c>
      <c r="T31" s="47">
        <f t="shared" si="18"/>
        <v>700</v>
      </c>
      <c r="U31" s="45"/>
      <c r="V31" s="45"/>
    </row>
    <row r="32" spans="1:22" x14ac:dyDescent="0.25">
      <c r="A32" s="130"/>
      <c r="B32" s="39" t="s">
        <v>3</v>
      </c>
      <c r="C32" s="7" t="s">
        <v>127</v>
      </c>
      <c r="D32" s="39">
        <v>1100</v>
      </c>
      <c r="E32" s="7">
        <v>127</v>
      </c>
      <c r="F32" s="1">
        <f t="shared" si="20"/>
        <v>8.6614173228346463</v>
      </c>
      <c r="G32" s="39" t="s">
        <v>148</v>
      </c>
      <c r="H32" s="114" t="s">
        <v>147</v>
      </c>
      <c r="I32" s="76" t="s">
        <v>105</v>
      </c>
      <c r="J32" s="77">
        <v>11.01</v>
      </c>
      <c r="K32" s="77">
        <v>16.760000000000002</v>
      </c>
      <c r="L32" s="39">
        <f t="shared" si="13"/>
        <v>4</v>
      </c>
      <c r="M32" s="39">
        <v>4</v>
      </c>
      <c r="N32" s="7">
        <v>0</v>
      </c>
      <c r="O32" s="39">
        <f t="shared" si="14"/>
        <v>4</v>
      </c>
      <c r="P32" s="39" t="str">
        <f t="shared" si="15"/>
        <v>0</v>
      </c>
      <c r="Q32" s="39" t="str">
        <f t="shared" si="16"/>
        <v>0</v>
      </c>
      <c r="R32" s="7">
        <v>0</v>
      </c>
      <c r="S32" s="39">
        <f t="shared" si="17"/>
        <v>400</v>
      </c>
      <c r="T32" s="47">
        <f t="shared" si="18"/>
        <v>220</v>
      </c>
      <c r="U32" s="45"/>
      <c r="V32" s="45"/>
    </row>
    <row r="33" spans="1:22" x14ac:dyDescent="0.25">
      <c r="A33" s="130"/>
      <c r="B33" s="39" t="s">
        <v>18</v>
      </c>
      <c r="C33" s="7" t="s">
        <v>127</v>
      </c>
      <c r="D33" s="39">
        <v>1000</v>
      </c>
      <c r="E33" s="7">
        <v>127</v>
      </c>
      <c r="F33" s="1">
        <f t="shared" si="20"/>
        <v>7.8740157480314963</v>
      </c>
      <c r="G33" s="39" t="s">
        <v>149</v>
      </c>
      <c r="I33" s="95" t="s">
        <v>111</v>
      </c>
      <c r="J33" s="90">
        <v>3.35</v>
      </c>
      <c r="K33" s="90">
        <v>7.45</v>
      </c>
      <c r="L33" s="38">
        <f t="shared" si="13"/>
        <v>2</v>
      </c>
      <c r="M33" s="38">
        <v>2</v>
      </c>
      <c r="N33" s="91">
        <v>0</v>
      </c>
      <c r="O33" s="38">
        <f t="shared" si="14"/>
        <v>2</v>
      </c>
      <c r="P33" s="38" t="str">
        <f t="shared" si="15"/>
        <v>0</v>
      </c>
      <c r="Q33" s="38" t="str">
        <f t="shared" si="16"/>
        <v>0</v>
      </c>
      <c r="R33" s="91">
        <v>0</v>
      </c>
      <c r="S33" s="38">
        <f t="shared" si="17"/>
        <v>200</v>
      </c>
      <c r="T33" s="92">
        <f t="shared" si="18"/>
        <v>100</v>
      </c>
      <c r="U33" s="45"/>
      <c r="V33" s="45"/>
    </row>
    <row r="34" spans="1:22" x14ac:dyDescent="0.25">
      <c r="A34" s="130"/>
      <c r="B34" s="39" t="s">
        <v>19</v>
      </c>
      <c r="C34" s="7" t="s">
        <v>127</v>
      </c>
      <c r="D34" s="39">
        <v>1600</v>
      </c>
      <c r="E34" s="7">
        <v>127</v>
      </c>
      <c r="F34" s="1">
        <f t="shared" si="20"/>
        <v>12.598425196850394</v>
      </c>
      <c r="G34" s="98" t="s">
        <v>151</v>
      </c>
      <c r="H34" s="11"/>
      <c r="I34" s="65" t="s">
        <v>62</v>
      </c>
      <c r="J34" s="22">
        <f>SUM(J17:J33)</f>
        <v>413.32000000000005</v>
      </c>
      <c r="K34" s="22" t="s">
        <v>83</v>
      </c>
      <c r="L34" s="100">
        <f t="shared" ref="L34:M34" si="21">SUM(L17:L33)</f>
        <v>57</v>
      </c>
      <c r="M34" s="100">
        <f t="shared" si="21"/>
        <v>61</v>
      </c>
      <c r="N34" s="100">
        <f t="shared" ref="N34" si="22">SUM(N17:N33)</f>
        <v>3</v>
      </c>
      <c r="O34" s="100">
        <f t="shared" ref="O34" si="23">SUM(O17:O33)</f>
        <v>56</v>
      </c>
      <c r="P34" s="100">
        <f t="shared" ref="P34" si="24">SUM(P17:P33)</f>
        <v>4</v>
      </c>
      <c r="Q34" s="100">
        <f t="shared" ref="Q34" si="25">SUM(Q17:Q33)</f>
        <v>1</v>
      </c>
      <c r="R34" s="100" t="s">
        <v>83</v>
      </c>
      <c r="S34" s="100">
        <f t="shared" ref="S34" si="26">SUM(S17:S33)</f>
        <v>15100</v>
      </c>
      <c r="T34" s="100">
        <f t="shared" ref="T34" si="27">SUM(T17:T33)</f>
        <v>6980</v>
      </c>
      <c r="U34" s="104">
        <f>S34+T34</f>
        <v>22080</v>
      </c>
      <c r="V34" s="11"/>
    </row>
    <row r="35" spans="1:22" x14ac:dyDescent="0.25">
      <c r="A35" s="130"/>
      <c r="B35" s="39" t="s">
        <v>21</v>
      </c>
      <c r="C35" s="7" t="s">
        <v>127</v>
      </c>
      <c r="D35" s="39">
        <v>1800</v>
      </c>
      <c r="E35" s="7">
        <v>127</v>
      </c>
      <c r="F35" s="1">
        <f t="shared" si="20"/>
        <v>14.173228346456693</v>
      </c>
      <c r="G35" s="39" t="s">
        <v>157</v>
      </c>
      <c r="H35" s="11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45"/>
      <c r="V35" s="11"/>
    </row>
    <row r="36" spans="1:22" x14ac:dyDescent="0.25">
      <c r="A36" s="130"/>
      <c r="B36" s="39" t="s">
        <v>40</v>
      </c>
      <c r="C36" s="7" t="s">
        <v>82</v>
      </c>
      <c r="D36" s="7">
        <v>2100</v>
      </c>
      <c r="E36" s="7">
        <v>220</v>
      </c>
      <c r="F36" s="1">
        <f t="shared" si="20"/>
        <v>9.545454545454545</v>
      </c>
      <c r="G36" s="39" t="s">
        <v>154</v>
      </c>
      <c r="I36" s="88" t="s">
        <v>165</v>
      </c>
      <c r="J36" s="138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45"/>
      <c r="V36" s="11"/>
    </row>
    <row r="37" spans="1:22" x14ac:dyDescent="0.25">
      <c r="A37" s="130"/>
      <c r="B37" s="39" t="s">
        <v>41</v>
      </c>
      <c r="C37" s="7" t="s">
        <v>82</v>
      </c>
      <c r="D37" s="7">
        <v>2000</v>
      </c>
      <c r="E37" s="7">
        <v>220</v>
      </c>
      <c r="F37" s="1">
        <f t="shared" si="20"/>
        <v>9.0909090909090917</v>
      </c>
      <c r="G37" s="39" t="s">
        <v>155</v>
      </c>
      <c r="I37" s="88" t="s">
        <v>142</v>
      </c>
      <c r="J37" s="140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45"/>
      <c r="V37" s="11"/>
    </row>
    <row r="38" spans="1:22" x14ac:dyDescent="0.25">
      <c r="A38" s="130"/>
      <c r="B38" s="80" t="s">
        <v>62</v>
      </c>
      <c r="C38" s="108" t="s">
        <v>83</v>
      </c>
      <c r="D38" s="79">
        <f>SUM(D29:D37)</f>
        <v>15100</v>
      </c>
      <c r="E38" s="79" t="s">
        <v>83</v>
      </c>
      <c r="F38" s="79" t="s">
        <v>83</v>
      </c>
      <c r="G38" s="35" t="s">
        <v>83</v>
      </c>
      <c r="H38" s="114">
        <v>1</v>
      </c>
      <c r="I38" s="39" t="s">
        <v>94</v>
      </c>
      <c r="J38" s="46">
        <v>18.39</v>
      </c>
      <c r="K38" s="46">
        <v>21.14</v>
      </c>
      <c r="L38" s="39">
        <f t="shared" ref="L38" si="28">IF(OR(I38="COZINHA",I38="COPA",I38="ÁREADESERVIÇO"),ROUNDUP(K38/(3.5),0),IF(OR(I38="ESCADA",I38="BANHEIRO"),"-",IF(OR(I38="VARANDA",I38="GARAGEM"),1,ROUNDUP(K38/5,0))))</f>
        <v>5</v>
      </c>
      <c r="M38" s="39">
        <v>5</v>
      </c>
      <c r="N38" s="39">
        <v>0</v>
      </c>
      <c r="O38" s="39">
        <f t="shared" ref="O38:O45" si="29">IF(OR(I38="COZINHA",I38="COPA",I38="ÁREADESERVIÇO",I38="BANHEIRO")*AND(M38&gt;3),M38-3,IF(OR(I38="COZINHA",I38="COPA",I38="ÁREADESERVIÇO",I38="BANHEIRO")*AND(M38&lt;=3),"0",IF(OR(I38="VARANDA",I38="GARAGEM"),"0",(M38))))</f>
        <v>5</v>
      </c>
      <c r="P38" s="39" t="str">
        <f t="shared" ref="P38:P45" si="30">IF(OR(I38="COZINHA",I38="COPA",I38="ÁREADESERVIÇO",I38="BANHEIRO")*AND(M38&gt;=3),3,IF(OR(I38="COZINHA",I38="COPA",I38="ÁREADESERVIÇO",I38="BANHEIRO")*AND(M38&lt;3),M38,"0"))</f>
        <v>0</v>
      </c>
      <c r="Q38" s="39" t="str">
        <f t="shared" ref="Q38:Q45" si="31">IF(OR(I38="VARANDA",I38="GARAGEM"),1,"0")</f>
        <v>0</v>
      </c>
      <c r="R38" s="7">
        <v>0</v>
      </c>
      <c r="S38" s="39">
        <f t="shared" ref="S38:S45" si="32">O38*$O$2+$P$2*P38+Q38*$Q$2+R38*N38</f>
        <v>500</v>
      </c>
      <c r="T38" s="47">
        <f t="shared" ref="T38:T45" si="33">IF(J38&lt;=6,100,100+ROUNDUP((J38-6)/4,0)*60)</f>
        <v>340</v>
      </c>
      <c r="U38" s="45"/>
      <c r="V38" s="11"/>
    </row>
    <row r="39" spans="1:22" x14ac:dyDescent="0.25">
      <c r="A39" s="132"/>
      <c r="B39" s="132"/>
      <c r="C39" s="132"/>
      <c r="D39" s="132"/>
      <c r="E39" s="132"/>
      <c r="F39" s="132"/>
      <c r="G39" s="132"/>
      <c r="H39" s="114">
        <v>1</v>
      </c>
      <c r="I39" s="39" t="s">
        <v>93</v>
      </c>
      <c r="J39" s="46">
        <v>3.58</v>
      </c>
      <c r="K39" s="46">
        <v>7.74</v>
      </c>
      <c r="L39" s="39" t="str">
        <f>IF(OR(I39="COZINHA",I39="COPA",I39="ÁREADESERVIÇO"),ROUNDUP(K39/(3.5),0),IF(OR(I39="ESCADA",I39="BANHEIRO"),"-",IF(OR(I39="VARANDA",I39="GARAGEM"),1,ROUNDUP(K39/5,0))))</f>
        <v>-</v>
      </c>
      <c r="M39" s="39">
        <v>1</v>
      </c>
      <c r="N39" s="39">
        <v>1</v>
      </c>
      <c r="O39" s="39" t="str">
        <f t="shared" si="29"/>
        <v>0</v>
      </c>
      <c r="P39" s="39">
        <f t="shared" si="30"/>
        <v>1</v>
      </c>
      <c r="Q39" s="39" t="str">
        <f t="shared" si="31"/>
        <v>0</v>
      </c>
      <c r="R39" s="7">
        <v>6500</v>
      </c>
      <c r="S39" s="39">
        <f t="shared" si="32"/>
        <v>7100</v>
      </c>
      <c r="T39" s="47">
        <f t="shared" si="33"/>
        <v>100</v>
      </c>
      <c r="U39" s="45"/>
      <c r="V39" s="11"/>
    </row>
    <row r="40" spans="1:22" ht="15" customHeight="1" x14ac:dyDescent="0.25">
      <c r="A40" s="130" t="s">
        <v>166</v>
      </c>
      <c r="B40" s="65" t="s">
        <v>4</v>
      </c>
      <c r="C40" s="65" t="s">
        <v>5</v>
      </c>
      <c r="D40" s="65" t="s">
        <v>6</v>
      </c>
      <c r="E40" s="65" t="s">
        <v>7</v>
      </c>
      <c r="F40" s="65" t="s">
        <v>8</v>
      </c>
      <c r="G40" s="65" t="s">
        <v>71</v>
      </c>
      <c r="H40" s="114">
        <v>2</v>
      </c>
      <c r="I40" s="39" t="s">
        <v>94</v>
      </c>
      <c r="J40" s="46">
        <v>22.39</v>
      </c>
      <c r="K40" s="46">
        <v>22.47</v>
      </c>
      <c r="L40" s="39">
        <f t="shared" ref="L40:L44" si="34">IF(OR(I40="COZINHA",I40="COPA",I40="ÁREADESERVIÇO"),ROUNDUP(K40/(3.5),0),IF(OR(I40="ESCADA",I40="BANHEIRO"),"-",IF(OR(I40="VARANDA",I40="GARAGEM"),1,ROUNDUP(K40/5,0))))</f>
        <v>5</v>
      </c>
      <c r="M40" s="39">
        <v>5</v>
      </c>
      <c r="N40" s="39">
        <v>1</v>
      </c>
      <c r="O40" s="39">
        <f t="shared" si="29"/>
        <v>5</v>
      </c>
      <c r="P40" s="39" t="str">
        <f t="shared" si="30"/>
        <v>0</v>
      </c>
      <c r="Q40" s="39" t="str">
        <f t="shared" si="31"/>
        <v>0</v>
      </c>
      <c r="R40" s="7">
        <v>2000</v>
      </c>
      <c r="S40" s="39">
        <f t="shared" si="32"/>
        <v>2500</v>
      </c>
      <c r="T40" s="47">
        <f t="shared" si="33"/>
        <v>400</v>
      </c>
      <c r="U40" s="45"/>
      <c r="V40" s="11"/>
    </row>
    <row r="41" spans="1:22" x14ac:dyDescent="0.25">
      <c r="A41" s="130"/>
      <c r="B41" s="39" t="s">
        <v>0</v>
      </c>
      <c r="C41" s="7" t="s">
        <v>123</v>
      </c>
      <c r="D41" s="81">
        <v>1000</v>
      </c>
      <c r="E41" s="99">
        <v>127</v>
      </c>
      <c r="F41" s="1">
        <f>D41/E41</f>
        <v>7.8740157480314963</v>
      </c>
      <c r="G41" s="98" t="s">
        <v>167</v>
      </c>
      <c r="H41" s="114">
        <v>2</v>
      </c>
      <c r="I41" s="39" t="s">
        <v>93</v>
      </c>
      <c r="J41" s="46">
        <v>7.87</v>
      </c>
      <c r="K41" s="46">
        <v>13.28</v>
      </c>
      <c r="L41" s="39" t="str">
        <f t="shared" si="34"/>
        <v>-</v>
      </c>
      <c r="M41" s="39">
        <v>1</v>
      </c>
      <c r="N41" s="39">
        <v>1</v>
      </c>
      <c r="O41" s="39" t="str">
        <f t="shared" si="29"/>
        <v>0</v>
      </c>
      <c r="P41" s="39">
        <f t="shared" si="30"/>
        <v>1</v>
      </c>
      <c r="Q41" s="39" t="str">
        <f t="shared" si="31"/>
        <v>0</v>
      </c>
      <c r="R41" s="7">
        <v>6500</v>
      </c>
      <c r="S41" s="39">
        <f t="shared" si="32"/>
        <v>7100</v>
      </c>
      <c r="T41" s="47">
        <f t="shared" si="33"/>
        <v>160</v>
      </c>
      <c r="U41" s="45"/>
      <c r="V41" s="11"/>
    </row>
    <row r="42" spans="1:22" x14ac:dyDescent="0.25">
      <c r="A42" s="130"/>
      <c r="B42" s="39" t="s">
        <v>1</v>
      </c>
      <c r="C42" s="7" t="s">
        <v>123</v>
      </c>
      <c r="D42" s="81">
        <v>1000</v>
      </c>
      <c r="E42" s="99">
        <v>127</v>
      </c>
      <c r="F42" s="1">
        <f t="shared" ref="F42:F48" si="35">D42/E42</f>
        <v>7.8740157480314963</v>
      </c>
      <c r="G42" s="98" t="s">
        <v>168</v>
      </c>
      <c r="I42" s="39" t="s">
        <v>96</v>
      </c>
      <c r="J42" s="46">
        <v>22.12</v>
      </c>
      <c r="K42" s="46">
        <v>24.07</v>
      </c>
      <c r="L42" s="39">
        <f t="shared" si="34"/>
        <v>5</v>
      </c>
      <c r="M42" s="39">
        <v>5</v>
      </c>
      <c r="N42" s="39">
        <v>0</v>
      </c>
      <c r="O42" s="39">
        <f t="shared" si="29"/>
        <v>5</v>
      </c>
      <c r="P42" s="39" t="str">
        <f t="shared" si="30"/>
        <v>0</v>
      </c>
      <c r="Q42" s="39" t="str">
        <f t="shared" si="31"/>
        <v>0</v>
      </c>
      <c r="R42" s="7">
        <v>0</v>
      </c>
      <c r="S42" s="39">
        <f t="shared" si="32"/>
        <v>500</v>
      </c>
      <c r="T42" s="47">
        <f t="shared" si="33"/>
        <v>400</v>
      </c>
      <c r="U42" s="45"/>
      <c r="V42" s="11"/>
    </row>
    <row r="43" spans="1:22" ht="15" customHeight="1" x14ac:dyDescent="0.25">
      <c r="A43" s="130"/>
      <c r="B43" s="39" t="s">
        <v>2</v>
      </c>
      <c r="C43" s="7" t="s">
        <v>127</v>
      </c>
      <c r="D43" s="39">
        <v>2000</v>
      </c>
      <c r="E43" s="7">
        <v>127</v>
      </c>
      <c r="F43" s="1">
        <f t="shared" si="35"/>
        <v>15.748031496062993</v>
      </c>
      <c r="G43" s="39" t="s">
        <v>169</v>
      </c>
      <c r="I43" s="39" t="s">
        <v>98</v>
      </c>
      <c r="J43" s="46">
        <v>13.62</v>
      </c>
      <c r="K43" s="46">
        <v>14.76</v>
      </c>
      <c r="L43" s="39">
        <f t="shared" si="34"/>
        <v>3</v>
      </c>
      <c r="M43" s="39">
        <v>3</v>
      </c>
      <c r="N43" s="39">
        <v>0</v>
      </c>
      <c r="O43" s="39">
        <f t="shared" si="29"/>
        <v>3</v>
      </c>
      <c r="P43" s="39" t="str">
        <f t="shared" si="30"/>
        <v>0</v>
      </c>
      <c r="Q43" s="39" t="str">
        <f t="shared" si="31"/>
        <v>0</v>
      </c>
      <c r="R43" s="7">
        <v>0</v>
      </c>
      <c r="S43" s="39">
        <f t="shared" si="32"/>
        <v>300</v>
      </c>
      <c r="T43" s="47">
        <f t="shared" si="33"/>
        <v>220</v>
      </c>
      <c r="U43" s="45"/>
      <c r="V43" s="11"/>
    </row>
    <row r="44" spans="1:22" x14ac:dyDescent="0.25">
      <c r="A44" s="130"/>
      <c r="B44" s="39" t="s">
        <v>3</v>
      </c>
      <c r="C44" s="7" t="s">
        <v>127</v>
      </c>
      <c r="D44" s="7">
        <v>1800</v>
      </c>
      <c r="E44" s="7">
        <v>127</v>
      </c>
      <c r="F44" s="1">
        <f t="shared" si="35"/>
        <v>14.173228346456693</v>
      </c>
      <c r="G44" s="7" t="s">
        <v>170</v>
      </c>
      <c r="I44" s="39" t="s">
        <v>95</v>
      </c>
      <c r="J44" s="46">
        <v>14.89</v>
      </c>
      <c r="K44" s="46">
        <v>15.44</v>
      </c>
      <c r="L44" s="39">
        <f t="shared" si="34"/>
        <v>5</v>
      </c>
      <c r="M44" s="39">
        <v>5</v>
      </c>
      <c r="N44" s="39">
        <v>0</v>
      </c>
      <c r="O44" s="39">
        <f t="shared" si="29"/>
        <v>2</v>
      </c>
      <c r="P44" s="39">
        <f t="shared" si="30"/>
        <v>3</v>
      </c>
      <c r="Q44" s="39" t="str">
        <f t="shared" si="31"/>
        <v>0</v>
      </c>
      <c r="R44" s="7">
        <v>0</v>
      </c>
      <c r="S44" s="39">
        <f t="shared" si="32"/>
        <v>2000</v>
      </c>
      <c r="T44" s="47">
        <f t="shared" si="33"/>
        <v>280</v>
      </c>
      <c r="U44" s="45"/>
      <c r="V44" s="11"/>
    </row>
    <row r="45" spans="1:22" x14ac:dyDescent="0.25">
      <c r="A45" s="130"/>
      <c r="B45" s="39" t="s">
        <v>18</v>
      </c>
      <c r="C45" s="7" t="s">
        <v>127</v>
      </c>
      <c r="D45" s="7">
        <v>1800</v>
      </c>
      <c r="E45" s="7">
        <v>127</v>
      </c>
      <c r="F45" s="1">
        <f t="shared" si="35"/>
        <v>14.173228346456693</v>
      </c>
      <c r="G45" s="7" t="s">
        <v>134</v>
      </c>
      <c r="H45" s="114">
        <v>3</v>
      </c>
      <c r="I45" s="39" t="s">
        <v>93</v>
      </c>
      <c r="J45" s="101">
        <v>2.04</v>
      </c>
      <c r="K45" s="101">
        <v>5.78</v>
      </c>
      <c r="L45" s="38" t="str">
        <f>IF(OR(I45="COZINHA",I45="COPA",I45="ÁREADESERVIÇO"),ROUNDUP(K45/(3.5),0),IF(OR(I45="ESCADA",I45="BANHEIRO"),"-",IF(OR(I45="VARANDA",I45="GARAGEM"),1,ROUNDUP(K45/5,0))))</f>
        <v>-</v>
      </c>
      <c r="M45" s="38">
        <v>1</v>
      </c>
      <c r="N45" s="38">
        <v>0</v>
      </c>
      <c r="O45" s="38" t="str">
        <f t="shared" si="29"/>
        <v>0</v>
      </c>
      <c r="P45" s="38">
        <f t="shared" si="30"/>
        <v>1</v>
      </c>
      <c r="Q45" s="38" t="str">
        <f t="shared" si="31"/>
        <v>0</v>
      </c>
      <c r="R45" s="91">
        <v>0</v>
      </c>
      <c r="S45" s="38">
        <f t="shared" si="32"/>
        <v>600</v>
      </c>
      <c r="T45" s="92">
        <f t="shared" si="33"/>
        <v>100</v>
      </c>
      <c r="U45" s="45"/>
      <c r="V45" s="11"/>
    </row>
    <row r="46" spans="1:22" x14ac:dyDescent="0.25">
      <c r="A46" s="130"/>
      <c r="B46" s="39" t="s">
        <v>19</v>
      </c>
      <c r="C46" s="7" t="s">
        <v>82</v>
      </c>
      <c r="D46" s="7">
        <v>6500</v>
      </c>
      <c r="E46" s="7">
        <v>220</v>
      </c>
      <c r="F46" s="1">
        <f t="shared" si="35"/>
        <v>29.545454545454547</v>
      </c>
      <c r="G46" s="7" t="s">
        <v>137</v>
      </c>
      <c r="I46" s="36" t="s">
        <v>62</v>
      </c>
      <c r="J46" s="102">
        <f>SUM(J38:J45)</f>
        <v>104.9</v>
      </c>
      <c r="K46" s="102" t="s">
        <v>83</v>
      </c>
      <c r="L46" s="103">
        <f t="shared" ref="L46" si="36">SUM(L38:L45)</f>
        <v>23</v>
      </c>
      <c r="M46" s="103">
        <f t="shared" ref="M46" si="37">SUM(M38:M45)</f>
        <v>26</v>
      </c>
      <c r="N46" s="103">
        <f t="shared" ref="N46" si="38">SUM(N38:N45)</f>
        <v>3</v>
      </c>
      <c r="O46" s="103">
        <f t="shared" ref="O46" si="39">SUM(O38:O45)</f>
        <v>20</v>
      </c>
      <c r="P46" s="103">
        <f t="shared" ref="P46" si="40">SUM(P38:P45)</f>
        <v>6</v>
      </c>
      <c r="Q46" s="103">
        <f t="shared" ref="Q46" si="41">SUM(Q38:Q45)</f>
        <v>0</v>
      </c>
      <c r="R46" s="103" t="s">
        <v>83</v>
      </c>
      <c r="S46" s="103">
        <f t="shared" ref="S46" si="42">SUM(S38:S45)</f>
        <v>20600</v>
      </c>
      <c r="T46" s="103">
        <f t="shared" ref="T46" si="43">SUM(T38:T45)</f>
        <v>2000</v>
      </c>
      <c r="U46" s="104">
        <f>T46+S46</f>
        <v>22600</v>
      </c>
      <c r="V46" s="11"/>
    </row>
    <row r="47" spans="1:22" x14ac:dyDescent="0.25">
      <c r="A47" s="130"/>
      <c r="B47" s="39" t="s">
        <v>21</v>
      </c>
      <c r="C47" s="7" t="s">
        <v>82</v>
      </c>
      <c r="D47" s="7">
        <v>6500</v>
      </c>
      <c r="E47" s="7">
        <v>220</v>
      </c>
      <c r="F47" s="1">
        <f t="shared" si="35"/>
        <v>29.545454545454547</v>
      </c>
      <c r="G47" s="7" t="s">
        <v>138</v>
      </c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45"/>
    </row>
    <row r="48" spans="1:22" x14ac:dyDescent="0.25">
      <c r="A48" s="130"/>
      <c r="B48" s="39" t="s">
        <v>40</v>
      </c>
      <c r="C48" s="7" t="s">
        <v>82</v>
      </c>
      <c r="D48" s="7">
        <v>2000</v>
      </c>
      <c r="E48" s="7">
        <v>220</v>
      </c>
      <c r="F48" s="1">
        <f t="shared" si="35"/>
        <v>9.0909090909090917</v>
      </c>
      <c r="G48" s="7" t="s">
        <v>99</v>
      </c>
      <c r="I48" s="88" t="s">
        <v>143</v>
      </c>
      <c r="J48" s="135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45"/>
    </row>
    <row r="49" spans="1:21" x14ac:dyDescent="0.25">
      <c r="A49" s="145"/>
      <c r="B49" s="36" t="s">
        <v>62</v>
      </c>
      <c r="C49" s="109" t="s">
        <v>83</v>
      </c>
      <c r="D49" s="110">
        <f>SUM(D41:D48)</f>
        <v>22600</v>
      </c>
      <c r="E49" s="110" t="s">
        <v>83</v>
      </c>
      <c r="F49" s="111" t="s">
        <v>83</v>
      </c>
      <c r="G49" s="109" t="s">
        <v>83</v>
      </c>
      <c r="H49" s="114">
        <v>1</v>
      </c>
      <c r="I49" s="39" t="s">
        <v>94</v>
      </c>
      <c r="J49" s="93">
        <v>15.64</v>
      </c>
      <c r="K49" s="93">
        <v>18.559999999999999</v>
      </c>
      <c r="L49" s="82">
        <f t="shared" ref="L49:L55" si="44">IF(OR(I49="COZINHA",I49="COPA",I49="ÁREADESERVIÇO"),ROUNDUP(K49/(3.5),0),IF(OR(I49="ESCADA",I49="BANHEIRO"),"-",IF(OR(I49="VARANDA",I49="GARAGEM"),1,ROUNDUP(K49/5,0))))</f>
        <v>4</v>
      </c>
      <c r="M49" s="82">
        <v>4</v>
      </c>
      <c r="N49" s="82">
        <v>1</v>
      </c>
      <c r="O49" s="82">
        <f t="shared" ref="O49:O55" si="45">IF(OR(I49="COZINHA",I49="COPA",I49="ÁREADESERVIÇO",I49="BANHEIRO")*AND(M49&gt;3),M49-3,IF(OR(I49="COZINHA",I49="COPA",I49="ÁREADESERVIÇO",I49="BANHEIRO")*AND(M49&lt;=3),"0",IF(OR(I49="VARANDA",I49="GARAGEM"),"0",(M49))))</f>
        <v>4</v>
      </c>
      <c r="P49" s="82" t="str">
        <f t="shared" ref="P49:P55" si="46">IF(OR(I49="COZINHA",I49="COPA",I49="ÁREADESERVIÇO",I49="BANHEIRO")*AND(M49&gt;=3),3,IF(OR(I49="COZINHA",I49="COPA",I49="ÁREADESERVIÇO",I49="BANHEIRO")*AND(M49&lt;3),M49,"0"))</f>
        <v>0</v>
      </c>
      <c r="Q49" s="82" t="str">
        <f t="shared" ref="Q49:Q55" si="47">IF(OR(I49="VARANDA",I49="GARAGEM"),1,"0")</f>
        <v>0</v>
      </c>
      <c r="R49" s="166">
        <v>1400</v>
      </c>
      <c r="S49" s="82">
        <f t="shared" ref="S49:S55" si="48">O49*$O$2+$P$2*P49+Q49*$Q$2+R49*N49</f>
        <v>1800</v>
      </c>
      <c r="T49" s="94">
        <f t="shared" ref="T49:T55" si="49">IF(J49&lt;=6,100,100+ROUNDUP((J49-6)/4,0)*60)</f>
        <v>280</v>
      </c>
      <c r="U49" s="45"/>
    </row>
    <row r="50" spans="1:21" x14ac:dyDescent="0.25">
      <c r="A50" s="149"/>
      <c r="B50" s="149"/>
      <c r="C50" s="149"/>
      <c r="D50" s="149"/>
      <c r="E50" s="149"/>
      <c r="F50" s="149"/>
      <c r="G50" s="149"/>
      <c r="H50" s="114">
        <v>1</v>
      </c>
      <c r="I50" s="39" t="s">
        <v>93</v>
      </c>
      <c r="J50" s="46">
        <v>6.64</v>
      </c>
      <c r="K50" s="46">
        <v>10.72</v>
      </c>
      <c r="L50" s="39" t="str">
        <f t="shared" si="44"/>
        <v>-</v>
      </c>
      <c r="M50" s="39">
        <v>1</v>
      </c>
      <c r="N50" s="39">
        <v>1</v>
      </c>
      <c r="O50" s="39" t="str">
        <f t="shared" si="45"/>
        <v>0</v>
      </c>
      <c r="P50" s="39">
        <f t="shared" si="46"/>
        <v>1</v>
      </c>
      <c r="Q50" s="39" t="str">
        <f t="shared" si="47"/>
        <v>0</v>
      </c>
      <c r="R50" s="7">
        <v>6500</v>
      </c>
      <c r="S50" s="39">
        <f t="shared" si="48"/>
        <v>7100</v>
      </c>
      <c r="T50" s="47">
        <f t="shared" si="49"/>
        <v>160</v>
      </c>
      <c r="U50" s="45"/>
    </row>
    <row r="51" spans="1:21" x14ac:dyDescent="0.25">
      <c r="A51" s="130" t="s">
        <v>185</v>
      </c>
      <c r="B51" s="65" t="s">
        <v>4</v>
      </c>
      <c r="C51" s="65" t="s">
        <v>5</v>
      </c>
      <c r="D51" s="65" t="s">
        <v>6</v>
      </c>
      <c r="E51" s="65" t="s">
        <v>7</v>
      </c>
      <c r="F51" s="65" t="s">
        <v>8</v>
      </c>
      <c r="G51" s="65" t="s">
        <v>71</v>
      </c>
      <c r="I51" s="39" t="s">
        <v>97</v>
      </c>
      <c r="J51" s="46">
        <v>1.73</v>
      </c>
      <c r="K51" s="46">
        <v>5.45</v>
      </c>
      <c r="L51" s="39">
        <f t="shared" si="44"/>
        <v>2</v>
      </c>
      <c r="M51" s="39">
        <v>2</v>
      </c>
      <c r="N51" s="39">
        <v>0</v>
      </c>
      <c r="O51" s="39">
        <f t="shared" si="45"/>
        <v>2</v>
      </c>
      <c r="P51" s="39" t="str">
        <f t="shared" si="46"/>
        <v>0</v>
      </c>
      <c r="Q51" s="39" t="str">
        <f t="shared" si="47"/>
        <v>0</v>
      </c>
      <c r="R51" s="7">
        <v>0</v>
      </c>
      <c r="S51" s="39">
        <f t="shared" si="48"/>
        <v>200</v>
      </c>
      <c r="T51" s="47">
        <f t="shared" si="49"/>
        <v>100</v>
      </c>
      <c r="U51" s="45"/>
    </row>
    <row r="52" spans="1:21" x14ac:dyDescent="0.25">
      <c r="A52" s="130"/>
      <c r="B52" s="39" t="s">
        <v>0</v>
      </c>
      <c r="C52" s="7" t="s">
        <v>123</v>
      </c>
      <c r="D52" s="81">
        <v>760</v>
      </c>
      <c r="E52" s="99">
        <v>127</v>
      </c>
      <c r="F52" s="1">
        <f>D52/E52</f>
        <v>5.984251968503937</v>
      </c>
      <c r="G52" s="98" t="s">
        <v>172</v>
      </c>
      <c r="I52" s="39" t="s">
        <v>95</v>
      </c>
      <c r="J52" s="46">
        <v>10.85</v>
      </c>
      <c r="K52" s="46">
        <v>13.18</v>
      </c>
      <c r="L52" s="39">
        <f t="shared" si="44"/>
        <v>4</v>
      </c>
      <c r="M52" s="39">
        <v>4</v>
      </c>
      <c r="N52" s="39">
        <v>0</v>
      </c>
      <c r="O52" s="39">
        <f t="shared" si="45"/>
        <v>1</v>
      </c>
      <c r="P52" s="39">
        <f t="shared" si="46"/>
        <v>3</v>
      </c>
      <c r="Q52" s="39" t="str">
        <f t="shared" si="47"/>
        <v>0</v>
      </c>
      <c r="R52" s="7">
        <v>0</v>
      </c>
      <c r="S52" s="39">
        <f t="shared" si="48"/>
        <v>1900</v>
      </c>
      <c r="T52" s="47">
        <f t="shared" si="49"/>
        <v>220</v>
      </c>
      <c r="U52" s="45"/>
    </row>
    <row r="53" spans="1:21" x14ac:dyDescent="0.25">
      <c r="A53" s="130"/>
      <c r="B53" s="39" t="s">
        <v>1</v>
      </c>
      <c r="C53" s="7" t="s">
        <v>123</v>
      </c>
      <c r="D53" s="81">
        <v>660</v>
      </c>
      <c r="E53" s="99">
        <v>127</v>
      </c>
      <c r="F53" s="1">
        <f t="shared" ref="F53:F58" si="50">D53/E53</f>
        <v>5.1968503937007871</v>
      </c>
      <c r="G53" s="98" t="s">
        <v>173</v>
      </c>
      <c r="I53" s="75" t="s">
        <v>96</v>
      </c>
      <c r="J53" s="1">
        <v>21.76</v>
      </c>
      <c r="K53" s="1">
        <v>21.85</v>
      </c>
      <c r="L53" s="39">
        <f t="shared" si="44"/>
        <v>5</v>
      </c>
      <c r="M53" s="39">
        <v>5</v>
      </c>
      <c r="N53" s="39">
        <v>0</v>
      </c>
      <c r="O53" s="39">
        <f t="shared" si="45"/>
        <v>5</v>
      </c>
      <c r="P53" s="39" t="str">
        <f t="shared" si="46"/>
        <v>0</v>
      </c>
      <c r="Q53" s="39" t="str">
        <f t="shared" si="47"/>
        <v>0</v>
      </c>
      <c r="R53" s="7">
        <v>0</v>
      </c>
      <c r="S53" s="39">
        <f t="shared" si="48"/>
        <v>500</v>
      </c>
      <c r="T53" s="47">
        <f t="shared" si="49"/>
        <v>340</v>
      </c>
      <c r="U53" s="45"/>
    </row>
    <row r="54" spans="1:21" x14ac:dyDescent="0.25">
      <c r="A54" s="130"/>
      <c r="B54" s="39" t="s">
        <v>2</v>
      </c>
      <c r="C54" s="7" t="s">
        <v>127</v>
      </c>
      <c r="D54" s="39">
        <v>1500</v>
      </c>
      <c r="E54" s="7">
        <v>127</v>
      </c>
      <c r="F54" s="1">
        <f t="shared" si="50"/>
        <v>11.811023622047244</v>
      </c>
      <c r="G54" s="39" t="s">
        <v>174</v>
      </c>
      <c r="I54" s="76" t="s">
        <v>98</v>
      </c>
      <c r="J54" s="77">
        <v>10.11</v>
      </c>
      <c r="K54" s="77">
        <v>12.72</v>
      </c>
      <c r="L54" s="39">
        <f t="shared" si="44"/>
        <v>3</v>
      </c>
      <c r="M54" s="39">
        <v>3</v>
      </c>
      <c r="N54" s="39">
        <v>0</v>
      </c>
      <c r="O54" s="39">
        <f t="shared" si="45"/>
        <v>3</v>
      </c>
      <c r="P54" s="39" t="str">
        <f t="shared" si="46"/>
        <v>0</v>
      </c>
      <c r="Q54" s="39" t="str">
        <f t="shared" si="47"/>
        <v>0</v>
      </c>
      <c r="R54" s="7">
        <v>0</v>
      </c>
      <c r="S54" s="39">
        <f t="shared" si="48"/>
        <v>300</v>
      </c>
      <c r="T54" s="47">
        <f t="shared" si="49"/>
        <v>220</v>
      </c>
      <c r="U54" s="45"/>
    </row>
    <row r="55" spans="1:21" x14ac:dyDescent="0.25">
      <c r="A55" s="130"/>
      <c r="B55" s="39" t="s">
        <v>3</v>
      </c>
      <c r="C55" s="7" t="s">
        <v>127</v>
      </c>
      <c r="D55" s="7">
        <v>1200</v>
      </c>
      <c r="E55" s="7">
        <v>127</v>
      </c>
      <c r="F55" s="1">
        <f t="shared" si="50"/>
        <v>9.4488188976377945</v>
      </c>
      <c r="G55" s="7" t="s">
        <v>175</v>
      </c>
      <c r="H55" s="114" t="s">
        <v>171</v>
      </c>
      <c r="I55" s="7" t="s">
        <v>93</v>
      </c>
      <c r="J55" s="1">
        <v>2.72</v>
      </c>
      <c r="K55" s="1">
        <v>6.68</v>
      </c>
      <c r="L55" s="39" t="str">
        <f t="shared" si="44"/>
        <v>-</v>
      </c>
      <c r="M55" s="39">
        <v>1</v>
      </c>
      <c r="N55" s="39">
        <v>0</v>
      </c>
      <c r="O55" s="39" t="str">
        <f t="shared" si="45"/>
        <v>0</v>
      </c>
      <c r="P55" s="39">
        <f t="shared" si="46"/>
        <v>1</v>
      </c>
      <c r="Q55" s="39" t="str">
        <f t="shared" si="47"/>
        <v>0</v>
      </c>
      <c r="R55" s="7">
        <v>0</v>
      </c>
      <c r="S55" s="39">
        <f t="shared" si="48"/>
        <v>600</v>
      </c>
      <c r="T55" s="47">
        <f t="shared" si="49"/>
        <v>100</v>
      </c>
      <c r="U55" s="45"/>
    </row>
    <row r="56" spans="1:21" x14ac:dyDescent="0.25">
      <c r="A56" s="130"/>
      <c r="B56" s="39" t="s">
        <v>18</v>
      </c>
      <c r="C56" s="7" t="s">
        <v>127</v>
      </c>
      <c r="D56" s="7">
        <v>1800</v>
      </c>
      <c r="E56" s="7">
        <v>127</v>
      </c>
      <c r="F56" s="1">
        <f t="shared" si="50"/>
        <v>14.173228346456693</v>
      </c>
      <c r="G56" s="7" t="s">
        <v>134</v>
      </c>
      <c r="I56" s="36" t="s">
        <v>62</v>
      </c>
      <c r="J56" s="111">
        <f>SUM(J49:J55)</f>
        <v>69.45</v>
      </c>
      <c r="K56" s="111" t="s">
        <v>83</v>
      </c>
      <c r="L56" s="105">
        <f>SUM(L49:L55)</f>
        <v>18</v>
      </c>
      <c r="M56" s="105">
        <f t="shared" ref="M56:T56" si="51">SUM(M49:M55)</f>
        <v>20</v>
      </c>
      <c r="N56" s="164">
        <f t="shared" si="51"/>
        <v>2</v>
      </c>
      <c r="O56" s="164">
        <f t="shared" si="51"/>
        <v>15</v>
      </c>
      <c r="P56" s="164">
        <f t="shared" si="51"/>
        <v>5</v>
      </c>
      <c r="Q56" s="164">
        <f t="shared" si="51"/>
        <v>0</v>
      </c>
      <c r="R56" s="164" t="s">
        <v>83</v>
      </c>
      <c r="S56" s="105">
        <f t="shared" si="51"/>
        <v>12400</v>
      </c>
      <c r="T56" s="105">
        <f t="shared" si="51"/>
        <v>1420</v>
      </c>
      <c r="U56" s="104">
        <f>S56+T56</f>
        <v>13820</v>
      </c>
    </row>
    <row r="57" spans="1:21" x14ac:dyDescent="0.25">
      <c r="A57" s="130"/>
      <c r="B57" s="39" t="s">
        <v>19</v>
      </c>
      <c r="C57" s="7" t="s">
        <v>82</v>
      </c>
      <c r="D57" s="7">
        <v>6500</v>
      </c>
      <c r="E57" s="7">
        <v>220</v>
      </c>
      <c r="F57" s="1">
        <f t="shared" si="50"/>
        <v>29.545454545454547</v>
      </c>
      <c r="G57" s="7" t="s">
        <v>176</v>
      </c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45"/>
    </row>
    <row r="58" spans="1:21" x14ac:dyDescent="0.25">
      <c r="A58" s="130"/>
      <c r="B58" s="39" t="s">
        <v>21</v>
      </c>
      <c r="C58" s="7" t="s">
        <v>82</v>
      </c>
      <c r="D58" s="7">
        <v>1400</v>
      </c>
      <c r="E58" s="7">
        <v>220</v>
      </c>
      <c r="F58" s="1">
        <f t="shared" si="50"/>
        <v>6.3636363636363633</v>
      </c>
      <c r="G58" s="7" t="s">
        <v>177</v>
      </c>
      <c r="I58" s="88" t="s">
        <v>144</v>
      </c>
      <c r="J58" s="167"/>
      <c r="K58" s="167"/>
      <c r="L58" s="82"/>
      <c r="M58" s="82"/>
      <c r="N58" s="163"/>
      <c r="O58" s="82"/>
      <c r="P58" s="82"/>
      <c r="Q58" s="82"/>
      <c r="R58" s="166"/>
      <c r="S58" s="82"/>
      <c r="T58" s="94"/>
      <c r="U58" s="45"/>
    </row>
    <row r="59" spans="1:21" x14ac:dyDescent="0.25">
      <c r="A59" s="130"/>
      <c r="B59" s="80" t="s">
        <v>62</v>
      </c>
      <c r="C59" s="65" t="s">
        <v>83</v>
      </c>
      <c r="D59" s="79">
        <f>SUM(D52:D58)</f>
        <v>13820</v>
      </c>
      <c r="E59" s="9" t="s">
        <v>83</v>
      </c>
      <c r="F59" s="107" t="s">
        <v>83</v>
      </c>
      <c r="G59" s="65" t="s">
        <v>83</v>
      </c>
      <c r="H59" s="114">
        <v>1</v>
      </c>
      <c r="I59" s="7" t="s">
        <v>94</v>
      </c>
      <c r="J59" s="1">
        <v>28.34</v>
      </c>
      <c r="K59" s="1">
        <v>26.77</v>
      </c>
      <c r="L59" s="39">
        <f t="shared" ref="L59:L69" si="52">IF(OR(I59="COZINHA",I59="COPA",I59="ÁREADESERVIÇO"),ROUNDUP(K59/(3.5),0),IF(OR(I59="ESCADA",I59="BANHEIRO"),"-",IF(OR(I59="VARANDA",I59="GARAGEM"),1,ROUNDUP(K59/5,0))))</f>
        <v>6</v>
      </c>
      <c r="M59" s="39">
        <v>6</v>
      </c>
      <c r="N59" s="7">
        <v>1</v>
      </c>
      <c r="O59" s="39">
        <f t="shared" ref="O59:O69" si="53">IF(OR(I59="COZINHA",I59="COPA",I59="ÁREADESERVIÇO",I59="BANHEIRO")*AND(M59&gt;3),M59-3,IF(OR(I59="COZINHA",I59="COPA",I59="ÁREADESERVIÇO",I59="BANHEIRO")*AND(M59&lt;=3),"0",IF(OR(I59="VARANDA",I59="GARAGEM"),"0",(M59))))</f>
        <v>6</v>
      </c>
      <c r="P59" s="39" t="str">
        <f t="shared" ref="P59:P69" si="54">IF(OR(I59="COZINHA",I59="COPA",I59="ÁREADESERVIÇO",I59="BANHEIRO")*AND(M59&gt;=3),3,IF(OR(I59="COZINHA",I59="COPA",I59="ÁREADESERVIÇO",I59="BANHEIRO")*AND(M59&lt;3),M59,"0"))</f>
        <v>0</v>
      </c>
      <c r="Q59" s="39" t="str">
        <f t="shared" ref="Q59:Q69" si="55">IF(OR(I59="VARANDA",I59="GARAGEM"),1,"0")</f>
        <v>0</v>
      </c>
      <c r="R59" s="7">
        <v>2100</v>
      </c>
      <c r="S59" s="39">
        <f t="shared" ref="S59:S69" si="56">O59*$O$2+$P$2*P59+Q59*$Q$2+R59*N59</f>
        <v>2700</v>
      </c>
      <c r="T59" s="47">
        <f t="shared" ref="T59:T69" si="57">IF(J59&lt;=6,100,100+ROUNDUP((J59-6)/4,0)*60)</f>
        <v>460</v>
      </c>
      <c r="U59" s="45"/>
    </row>
    <row r="60" spans="1:21" x14ac:dyDescent="0.25">
      <c r="A60" s="149"/>
      <c r="B60" s="149"/>
      <c r="C60" s="149"/>
      <c r="D60" s="149"/>
      <c r="E60" s="149"/>
      <c r="F60" s="149"/>
      <c r="G60" s="149"/>
      <c r="H60" s="114">
        <v>1</v>
      </c>
      <c r="I60" s="7" t="s">
        <v>93</v>
      </c>
      <c r="J60" s="1">
        <v>8.89</v>
      </c>
      <c r="K60" s="1">
        <v>15.93</v>
      </c>
      <c r="L60" s="39" t="str">
        <f t="shared" si="52"/>
        <v>-</v>
      </c>
      <c r="M60" s="39">
        <v>1</v>
      </c>
      <c r="N60" s="7">
        <v>1</v>
      </c>
      <c r="O60" s="39" t="str">
        <f t="shared" si="53"/>
        <v>0</v>
      </c>
      <c r="P60" s="39">
        <f t="shared" si="54"/>
        <v>1</v>
      </c>
      <c r="Q60" s="39" t="str">
        <f t="shared" si="55"/>
        <v>0</v>
      </c>
      <c r="R60" s="7">
        <v>6500</v>
      </c>
      <c r="S60" s="39">
        <f t="shared" si="56"/>
        <v>7100</v>
      </c>
      <c r="T60" s="47">
        <f t="shared" si="57"/>
        <v>160</v>
      </c>
      <c r="U60" s="45"/>
    </row>
    <row r="61" spans="1:21" x14ac:dyDescent="0.25">
      <c r="A61" s="130" t="s">
        <v>186</v>
      </c>
      <c r="B61" s="65" t="s">
        <v>4</v>
      </c>
      <c r="C61" s="65" t="s">
        <v>5</v>
      </c>
      <c r="D61" s="65" t="s">
        <v>6</v>
      </c>
      <c r="E61" s="65" t="s">
        <v>7</v>
      </c>
      <c r="F61" s="65" t="s">
        <v>8</v>
      </c>
      <c r="G61" s="65" t="s">
        <v>71</v>
      </c>
      <c r="H61" s="114">
        <v>2</v>
      </c>
      <c r="I61" s="7" t="s">
        <v>94</v>
      </c>
      <c r="J61" s="1">
        <v>14.36</v>
      </c>
      <c r="K61" s="1">
        <v>15.3</v>
      </c>
      <c r="L61" s="39">
        <f t="shared" si="52"/>
        <v>4</v>
      </c>
      <c r="M61" s="39">
        <v>4</v>
      </c>
      <c r="N61" s="7">
        <v>0</v>
      </c>
      <c r="O61" s="39">
        <f t="shared" si="53"/>
        <v>4</v>
      </c>
      <c r="P61" s="39" t="str">
        <f t="shared" si="54"/>
        <v>0</v>
      </c>
      <c r="Q61" s="39" t="str">
        <f t="shared" si="55"/>
        <v>0</v>
      </c>
      <c r="R61" s="7">
        <v>0</v>
      </c>
      <c r="S61" s="39">
        <f t="shared" si="56"/>
        <v>400</v>
      </c>
      <c r="T61" s="47">
        <f t="shared" si="57"/>
        <v>280</v>
      </c>
      <c r="U61" s="45"/>
    </row>
    <row r="62" spans="1:21" x14ac:dyDescent="0.25">
      <c r="A62" s="130"/>
      <c r="B62" s="39" t="s">
        <v>0</v>
      </c>
      <c r="C62" s="81" t="s">
        <v>123</v>
      </c>
      <c r="D62" s="81">
        <v>900</v>
      </c>
      <c r="E62" s="81">
        <v>127</v>
      </c>
      <c r="F62" s="1">
        <f>D62/E62</f>
        <v>7.0866141732283463</v>
      </c>
      <c r="G62" s="81" t="s">
        <v>178</v>
      </c>
      <c r="H62" s="114">
        <v>2</v>
      </c>
      <c r="I62" s="7" t="s">
        <v>93</v>
      </c>
      <c r="J62" s="1">
        <v>4.84</v>
      </c>
      <c r="K62" s="1">
        <v>9.2899999999999991</v>
      </c>
      <c r="L62" s="39" t="str">
        <f t="shared" si="52"/>
        <v>-</v>
      </c>
      <c r="M62" s="39">
        <v>1</v>
      </c>
      <c r="N62" s="7">
        <v>1</v>
      </c>
      <c r="O62" s="39" t="str">
        <f t="shared" si="53"/>
        <v>0</v>
      </c>
      <c r="P62" s="39">
        <f t="shared" si="54"/>
        <v>1</v>
      </c>
      <c r="Q62" s="39" t="str">
        <f t="shared" si="55"/>
        <v>0</v>
      </c>
      <c r="R62" s="7">
        <v>6500</v>
      </c>
      <c r="S62" s="39">
        <f t="shared" si="56"/>
        <v>7100</v>
      </c>
      <c r="T62" s="47">
        <f t="shared" si="57"/>
        <v>100</v>
      </c>
      <c r="U62" s="45"/>
    </row>
    <row r="63" spans="1:21" x14ac:dyDescent="0.25">
      <c r="A63" s="130"/>
      <c r="B63" s="39" t="s">
        <v>1</v>
      </c>
      <c r="C63" s="81" t="s">
        <v>123</v>
      </c>
      <c r="D63" s="81">
        <v>900</v>
      </c>
      <c r="E63" s="81">
        <v>127</v>
      </c>
      <c r="F63" s="1">
        <f t="shared" ref="F63:F71" si="58">D63/E63</f>
        <v>7.0866141732283463</v>
      </c>
      <c r="G63" s="81" t="s">
        <v>179</v>
      </c>
      <c r="H63" s="114">
        <v>3</v>
      </c>
      <c r="I63" s="7" t="s">
        <v>94</v>
      </c>
      <c r="J63" s="1">
        <v>17</v>
      </c>
      <c r="K63" s="1">
        <v>16.809999999999999</v>
      </c>
      <c r="L63" s="39">
        <f t="shared" si="52"/>
        <v>4</v>
      </c>
      <c r="M63" s="39">
        <v>4</v>
      </c>
      <c r="N63" s="7">
        <v>0</v>
      </c>
      <c r="O63" s="39">
        <f t="shared" si="53"/>
        <v>4</v>
      </c>
      <c r="P63" s="39" t="str">
        <f t="shared" si="54"/>
        <v>0</v>
      </c>
      <c r="Q63" s="39" t="str">
        <f t="shared" si="55"/>
        <v>0</v>
      </c>
      <c r="R63" s="7">
        <v>0</v>
      </c>
      <c r="S63" s="39">
        <f t="shared" si="56"/>
        <v>400</v>
      </c>
      <c r="T63" s="47">
        <f t="shared" si="57"/>
        <v>280</v>
      </c>
      <c r="U63" s="45"/>
    </row>
    <row r="64" spans="1:21" x14ac:dyDescent="0.25">
      <c r="A64" s="130"/>
      <c r="B64" s="39" t="s">
        <v>2</v>
      </c>
      <c r="C64" s="81" t="s">
        <v>123</v>
      </c>
      <c r="D64" s="81">
        <v>980</v>
      </c>
      <c r="E64" s="81">
        <v>127</v>
      </c>
      <c r="F64" s="1">
        <f t="shared" si="58"/>
        <v>7.7165354330708658</v>
      </c>
      <c r="G64" s="81" t="s">
        <v>180</v>
      </c>
      <c r="I64" s="7" t="s">
        <v>101</v>
      </c>
      <c r="J64" s="1">
        <v>3.31</v>
      </c>
      <c r="K64" s="1">
        <v>7.92</v>
      </c>
      <c r="L64" s="39">
        <f t="shared" si="52"/>
        <v>2</v>
      </c>
      <c r="M64" s="39">
        <v>2</v>
      </c>
      <c r="N64" s="7">
        <v>0</v>
      </c>
      <c r="O64" s="39">
        <f t="shared" si="53"/>
        <v>2</v>
      </c>
      <c r="P64" s="39" t="str">
        <f t="shared" si="54"/>
        <v>0</v>
      </c>
      <c r="Q64" s="39" t="str">
        <f t="shared" si="55"/>
        <v>0</v>
      </c>
      <c r="R64" s="7">
        <v>0</v>
      </c>
      <c r="S64" s="39">
        <f t="shared" si="56"/>
        <v>200</v>
      </c>
      <c r="T64" s="47">
        <f t="shared" si="57"/>
        <v>100</v>
      </c>
      <c r="U64" s="45"/>
    </row>
    <row r="65" spans="1:21" x14ac:dyDescent="0.25">
      <c r="A65" s="130"/>
      <c r="B65" s="39" t="s">
        <v>3</v>
      </c>
      <c r="C65" s="81" t="s">
        <v>127</v>
      </c>
      <c r="D65" s="81">
        <v>1600</v>
      </c>
      <c r="E65" s="81">
        <v>127</v>
      </c>
      <c r="F65" s="1">
        <f t="shared" si="58"/>
        <v>12.598425196850394</v>
      </c>
      <c r="G65" s="81" t="s">
        <v>181</v>
      </c>
      <c r="I65" s="7" t="s">
        <v>97</v>
      </c>
      <c r="J65" s="1">
        <v>3.39</v>
      </c>
      <c r="K65" s="1">
        <v>7.98</v>
      </c>
      <c r="L65" s="39">
        <f t="shared" si="52"/>
        <v>2</v>
      </c>
      <c r="M65" s="39">
        <v>2</v>
      </c>
      <c r="N65" s="7">
        <v>0</v>
      </c>
      <c r="O65" s="39">
        <f t="shared" si="53"/>
        <v>2</v>
      </c>
      <c r="P65" s="39" t="str">
        <f t="shared" si="54"/>
        <v>0</v>
      </c>
      <c r="Q65" s="39" t="str">
        <f t="shared" si="55"/>
        <v>0</v>
      </c>
      <c r="R65" s="7">
        <v>0</v>
      </c>
      <c r="S65" s="39">
        <f t="shared" si="56"/>
        <v>200</v>
      </c>
      <c r="T65" s="47">
        <f t="shared" si="57"/>
        <v>100</v>
      </c>
      <c r="U65" s="45"/>
    </row>
    <row r="66" spans="1:21" x14ac:dyDescent="0.25">
      <c r="A66" s="130"/>
      <c r="B66" s="39" t="s">
        <v>18</v>
      </c>
      <c r="C66" s="81" t="s">
        <v>127</v>
      </c>
      <c r="D66" s="81">
        <v>1700</v>
      </c>
      <c r="E66" s="81">
        <v>127</v>
      </c>
      <c r="F66" s="1">
        <f t="shared" si="58"/>
        <v>13.385826771653543</v>
      </c>
      <c r="G66" s="81" t="s">
        <v>182</v>
      </c>
      <c r="I66" s="7" t="s">
        <v>95</v>
      </c>
      <c r="J66" s="1">
        <v>11.82</v>
      </c>
      <c r="K66" s="1">
        <v>16.36</v>
      </c>
      <c r="L66" s="39">
        <f t="shared" si="52"/>
        <v>5</v>
      </c>
      <c r="M66" s="39">
        <v>5</v>
      </c>
      <c r="N66" s="7">
        <v>0</v>
      </c>
      <c r="O66" s="39">
        <f t="shared" si="53"/>
        <v>2</v>
      </c>
      <c r="P66" s="39">
        <f t="shared" si="54"/>
        <v>3</v>
      </c>
      <c r="Q66" s="39" t="str">
        <f t="shared" si="55"/>
        <v>0</v>
      </c>
      <c r="R66" s="7">
        <v>0</v>
      </c>
      <c r="S66" s="39">
        <f t="shared" si="56"/>
        <v>2000</v>
      </c>
      <c r="T66" s="47">
        <f t="shared" si="57"/>
        <v>220</v>
      </c>
      <c r="U66" s="45"/>
    </row>
    <row r="67" spans="1:21" x14ac:dyDescent="0.25">
      <c r="A67" s="130"/>
      <c r="B67" s="39" t="s">
        <v>19</v>
      </c>
      <c r="C67" s="81" t="s">
        <v>127</v>
      </c>
      <c r="D67" s="81">
        <v>1800</v>
      </c>
      <c r="E67" s="81">
        <v>127</v>
      </c>
      <c r="F67" s="1">
        <f t="shared" si="58"/>
        <v>14.173228346456693</v>
      </c>
      <c r="G67" s="81" t="s">
        <v>170</v>
      </c>
      <c r="I67" s="7" t="s">
        <v>96</v>
      </c>
      <c r="J67" s="1">
        <v>26.78</v>
      </c>
      <c r="K67" s="1">
        <v>23.55</v>
      </c>
      <c r="L67" s="39">
        <f t="shared" si="52"/>
        <v>5</v>
      </c>
      <c r="M67" s="39">
        <v>5</v>
      </c>
      <c r="N67" s="7">
        <v>0</v>
      </c>
      <c r="O67" s="39">
        <f t="shared" si="53"/>
        <v>5</v>
      </c>
      <c r="P67" s="39" t="str">
        <f t="shared" si="54"/>
        <v>0</v>
      </c>
      <c r="Q67" s="39" t="str">
        <f t="shared" si="55"/>
        <v>0</v>
      </c>
      <c r="R67" s="7">
        <v>0</v>
      </c>
      <c r="S67" s="39">
        <f t="shared" si="56"/>
        <v>500</v>
      </c>
      <c r="T67" s="47">
        <f t="shared" si="57"/>
        <v>460</v>
      </c>
      <c r="U67" s="45"/>
    </row>
    <row r="68" spans="1:21" x14ac:dyDescent="0.25">
      <c r="A68" s="130"/>
      <c r="B68" s="39" t="s">
        <v>21</v>
      </c>
      <c r="C68" s="81" t="s">
        <v>127</v>
      </c>
      <c r="D68" s="81">
        <v>1800</v>
      </c>
      <c r="E68" s="81">
        <v>127</v>
      </c>
      <c r="F68" s="1">
        <f t="shared" si="58"/>
        <v>14.173228346456693</v>
      </c>
      <c r="G68" s="81" t="s">
        <v>134</v>
      </c>
      <c r="I68" s="7" t="s">
        <v>98</v>
      </c>
      <c r="J68" s="1">
        <v>32.049999999999997</v>
      </c>
      <c r="K68" s="1">
        <v>36.130000000000003</v>
      </c>
      <c r="L68" s="39">
        <f t="shared" si="52"/>
        <v>8</v>
      </c>
      <c r="M68" s="39">
        <v>8</v>
      </c>
      <c r="N68" s="7">
        <v>0</v>
      </c>
      <c r="O68" s="39">
        <f t="shared" si="53"/>
        <v>8</v>
      </c>
      <c r="P68" s="39" t="str">
        <f t="shared" si="54"/>
        <v>0</v>
      </c>
      <c r="Q68" s="39" t="str">
        <f t="shared" si="55"/>
        <v>0</v>
      </c>
      <c r="R68" s="7">
        <v>0</v>
      </c>
      <c r="S68" s="39">
        <f t="shared" si="56"/>
        <v>800</v>
      </c>
      <c r="T68" s="47">
        <f t="shared" si="57"/>
        <v>520</v>
      </c>
      <c r="U68" s="45"/>
    </row>
    <row r="69" spans="1:21" x14ac:dyDescent="0.25">
      <c r="A69" s="130"/>
      <c r="B69" s="39" t="s">
        <v>40</v>
      </c>
      <c r="C69" s="81" t="s">
        <v>82</v>
      </c>
      <c r="D69" s="81">
        <v>6500</v>
      </c>
      <c r="E69" s="81">
        <v>220</v>
      </c>
      <c r="F69" s="1">
        <f t="shared" si="58"/>
        <v>29.545454545454547</v>
      </c>
      <c r="G69" s="81" t="s">
        <v>137</v>
      </c>
      <c r="H69" s="114">
        <v>3</v>
      </c>
      <c r="I69" s="91" t="s">
        <v>93</v>
      </c>
      <c r="J69" s="168">
        <v>1.91</v>
      </c>
      <c r="K69" s="168">
        <v>5.75</v>
      </c>
      <c r="L69" s="38" t="str">
        <f t="shared" si="52"/>
        <v>-</v>
      </c>
      <c r="M69" s="38">
        <v>1</v>
      </c>
      <c r="N69" s="91">
        <v>0</v>
      </c>
      <c r="O69" s="38" t="str">
        <f t="shared" si="53"/>
        <v>0</v>
      </c>
      <c r="P69" s="38">
        <f t="shared" si="54"/>
        <v>1</v>
      </c>
      <c r="Q69" s="38" t="str">
        <f t="shared" si="55"/>
        <v>0</v>
      </c>
      <c r="R69" s="91">
        <v>0</v>
      </c>
      <c r="S69" s="38">
        <f t="shared" si="56"/>
        <v>600</v>
      </c>
      <c r="T69" s="92">
        <f t="shared" si="57"/>
        <v>100</v>
      </c>
      <c r="U69" s="45"/>
    </row>
    <row r="70" spans="1:21" x14ac:dyDescent="0.25">
      <c r="A70" s="130"/>
      <c r="B70" s="39" t="s">
        <v>41</v>
      </c>
      <c r="C70" s="81" t="s">
        <v>82</v>
      </c>
      <c r="D70" s="81">
        <v>6500</v>
      </c>
      <c r="E70" s="81">
        <v>220</v>
      </c>
      <c r="F70" s="1">
        <f t="shared" si="58"/>
        <v>29.545454545454547</v>
      </c>
      <c r="G70" s="81" t="s">
        <v>138</v>
      </c>
      <c r="I70" s="65" t="s">
        <v>62</v>
      </c>
      <c r="J70" s="107">
        <f>SUM(J59:J69)</f>
        <v>152.69000000000003</v>
      </c>
      <c r="K70" s="107" t="s">
        <v>83</v>
      </c>
      <c r="L70" s="106">
        <f t="shared" ref="L70" si="59">SUM(L59:L69)</f>
        <v>36</v>
      </c>
      <c r="M70" s="106">
        <f t="shared" ref="M70" si="60">SUM(M59:M69)</f>
        <v>39</v>
      </c>
      <c r="N70" s="165">
        <f t="shared" ref="N70" si="61">SUM(N59:N69)</f>
        <v>3</v>
      </c>
      <c r="O70" s="165">
        <f t="shared" ref="O70" si="62">SUM(O59:O69)</f>
        <v>33</v>
      </c>
      <c r="P70" s="165">
        <f t="shared" ref="P70" si="63">SUM(P59:P69)</f>
        <v>6</v>
      </c>
      <c r="Q70" s="165">
        <f t="shared" ref="Q70" si="64">SUM(Q59:Q69)</f>
        <v>0</v>
      </c>
      <c r="R70" s="165" t="s">
        <v>83</v>
      </c>
      <c r="S70" s="106">
        <f t="shared" ref="S70" si="65">SUM(S59:S69)</f>
        <v>22000</v>
      </c>
      <c r="T70" s="106">
        <f t="shared" ref="T70" si="66">SUM(T59:T69)</f>
        <v>2780</v>
      </c>
      <c r="U70" s="104">
        <f>S70+T70</f>
        <v>24780</v>
      </c>
    </row>
    <row r="71" spans="1:21" x14ac:dyDescent="0.25">
      <c r="A71" s="130"/>
      <c r="B71" s="39" t="s">
        <v>42</v>
      </c>
      <c r="C71" s="81" t="s">
        <v>82</v>
      </c>
      <c r="D71" s="81">
        <v>2100</v>
      </c>
      <c r="E71" s="81">
        <v>220</v>
      </c>
      <c r="F71" s="1">
        <f t="shared" si="58"/>
        <v>9.545454545454545</v>
      </c>
      <c r="G71" s="81" t="s">
        <v>183</v>
      </c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45"/>
    </row>
    <row r="72" spans="1:21" x14ac:dyDescent="0.25">
      <c r="A72" s="130"/>
      <c r="B72" s="80" t="s">
        <v>62</v>
      </c>
      <c r="C72" s="79" t="s">
        <v>83</v>
      </c>
      <c r="D72" s="79">
        <f>SUM(D62:D71)</f>
        <v>24780</v>
      </c>
      <c r="E72" s="79" t="s">
        <v>83</v>
      </c>
      <c r="F72" s="79" t="s">
        <v>83</v>
      </c>
      <c r="G72" s="79" t="s">
        <v>83</v>
      </c>
      <c r="I72" s="88" t="s">
        <v>189</v>
      </c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45"/>
    </row>
    <row r="73" spans="1:21" x14ac:dyDescent="0.25">
      <c r="A73" s="132"/>
      <c r="B73" s="132"/>
      <c r="C73" s="132"/>
      <c r="D73" s="132"/>
      <c r="E73" s="132"/>
      <c r="F73" s="132"/>
      <c r="G73" s="132"/>
      <c r="I73" s="7" t="s">
        <v>114</v>
      </c>
      <c r="J73" s="1">
        <v>17.03</v>
      </c>
      <c r="K73" s="1">
        <v>24.69</v>
      </c>
      <c r="L73" s="39">
        <f>IF(OR(I73="COZINHA",I73="COPA",I73="ÁREADESERVIÇO"),ROUNDUP(K73/(3.5),0),IF(OR(I73="ESCADA",I73="BANHEIRO"),"-",IF(OR(I73="VARANDA",I73="GARAGEM"),1,ROUNDUP(K73/5,0))))</f>
        <v>5</v>
      </c>
      <c r="M73" s="39">
        <v>1</v>
      </c>
      <c r="N73" s="7">
        <v>0</v>
      </c>
      <c r="O73" s="39">
        <f>IF(OR(I73="COZINHA",I73="COPA",I73="ÁREADESERVIÇO",I73="BANHEIRO")*AND(M73&gt;3),M73-3,IF(OR(I73="COZINHA",I73="COPA",I73="ÁREADESERVIÇO",I73="BANHEIRO")*AND(M73&lt;=3),"0",IF(OR(I73="VARANDA",I73="GARAGEM"),"0",(M73))))</f>
        <v>1</v>
      </c>
      <c r="P73" s="39" t="str">
        <f>IF(OR(I73="COZINHA",I73="COPA",I73="ÁREADESERVIÇO",I73="BANHEIRO")*AND(M73&gt;=3),3,IF(OR(I73="COZINHA",I73="COPA",I73="ÁREADESERVIÇO",I73="BANHEIRO")*AND(M73&lt;3),M73,"0"))</f>
        <v>0</v>
      </c>
      <c r="Q73" s="39" t="str">
        <f>IF(OR(I73="VARANDA",I73="GARAGEM"),1,"0")</f>
        <v>0</v>
      </c>
      <c r="R73" s="7">
        <v>0</v>
      </c>
      <c r="S73" s="39">
        <f t="shared" ref="S73:S74" si="67">O73*$O$2+$P$2*P73+Q73*$Q$2+R73*N73</f>
        <v>100</v>
      </c>
      <c r="T73" s="47">
        <f t="shared" ref="T73:T74" si="68">IF(J73&lt;=6,100,100+ROUNDUP((J73-6)/4,0)*60)</f>
        <v>280</v>
      </c>
      <c r="U73" s="45"/>
    </row>
    <row r="74" spans="1:21" x14ac:dyDescent="0.25">
      <c r="A74" s="161" t="s">
        <v>184</v>
      </c>
      <c r="B74" s="162" t="s">
        <v>203</v>
      </c>
      <c r="C74" s="162"/>
      <c r="D74" s="162"/>
      <c r="E74" s="162"/>
      <c r="F74" s="162"/>
      <c r="G74" s="162"/>
      <c r="I74" s="91" t="s">
        <v>102</v>
      </c>
      <c r="J74" s="1">
        <v>10.68</v>
      </c>
      <c r="K74" s="1">
        <v>13.71</v>
      </c>
      <c r="L74" s="39" t="str">
        <f>IF(OR(I74="COZINHA",I74="COPA",I74="ÁREADESERVIÇO"),ROUNDUP(K74/(3.5),0),IF(OR(I74="ESCADA",I74="BANHEIRO"),"-",IF(OR(I74="VARANDA",I74="GARAGEM"),1,ROUNDUP(K74/5,0))))</f>
        <v>-</v>
      </c>
      <c r="M74" s="39">
        <v>0</v>
      </c>
      <c r="N74" s="7">
        <v>0</v>
      </c>
      <c r="O74" s="39">
        <f>IF(OR(I74="COZINHA",I74="COPA",I74="ÁREADESERVIÇO",I74="BANHEIRO")*AND(M74&gt;3),M74-3,IF(OR(I74="COZINHA",I74="COPA",I74="ÁREADESERVIÇO",I74="BANHEIRO")*AND(M74&lt;=3),"0",IF(OR(I74="VARANDA",I74="GARAGEM"),"0",(M74))))</f>
        <v>0</v>
      </c>
      <c r="P74" s="39" t="str">
        <f>IF(OR(I74="COZINHA",I74="COPA",I74="ÁREADESERVIÇO",I74="BANHEIRO")*AND(M74&gt;=3),3,IF(OR(I74="COZINHA",I74="COPA",I74="ÁREADESERVIÇO",I74="BANHEIRO")*AND(M74&lt;3),M74,"0"))</f>
        <v>0</v>
      </c>
      <c r="Q74" s="39" t="str">
        <f>IF(OR(I74="VARANDA",I74="GARAGEM"),1,"0")</f>
        <v>0</v>
      </c>
      <c r="R74" s="7">
        <v>0</v>
      </c>
      <c r="S74" s="39">
        <f t="shared" si="67"/>
        <v>0</v>
      </c>
      <c r="T74" s="47">
        <f t="shared" si="68"/>
        <v>220</v>
      </c>
      <c r="U74" s="45"/>
    </row>
    <row r="75" spans="1:21" x14ac:dyDescent="0.25">
      <c r="A75" s="161"/>
      <c r="B75" s="162"/>
      <c r="C75" s="162"/>
      <c r="D75" s="162"/>
      <c r="E75" s="162"/>
      <c r="F75" s="162"/>
      <c r="G75" s="162"/>
      <c r="I75" s="169" t="s">
        <v>62</v>
      </c>
      <c r="J75" s="107">
        <f>SUM(J73:J74)</f>
        <v>27.71</v>
      </c>
      <c r="K75" s="107" t="s">
        <v>83</v>
      </c>
      <c r="L75" s="106">
        <f t="shared" ref="L75" si="69">SUM(L73:L74)</f>
        <v>5</v>
      </c>
      <c r="M75" s="106">
        <f t="shared" ref="M75" si="70">SUM(M73:M74)</f>
        <v>1</v>
      </c>
      <c r="N75" s="165">
        <f t="shared" ref="N75" si="71">SUM(N73:N74)</f>
        <v>0</v>
      </c>
      <c r="O75" s="165">
        <f t="shared" ref="O75" si="72">SUM(O73:O74)</f>
        <v>1</v>
      </c>
      <c r="P75" s="165">
        <f t="shared" ref="P75" si="73">SUM(P73:P74)</f>
        <v>0</v>
      </c>
      <c r="Q75" s="165">
        <f t="shared" ref="Q75" si="74">SUM(Q73:Q74)</f>
        <v>0</v>
      </c>
      <c r="R75" s="165" t="s">
        <v>83</v>
      </c>
      <c r="S75" s="106">
        <f t="shared" ref="S75" si="75">SUM(S73:S74)</f>
        <v>100</v>
      </c>
      <c r="T75" s="106">
        <f t="shared" ref="T75" si="76">SUM(T73:T74)</f>
        <v>500</v>
      </c>
      <c r="U75" s="104">
        <f>S75+T75</f>
        <v>600</v>
      </c>
    </row>
    <row r="76" spans="1:21" x14ac:dyDescent="0.25">
      <c r="A76" s="132"/>
      <c r="B76" s="132"/>
      <c r="C76" s="132"/>
      <c r="D76" s="132"/>
      <c r="E76" s="132"/>
      <c r="F76" s="132"/>
      <c r="G76" s="132"/>
      <c r="I76" s="170"/>
      <c r="J76" s="12"/>
      <c r="K76" s="12"/>
      <c r="L76" s="83"/>
      <c r="M76" s="83"/>
      <c r="N76" s="11"/>
      <c r="O76" s="83"/>
      <c r="P76" s="83"/>
      <c r="Q76" s="83"/>
      <c r="R76" s="11"/>
      <c r="S76" s="83"/>
      <c r="T76" s="85"/>
      <c r="U76" s="45"/>
    </row>
    <row r="77" spans="1:21" ht="15" customHeight="1" x14ac:dyDescent="0.25">
      <c r="A77" s="145" t="s">
        <v>192</v>
      </c>
      <c r="B77" s="65" t="s">
        <v>4</v>
      </c>
      <c r="C77" s="65" t="s">
        <v>5</v>
      </c>
      <c r="D77" s="65" t="s">
        <v>6</v>
      </c>
      <c r="E77" s="65" t="s">
        <v>7</v>
      </c>
      <c r="F77" s="65" t="s">
        <v>8</v>
      </c>
      <c r="G77" s="65" t="s">
        <v>71</v>
      </c>
      <c r="I77" s="87" t="s">
        <v>191</v>
      </c>
      <c r="J77" s="12"/>
      <c r="K77" s="12"/>
      <c r="L77" s="83"/>
      <c r="M77" s="83"/>
      <c r="N77" s="11"/>
      <c r="O77" s="83"/>
      <c r="P77" s="83"/>
      <c r="Q77" s="83"/>
      <c r="R77" s="11"/>
      <c r="S77" s="83"/>
      <c r="T77" s="85"/>
      <c r="U77" s="45"/>
    </row>
    <row r="78" spans="1:21" x14ac:dyDescent="0.25">
      <c r="A78" s="146"/>
      <c r="B78" s="39" t="s">
        <v>0</v>
      </c>
      <c r="C78" s="7" t="s">
        <v>123</v>
      </c>
      <c r="D78" s="39">
        <v>940</v>
      </c>
      <c r="E78" s="7">
        <v>127</v>
      </c>
      <c r="F78" s="1">
        <f t="shared" ref="F78:F85" si="77">D78/E78</f>
        <v>7.4015748031496065</v>
      </c>
      <c r="G78" s="39" t="s">
        <v>132</v>
      </c>
      <c r="I78" s="82" t="s">
        <v>112</v>
      </c>
      <c r="J78" s="46">
        <v>18.88</v>
      </c>
      <c r="K78" s="46">
        <v>22.37</v>
      </c>
      <c r="L78" s="39">
        <f t="shared" ref="L78:L85" si="78">IF(OR(I78="COZINHA",I78="COPA",I78="ÁREADESERVIÇO"),ROUNDUP(K78/(3.5),0),IF(OR(I78="ESCADA",I78="BANHEIRO"),"-",IF(OR(I78="VARANDA",I78="GARAGEM"),1,ROUNDUP(K78/5,0))))</f>
        <v>5</v>
      </c>
      <c r="M78" s="39">
        <v>5</v>
      </c>
      <c r="N78" s="7">
        <v>0</v>
      </c>
      <c r="O78" s="39">
        <f t="shared" ref="O78:O85" si="79">IF(OR(I78="COZINHA",I78="COPA",I78="ÁREADESERVIÇO",I78="BANHEIRO")*AND(M78&gt;3),M78-3,IF(OR(I78="COZINHA",I78="COPA",I78="ÁREADESERVIÇO",I78="BANHEIRO")*AND(M78&lt;=3),"0",IF(OR(I78="VARANDA",I78="GARAGEM"),"0",(M78))))</f>
        <v>5</v>
      </c>
      <c r="P78" s="39" t="str">
        <f t="shared" ref="P78:P85" si="80">IF(OR(I78="COZINHA",I78="COPA",I78="ÁREADESERVIÇO",I78="BANHEIRO")*AND(M78&gt;=3),3,IF(OR(I78="COZINHA",I78="COPA",I78="ÁREADESERVIÇO",I78="BANHEIRO")*AND(M78&lt;3),M78,"0"))</f>
        <v>0</v>
      </c>
      <c r="Q78" s="39" t="str">
        <f t="shared" ref="Q78:Q85" si="81">IF(OR(I78="VARANDA",I78="GARAGEM"),1,"0")</f>
        <v>0</v>
      </c>
      <c r="R78" s="7"/>
      <c r="S78" s="39">
        <f t="shared" ref="S78:S85" si="82">O78*$O$2+$P$2*P78+Q78*$Q$2+R78*N78</f>
        <v>500</v>
      </c>
      <c r="T78" s="47">
        <f t="shared" ref="T78:T85" si="83">IF(J78&lt;=6,100,100+ROUNDUP((J78-6)/4,0)*60)</f>
        <v>340</v>
      </c>
      <c r="U78" s="45"/>
    </row>
    <row r="79" spans="1:21" x14ac:dyDescent="0.25">
      <c r="A79" s="146"/>
      <c r="B79" s="39" t="s">
        <v>1</v>
      </c>
      <c r="C79" s="7" t="s">
        <v>123</v>
      </c>
      <c r="D79" s="39">
        <v>940</v>
      </c>
      <c r="E79" s="7">
        <v>127</v>
      </c>
      <c r="F79" s="1">
        <f t="shared" si="77"/>
        <v>7.4015748031496065</v>
      </c>
      <c r="G79" s="39" t="s">
        <v>133</v>
      </c>
      <c r="I79" s="39" t="s">
        <v>113</v>
      </c>
      <c r="J79" s="46">
        <v>16</v>
      </c>
      <c r="K79" s="46">
        <v>16.100000000000001</v>
      </c>
      <c r="L79" s="39">
        <f t="shared" si="78"/>
        <v>4</v>
      </c>
      <c r="M79" s="39">
        <v>4</v>
      </c>
      <c r="N79" s="7">
        <v>0</v>
      </c>
      <c r="O79" s="39">
        <f t="shared" si="79"/>
        <v>4</v>
      </c>
      <c r="P79" s="39" t="str">
        <f t="shared" si="80"/>
        <v>0</v>
      </c>
      <c r="Q79" s="39" t="str">
        <f t="shared" si="81"/>
        <v>0</v>
      </c>
      <c r="R79" s="7"/>
      <c r="S79" s="39">
        <f t="shared" si="82"/>
        <v>400</v>
      </c>
      <c r="T79" s="47">
        <f t="shared" si="83"/>
        <v>280</v>
      </c>
      <c r="U79" s="45"/>
    </row>
    <row r="80" spans="1:21" x14ac:dyDescent="0.25">
      <c r="A80" s="146"/>
      <c r="B80" s="39" t="s">
        <v>2</v>
      </c>
      <c r="C80" s="7" t="s">
        <v>127</v>
      </c>
      <c r="D80" s="39">
        <v>2000</v>
      </c>
      <c r="E80" s="7">
        <v>127</v>
      </c>
      <c r="F80" s="1">
        <f t="shared" si="77"/>
        <v>15.748031496062993</v>
      </c>
      <c r="G80" s="39" t="s">
        <v>134</v>
      </c>
      <c r="H80" s="114">
        <v>1</v>
      </c>
      <c r="I80" s="39" t="s">
        <v>94</v>
      </c>
      <c r="J80" s="46">
        <v>18.39</v>
      </c>
      <c r="K80" s="46">
        <v>21</v>
      </c>
      <c r="L80" s="39">
        <f t="shared" si="78"/>
        <v>5</v>
      </c>
      <c r="M80" s="39">
        <v>5</v>
      </c>
      <c r="N80" s="7">
        <v>0</v>
      </c>
      <c r="O80" s="39">
        <f t="shared" si="79"/>
        <v>5</v>
      </c>
      <c r="P80" s="39" t="str">
        <f t="shared" si="80"/>
        <v>0</v>
      </c>
      <c r="Q80" s="39" t="str">
        <f t="shared" si="81"/>
        <v>0</v>
      </c>
      <c r="R80" s="7"/>
      <c r="S80" s="39">
        <f t="shared" si="82"/>
        <v>500</v>
      </c>
      <c r="T80" s="47">
        <f t="shared" si="83"/>
        <v>340</v>
      </c>
      <c r="U80" s="45"/>
    </row>
    <row r="81" spans="1:21" x14ac:dyDescent="0.25">
      <c r="A81" s="146"/>
      <c r="B81" s="39" t="s">
        <v>3</v>
      </c>
      <c r="C81" s="7" t="s">
        <v>127</v>
      </c>
      <c r="D81" s="39">
        <v>2000</v>
      </c>
      <c r="E81" s="7">
        <v>127</v>
      </c>
      <c r="F81" s="1">
        <f t="shared" si="77"/>
        <v>15.748031496062993</v>
      </c>
      <c r="G81" s="39" t="s">
        <v>135</v>
      </c>
      <c r="H81" s="114">
        <v>1</v>
      </c>
      <c r="I81" s="39" t="s">
        <v>93</v>
      </c>
      <c r="J81" s="46">
        <v>3.57</v>
      </c>
      <c r="K81" s="46" t="s">
        <v>83</v>
      </c>
      <c r="L81" s="39" t="str">
        <f t="shared" si="78"/>
        <v>-</v>
      </c>
      <c r="M81" s="39">
        <v>1</v>
      </c>
      <c r="N81" s="7">
        <v>1</v>
      </c>
      <c r="O81" s="39" t="str">
        <f t="shared" si="79"/>
        <v>0</v>
      </c>
      <c r="P81" s="39">
        <f t="shared" si="80"/>
        <v>1</v>
      </c>
      <c r="Q81" s="39" t="str">
        <f t="shared" si="81"/>
        <v>0</v>
      </c>
      <c r="R81" s="7">
        <v>6500</v>
      </c>
      <c r="S81" s="39">
        <f t="shared" si="82"/>
        <v>7100</v>
      </c>
      <c r="T81" s="47">
        <f t="shared" si="83"/>
        <v>100</v>
      </c>
      <c r="U81" s="45"/>
    </row>
    <row r="82" spans="1:21" x14ac:dyDescent="0.25">
      <c r="A82" s="146"/>
      <c r="B82" s="39" t="s">
        <v>18</v>
      </c>
      <c r="C82" s="7" t="s">
        <v>127</v>
      </c>
      <c r="D82" s="39">
        <v>1700</v>
      </c>
      <c r="E82" s="7">
        <v>127</v>
      </c>
      <c r="F82" s="1">
        <f t="shared" si="77"/>
        <v>13.385826771653543</v>
      </c>
      <c r="G82" s="39" t="s">
        <v>136</v>
      </c>
      <c r="H82" s="114">
        <v>2</v>
      </c>
      <c r="I82" s="39" t="s">
        <v>94</v>
      </c>
      <c r="J82" s="46">
        <v>26</v>
      </c>
      <c r="K82" s="46">
        <v>25</v>
      </c>
      <c r="L82" s="39">
        <f t="shared" si="78"/>
        <v>5</v>
      </c>
      <c r="M82" s="39">
        <v>5</v>
      </c>
      <c r="N82" s="7">
        <v>1</v>
      </c>
      <c r="O82" s="39">
        <f t="shared" si="79"/>
        <v>5</v>
      </c>
      <c r="P82" s="39" t="str">
        <f t="shared" si="80"/>
        <v>0</v>
      </c>
      <c r="Q82" s="39" t="str">
        <f t="shared" si="81"/>
        <v>0</v>
      </c>
      <c r="R82" s="7">
        <v>2100</v>
      </c>
      <c r="S82" s="39">
        <f t="shared" si="82"/>
        <v>2600</v>
      </c>
      <c r="T82" s="47">
        <f t="shared" si="83"/>
        <v>400</v>
      </c>
      <c r="U82" s="45"/>
    </row>
    <row r="83" spans="1:21" x14ac:dyDescent="0.25">
      <c r="A83" s="146"/>
      <c r="B83" s="39" t="s">
        <v>19</v>
      </c>
      <c r="C83" s="7" t="s">
        <v>82</v>
      </c>
      <c r="D83" s="39">
        <v>6500</v>
      </c>
      <c r="E83" s="7">
        <v>220</v>
      </c>
      <c r="F83" s="1">
        <f t="shared" si="77"/>
        <v>29.545454545454547</v>
      </c>
      <c r="G83" s="39" t="s">
        <v>137</v>
      </c>
      <c r="H83" s="114">
        <v>2</v>
      </c>
      <c r="I83" s="39" t="s">
        <v>93</v>
      </c>
      <c r="J83" s="46">
        <v>4.3</v>
      </c>
      <c r="K83" s="46" t="s">
        <v>83</v>
      </c>
      <c r="L83" s="39" t="str">
        <f t="shared" si="78"/>
        <v>-</v>
      </c>
      <c r="M83" s="39">
        <v>1</v>
      </c>
      <c r="N83" s="7">
        <v>1</v>
      </c>
      <c r="O83" s="39" t="str">
        <f t="shared" si="79"/>
        <v>0</v>
      </c>
      <c r="P83" s="39">
        <f t="shared" si="80"/>
        <v>1</v>
      </c>
      <c r="Q83" s="39" t="str">
        <f t="shared" si="81"/>
        <v>0</v>
      </c>
      <c r="R83" s="7">
        <v>6500</v>
      </c>
      <c r="S83" s="39">
        <f t="shared" si="82"/>
        <v>7100</v>
      </c>
      <c r="T83" s="47">
        <f t="shared" si="83"/>
        <v>100</v>
      </c>
      <c r="U83" s="45"/>
    </row>
    <row r="84" spans="1:21" x14ac:dyDescent="0.25">
      <c r="A84" s="146"/>
      <c r="B84" s="39" t="s">
        <v>21</v>
      </c>
      <c r="C84" s="7" t="s">
        <v>82</v>
      </c>
      <c r="D84" s="39">
        <v>6500</v>
      </c>
      <c r="E84" s="7">
        <v>220</v>
      </c>
      <c r="F84" s="1">
        <f t="shared" si="77"/>
        <v>29.545454545454547</v>
      </c>
      <c r="G84" s="39" t="s">
        <v>138</v>
      </c>
      <c r="H84" s="114" t="s">
        <v>124</v>
      </c>
      <c r="I84" s="39" t="s">
        <v>93</v>
      </c>
      <c r="J84" s="46">
        <v>2.0099999999999998</v>
      </c>
      <c r="K84" s="46" t="s">
        <v>83</v>
      </c>
      <c r="L84" s="39" t="str">
        <f t="shared" si="78"/>
        <v>-</v>
      </c>
      <c r="M84" s="39">
        <v>1</v>
      </c>
      <c r="N84" s="7">
        <v>0</v>
      </c>
      <c r="O84" s="39" t="str">
        <f t="shared" si="79"/>
        <v>0</v>
      </c>
      <c r="P84" s="39">
        <f t="shared" si="80"/>
        <v>1</v>
      </c>
      <c r="Q84" s="39" t="str">
        <f t="shared" si="81"/>
        <v>0</v>
      </c>
      <c r="R84" s="7"/>
      <c r="S84" s="39">
        <f t="shared" si="82"/>
        <v>600</v>
      </c>
      <c r="T84" s="47">
        <f t="shared" si="83"/>
        <v>100</v>
      </c>
      <c r="U84" s="45"/>
    </row>
    <row r="85" spans="1:21" x14ac:dyDescent="0.25">
      <c r="A85" s="146"/>
      <c r="B85" s="39" t="s">
        <v>40</v>
      </c>
      <c r="C85" s="7" t="s">
        <v>82</v>
      </c>
      <c r="D85" s="39">
        <v>2100</v>
      </c>
      <c r="E85" s="7">
        <v>220</v>
      </c>
      <c r="F85" s="1">
        <f t="shared" si="77"/>
        <v>9.545454545454545</v>
      </c>
      <c r="G85" s="39" t="s">
        <v>99</v>
      </c>
      <c r="I85" s="39" t="s">
        <v>95</v>
      </c>
      <c r="J85" s="46">
        <v>12.16</v>
      </c>
      <c r="K85" s="46">
        <v>15.45</v>
      </c>
      <c r="L85" s="39">
        <f t="shared" si="78"/>
        <v>5</v>
      </c>
      <c r="M85" s="39">
        <v>5</v>
      </c>
      <c r="N85" s="7">
        <v>0</v>
      </c>
      <c r="O85" s="39">
        <f t="shared" si="79"/>
        <v>2</v>
      </c>
      <c r="P85" s="39">
        <f t="shared" si="80"/>
        <v>3</v>
      </c>
      <c r="Q85" s="39" t="str">
        <f t="shared" si="81"/>
        <v>0</v>
      </c>
      <c r="R85" s="7"/>
      <c r="S85" s="39">
        <f t="shared" si="82"/>
        <v>2000</v>
      </c>
      <c r="T85" s="47">
        <f t="shared" si="83"/>
        <v>220</v>
      </c>
      <c r="U85" s="45"/>
    </row>
    <row r="86" spans="1:21" x14ac:dyDescent="0.25">
      <c r="A86" s="147"/>
      <c r="B86" s="80" t="s">
        <v>62</v>
      </c>
      <c r="C86" s="65" t="s">
        <v>83</v>
      </c>
      <c r="D86" s="80">
        <f>SUM(D78:D85)</f>
        <v>22680</v>
      </c>
      <c r="E86" s="65" t="s">
        <v>83</v>
      </c>
      <c r="F86" s="107" t="s">
        <v>83</v>
      </c>
      <c r="G86" s="80" t="s">
        <v>83</v>
      </c>
      <c r="I86" s="65" t="s">
        <v>62</v>
      </c>
      <c r="J86" s="107">
        <f>SUM(J78:J85)</f>
        <v>101.31</v>
      </c>
      <c r="K86" s="107" t="s">
        <v>83</v>
      </c>
      <c r="L86" s="106">
        <f t="shared" ref="L86:Q86" si="84">SUM(L78:L85)</f>
        <v>24</v>
      </c>
      <c r="M86" s="106">
        <f t="shared" si="84"/>
        <v>27</v>
      </c>
      <c r="N86" s="165">
        <f t="shared" si="84"/>
        <v>3</v>
      </c>
      <c r="O86" s="165">
        <f t="shared" si="84"/>
        <v>21</v>
      </c>
      <c r="P86" s="165">
        <f t="shared" si="84"/>
        <v>6</v>
      </c>
      <c r="Q86" s="165">
        <f t="shared" si="84"/>
        <v>0</v>
      </c>
      <c r="R86" s="165" t="s">
        <v>83</v>
      </c>
      <c r="S86" s="106">
        <f>SUM(S78:S85)</f>
        <v>20800</v>
      </c>
      <c r="T86" s="106">
        <f>SUM(T78:T85)</f>
        <v>1880</v>
      </c>
      <c r="U86" s="9">
        <f>S86+T86</f>
        <v>22680</v>
      </c>
    </row>
    <row r="87" spans="1:21" ht="15" customHeight="1" x14ac:dyDescent="0.25">
      <c r="A87" s="148"/>
      <c r="B87" s="148"/>
      <c r="C87" s="148"/>
      <c r="D87" s="148"/>
      <c r="E87" s="148"/>
      <c r="F87" s="148"/>
      <c r="G87" s="148"/>
      <c r="I87" s="83"/>
      <c r="J87" s="86"/>
      <c r="K87" s="86"/>
      <c r="L87" s="83"/>
      <c r="M87" s="83"/>
      <c r="N87" s="11"/>
      <c r="O87" s="83"/>
      <c r="P87" s="83"/>
      <c r="Q87" s="83"/>
      <c r="R87" s="11"/>
      <c r="S87" s="83"/>
      <c r="T87" s="85"/>
      <c r="U87" s="45"/>
    </row>
    <row r="88" spans="1:21" ht="14.45" customHeight="1" x14ac:dyDescent="0.25">
      <c r="A88" s="130" t="s">
        <v>187</v>
      </c>
      <c r="B88" s="65" t="s">
        <v>4</v>
      </c>
      <c r="C88" s="65" t="s">
        <v>5</v>
      </c>
      <c r="D88" s="65" t="s">
        <v>6</v>
      </c>
      <c r="E88" s="65" t="s">
        <v>7</v>
      </c>
      <c r="F88" s="65" t="s">
        <v>8</v>
      </c>
      <c r="G88" s="65" t="s">
        <v>71</v>
      </c>
      <c r="I88" s="118" t="s">
        <v>190</v>
      </c>
      <c r="J88" s="86"/>
      <c r="K88" s="86"/>
      <c r="L88" s="83"/>
      <c r="M88" s="83"/>
      <c r="N88" s="11"/>
      <c r="O88" s="83"/>
      <c r="P88" s="83"/>
      <c r="Q88" s="83"/>
      <c r="R88" s="11"/>
      <c r="S88" s="83"/>
      <c r="T88" s="85"/>
      <c r="U88" s="45"/>
    </row>
    <row r="89" spans="1:21" x14ac:dyDescent="0.25">
      <c r="A89" s="130"/>
      <c r="B89" s="39" t="s">
        <v>0</v>
      </c>
      <c r="C89" s="7" t="s">
        <v>123</v>
      </c>
      <c r="D89" s="39">
        <v>1210</v>
      </c>
      <c r="E89" s="7">
        <v>127</v>
      </c>
      <c r="F89" s="1">
        <f t="shared" ref="F89" si="85">D89/E89</f>
        <v>9.5275590551181111</v>
      </c>
      <c r="G89" s="39" t="s">
        <v>194</v>
      </c>
      <c r="I89" s="39" t="s">
        <v>100</v>
      </c>
      <c r="J89" s="46">
        <v>12.81</v>
      </c>
      <c r="K89" s="46">
        <v>14.32</v>
      </c>
      <c r="L89" s="39">
        <f t="shared" ref="L89:L92" si="86">IF(OR(I89="COZINHA",I89="COPA",I89="ÁREADESERVIÇO"),ROUNDUP(K89/(3.5),0),IF(OR(I89="ESCADA",I89="BANHEIRO"),"-",IF(OR(I89="VARANDA",I89="GARAGEM"),1,ROUNDUP(K89/5,0))))</f>
        <v>5</v>
      </c>
      <c r="M89" s="39">
        <v>9</v>
      </c>
      <c r="N89" s="7">
        <v>0</v>
      </c>
      <c r="O89" s="39">
        <f t="shared" ref="O89:O91" si="87">IF(OR(I89="COZINHA",I89="COPA",I89="ÁREADESERVIÇO",I89="BANHEIRO")*AND(M89&gt;3),M89-3,IF(OR(I89="COZINHA",I89="COPA",I89="ÁREADESERVIÇO",I89="BANHEIRO")*AND(M89&lt;=3),"0",IF(OR(I89="VARANDA",I89="GARAGEM"),"0",(M89))))</f>
        <v>6</v>
      </c>
      <c r="P89" s="39">
        <f t="shared" ref="P89:P92" si="88">IF(OR(I89="COZINHA",I89="COPA",I89="ÁREADESERVIÇO",I89="BANHEIRO")*AND(M89&gt;=3),3,IF(OR(I89="COZINHA",I89="COPA",I89="ÁREADESERVIÇO",I89="BANHEIRO")*AND(M89&lt;3),M89,"0"))</f>
        <v>3</v>
      </c>
      <c r="Q89" s="39" t="str">
        <f t="shared" ref="Q89:Q92" si="89">IF(OR(I89="VARANDA",I89="GARAGEM"),1,"0")</f>
        <v>0</v>
      </c>
      <c r="R89" s="7"/>
      <c r="S89" s="39">
        <f t="shared" ref="S89:S92" si="90">O89*$O$2+$P$2*P89+Q89*$Q$2+R89*N89</f>
        <v>2400</v>
      </c>
      <c r="T89" s="47">
        <f t="shared" ref="T89:T92" si="91">IF(J89&lt;=6,100,100+ROUNDUP((J89-6)/4,0)*60)</f>
        <v>220</v>
      </c>
      <c r="U89" s="19"/>
    </row>
    <row r="90" spans="1:21" x14ac:dyDescent="0.25">
      <c r="A90" s="130"/>
      <c r="B90" s="39" t="s">
        <v>1</v>
      </c>
      <c r="C90" s="7" t="s">
        <v>123</v>
      </c>
      <c r="D90" s="39">
        <v>770</v>
      </c>
      <c r="E90" s="7">
        <v>127</v>
      </c>
      <c r="F90" s="1">
        <f t="shared" ref="F90:F98" si="92">D90/E90</f>
        <v>6.0629921259842519</v>
      </c>
      <c r="G90" s="39" t="s">
        <v>195</v>
      </c>
      <c r="I90" s="39" t="s">
        <v>114</v>
      </c>
      <c r="J90" s="46">
        <v>14.93</v>
      </c>
      <c r="K90" s="46">
        <v>21.81</v>
      </c>
      <c r="L90" s="39">
        <f t="shared" si="86"/>
        <v>5</v>
      </c>
      <c r="M90" s="39">
        <v>1</v>
      </c>
      <c r="N90" s="7">
        <v>0</v>
      </c>
      <c r="O90" s="39">
        <f t="shared" si="87"/>
        <v>1</v>
      </c>
      <c r="P90" s="39" t="str">
        <f t="shared" si="88"/>
        <v>0</v>
      </c>
      <c r="Q90" s="39" t="str">
        <f t="shared" si="89"/>
        <v>0</v>
      </c>
      <c r="R90" s="7"/>
      <c r="S90" s="39">
        <f t="shared" si="90"/>
        <v>100</v>
      </c>
      <c r="T90" s="47">
        <f t="shared" si="91"/>
        <v>280</v>
      </c>
      <c r="U90" s="117"/>
    </row>
    <row r="91" spans="1:21" x14ac:dyDescent="0.25">
      <c r="A91" s="130"/>
      <c r="B91" s="39" t="s">
        <v>2</v>
      </c>
      <c r="C91" s="7" t="s">
        <v>123</v>
      </c>
      <c r="D91" s="39">
        <v>1260</v>
      </c>
      <c r="E91" s="7">
        <v>127</v>
      </c>
      <c r="F91" s="1">
        <f t="shared" si="92"/>
        <v>9.9212598425196852</v>
      </c>
      <c r="G91" s="39" t="s">
        <v>196</v>
      </c>
      <c r="H91" s="11"/>
      <c r="I91" s="39" t="s">
        <v>102</v>
      </c>
      <c r="J91" s="46">
        <v>10.68</v>
      </c>
      <c r="K91" s="46">
        <v>13.67</v>
      </c>
      <c r="L91" s="39" t="str">
        <f t="shared" si="86"/>
        <v>-</v>
      </c>
      <c r="M91" s="39">
        <v>0</v>
      </c>
      <c r="N91" s="7">
        <v>0</v>
      </c>
      <c r="O91" s="39">
        <f t="shared" si="87"/>
        <v>0</v>
      </c>
      <c r="P91" s="39" t="str">
        <f t="shared" si="88"/>
        <v>0</v>
      </c>
      <c r="Q91" s="39" t="str">
        <f t="shared" si="89"/>
        <v>0</v>
      </c>
      <c r="R91" s="7"/>
      <c r="S91" s="39">
        <f t="shared" si="90"/>
        <v>0</v>
      </c>
      <c r="T91" s="47">
        <f t="shared" si="91"/>
        <v>220</v>
      </c>
      <c r="U91" s="19"/>
    </row>
    <row r="92" spans="1:21" x14ac:dyDescent="0.25">
      <c r="A92" s="130"/>
      <c r="B92" s="39" t="s">
        <v>3</v>
      </c>
      <c r="C92" s="7" t="s">
        <v>123</v>
      </c>
      <c r="D92" s="39">
        <v>700</v>
      </c>
      <c r="E92" s="7">
        <v>127</v>
      </c>
      <c r="F92" s="1">
        <f t="shared" si="92"/>
        <v>5.5118110236220472</v>
      </c>
      <c r="G92" s="39" t="s">
        <v>197</v>
      </c>
      <c r="H92" s="11"/>
      <c r="I92" s="76" t="s">
        <v>107</v>
      </c>
      <c r="J92" s="77">
        <v>202.1</v>
      </c>
      <c r="K92" s="77">
        <v>75.459999999999994</v>
      </c>
      <c r="L92" s="39">
        <f t="shared" si="86"/>
        <v>1</v>
      </c>
      <c r="M92" s="39">
        <v>3</v>
      </c>
      <c r="N92" s="7">
        <v>0</v>
      </c>
      <c r="O92" s="39">
        <v>2</v>
      </c>
      <c r="P92" s="39" t="str">
        <f t="shared" si="88"/>
        <v>0</v>
      </c>
      <c r="Q92" s="39">
        <f t="shared" si="89"/>
        <v>1</v>
      </c>
      <c r="R92" s="7"/>
      <c r="S92" s="39">
        <f t="shared" si="90"/>
        <v>1200</v>
      </c>
      <c r="T92" s="47">
        <f t="shared" si="91"/>
        <v>3100</v>
      </c>
      <c r="U92" s="19"/>
    </row>
    <row r="93" spans="1:21" x14ac:dyDescent="0.25">
      <c r="A93" s="130"/>
      <c r="B93" s="39" t="s">
        <v>18</v>
      </c>
      <c r="C93" s="7" t="s">
        <v>123</v>
      </c>
      <c r="D93" s="39">
        <v>1100</v>
      </c>
      <c r="E93" s="7">
        <v>127</v>
      </c>
      <c r="F93" s="1">
        <f t="shared" si="92"/>
        <v>8.6614173228346463</v>
      </c>
      <c r="G93" s="39" t="s">
        <v>139</v>
      </c>
      <c r="H93" s="11"/>
      <c r="I93" s="65" t="s">
        <v>62</v>
      </c>
      <c r="J93" s="107">
        <f>SUM(J89:J92)</f>
        <v>240.51999999999998</v>
      </c>
      <c r="K93" s="107" t="s">
        <v>83</v>
      </c>
      <c r="L93" s="106">
        <f t="shared" ref="L93:T93" si="93">SUM(L89:L92)</f>
        <v>11</v>
      </c>
      <c r="M93" s="106">
        <f t="shared" si="93"/>
        <v>13</v>
      </c>
      <c r="N93" s="165">
        <f t="shared" si="93"/>
        <v>0</v>
      </c>
      <c r="O93" s="165">
        <f t="shared" si="93"/>
        <v>9</v>
      </c>
      <c r="P93" s="165">
        <f t="shared" si="93"/>
        <v>3</v>
      </c>
      <c r="Q93" s="165">
        <f t="shared" si="93"/>
        <v>1</v>
      </c>
      <c r="R93" s="165">
        <f t="shared" si="93"/>
        <v>0</v>
      </c>
      <c r="S93" s="106">
        <f t="shared" si="93"/>
        <v>3700</v>
      </c>
      <c r="T93" s="106">
        <f t="shared" si="93"/>
        <v>3820</v>
      </c>
      <c r="U93" s="119">
        <f>SUM(S93+T93)</f>
        <v>7520</v>
      </c>
    </row>
    <row r="94" spans="1:21" x14ac:dyDescent="0.25">
      <c r="A94" s="130"/>
      <c r="B94" s="39" t="s">
        <v>19</v>
      </c>
      <c r="C94" s="7" t="s">
        <v>123</v>
      </c>
      <c r="D94" s="39">
        <v>1100</v>
      </c>
      <c r="E94" s="7">
        <v>127</v>
      </c>
      <c r="F94" s="1">
        <f t="shared" si="92"/>
        <v>8.6614173228346463</v>
      </c>
      <c r="G94" s="39" t="s">
        <v>139</v>
      </c>
      <c r="H94" s="11"/>
      <c r="I94" s="83"/>
      <c r="J94" s="86"/>
      <c r="K94" s="86"/>
      <c r="L94" s="83"/>
      <c r="M94" s="83"/>
      <c r="N94" s="42"/>
      <c r="O94" s="83"/>
      <c r="P94" s="83"/>
      <c r="Q94" s="83"/>
      <c r="R94" s="11"/>
      <c r="S94" s="83"/>
      <c r="T94" s="85"/>
      <c r="U94" s="19"/>
    </row>
    <row r="95" spans="1:21" x14ac:dyDescent="0.25">
      <c r="A95" s="130"/>
      <c r="B95" s="39" t="s">
        <v>21</v>
      </c>
      <c r="C95" s="7" t="s">
        <v>123</v>
      </c>
      <c r="D95" s="39">
        <v>1120</v>
      </c>
      <c r="E95" s="7">
        <v>127</v>
      </c>
      <c r="F95" s="1">
        <f t="shared" si="92"/>
        <v>8.8188976377952759</v>
      </c>
      <c r="G95" s="39" t="s">
        <v>200</v>
      </c>
      <c r="H95" s="11"/>
      <c r="I95" s="83"/>
      <c r="J95" s="86"/>
      <c r="K95" s="86"/>
      <c r="L95" s="83"/>
      <c r="M95" s="83"/>
      <c r="N95" s="42"/>
      <c r="O95" s="83"/>
      <c r="P95" s="83"/>
      <c r="Q95" s="83"/>
      <c r="R95" s="11"/>
      <c r="S95" s="83"/>
      <c r="T95" s="85"/>
      <c r="U95" s="19"/>
    </row>
    <row r="96" spans="1:21" x14ac:dyDescent="0.25">
      <c r="A96" s="130"/>
      <c r="B96" s="39" t="s">
        <v>40</v>
      </c>
      <c r="C96" s="7" t="s">
        <v>127</v>
      </c>
      <c r="D96" s="39">
        <v>1800</v>
      </c>
      <c r="E96" s="7">
        <v>127</v>
      </c>
      <c r="F96" s="1">
        <f t="shared" si="92"/>
        <v>14.173228346456693</v>
      </c>
      <c r="G96" s="39" t="s">
        <v>198</v>
      </c>
      <c r="H96" s="11"/>
      <c r="I96" s="83"/>
      <c r="J96" s="86"/>
      <c r="K96" s="86"/>
      <c r="L96" s="83"/>
      <c r="M96" s="83"/>
      <c r="N96" s="42"/>
      <c r="O96" s="83"/>
      <c r="P96" s="83"/>
      <c r="Q96" s="83"/>
      <c r="R96" s="11"/>
      <c r="S96" s="83"/>
      <c r="T96" s="85"/>
      <c r="U96" s="19"/>
    </row>
    <row r="97" spans="1:21" x14ac:dyDescent="0.25">
      <c r="A97" s="130"/>
      <c r="B97" s="39" t="s">
        <v>41</v>
      </c>
      <c r="C97" s="7" t="s">
        <v>127</v>
      </c>
      <c r="D97" s="39">
        <v>1800</v>
      </c>
      <c r="E97" s="7">
        <v>127</v>
      </c>
      <c r="F97" s="1">
        <f t="shared" si="92"/>
        <v>14.173228346456693</v>
      </c>
      <c r="G97" s="39" t="s">
        <v>188</v>
      </c>
      <c r="H97" s="11"/>
      <c r="I97" s="83"/>
      <c r="J97" s="86"/>
      <c r="K97" s="86"/>
      <c r="L97" s="83"/>
      <c r="M97" s="83"/>
      <c r="N97" s="42"/>
      <c r="O97" s="83"/>
      <c r="P97" s="83"/>
      <c r="Q97" s="83"/>
      <c r="R97" s="11"/>
      <c r="S97" s="83"/>
      <c r="T97" s="85"/>
      <c r="U97" s="19"/>
    </row>
    <row r="98" spans="1:21" x14ac:dyDescent="0.25">
      <c r="A98" s="130"/>
      <c r="B98" s="39" t="s">
        <v>42</v>
      </c>
      <c r="C98" s="7" t="s">
        <v>127</v>
      </c>
      <c r="D98" s="39">
        <v>700</v>
      </c>
      <c r="E98" s="7">
        <v>127</v>
      </c>
      <c r="F98" s="1">
        <f t="shared" si="92"/>
        <v>5.5118110236220472</v>
      </c>
      <c r="G98" s="39" t="s">
        <v>199</v>
      </c>
      <c r="H98" s="11"/>
      <c r="I98" s="83"/>
      <c r="J98" s="86"/>
      <c r="K98" s="86"/>
      <c r="L98" s="83"/>
      <c r="M98" s="83"/>
      <c r="N98" s="42"/>
      <c r="O98" s="83"/>
      <c r="P98" s="83"/>
      <c r="Q98" s="83"/>
      <c r="R98" s="11"/>
      <c r="S98" s="83"/>
      <c r="T98" s="85"/>
      <c r="U98" s="19"/>
    </row>
    <row r="99" spans="1:21" x14ac:dyDescent="0.25">
      <c r="A99" s="130"/>
      <c r="B99" s="89" t="s">
        <v>62</v>
      </c>
      <c r="C99" s="65" t="s">
        <v>83</v>
      </c>
      <c r="D99" s="89">
        <f>SUM(D88:D98)</f>
        <v>11560</v>
      </c>
      <c r="E99" s="65" t="s">
        <v>83</v>
      </c>
      <c r="F99" s="107" t="s">
        <v>83</v>
      </c>
      <c r="G99" s="89" t="s">
        <v>83</v>
      </c>
      <c r="H99" s="11"/>
      <c r="I99" s="84"/>
      <c r="J99" s="115"/>
      <c r="K99" s="115"/>
      <c r="L99" s="83"/>
      <c r="M99" s="83"/>
      <c r="N99" s="42"/>
      <c r="O99" s="83"/>
      <c r="P99" s="83"/>
      <c r="Q99" s="83"/>
      <c r="R99" s="11"/>
      <c r="S99" s="83"/>
      <c r="T99" s="85"/>
      <c r="U99" s="19"/>
    </row>
    <row r="100" spans="1:21" ht="15" customHeight="1" x14ac:dyDescent="0.25">
      <c r="A100" s="55"/>
      <c r="B100" s="122"/>
      <c r="C100" s="43"/>
      <c r="D100" s="122"/>
      <c r="E100" s="43"/>
      <c r="F100" s="123"/>
      <c r="G100" s="122"/>
      <c r="H100" s="11"/>
      <c r="I100" s="11"/>
      <c r="J100" s="12"/>
      <c r="K100" s="12"/>
      <c r="L100" s="83"/>
      <c r="M100" s="83"/>
      <c r="N100" s="42"/>
      <c r="O100" s="83"/>
      <c r="P100" s="83"/>
      <c r="Q100" s="83"/>
      <c r="R100" s="11"/>
      <c r="S100" s="83"/>
      <c r="T100" s="85"/>
      <c r="U100" s="19"/>
    </row>
    <row r="101" spans="1:21" x14ac:dyDescent="0.25">
      <c r="H101" s="11"/>
      <c r="I101" s="11"/>
      <c r="J101" s="12"/>
      <c r="K101" s="12"/>
      <c r="L101" s="83"/>
      <c r="M101" s="83"/>
      <c r="N101" s="42"/>
      <c r="O101" s="83"/>
      <c r="P101" s="83"/>
      <c r="Q101" s="83"/>
      <c r="R101" s="11"/>
      <c r="S101" s="83"/>
      <c r="T101" s="85"/>
      <c r="U101" s="19"/>
    </row>
    <row r="102" spans="1:21" x14ac:dyDescent="0.25">
      <c r="A102" s="55"/>
      <c r="B102" s="83"/>
      <c r="C102" s="11"/>
      <c r="D102" s="83"/>
      <c r="E102" s="11"/>
      <c r="F102" s="12"/>
      <c r="G102" s="83"/>
      <c r="H102" s="11"/>
      <c r="I102" s="11"/>
      <c r="J102" s="12"/>
      <c r="K102" s="12"/>
      <c r="L102" s="83"/>
      <c r="M102" s="83"/>
      <c r="N102" s="42"/>
      <c r="O102" s="83"/>
      <c r="P102" s="83"/>
      <c r="Q102" s="83"/>
      <c r="R102" s="11"/>
      <c r="S102" s="83"/>
      <c r="T102" s="85"/>
      <c r="U102" s="19"/>
    </row>
    <row r="103" spans="1:21" x14ac:dyDescent="0.25">
      <c r="H103" s="11"/>
      <c r="I103" s="11"/>
      <c r="J103" s="12"/>
      <c r="K103" s="12"/>
      <c r="L103" s="83"/>
      <c r="M103" s="83"/>
      <c r="N103" s="42"/>
      <c r="O103" s="83"/>
      <c r="P103" s="83"/>
      <c r="Q103" s="83"/>
      <c r="R103" s="11"/>
      <c r="S103" s="83"/>
      <c r="T103" s="85"/>
      <c r="U103" s="19"/>
    </row>
    <row r="104" spans="1:21" x14ac:dyDescent="0.25">
      <c r="H104" s="11"/>
      <c r="I104" s="11"/>
      <c r="J104" s="12"/>
      <c r="K104" s="12"/>
      <c r="L104" s="83"/>
      <c r="M104" s="83"/>
      <c r="N104" s="42"/>
      <c r="O104" s="83"/>
      <c r="P104" s="83"/>
      <c r="Q104" s="83"/>
      <c r="R104" s="11"/>
      <c r="S104" s="83"/>
      <c r="T104" s="85"/>
      <c r="U104" s="19"/>
    </row>
    <row r="105" spans="1:21" x14ac:dyDescent="0.25">
      <c r="A105" s="19"/>
      <c r="B105" s="19"/>
      <c r="C105" s="19"/>
      <c r="D105" s="19"/>
      <c r="E105" s="19"/>
      <c r="F105" s="19"/>
      <c r="G105" s="19"/>
      <c r="H105" s="11"/>
      <c r="I105" s="11"/>
      <c r="J105" s="12"/>
      <c r="K105" s="12"/>
      <c r="L105" s="83"/>
      <c r="M105" s="83"/>
      <c r="N105" s="42"/>
      <c r="O105" s="83"/>
      <c r="P105" s="83"/>
      <c r="Q105" s="83"/>
      <c r="R105" s="11"/>
      <c r="S105" s="83"/>
      <c r="T105" s="85"/>
      <c r="U105" s="19"/>
    </row>
    <row r="106" spans="1:21" x14ac:dyDescent="0.25">
      <c r="A106" s="19"/>
      <c r="B106" s="19"/>
      <c r="C106" s="19"/>
      <c r="D106" s="19"/>
      <c r="E106" s="19"/>
      <c r="F106" s="19"/>
      <c r="G106" s="19"/>
      <c r="H106" s="11"/>
      <c r="I106" s="11"/>
      <c r="J106" s="12"/>
      <c r="K106" s="12"/>
      <c r="L106" s="83"/>
      <c r="M106" s="83"/>
      <c r="N106" s="42"/>
      <c r="O106" s="83"/>
      <c r="P106" s="83"/>
      <c r="Q106" s="83"/>
      <c r="R106" s="11"/>
      <c r="S106" s="83"/>
      <c r="T106" s="85"/>
      <c r="U106" s="19"/>
    </row>
    <row r="107" spans="1:21" x14ac:dyDescent="0.25">
      <c r="A107" s="55"/>
      <c r="B107" s="43"/>
      <c r="C107" s="43"/>
      <c r="D107" s="43"/>
      <c r="E107" s="43"/>
      <c r="F107" s="43"/>
      <c r="G107" s="43"/>
      <c r="H107" s="11"/>
      <c r="I107" s="11"/>
      <c r="J107" s="12"/>
      <c r="K107" s="12"/>
      <c r="L107" s="83"/>
      <c r="M107" s="83"/>
      <c r="N107" s="42"/>
      <c r="O107" s="83"/>
      <c r="P107" s="83"/>
      <c r="Q107" s="83"/>
      <c r="R107" s="11"/>
      <c r="S107" s="83"/>
      <c r="T107" s="85"/>
      <c r="U107" s="19"/>
    </row>
    <row r="108" spans="1:21" x14ac:dyDescent="0.25">
      <c r="A108" s="55"/>
      <c r="B108" s="83"/>
      <c r="C108" s="11"/>
      <c r="D108" s="83"/>
      <c r="E108" s="11"/>
      <c r="F108" s="12"/>
      <c r="G108" s="83"/>
      <c r="H108" s="11"/>
      <c r="I108" s="11"/>
      <c r="J108" s="12"/>
      <c r="K108" s="12"/>
      <c r="L108" s="83"/>
      <c r="M108" s="83"/>
      <c r="N108" s="42"/>
      <c r="O108" s="83"/>
      <c r="P108" s="83"/>
      <c r="Q108" s="83"/>
      <c r="R108" s="11"/>
      <c r="S108" s="83"/>
      <c r="T108" s="85"/>
      <c r="U108" s="19"/>
    </row>
    <row r="109" spans="1:21" x14ac:dyDescent="0.25">
      <c r="A109" s="55"/>
      <c r="B109" s="83"/>
      <c r="C109" s="19"/>
      <c r="D109" s="19"/>
      <c r="E109" s="19"/>
      <c r="F109" s="19"/>
      <c r="G109" s="19"/>
      <c r="H109" s="11"/>
      <c r="I109" s="11"/>
      <c r="J109" s="12"/>
      <c r="K109" s="12"/>
      <c r="L109" s="83"/>
      <c r="M109" s="83"/>
      <c r="N109" s="42"/>
      <c r="O109" s="83"/>
      <c r="P109" s="83"/>
      <c r="Q109" s="83"/>
      <c r="R109" s="11"/>
      <c r="S109" s="83"/>
      <c r="T109" s="85"/>
      <c r="U109" s="19"/>
    </row>
    <row r="110" spans="1:21" x14ac:dyDescent="0.25">
      <c r="A110" s="55"/>
      <c r="B110" s="83"/>
      <c r="C110" s="19"/>
      <c r="D110" s="19"/>
      <c r="E110" s="19"/>
      <c r="F110" s="19"/>
      <c r="G110" s="19"/>
      <c r="H110" s="11"/>
      <c r="I110" s="11"/>
      <c r="J110" s="12"/>
      <c r="K110" s="12"/>
      <c r="L110" s="83"/>
      <c r="M110" s="83"/>
      <c r="N110" s="42"/>
      <c r="O110" s="83"/>
      <c r="P110" s="83"/>
      <c r="Q110" s="83"/>
      <c r="R110" s="11"/>
      <c r="S110" s="83"/>
      <c r="T110" s="85"/>
      <c r="U110" s="19"/>
    </row>
    <row r="111" spans="1:21" x14ac:dyDescent="0.25">
      <c r="A111" s="55"/>
      <c r="B111" s="83"/>
      <c r="C111" s="19"/>
      <c r="D111" s="19"/>
      <c r="E111" s="19"/>
      <c r="F111" s="19"/>
      <c r="G111" s="19"/>
      <c r="H111" s="11"/>
      <c r="I111" s="11"/>
      <c r="J111" s="12"/>
      <c r="K111" s="12"/>
      <c r="L111" s="83"/>
      <c r="M111" s="83"/>
      <c r="N111" s="42"/>
      <c r="O111" s="83"/>
      <c r="P111" s="83"/>
      <c r="Q111" s="83"/>
      <c r="R111" s="11"/>
      <c r="S111" s="83"/>
      <c r="T111" s="85"/>
      <c r="U111" s="19"/>
    </row>
    <row r="112" spans="1:21" x14ac:dyDescent="0.25">
      <c r="A112" s="55"/>
      <c r="B112" s="83"/>
      <c r="C112" s="19"/>
      <c r="D112" s="19"/>
      <c r="E112" s="19"/>
      <c r="F112" s="19"/>
      <c r="G112" s="19"/>
      <c r="H112" s="11"/>
      <c r="I112" s="11"/>
      <c r="J112" s="12"/>
      <c r="K112" s="12"/>
      <c r="L112" s="83"/>
      <c r="M112" s="83"/>
      <c r="N112" s="42"/>
      <c r="O112" s="83"/>
      <c r="P112" s="83"/>
      <c r="Q112" s="83"/>
      <c r="R112" s="11"/>
      <c r="S112" s="83"/>
      <c r="T112" s="85"/>
      <c r="U112" s="19"/>
    </row>
    <row r="113" spans="1:21" x14ac:dyDescent="0.25">
      <c r="A113" s="55"/>
      <c r="B113" s="83"/>
      <c r="C113" s="19"/>
      <c r="D113" s="19"/>
      <c r="E113" s="19"/>
      <c r="F113" s="19"/>
      <c r="G113" s="19"/>
      <c r="H113" s="11"/>
      <c r="I113" s="11"/>
      <c r="J113" s="12"/>
      <c r="K113" s="12"/>
      <c r="L113" s="83"/>
      <c r="M113" s="83"/>
      <c r="N113" s="42"/>
      <c r="O113" s="83"/>
      <c r="P113" s="83"/>
      <c r="Q113" s="83"/>
      <c r="R113" s="11"/>
      <c r="S113" s="83"/>
      <c r="T113" s="85"/>
      <c r="U113" s="19"/>
    </row>
    <row r="114" spans="1:21" x14ac:dyDescent="0.25">
      <c r="A114" s="55"/>
      <c r="B114" s="83"/>
      <c r="C114" s="19"/>
      <c r="D114" s="19"/>
      <c r="E114" s="19"/>
      <c r="F114" s="19"/>
      <c r="G114" s="19"/>
      <c r="H114" s="11"/>
      <c r="I114" s="11"/>
      <c r="J114" s="12"/>
      <c r="K114" s="12"/>
      <c r="L114" s="83"/>
      <c r="M114" s="83"/>
      <c r="N114" s="42"/>
      <c r="O114" s="83"/>
      <c r="P114" s="83"/>
      <c r="Q114" s="83"/>
      <c r="R114" s="11"/>
      <c r="S114" s="83"/>
      <c r="T114" s="85"/>
      <c r="U114" s="19"/>
    </row>
    <row r="115" spans="1:21" x14ac:dyDescent="0.25">
      <c r="A115" s="19"/>
      <c r="B115" s="19"/>
      <c r="C115" s="19"/>
      <c r="D115" s="19"/>
      <c r="E115" s="19"/>
      <c r="F115" s="19"/>
      <c r="G115" s="19"/>
      <c r="H115" s="11"/>
      <c r="I115" s="11"/>
      <c r="J115" s="12"/>
      <c r="K115" s="12"/>
      <c r="L115" s="83"/>
      <c r="M115" s="83"/>
      <c r="N115" s="42"/>
      <c r="O115" s="83"/>
      <c r="P115" s="83"/>
      <c r="Q115" s="83"/>
      <c r="R115" s="11"/>
      <c r="S115" s="83"/>
      <c r="T115" s="85"/>
      <c r="U115" s="19"/>
    </row>
    <row r="116" spans="1:21" x14ac:dyDescent="0.25">
      <c r="A116" s="19"/>
      <c r="B116" s="19"/>
      <c r="C116" s="19"/>
      <c r="D116" s="19"/>
      <c r="E116" s="19"/>
      <c r="F116" s="19"/>
      <c r="G116" s="19"/>
      <c r="H116" s="11"/>
      <c r="I116" s="11"/>
      <c r="J116" s="12"/>
      <c r="K116" s="12"/>
      <c r="L116" s="83"/>
      <c r="M116" s="83"/>
      <c r="N116" s="42"/>
      <c r="O116" s="83"/>
      <c r="P116" s="83"/>
      <c r="Q116" s="83"/>
      <c r="R116" s="11"/>
      <c r="S116" s="83"/>
      <c r="T116" s="85"/>
      <c r="U116" s="19"/>
    </row>
    <row r="117" spans="1:21" x14ac:dyDescent="0.25">
      <c r="H117" s="11"/>
      <c r="I117" s="11"/>
      <c r="J117" s="12"/>
      <c r="K117" s="12"/>
      <c r="L117" s="83"/>
      <c r="M117" s="83"/>
      <c r="N117" s="42"/>
      <c r="O117" s="83"/>
      <c r="P117" s="83"/>
      <c r="Q117" s="83"/>
      <c r="R117" s="11"/>
      <c r="S117" s="83"/>
      <c r="T117" s="85"/>
      <c r="U117" s="19"/>
    </row>
    <row r="118" spans="1:21" x14ac:dyDescent="0.25">
      <c r="H118" s="11"/>
      <c r="I118" s="11"/>
      <c r="J118" s="12"/>
      <c r="K118" s="12"/>
      <c r="L118" s="83"/>
      <c r="M118" s="83"/>
      <c r="N118" s="42"/>
      <c r="O118" s="83"/>
      <c r="P118" s="83"/>
      <c r="Q118" s="83"/>
      <c r="R118" s="11"/>
      <c r="S118" s="83"/>
      <c r="T118" s="85"/>
      <c r="U118" s="19"/>
    </row>
    <row r="119" spans="1:21" x14ac:dyDescent="0.25">
      <c r="H119" s="11"/>
      <c r="I119" s="11"/>
      <c r="J119" s="12"/>
      <c r="K119" s="12"/>
      <c r="L119" s="83"/>
      <c r="M119" s="83"/>
      <c r="N119" s="42"/>
      <c r="O119" s="83"/>
      <c r="P119" s="83"/>
      <c r="Q119" s="83"/>
      <c r="R119" s="11"/>
      <c r="S119" s="83"/>
      <c r="T119" s="85"/>
      <c r="U119" s="19"/>
    </row>
    <row r="120" spans="1:21" x14ac:dyDescent="0.25">
      <c r="H120" s="11"/>
      <c r="I120" s="11"/>
      <c r="J120" s="12"/>
      <c r="K120" s="12"/>
      <c r="L120" s="83"/>
      <c r="M120" s="83"/>
      <c r="N120" s="42"/>
      <c r="O120" s="83"/>
      <c r="P120" s="83"/>
      <c r="Q120" s="83"/>
      <c r="R120" s="11"/>
      <c r="S120" s="83"/>
      <c r="T120" s="85"/>
      <c r="U120" s="19"/>
    </row>
    <row r="121" spans="1:21" x14ac:dyDescent="0.25">
      <c r="H121" s="11"/>
      <c r="I121" s="11"/>
      <c r="J121" s="12"/>
      <c r="K121" s="12"/>
      <c r="L121" s="83"/>
      <c r="M121" s="83"/>
      <c r="N121" s="42"/>
      <c r="O121" s="83"/>
      <c r="P121" s="83"/>
      <c r="Q121" s="83"/>
      <c r="R121" s="11"/>
      <c r="S121" s="83"/>
      <c r="T121" s="85"/>
      <c r="U121" s="19"/>
    </row>
    <row r="122" spans="1:21" x14ac:dyDescent="0.25">
      <c r="H122" s="11"/>
      <c r="I122" s="11"/>
      <c r="J122" s="12"/>
      <c r="K122" s="12"/>
      <c r="L122" s="83"/>
      <c r="M122" s="83"/>
      <c r="N122" s="42"/>
      <c r="O122" s="83"/>
      <c r="P122" s="83"/>
      <c r="Q122" s="83"/>
      <c r="R122" s="11"/>
      <c r="S122" s="83"/>
      <c r="T122" s="85"/>
      <c r="U122" s="19"/>
    </row>
    <row r="123" spans="1:21" x14ac:dyDescent="0.25">
      <c r="H123" s="11"/>
      <c r="I123" s="11"/>
      <c r="J123" s="12"/>
      <c r="K123" s="12"/>
      <c r="L123" s="83"/>
      <c r="M123" s="83"/>
      <c r="N123" s="42"/>
      <c r="O123" s="83"/>
      <c r="P123" s="83"/>
      <c r="Q123" s="83"/>
      <c r="R123" s="11"/>
      <c r="S123" s="83"/>
      <c r="T123" s="85"/>
      <c r="U123" s="19"/>
    </row>
    <row r="124" spans="1:21" x14ac:dyDescent="0.25">
      <c r="H124" s="11"/>
      <c r="I124" s="11"/>
      <c r="J124" s="12"/>
      <c r="K124" s="12"/>
      <c r="L124" s="83"/>
      <c r="M124" s="83"/>
      <c r="N124" s="42"/>
      <c r="O124" s="83"/>
      <c r="P124" s="83"/>
      <c r="Q124" s="83"/>
      <c r="R124" s="11"/>
      <c r="S124" s="83"/>
      <c r="T124" s="85"/>
      <c r="U124" s="19"/>
    </row>
    <row r="125" spans="1:21" x14ac:dyDescent="0.25">
      <c r="H125" s="11"/>
      <c r="I125" s="11"/>
      <c r="J125" s="12"/>
      <c r="K125" s="12"/>
      <c r="L125" s="83"/>
      <c r="M125" s="83"/>
      <c r="N125" s="42"/>
      <c r="O125" s="83"/>
      <c r="P125" s="83"/>
      <c r="Q125" s="83"/>
      <c r="R125" s="11"/>
      <c r="S125" s="83"/>
      <c r="T125" s="85"/>
      <c r="U125" s="19"/>
    </row>
    <row r="126" spans="1:21" x14ac:dyDescent="0.25">
      <c r="H126" s="11"/>
      <c r="I126" s="83"/>
      <c r="J126" s="86"/>
      <c r="K126" s="86"/>
      <c r="L126" s="83"/>
      <c r="M126" s="83"/>
      <c r="N126" s="83"/>
      <c r="O126" s="83"/>
      <c r="P126" s="83"/>
      <c r="Q126" s="83"/>
      <c r="R126" s="11"/>
      <c r="S126" s="83"/>
      <c r="T126" s="85"/>
      <c r="U126" s="19"/>
    </row>
    <row r="127" spans="1:21" x14ac:dyDescent="0.25">
      <c r="H127" s="11"/>
      <c r="I127" s="83"/>
      <c r="J127" s="86"/>
      <c r="K127" s="86"/>
      <c r="L127" s="83"/>
      <c r="M127" s="83"/>
      <c r="N127" s="83"/>
      <c r="O127" s="83"/>
      <c r="P127" s="83"/>
      <c r="Q127" s="83"/>
      <c r="R127" s="11"/>
      <c r="S127" s="83"/>
      <c r="T127" s="85"/>
      <c r="U127" s="19"/>
    </row>
    <row r="128" spans="1:21" x14ac:dyDescent="0.25">
      <c r="H128" s="11"/>
      <c r="I128" s="83"/>
      <c r="J128" s="86"/>
      <c r="K128" s="86"/>
      <c r="L128" s="83"/>
      <c r="M128" s="83"/>
      <c r="N128" s="83"/>
      <c r="O128" s="83"/>
      <c r="P128" s="83"/>
      <c r="Q128" s="83"/>
      <c r="R128" s="11"/>
      <c r="S128" s="83"/>
      <c r="T128" s="85"/>
      <c r="U128" s="19"/>
    </row>
    <row r="129" spans="8:21" x14ac:dyDescent="0.25">
      <c r="H129" s="11"/>
      <c r="I129" s="83"/>
      <c r="J129" s="86"/>
      <c r="K129" s="86"/>
      <c r="L129" s="83"/>
      <c r="M129" s="83"/>
      <c r="N129" s="83"/>
      <c r="O129" s="83"/>
      <c r="P129" s="83"/>
      <c r="Q129" s="83"/>
      <c r="R129" s="11"/>
      <c r="S129" s="83"/>
      <c r="T129" s="85"/>
      <c r="U129" s="19"/>
    </row>
    <row r="130" spans="8:21" x14ac:dyDescent="0.25">
      <c r="H130" s="11"/>
      <c r="I130" s="83"/>
      <c r="J130" s="86"/>
      <c r="K130" s="86"/>
      <c r="L130" s="83"/>
      <c r="M130" s="83"/>
      <c r="N130" s="83"/>
      <c r="O130" s="83"/>
      <c r="P130" s="83"/>
      <c r="Q130" s="83"/>
      <c r="R130" s="11"/>
      <c r="S130" s="83"/>
      <c r="T130" s="85"/>
      <c r="U130" s="19"/>
    </row>
    <row r="131" spans="8:21" x14ac:dyDescent="0.25">
      <c r="H131" s="11"/>
      <c r="I131" s="83"/>
      <c r="J131" s="86"/>
      <c r="K131" s="86"/>
      <c r="L131" s="83"/>
      <c r="M131" s="83"/>
      <c r="N131" s="83"/>
      <c r="O131" s="83"/>
      <c r="P131" s="83"/>
      <c r="Q131" s="83"/>
      <c r="R131" s="11"/>
      <c r="S131" s="83"/>
      <c r="T131" s="85"/>
      <c r="U131" s="19"/>
    </row>
    <row r="132" spans="8:21" x14ac:dyDescent="0.25">
      <c r="H132" s="11"/>
      <c r="I132" s="83"/>
      <c r="J132" s="86"/>
      <c r="K132" s="86"/>
      <c r="L132" s="83"/>
      <c r="M132" s="83"/>
      <c r="N132" s="83"/>
      <c r="O132" s="83"/>
      <c r="P132" s="83"/>
      <c r="Q132" s="83"/>
      <c r="R132" s="11"/>
      <c r="S132" s="83"/>
      <c r="T132" s="85"/>
      <c r="U132" s="19"/>
    </row>
    <row r="133" spans="8:21" x14ac:dyDescent="0.25">
      <c r="H133" s="11"/>
      <c r="I133" s="83"/>
      <c r="J133" s="86"/>
      <c r="K133" s="86"/>
      <c r="L133" s="83"/>
      <c r="M133" s="83"/>
      <c r="N133" s="83"/>
      <c r="O133" s="83"/>
      <c r="P133" s="83"/>
      <c r="Q133" s="83"/>
      <c r="R133" s="11"/>
      <c r="S133" s="83"/>
      <c r="T133" s="85"/>
      <c r="U133" s="19"/>
    </row>
    <row r="134" spans="8:21" x14ac:dyDescent="0.25">
      <c r="H134" s="11"/>
      <c r="I134" s="83"/>
      <c r="J134" s="86"/>
      <c r="K134" s="86"/>
      <c r="L134" s="83"/>
      <c r="M134" s="83"/>
      <c r="N134" s="83"/>
      <c r="O134" s="83"/>
      <c r="P134" s="83"/>
      <c r="Q134" s="83"/>
      <c r="R134" s="11"/>
      <c r="S134" s="83"/>
      <c r="T134" s="85"/>
      <c r="U134" s="19"/>
    </row>
    <row r="135" spans="8:21" x14ac:dyDescent="0.25">
      <c r="H135" s="11"/>
      <c r="I135" s="83"/>
      <c r="J135" s="86"/>
      <c r="K135" s="86"/>
      <c r="L135" s="83"/>
      <c r="M135" s="83"/>
      <c r="N135" s="83"/>
      <c r="O135" s="83"/>
      <c r="P135" s="83"/>
      <c r="Q135" s="83"/>
      <c r="R135" s="11"/>
      <c r="S135" s="83"/>
      <c r="T135" s="85"/>
      <c r="U135" s="19"/>
    </row>
    <row r="136" spans="8:21" x14ac:dyDescent="0.25">
      <c r="H136" s="11"/>
      <c r="I136" s="83"/>
      <c r="J136" s="86"/>
      <c r="K136" s="86"/>
      <c r="L136" s="83"/>
      <c r="M136" s="83"/>
      <c r="N136" s="83"/>
      <c r="O136" s="83"/>
      <c r="P136" s="83"/>
      <c r="Q136" s="83"/>
      <c r="R136" s="11"/>
      <c r="S136" s="83"/>
      <c r="T136" s="85"/>
      <c r="U136" s="19"/>
    </row>
    <row r="137" spans="8:21" x14ac:dyDescent="0.25">
      <c r="H137" s="11"/>
      <c r="I137" s="83"/>
      <c r="J137" s="86"/>
      <c r="K137" s="86"/>
      <c r="L137" s="83"/>
      <c r="M137" s="83"/>
      <c r="N137" s="83"/>
      <c r="O137" s="83"/>
      <c r="P137" s="83"/>
      <c r="Q137" s="83"/>
      <c r="R137" s="11"/>
      <c r="S137" s="83"/>
      <c r="T137" s="85"/>
      <c r="U137" s="19"/>
    </row>
    <row r="138" spans="8:21" x14ac:dyDescent="0.25">
      <c r="H138" s="11"/>
      <c r="I138" s="45"/>
      <c r="J138" s="12"/>
      <c r="K138" s="12"/>
      <c r="L138" s="83"/>
      <c r="M138" s="83"/>
      <c r="N138" s="42"/>
      <c r="O138" s="83"/>
      <c r="P138" s="83"/>
      <c r="Q138" s="83"/>
      <c r="R138" s="11"/>
      <c r="S138" s="83"/>
      <c r="T138" s="85"/>
      <c r="U138" s="19"/>
    </row>
    <row r="139" spans="8:21" x14ac:dyDescent="0.25">
      <c r="H139" s="11"/>
      <c r="I139" s="84"/>
      <c r="J139" s="115"/>
      <c r="K139" s="115"/>
      <c r="L139" s="83"/>
      <c r="M139" s="83"/>
      <c r="N139" s="56"/>
      <c r="O139" s="83"/>
      <c r="P139" s="83"/>
      <c r="Q139" s="83"/>
      <c r="R139" s="11"/>
      <c r="S139" s="83"/>
      <c r="T139" s="85"/>
      <c r="U139" s="19"/>
    </row>
    <row r="140" spans="8:21" x14ac:dyDescent="0.25">
      <c r="H140" s="11"/>
      <c r="I140" s="11"/>
      <c r="J140" s="12"/>
      <c r="K140" s="12"/>
      <c r="L140" s="83"/>
      <c r="M140" s="83"/>
      <c r="N140" s="42"/>
      <c r="O140" s="83"/>
      <c r="P140" s="83"/>
      <c r="Q140" s="83"/>
      <c r="R140" s="11"/>
      <c r="S140" s="83"/>
      <c r="T140" s="85"/>
      <c r="U140" s="19"/>
    </row>
    <row r="141" spans="8:21" x14ac:dyDescent="0.25">
      <c r="H141" s="11"/>
      <c r="I141" s="11"/>
      <c r="J141" s="12"/>
      <c r="K141" s="12"/>
      <c r="L141" s="83"/>
      <c r="M141" s="83"/>
      <c r="N141" s="42"/>
      <c r="O141" s="83"/>
      <c r="P141" s="83"/>
      <c r="Q141" s="83"/>
      <c r="R141" s="11"/>
      <c r="S141" s="83"/>
      <c r="T141" s="85"/>
      <c r="U141" s="19"/>
    </row>
    <row r="142" spans="8:21" x14ac:dyDescent="0.25">
      <c r="H142" s="11"/>
      <c r="I142" s="11"/>
      <c r="J142" s="12"/>
      <c r="K142" s="12"/>
      <c r="L142" s="83"/>
      <c r="M142" s="83"/>
      <c r="N142" s="42"/>
      <c r="O142" s="83"/>
      <c r="P142" s="83"/>
      <c r="Q142" s="83"/>
      <c r="R142" s="11"/>
      <c r="S142" s="83"/>
      <c r="T142" s="85"/>
      <c r="U142" s="19"/>
    </row>
    <row r="143" spans="8:21" x14ac:dyDescent="0.25">
      <c r="H143" s="11"/>
      <c r="I143" s="11"/>
      <c r="J143" s="12"/>
      <c r="K143" s="12"/>
      <c r="L143" s="83"/>
      <c r="M143" s="83"/>
      <c r="N143" s="42"/>
      <c r="O143" s="83"/>
      <c r="P143" s="83"/>
      <c r="Q143" s="83"/>
      <c r="R143" s="11"/>
      <c r="S143" s="83"/>
      <c r="T143" s="85"/>
      <c r="U143" s="19"/>
    </row>
    <row r="144" spans="8:21" x14ac:dyDescent="0.25">
      <c r="H144" s="11"/>
      <c r="I144" s="11"/>
      <c r="J144" s="12"/>
      <c r="K144" s="12"/>
      <c r="L144" s="83"/>
      <c r="M144" s="83"/>
      <c r="N144" s="42"/>
      <c r="O144" s="83"/>
      <c r="P144" s="83"/>
      <c r="Q144" s="83"/>
      <c r="R144" s="11"/>
      <c r="S144" s="83"/>
      <c r="T144" s="85"/>
      <c r="U144" s="19"/>
    </row>
    <row r="145" spans="8:21" x14ac:dyDescent="0.25">
      <c r="H145" s="11"/>
      <c r="I145" s="11"/>
      <c r="J145" s="12"/>
      <c r="K145" s="12"/>
      <c r="L145" s="83"/>
      <c r="M145" s="83"/>
      <c r="N145" s="42"/>
      <c r="O145" s="83"/>
      <c r="P145" s="83"/>
      <c r="Q145" s="83"/>
      <c r="R145" s="11"/>
      <c r="S145" s="83"/>
      <c r="T145" s="85"/>
      <c r="U145" s="19"/>
    </row>
    <row r="146" spans="8:21" x14ac:dyDescent="0.25">
      <c r="H146" s="11"/>
      <c r="I146" s="11"/>
      <c r="J146" s="12"/>
      <c r="K146" s="12"/>
      <c r="L146" s="83"/>
      <c r="M146" s="83"/>
      <c r="N146" s="42"/>
      <c r="O146" s="83"/>
      <c r="P146" s="83"/>
      <c r="Q146" s="83"/>
      <c r="R146" s="11"/>
      <c r="S146" s="83"/>
      <c r="T146" s="85"/>
      <c r="U146" s="19"/>
    </row>
    <row r="147" spans="8:21" x14ac:dyDescent="0.25">
      <c r="H147" s="11"/>
      <c r="I147" s="11"/>
      <c r="J147" s="12"/>
      <c r="K147" s="12"/>
      <c r="L147" s="83"/>
      <c r="M147" s="83"/>
      <c r="N147" s="42"/>
      <c r="O147" s="83"/>
      <c r="P147" s="83"/>
      <c r="Q147" s="83"/>
      <c r="R147" s="11"/>
      <c r="S147" s="83"/>
      <c r="T147" s="85"/>
      <c r="U147" s="19"/>
    </row>
    <row r="148" spans="8:21" x14ac:dyDescent="0.25">
      <c r="H148" s="11"/>
      <c r="I148" s="11"/>
      <c r="J148" s="12"/>
      <c r="K148" s="12"/>
      <c r="L148" s="83"/>
      <c r="M148" s="83"/>
      <c r="N148" s="42"/>
      <c r="O148" s="83"/>
      <c r="P148" s="83"/>
      <c r="Q148" s="83"/>
      <c r="R148" s="11"/>
      <c r="S148" s="83"/>
      <c r="T148" s="85"/>
      <c r="U148" s="19"/>
    </row>
    <row r="149" spans="8:21" x14ac:dyDescent="0.25">
      <c r="H149" s="11"/>
      <c r="I149" s="11"/>
      <c r="J149" s="12"/>
      <c r="K149" s="12"/>
      <c r="L149" s="83"/>
      <c r="M149" s="83"/>
      <c r="N149" s="42"/>
      <c r="O149" s="83"/>
      <c r="P149" s="83"/>
      <c r="Q149" s="83"/>
      <c r="R149" s="11"/>
      <c r="S149" s="83"/>
      <c r="T149" s="85"/>
      <c r="U149" s="19"/>
    </row>
    <row r="150" spans="8:21" x14ac:dyDescent="0.25">
      <c r="H150" s="11"/>
      <c r="I150" s="11"/>
      <c r="J150" s="12"/>
      <c r="K150" s="12"/>
      <c r="L150" s="83"/>
      <c r="M150" s="83"/>
      <c r="N150" s="42"/>
      <c r="O150" s="83"/>
      <c r="P150" s="83"/>
      <c r="Q150" s="83"/>
      <c r="R150" s="11"/>
      <c r="S150" s="83"/>
      <c r="T150" s="85"/>
      <c r="U150" s="19"/>
    </row>
    <row r="151" spans="8:21" x14ac:dyDescent="0.25">
      <c r="H151" s="11"/>
      <c r="I151" s="11"/>
      <c r="J151" s="12"/>
      <c r="K151" s="12"/>
      <c r="L151" s="83"/>
      <c r="M151" s="83"/>
      <c r="N151" s="42"/>
      <c r="O151" s="83"/>
      <c r="P151" s="83"/>
      <c r="Q151" s="83"/>
      <c r="R151" s="11"/>
      <c r="S151" s="83"/>
      <c r="T151" s="85"/>
      <c r="U151" s="19"/>
    </row>
    <row r="152" spans="8:21" x14ac:dyDescent="0.25">
      <c r="H152" s="11"/>
      <c r="I152" s="11"/>
      <c r="J152" s="12"/>
      <c r="K152" s="12"/>
      <c r="L152" s="83"/>
      <c r="M152" s="83"/>
      <c r="N152" s="42"/>
      <c r="O152" s="83"/>
      <c r="P152" s="83"/>
      <c r="Q152" s="83"/>
      <c r="R152" s="11"/>
      <c r="S152" s="83"/>
      <c r="T152" s="85"/>
      <c r="U152" s="19"/>
    </row>
    <row r="153" spans="8:21" x14ac:dyDescent="0.25">
      <c r="H153" s="11"/>
      <c r="I153" s="11"/>
      <c r="J153" s="12"/>
      <c r="K153" s="12"/>
      <c r="L153" s="83"/>
      <c r="M153" s="83"/>
      <c r="N153" s="42"/>
      <c r="O153" s="83"/>
      <c r="P153" s="83"/>
      <c r="Q153" s="83"/>
      <c r="R153" s="11"/>
      <c r="S153" s="83"/>
      <c r="T153" s="85"/>
      <c r="U153" s="19"/>
    </row>
    <row r="154" spans="8:21" x14ac:dyDescent="0.25">
      <c r="H154" s="11"/>
      <c r="I154" s="11"/>
      <c r="J154" s="12"/>
      <c r="K154" s="12"/>
      <c r="L154" s="83"/>
      <c r="M154" s="83"/>
      <c r="N154" s="42"/>
      <c r="O154" s="83"/>
      <c r="P154" s="83"/>
      <c r="Q154" s="83"/>
      <c r="R154" s="11"/>
      <c r="S154" s="83"/>
      <c r="T154" s="85"/>
      <c r="U154" s="19"/>
    </row>
    <row r="155" spans="8:21" x14ac:dyDescent="0.25">
      <c r="H155" s="11"/>
      <c r="I155" s="11"/>
      <c r="J155" s="12"/>
      <c r="K155" s="12"/>
      <c r="L155" s="83"/>
      <c r="M155" s="83"/>
      <c r="N155" s="42"/>
      <c r="O155" s="83"/>
      <c r="P155" s="83"/>
      <c r="Q155" s="83"/>
      <c r="R155" s="11"/>
      <c r="S155" s="83"/>
      <c r="T155" s="85"/>
      <c r="U155" s="19"/>
    </row>
    <row r="156" spans="8:21" x14ac:dyDescent="0.25">
      <c r="H156" s="11"/>
      <c r="I156" s="11"/>
      <c r="J156" s="12"/>
      <c r="K156" s="12"/>
      <c r="L156" s="83"/>
      <c r="M156" s="83"/>
      <c r="N156" s="42"/>
      <c r="O156" s="83"/>
      <c r="P156" s="83"/>
      <c r="Q156" s="83"/>
      <c r="R156" s="11"/>
      <c r="S156" s="83"/>
      <c r="T156" s="85"/>
      <c r="U156" s="19"/>
    </row>
    <row r="157" spans="8:21" x14ac:dyDescent="0.25">
      <c r="H157" s="11"/>
      <c r="I157" s="11"/>
      <c r="J157" s="12"/>
      <c r="K157" s="12"/>
      <c r="L157" s="83"/>
      <c r="M157" s="83"/>
      <c r="N157" s="42"/>
      <c r="O157" s="83"/>
      <c r="P157" s="83"/>
      <c r="Q157" s="83"/>
      <c r="R157" s="11"/>
      <c r="S157" s="83"/>
      <c r="T157" s="85"/>
      <c r="U157" s="19"/>
    </row>
    <row r="158" spans="8:21" x14ac:dyDescent="0.25">
      <c r="H158" s="11"/>
      <c r="I158" s="42"/>
      <c r="J158" s="42"/>
      <c r="K158" s="42"/>
      <c r="L158" s="19"/>
      <c r="M158" s="19"/>
      <c r="N158" s="42"/>
      <c r="O158" s="42"/>
      <c r="P158" s="42"/>
      <c r="Q158" s="42"/>
      <c r="R158" s="11"/>
      <c r="S158" s="19"/>
      <c r="T158" s="19"/>
      <c r="U158" s="19"/>
    </row>
    <row r="159" spans="8:21" x14ac:dyDescent="0.25">
      <c r="H159" s="11"/>
      <c r="I159" s="42"/>
      <c r="J159" s="42"/>
      <c r="K159" s="42"/>
      <c r="L159" s="19"/>
      <c r="M159" s="19"/>
      <c r="N159" s="42"/>
      <c r="O159" s="42"/>
      <c r="P159" s="42"/>
      <c r="Q159" s="42"/>
      <c r="R159" s="11"/>
      <c r="S159" s="19"/>
      <c r="T159" s="19"/>
      <c r="U159" s="19"/>
    </row>
    <row r="160" spans="8:21" x14ac:dyDescent="0.25">
      <c r="H160" s="11"/>
      <c r="I160" s="42"/>
      <c r="J160" s="42"/>
      <c r="K160" s="42"/>
      <c r="L160" s="19"/>
      <c r="M160" s="19"/>
      <c r="N160" s="42"/>
      <c r="O160" s="42"/>
      <c r="P160" s="42"/>
      <c r="Q160" s="42"/>
      <c r="R160" s="11"/>
      <c r="S160" s="19"/>
      <c r="T160" s="19"/>
      <c r="U160" s="19"/>
    </row>
  </sheetData>
  <mergeCells count="32">
    <mergeCell ref="A77:A86"/>
    <mergeCell ref="A87:G87"/>
    <mergeCell ref="A39:G39"/>
    <mergeCell ref="A50:G50"/>
    <mergeCell ref="A60:G60"/>
    <mergeCell ref="A74:A75"/>
    <mergeCell ref="B74:G75"/>
    <mergeCell ref="A76:G76"/>
    <mergeCell ref="A73:G73"/>
    <mergeCell ref="J16:T16"/>
    <mergeCell ref="I71:T71"/>
    <mergeCell ref="J72:T72"/>
    <mergeCell ref="A40:A49"/>
    <mergeCell ref="A51:A59"/>
    <mergeCell ref="A61:A72"/>
    <mergeCell ref="I57:T57"/>
    <mergeCell ref="A1:G1"/>
    <mergeCell ref="I1:N1"/>
    <mergeCell ref="O1:Q1"/>
    <mergeCell ref="A88:A99"/>
    <mergeCell ref="A2:A14"/>
    <mergeCell ref="A17:A26"/>
    <mergeCell ref="A28:A38"/>
    <mergeCell ref="A16:G16"/>
    <mergeCell ref="A27:G27"/>
    <mergeCell ref="J3:T3"/>
    <mergeCell ref="J48:T48"/>
    <mergeCell ref="I47:T47"/>
    <mergeCell ref="J36:T36"/>
    <mergeCell ref="J37:T37"/>
    <mergeCell ref="I35:T35"/>
    <mergeCell ref="I15:T15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85" zoomScaleNormal="85" workbookViewId="0">
      <selection activeCell="D4" sqref="D4"/>
    </sheetView>
  </sheetViews>
  <sheetFormatPr defaultRowHeight="15" x14ac:dyDescent="0.25"/>
  <cols>
    <col min="1" max="1" width="16.42578125" customWidth="1"/>
    <col min="2" max="2" width="10.7109375" bestFit="1" customWidth="1"/>
    <col min="3" max="3" width="12.7109375" bestFit="1" customWidth="1"/>
    <col min="4" max="4" width="13.28515625" bestFit="1" customWidth="1"/>
    <col min="5" max="5" width="10.42578125" bestFit="1" customWidth="1"/>
    <col min="6" max="6" width="12" bestFit="1" customWidth="1"/>
    <col min="7" max="8" width="12" customWidth="1"/>
    <col min="9" max="9" width="16.5703125" customWidth="1"/>
    <col min="10" max="10" width="15.42578125" bestFit="1" customWidth="1"/>
    <col min="11" max="14" width="12" customWidth="1"/>
    <col min="15" max="15" width="15.42578125" bestFit="1" customWidth="1"/>
    <col min="16" max="16" width="10.5703125" customWidth="1"/>
    <col min="17" max="17" width="16.42578125" bestFit="1" customWidth="1"/>
    <col min="18" max="18" width="10.140625" bestFit="1" customWidth="1"/>
    <col min="19" max="19" width="10.42578125" bestFit="1" customWidth="1"/>
    <col min="20" max="20" width="10.140625" bestFit="1" customWidth="1"/>
    <col min="21" max="21" width="11.5703125" bestFit="1" customWidth="1"/>
    <col min="22" max="22" width="11.140625" bestFit="1" customWidth="1"/>
    <col min="23" max="23" width="16.5703125" bestFit="1" customWidth="1"/>
    <col min="24" max="24" width="11.140625" bestFit="1" customWidth="1"/>
    <col min="25" max="25" width="11.5703125" bestFit="1" customWidth="1"/>
    <col min="26" max="26" width="11.140625" bestFit="1" customWidth="1"/>
    <col min="27" max="27" width="11.5703125" bestFit="1" customWidth="1"/>
    <col min="28" max="28" width="11.140625" bestFit="1" customWidth="1"/>
    <col min="29" max="29" width="11.5703125" bestFit="1" customWidth="1"/>
    <col min="30" max="30" width="11.140625" bestFit="1" customWidth="1"/>
    <col min="31" max="31" width="11.5703125" bestFit="1" customWidth="1"/>
    <col min="32" max="32" width="11.140625" bestFit="1" customWidth="1"/>
    <col min="33" max="33" width="11.5703125" bestFit="1" customWidth="1"/>
    <col min="34" max="34" width="11.140625" bestFit="1" customWidth="1"/>
    <col min="35" max="35" width="16.5703125" bestFit="1" customWidth="1"/>
  </cols>
  <sheetData>
    <row r="1" spans="1:23" ht="15" customHeight="1" x14ac:dyDescent="0.25">
      <c r="A1" s="152" t="s">
        <v>22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27" t="s">
        <v>20</v>
      </c>
      <c r="N1" s="128"/>
      <c r="O1" s="129">
        <v>0.87</v>
      </c>
    </row>
    <row r="2" spans="1:23" ht="15" customHeight="1" x14ac:dyDescent="0.25">
      <c r="A2" s="15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50"/>
      <c r="N2" s="131"/>
      <c r="O2" s="151"/>
    </row>
    <row r="3" spans="1:23" ht="60" x14ac:dyDescent="0.25">
      <c r="A3" s="130" t="s">
        <v>84</v>
      </c>
      <c r="B3" s="49" t="s">
        <v>4</v>
      </c>
      <c r="C3" s="49" t="s">
        <v>5</v>
      </c>
      <c r="D3" s="49" t="s">
        <v>6</v>
      </c>
      <c r="E3" s="49" t="s">
        <v>7</v>
      </c>
      <c r="F3" s="49" t="s">
        <v>8</v>
      </c>
      <c r="G3" s="50" t="s">
        <v>11</v>
      </c>
      <c r="H3" s="50" t="s">
        <v>9</v>
      </c>
      <c r="I3" s="50" t="s">
        <v>10</v>
      </c>
      <c r="J3" s="50" t="s">
        <v>12</v>
      </c>
      <c r="K3" s="50" t="s">
        <v>13</v>
      </c>
      <c r="L3" s="50" t="s">
        <v>14</v>
      </c>
      <c r="M3" s="50" t="s">
        <v>15</v>
      </c>
      <c r="N3" s="50" t="s">
        <v>16</v>
      </c>
      <c r="O3" s="3" t="s">
        <v>17</v>
      </c>
    </row>
    <row r="4" spans="1:23" ht="15" customHeight="1" x14ac:dyDescent="0.25">
      <c r="A4" s="130"/>
      <c r="B4" s="62" t="str">
        <f>'Tom. e Ilum.'!B3</f>
        <v>Circuito 1</v>
      </c>
      <c r="C4" s="62" t="str">
        <f>'Tom. e Ilum.'!C3</f>
        <v>Iluminação</v>
      </c>
      <c r="D4" s="62">
        <f>'Tom. e Ilum.'!D3</f>
        <v>1120</v>
      </c>
      <c r="E4" s="62">
        <f>'Tom. e Ilum.'!E3</f>
        <v>127</v>
      </c>
      <c r="F4" s="1">
        <f t="shared" ref="F4" si="0">D4/E4</f>
        <v>8.8188976377952759</v>
      </c>
      <c r="G4" s="1">
        <f t="shared" ref="G4:G10" si="1">IF(F4&lt;=17.5,1.5,IF(F4&lt;=24,2.5,IF(F4&lt;=32,4,IF(F4&lt;=41,6,10))))</f>
        <v>1.5</v>
      </c>
      <c r="H4" s="4">
        <v>3</v>
      </c>
      <c r="I4" s="2">
        <f>IF(H4=1,1,IF(H4=2,0.85,IF(H4=3,0.79,IF(H4=4,0.75,IF(H4=5,0.73,"Redimensionar")))))</f>
        <v>0.79</v>
      </c>
      <c r="J4" s="1">
        <f>IF(F4/(I4*$O$1)&lt;=17.5,1.5,IF(F4/(I4*$O$1)&lt;=24,2.5,IF(F4/(I4*$O$1)&lt;=32,4,IF(F4/(I4*$O$1)&lt;=41,6,"Redimensionar"))))</f>
        <v>1.5</v>
      </c>
      <c r="K4" s="1">
        <f t="shared" ref="K4:K10" si="2">W14</f>
        <v>0</v>
      </c>
      <c r="L4" s="1">
        <f>IF(K4&lt;=1.5,1.5,IF(K4&lt;=2.5,2.5,IF(K4&lt;=4,4,IF(K4&lt;=6,6,IF(K4&lt;=10,10,"Redimensionar")))))</f>
        <v>1.5</v>
      </c>
      <c r="M4" s="1">
        <f t="shared" ref="M4:M10" si="3">IF(C4="Iluminação",1.5,IF(C4="TUG's",2.5,2.5))</f>
        <v>1.5</v>
      </c>
      <c r="N4" s="1">
        <f>MAX(M4,L4,J4)</f>
        <v>1.5</v>
      </c>
      <c r="O4" s="53">
        <f>IF(F4&lt;9,10,IF(F4&lt;13.5,15,IF(F4&lt;18,20,IF(F4&lt;22.5,25,IF(F4&lt;27,30,IF(F4&lt;31.5,35,IF(F4&lt;36,40,IF(F4&lt;45,50,IF(OR(J4="Redimensionar",L4="Redimensionar"),"Redimensionar")))))))))</f>
        <v>10</v>
      </c>
    </row>
    <row r="5" spans="1:23" ht="15" customHeight="1" x14ac:dyDescent="0.25">
      <c r="A5" s="130"/>
      <c r="B5" s="62" t="str">
        <f>'Tom. e Ilum.'!B4</f>
        <v>Circuito 2</v>
      </c>
      <c r="C5" s="62" t="str">
        <f>'Tom. e Ilum.'!C4</f>
        <v>Iluminação</v>
      </c>
      <c r="D5" s="62">
        <f>'Tom. e Ilum.'!D4</f>
        <v>1180</v>
      </c>
      <c r="E5" s="62">
        <f>'Tom. e Ilum.'!E4</f>
        <v>127</v>
      </c>
      <c r="F5" s="1">
        <f>D5/E5</f>
        <v>9.2913385826771648</v>
      </c>
      <c r="G5" s="1">
        <f t="shared" si="1"/>
        <v>1.5</v>
      </c>
      <c r="H5" s="4">
        <v>3</v>
      </c>
      <c r="I5" s="2">
        <f t="shared" ref="I5:I10" si="4">IF(H5=1,1,IF(H5=2,0.85,IF(H5=3,0.79,IF(H5=4,0.75,IF(H5=5,0.73,"Redimensionar")))))</f>
        <v>0.79</v>
      </c>
      <c r="J5" s="1">
        <f t="shared" ref="J5:J10" si="5">IF(F5/(I5*$O$1)&lt;=17.5,1.5,IF(F5/(I5*$O$1)&lt;=24,2.5,IF(F5/(I5*$O$1)&lt;=32,4,IF(F5/(I5*$O$1)&lt;=41,6,"Redimensionar"))))</f>
        <v>1.5</v>
      </c>
      <c r="K5" s="1">
        <f t="shared" si="2"/>
        <v>0</v>
      </c>
      <c r="L5" s="1">
        <f t="shared" ref="L5:L10" si="6">IF(K5&lt;=1.5,1.5,IF(K5&lt;=2.5,2.5,IF(K5&lt;=4,4,IF(K5&lt;=6,6,IF(K5&lt;=10,10,"Redimensionar")))))</f>
        <v>1.5</v>
      </c>
      <c r="M5" s="1">
        <f t="shared" si="3"/>
        <v>1.5</v>
      </c>
      <c r="N5" s="1">
        <f t="shared" ref="N5:N10" si="7">MAX(M5,L5,J5)</f>
        <v>1.5</v>
      </c>
      <c r="O5" s="53">
        <f t="shared" ref="O5:O10" si="8">IF(F5&lt;9,10,IF(F5&lt;13.5,15,IF(F5&lt;18,20,IF(F5&lt;22.5,25,IF(F5&lt;27,30,IF(F5&lt;31.5,35,IF(F5&lt;36,40,IF(F5&lt;45,50,IF(OR(J5="Redimensionar",L5="Redimensionar"),"Redimensionar")))))))))</f>
        <v>15</v>
      </c>
    </row>
    <row r="6" spans="1:23" ht="15" customHeight="1" x14ac:dyDescent="0.25">
      <c r="A6" s="130"/>
      <c r="B6" s="62" t="str">
        <f>'Tom. e Ilum.'!B5</f>
        <v>Circuito 3</v>
      </c>
      <c r="C6" s="62" t="str">
        <f>'Tom. e Ilum.'!C5</f>
        <v>Iluminação</v>
      </c>
      <c r="D6" s="62">
        <f>'Tom. e Ilum.'!D5</f>
        <v>1270</v>
      </c>
      <c r="E6" s="62">
        <f>'Tom. e Ilum.'!E5</f>
        <v>127</v>
      </c>
      <c r="F6" s="1">
        <f t="shared" ref="F6" si="9">D6/E6</f>
        <v>10</v>
      </c>
      <c r="G6" s="1">
        <f t="shared" si="1"/>
        <v>1.5</v>
      </c>
      <c r="H6" s="4">
        <v>4</v>
      </c>
      <c r="I6" s="2">
        <f t="shared" si="4"/>
        <v>0.75</v>
      </c>
      <c r="J6" s="1">
        <f t="shared" si="5"/>
        <v>1.5</v>
      </c>
      <c r="K6" s="1">
        <f t="shared" si="2"/>
        <v>0</v>
      </c>
      <c r="L6" s="1">
        <f t="shared" si="6"/>
        <v>1.5</v>
      </c>
      <c r="M6" s="1">
        <f t="shared" si="3"/>
        <v>1.5</v>
      </c>
      <c r="N6" s="1">
        <f t="shared" si="7"/>
        <v>1.5</v>
      </c>
      <c r="O6" s="53">
        <f t="shared" si="8"/>
        <v>15</v>
      </c>
    </row>
    <row r="7" spans="1:23" ht="15" customHeight="1" x14ac:dyDescent="0.25">
      <c r="A7" s="130"/>
      <c r="B7" s="62" t="str">
        <f>'Tom. e Ilum.'!B6</f>
        <v>Circuito 4</v>
      </c>
      <c r="C7" s="62" t="str">
        <f>'Tom. e Ilum.'!C6</f>
        <v>Iluminação</v>
      </c>
      <c r="D7" s="62">
        <f>'Tom. e Ilum.'!D6</f>
        <v>1270</v>
      </c>
      <c r="E7" s="62">
        <f>'Tom. e Ilum.'!E6</f>
        <v>127</v>
      </c>
      <c r="F7" s="1">
        <f>D7/E7</f>
        <v>10</v>
      </c>
      <c r="G7" s="1">
        <f t="shared" si="1"/>
        <v>1.5</v>
      </c>
      <c r="H7" s="4">
        <v>4</v>
      </c>
      <c r="I7" s="2">
        <f t="shared" si="4"/>
        <v>0.75</v>
      </c>
      <c r="J7" s="1">
        <f t="shared" si="5"/>
        <v>1.5</v>
      </c>
      <c r="K7" s="1">
        <f t="shared" si="2"/>
        <v>0</v>
      </c>
      <c r="L7" s="1">
        <f t="shared" si="6"/>
        <v>1.5</v>
      </c>
      <c r="M7" s="1">
        <f t="shared" si="3"/>
        <v>1.5</v>
      </c>
      <c r="N7" s="1">
        <f t="shared" si="7"/>
        <v>1.5</v>
      </c>
      <c r="O7" s="53">
        <f t="shared" si="8"/>
        <v>15</v>
      </c>
    </row>
    <row r="8" spans="1:23" ht="15" customHeight="1" x14ac:dyDescent="0.25">
      <c r="A8" s="130"/>
      <c r="B8" s="62" t="str">
        <f>'Tom. e Ilum.'!B8</f>
        <v>Circuito 6</v>
      </c>
      <c r="C8" s="62" t="str">
        <f>'Tom. e Ilum.'!C8</f>
        <v>Iluminação</v>
      </c>
      <c r="D8" s="62">
        <f>'Tom. e Ilum.'!D8</f>
        <v>680</v>
      </c>
      <c r="E8" s="62">
        <f>'Tom. e Ilum.'!E8</f>
        <v>127</v>
      </c>
      <c r="F8" s="1">
        <f>D8/E8</f>
        <v>5.3543307086614176</v>
      </c>
      <c r="G8" s="1">
        <f t="shared" si="1"/>
        <v>1.5</v>
      </c>
      <c r="H8" s="14">
        <v>4</v>
      </c>
      <c r="I8" s="2">
        <f t="shared" si="4"/>
        <v>0.75</v>
      </c>
      <c r="J8" s="1">
        <f t="shared" si="5"/>
        <v>1.5</v>
      </c>
      <c r="K8" s="1">
        <f t="shared" si="2"/>
        <v>0</v>
      </c>
      <c r="L8" s="1">
        <f t="shared" si="6"/>
        <v>1.5</v>
      </c>
      <c r="M8" s="1">
        <f t="shared" si="3"/>
        <v>1.5</v>
      </c>
      <c r="N8" s="1">
        <f t="shared" si="7"/>
        <v>1.5</v>
      </c>
      <c r="O8" s="53">
        <f t="shared" si="8"/>
        <v>10</v>
      </c>
    </row>
    <row r="9" spans="1:23" ht="15" customHeight="1" x14ac:dyDescent="0.25">
      <c r="A9" s="130"/>
      <c r="B9" s="62">
        <f>'Tom. e Ilum.'!B15</f>
        <v>0</v>
      </c>
      <c r="C9" s="62">
        <f>'Tom. e Ilum.'!C15</f>
        <v>0</v>
      </c>
      <c r="D9" s="62">
        <f>'Tom. e Ilum.'!D15</f>
        <v>0</v>
      </c>
      <c r="E9" s="62">
        <f>'Tom. e Ilum.'!E15</f>
        <v>0</v>
      </c>
      <c r="F9" s="1" t="e">
        <f>D9/E9</f>
        <v>#DIV/0!</v>
      </c>
      <c r="G9" s="1" t="e">
        <f t="shared" si="1"/>
        <v>#DIV/0!</v>
      </c>
      <c r="H9" s="4">
        <v>4</v>
      </c>
      <c r="I9" s="2">
        <f t="shared" si="4"/>
        <v>0.75</v>
      </c>
      <c r="J9" s="1" t="e">
        <f t="shared" si="5"/>
        <v>#DIV/0!</v>
      </c>
      <c r="K9" s="1">
        <f t="shared" si="2"/>
        <v>0</v>
      </c>
      <c r="L9" s="1">
        <f t="shared" si="6"/>
        <v>1.5</v>
      </c>
      <c r="M9" s="1">
        <f t="shared" si="3"/>
        <v>2.5</v>
      </c>
      <c r="N9" s="1" t="e">
        <f t="shared" si="7"/>
        <v>#DIV/0!</v>
      </c>
      <c r="O9" s="53" t="e">
        <f t="shared" si="8"/>
        <v>#DIV/0!</v>
      </c>
    </row>
    <row r="10" spans="1:23" ht="15" customHeight="1" x14ac:dyDescent="0.25">
      <c r="A10" s="130"/>
      <c r="B10" s="62">
        <f>'Tom. e Ilum.'!B16</f>
        <v>0</v>
      </c>
      <c r="C10" s="62">
        <f>'Tom. e Ilum.'!C16</f>
        <v>0</v>
      </c>
      <c r="D10" s="62">
        <f>'Tom. e Ilum.'!D16</f>
        <v>0</v>
      </c>
      <c r="E10" s="62">
        <f>'Tom. e Ilum.'!E16</f>
        <v>0</v>
      </c>
      <c r="F10" s="1" t="e">
        <f>D10/E10</f>
        <v>#DIV/0!</v>
      </c>
      <c r="G10" s="1" t="e">
        <f t="shared" si="1"/>
        <v>#DIV/0!</v>
      </c>
      <c r="H10" s="4">
        <v>4</v>
      </c>
      <c r="I10" s="2">
        <f t="shared" si="4"/>
        <v>0.75</v>
      </c>
      <c r="J10" s="1" t="e">
        <f t="shared" si="5"/>
        <v>#DIV/0!</v>
      </c>
      <c r="K10" s="1">
        <f t="shared" si="2"/>
        <v>0</v>
      </c>
      <c r="L10" s="1">
        <f t="shared" si="6"/>
        <v>1.5</v>
      </c>
      <c r="M10" s="1">
        <f t="shared" si="3"/>
        <v>2.5</v>
      </c>
      <c r="N10" s="1" t="e">
        <f t="shared" si="7"/>
        <v>#DIV/0!</v>
      </c>
      <c r="O10" s="53" t="e">
        <f t="shared" si="8"/>
        <v>#DIV/0!</v>
      </c>
    </row>
    <row r="11" spans="1:23" x14ac:dyDescent="0.25">
      <c r="A11" s="55"/>
      <c r="B11" s="43"/>
      <c r="C11" s="43"/>
      <c r="D11" s="43"/>
      <c r="E11" s="43"/>
      <c r="F11" s="43"/>
      <c r="G11" s="51"/>
      <c r="H11" s="51"/>
      <c r="I11" s="58"/>
      <c r="J11" s="51"/>
      <c r="K11" s="51"/>
      <c r="L11" s="51"/>
      <c r="M11" s="51"/>
      <c r="N11" s="51"/>
      <c r="O11" s="59"/>
    </row>
    <row r="12" spans="1:23" ht="15" customHeight="1" x14ac:dyDescent="0.25">
      <c r="A12" s="154" t="s">
        <v>49</v>
      </c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6"/>
    </row>
    <row r="13" spans="1:23" ht="15" customHeight="1" x14ac:dyDescent="0.25">
      <c r="A13" s="8" t="s">
        <v>23</v>
      </c>
      <c r="B13" s="8" t="s">
        <v>24</v>
      </c>
      <c r="C13" s="8" t="s">
        <v>25</v>
      </c>
      <c r="D13" s="8" t="s">
        <v>26</v>
      </c>
      <c r="E13" s="8" t="s">
        <v>27</v>
      </c>
      <c r="F13" s="8" t="s">
        <v>28</v>
      </c>
      <c r="G13" s="8" t="s">
        <v>29</v>
      </c>
      <c r="H13" s="8" t="s">
        <v>30</v>
      </c>
      <c r="I13" s="8" t="s">
        <v>31</v>
      </c>
      <c r="J13" s="8" t="s">
        <v>32</v>
      </c>
      <c r="K13" s="8" t="s">
        <v>33</v>
      </c>
      <c r="L13" s="8" t="s">
        <v>34</v>
      </c>
      <c r="M13" s="8" t="s">
        <v>35</v>
      </c>
      <c r="N13" s="8" t="s">
        <v>36</v>
      </c>
      <c r="O13" s="15" t="s">
        <v>37</v>
      </c>
      <c r="P13" s="15" t="s">
        <v>38</v>
      </c>
      <c r="Q13" s="15" t="s">
        <v>43</v>
      </c>
      <c r="R13" s="15" t="s">
        <v>44</v>
      </c>
      <c r="S13" s="15" t="s">
        <v>45</v>
      </c>
      <c r="T13" s="15" t="s">
        <v>46</v>
      </c>
      <c r="U13" s="15" t="s">
        <v>48</v>
      </c>
      <c r="V13" s="15" t="s">
        <v>47</v>
      </c>
      <c r="W13" s="9" t="s">
        <v>39</v>
      </c>
    </row>
    <row r="14" spans="1:23" ht="15" customHeight="1" x14ac:dyDescent="0.25">
      <c r="A14" s="16" t="s">
        <v>0</v>
      </c>
      <c r="B14" s="68">
        <v>127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10">
        <f t="shared" ref="W14:W20" si="10">(200*(1/56)*(1/(2*B14))*(1/B14)*SUM(C14*D14,E14*F14,G14*H14,I14*J14,K14*L14,M14*N14,S14*T14,U14*V14))</f>
        <v>0</v>
      </c>
    </row>
    <row r="15" spans="1:23" ht="15" customHeight="1" x14ac:dyDescent="0.25">
      <c r="A15" s="16" t="s">
        <v>1</v>
      </c>
      <c r="B15" s="5">
        <v>127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10">
        <f t="shared" si="10"/>
        <v>0</v>
      </c>
    </row>
    <row r="16" spans="1:23" ht="15" customHeight="1" x14ac:dyDescent="0.25">
      <c r="A16" s="16" t="s">
        <v>2</v>
      </c>
      <c r="B16" s="5">
        <v>127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10">
        <f t="shared" si="10"/>
        <v>0</v>
      </c>
    </row>
    <row r="17" spans="1:23" ht="15" customHeight="1" x14ac:dyDescent="0.25">
      <c r="A17" s="16" t="s">
        <v>3</v>
      </c>
      <c r="B17" s="5">
        <v>127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10">
        <f t="shared" si="10"/>
        <v>0</v>
      </c>
    </row>
    <row r="18" spans="1:23" ht="15" customHeight="1" x14ac:dyDescent="0.25">
      <c r="A18" s="16" t="s">
        <v>18</v>
      </c>
      <c r="B18" s="5">
        <v>220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10">
        <f t="shared" si="10"/>
        <v>0</v>
      </c>
    </row>
    <row r="19" spans="1:23" ht="15" customHeight="1" x14ac:dyDescent="0.25">
      <c r="A19" s="16" t="s">
        <v>19</v>
      </c>
      <c r="B19" s="5">
        <v>127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10">
        <f t="shared" si="10"/>
        <v>0</v>
      </c>
    </row>
    <row r="20" spans="1:23" ht="15" customHeight="1" x14ac:dyDescent="0.25">
      <c r="A20" s="16" t="s">
        <v>21</v>
      </c>
      <c r="B20" s="5">
        <v>127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10">
        <f t="shared" si="10"/>
        <v>0</v>
      </c>
    </row>
    <row r="21" spans="1:23" ht="15" customHeight="1" x14ac:dyDescent="0.25">
      <c r="A21" s="16" t="s">
        <v>40</v>
      </c>
      <c r="B21" s="68">
        <v>127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10">
        <f t="shared" ref="W21" si="11">(200*(1/56)*(1/(2*B21))*(1/B21)*SUM(C21*D21,E21*F21,G21*H21,I21*J21,K21*L21,M21*N21,S21*T21,U21*V21))</f>
        <v>0</v>
      </c>
    </row>
    <row r="22" spans="1:23" ht="15" customHeight="1" x14ac:dyDescent="0.25">
      <c r="A22" s="70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61"/>
    </row>
    <row r="23" spans="1:23" x14ac:dyDescent="0.25">
      <c r="A23" s="70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61"/>
    </row>
    <row r="24" spans="1:23" x14ac:dyDescent="0.25">
      <c r="A24" s="70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61"/>
    </row>
    <row r="25" spans="1:23" x14ac:dyDescent="0.25">
      <c r="A25" s="70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61"/>
    </row>
    <row r="27" spans="1:23" x14ac:dyDescent="0.2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</row>
    <row r="28" spans="1:23" x14ac:dyDescent="0.2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</row>
    <row r="29" spans="1:23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61"/>
    </row>
    <row r="30" spans="1:23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61"/>
    </row>
    <row r="31" spans="1:23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61"/>
    </row>
    <row r="32" spans="1:23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61"/>
    </row>
    <row r="33" spans="1:17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61"/>
    </row>
    <row r="34" spans="1:17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61"/>
    </row>
    <row r="35" spans="1:17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61"/>
    </row>
    <row r="36" spans="1:17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61"/>
    </row>
    <row r="37" spans="1:17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61"/>
    </row>
    <row r="38" spans="1:17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61"/>
    </row>
    <row r="39" spans="1:17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61"/>
    </row>
    <row r="40" spans="1:17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61"/>
    </row>
    <row r="41" spans="1:17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61"/>
    </row>
    <row r="42" spans="1:17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61"/>
    </row>
  </sheetData>
  <mergeCells count="5">
    <mergeCell ref="M1:N2"/>
    <mergeCell ref="O1:O2"/>
    <mergeCell ref="A1:L2"/>
    <mergeCell ref="A3:A10"/>
    <mergeCell ref="A12:W12"/>
  </mergeCells>
  <pageMargins left="0.51181102362204722" right="0.51181102362204722" top="0.78740157480314965" bottom="0.78740157480314965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I18" sqref="I18"/>
    </sheetView>
  </sheetViews>
  <sheetFormatPr defaultRowHeight="15" x14ac:dyDescent="0.25"/>
  <cols>
    <col min="1" max="1" width="4.85546875" bestFit="1" customWidth="1"/>
    <col min="2" max="2" width="24.28515625" bestFit="1" customWidth="1"/>
    <col min="3" max="3" width="12.5703125" bestFit="1" customWidth="1"/>
    <col min="4" max="4" width="15.85546875" bestFit="1" customWidth="1"/>
    <col min="6" max="6" width="22.85546875" bestFit="1" customWidth="1"/>
    <col min="7" max="7" width="20.7109375" bestFit="1" customWidth="1"/>
    <col min="8" max="8" width="16.7109375" bestFit="1" customWidth="1"/>
    <col min="9" max="9" width="11.140625" bestFit="1" customWidth="1"/>
    <col min="10" max="10" width="13.28515625" bestFit="1" customWidth="1"/>
    <col min="11" max="11" width="15.42578125" bestFit="1" customWidth="1"/>
    <col min="12" max="12" width="15.85546875" bestFit="1" customWidth="1"/>
  </cols>
  <sheetData>
    <row r="1" spans="1:12" x14ac:dyDescent="0.25">
      <c r="A1" s="157" t="s">
        <v>50</v>
      </c>
      <c r="B1" s="157"/>
      <c r="C1" s="157"/>
      <c r="D1" s="157"/>
      <c r="I1" s="18"/>
      <c r="J1" s="18"/>
      <c r="K1" s="18"/>
      <c r="L1" s="19"/>
    </row>
    <row r="2" spans="1:12" x14ac:dyDescent="0.25">
      <c r="A2" s="6" t="s">
        <v>51</v>
      </c>
      <c r="B2" s="65" t="s">
        <v>85</v>
      </c>
      <c r="C2" s="6" t="s">
        <v>52</v>
      </c>
      <c r="D2" s="6" t="s">
        <v>53</v>
      </c>
      <c r="E2" s="20"/>
      <c r="F2" s="158" t="s">
        <v>54</v>
      </c>
      <c r="G2" s="158"/>
      <c r="H2" s="158"/>
      <c r="I2" s="158"/>
      <c r="J2" s="20"/>
      <c r="K2" s="21"/>
      <c r="L2" s="21"/>
    </row>
    <row r="3" spans="1:12" x14ac:dyDescent="0.25">
      <c r="A3" s="5">
        <v>0</v>
      </c>
      <c r="B3" s="5" t="s">
        <v>55</v>
      </c>
      <c r="C3" s="5"/>
      <c r="D3" s="10"/>
      <c r="F3" s="7"/>
      <c r="G3" s="22" t="s">
        <v>56</v>
      </c>
      <c r="H3" s="22" t="s">
        <v>57</v>
      </c>
      <c r="I3" s="15" t="s">
        <v>58</v>
      </c>
      <c r="J3" s="67"/>
      <c r="K3" s="24"/>
      <c r="L3" s="19"/>
    </row>
    <row r="4" spans="1:12" x14ac:dyDescent="0.25">
      <c r="A4" s="5">
        <v>0</v>
      </c>
      <c r="B4" s="5" t="s">
        <v>55</v>
      </c>
      <c r="C4" s="5"/>
      <c r="D4" s="10"/>
      <c r="F4" s="23"/>
      <c r="G4" s="5"/>
      <c r="H4" s="5"/>
      <c r="I4" s="5"/>
      <c r="J4" s="67"/>
      <c r="K4" s="24"/>
      <c r="L4" s="24"/>
    </row>
    <row r="5" spans="1:12" x14ac:dyDescent="0.25">
      <c r="A5" s="5">
        <v>0</v>
      </c>
      <c r="B5" s="5" t="s">
        <v>59</v>
      </c>
      <c r="C5" s="5"/>
      <c r="D5" s="10"/>
      <c r="F5" s="23"/>
      <c r="G5" s="5"/>
      <c r="H5" s="5"/>
      <c r="I5" s="5"/>
      <c r="J5" s="67"/>
      <c r="K5" s="24"/>
      <c r="L5" s="24"/>
    </row>
    <row r="6" spans="1:12" x14ac:dyDescent="0.25">
      <c r="A6" s="5">
        <v>0</v>
      </c>
      <c r="B6" s="5" t="s">
        <v>60</v>
      </c>
      <c r="C6" s="5"/>
      <c r="D6" s="10"/>
      <c r="F6" s="23"/>
      <c r="G6" s="25"/>
      <c r="H6" s="25"/>
      <c r="I6" s="25"/>
      <c r="J6" s="18"/>
      <c r="K6" s="18"/>
      <c r="L6" s="19"/>
    </row>
    <row r="7" spans="1:12" x14ac:dyDescent="0.25">
      <c r="A7" s="5">
        <v>0</v>
      </c>
      <c r="B7" s="5" t="s">
        <v>61</v>
      </c>
      <c r="C7" s="5"/>
      <c r="D7" s="10"/>
      <c r="F7" s="23"/>
      <c r="G7" s="5"/>
      <c r="H7" s="5"/>
      <c r="I7" s="5"/>
      <c r="J7" s="18"/>
      <c r="K7" s="18"/>
      <c r="L7" s="19"/>
    </row>
    <row r="8" spans="1:12" x14ac:dyDescent="0.25">
      <c r="A8" s="5">
        <v>0</v>
      </c>
      <c r="B8" s="5" t="s">
        <v>61</v>
      </c>
      <c r="C8" s="5"/>
      <c r="D8" s="10"/>
      <c r="F8" s="5"/>
      <c r="G8" s="5"/>
      <c r="H8" s="23"/>
      <c r="I8" s="25"/>
      <c r="J8" s="26"/>
      <c r="K8" s="18"/>
      <c r="L8" s="19"/>
    </row>
    <row r="9" spans="1:12" x14ac:dyDescent="0.25">
      <c r="A9" s="5"/>
      <c r="B9" s="5"/>
      <c r="C9" s="15" t="s">
        <v>62</v>
      </c>
      <c r="D9" s="27">
        <f>SUM(D3:D8)</f>
        <v>0</v>
      </c>
      <c r="F9" s="6" t="s">
        <v>62</v>
      </c>
      <c r="G9" s="28">
        <f>SUM(G4:G7)</f>
        <v>0</v>
      </c>
      <c r="H9" s="28">
        <f t="shared" ref="H9:I9" si="0">SUM(H4:H7)</f>
        <v>0</v>
      </c>
      <c r="I9" s="28">
        <f t="shared" si="0"/>
        <v>0</v>
      </c>
      <c r="J9" s="18"/>
      <c r="K9" s="18"/>
      <c r="L9" s="19"/>
    </row>
    <row r="10" spans="1:12" x14ac:dyDescent="0.25">
      <c r="A10" s="159"/>
      <c r="B10" s="159"/>
      <c r="C10" s="29"/>
      <c r="D10" s="29"/>
      <c r="F10" s="18"/>
      <c r="G10" s="18"/>
      <c r="I10" s="18"/>
      <c r="J10" s="18"/>
      <c r="K10" s="18"/>
      <c r="L10" s="19"/>
    </row>
    <row r="11" spans="1:12" x14ac:dyDescent="0.25">
      <c r="A11" s="60"/>
      <c r="B11" s="60"/>
      <c r="C11" s="60"/>
      <c r="D11" s="60"/>
      <c r="F11" s="23" t="s">
        <v>63</v>
      </c>
      <c r="G11" s="30" t="s">
        <v>64</v>
      </c>
      <c r="H11" s="31"/>
      <c r="I11" s="32"/>
      <c r="J11" s="18"/>
      <c r="K11" s="18"/>
      <c r="L11" s="19"/>
    </row>
    <row r="12" spans="1:12" x14ac:dyDescent="0.25">
      <c r="A12" s="43"/>
      <c r="B12" s="43"/>
      <c r="C12" s="43"/>
      <c r="D12" s="43"/>
      <c r="F12" s="64"/>
      <c r="G12" s="30"/>
      <c r="H12" s="31"/>
      <c r="I12" s="32"/>
      <c r="J12" s="32"/>
      <c r="K12" s="18"/>
      <c r="L12" s="19"/>
    </row>
    <row r="13" spans="1:12" x14ac:dyDescent="0.25">
      <c r="A13" s="13"/>
      <c r="B13" s="13"/>
      <c r="C13" s="13"/>
      <c r="D13" s="61"/>
      <c r="F13" s="16"/>
      <c r="G13" s="33"/>
      <c r="H13" s="31"/>
      <c r="I13" s="32"/>
      <c r="J13" s="32"/>
      <c r="K13" s="18"/>
      <c r="L13" s="19"/>
    </row>
    <row r="14" spans="1:12" x14ac:dyDescent="0.25">
      <c r="A14" s="13"/>
      <c r="B14" s="13"/>
      <c r="C14" s="13"/>
      <c r="D14" s="61"/>
      <c r="F14" s="16" t="s">
        <v>62</v>
      </c>
      <c r="G14" s="46">
        <f>SUM(G13:G13)</f>
        <v>0</v>
      </c>
      <c r="H14" s="21"/>
      <c r="I14" s="18"/>
      <c r="J14" s="34"/>
      <c r="K14" s="18"/>
      <c r="L14" s="19"/>
    </row>
    <row r="15" spans="1:12" x14ac:dyDescent="0.25">
      <c r="A15" s="13"/>
      <c r="B15" s="13"/>
      <c r="C15" s="13"/>
      <c r="D15" s="61"/>
      <c r="F15" s="18"/>
      <c r="G15" s="18"/>
      <c r="H15" s="21"/>
      <c r="I15" s="18"/>
      <c r="J15" s="34"/>
      <c r="K15" s="18"/>
      <c r="L15" s="19"/>
    </row>
    <row r="16" spans="1:12" x14ac:dyDescent="0.25">
      <c r="A16" s="13"/>
      <c r="B16" s="13"/>
      <c r="C16" s="13"/>
      <c r="D16" s="61"/>
      <c r="F16" s="23" t="s">
        <v>63</v>
      </c>
      <c r="G16" s="23" t="s">
        <v>65</v>
      </c>
      <c r="H16" s="23" t="s">
        <v>66</v>
      </c>
      <c r="I16" s="23" t="s">
        <v>67</v>
      </c>
      <c r="J16" s="23" t="s">
        <v>17</v>
      </c>
      <c r="K16" s="15" t="s">
        <v>68</v>
      </c>
      <c r="L16" s="35" t="s">
        <v>69</v>
      </c>
    </row>
    <row r="17" spans="1:12" x14ac:dyDescent="0.25">
      <c r="A17" s="13"/>
      <c r="B17" s="13"/>
      <c r="C17" s="13"/>
      <c r="D17" s="61"/>
      <c r="F17" s="36"/>
      <c r="G17" s="36"/>
      <c r="H17" s="36"/>
      <c r="I17" s="36"/>
      <c r="J17" s="36"/>
      <c r="K17" s="63"/>
      <c r="L17" s="35"/>
    </row>
    <row r="18" spans="1:12" x14ac:dyDescent="0.25">
      <c r="A18" s="13"/>
      <c r="B18" s="13"/>
      <c r="C18" s="13"/>
      <c r="D18" s="61"/>
      <c r="F18" s="36"/>
      <c r="G18" s="38" t="str">
        <f>IF($G$14&lt;=5,"A1",IF($G$14&lt;=10,"A2",IF($G$14&lt;=15,"B",IF($G$14&lt;=23,"D2",IF($G$14&lt;=27,"D3",IF($G$14&lt;=38,"D4",IF($G$14&lt;=47,"D5",IF($G$14&lt;=57,"D6",IF($G$14&lt;=66,"D7",IF($G$14&lt;=75,"D8","REDIMENSIONAR"))))))))))</f>
        <v>A1</v>
      </c>
      <c r="H18" s="38">
        <f>IF(G13&lt;=10,2,IF(G13&lt;=15,3,4))</f>
        <v>2</v>
      </c>
      <c r="I18" s="38">
        <f>IF(H18=2,1,IF(H18=3,2,3))</f>
        <v>1</v>
      </c>
      <c r="J18" s="38" t="str">
        <f>IF($G$14&lt;=5,"40 Monopolar",IF($G$14&lt;=10,"70 Monopolar",IF($G$14&lt;=15,"60 Bipolar",IF($G$14&lt;=23,"60 Tripolar",IF($G$14&lt;=27,"70 Tripolar",IF($G$14&lt;=38,"100 Tripolar",IF($G$14&lt;=47,"120 Tripolar",IF($G$14&lt;=57,"150 Tripolar",IF($G$14&lt;=66,"175 Tripolar",IF($G$14&lt;=75,"200","REDIMENSIONAR"))))))))))</f>
        <v>40 Monopolar</v>
      </c>
      <c r="K18" s="39" t="str">
        <f>IF($G$14&lt;=5,"6",IF($G$14&lt;=10,"16",IF($G$14&lt;=15,"16",IF($G$14&lt;=23,"16",IF($G$14&lt;=27,"25",IF($G$14&lt;=38,"35",IF($G$14&lt;=47,"50",IF($G$14&lt;=57,"70",IF($G$14&lt;=66,"95",IF($G$14&lt;=75,"120","REDIMENSIONAR"))))))))))</f>
        <v>6</v>
      </c>
      <c r="L18" s="39" t="str">
        <f>IF($G$14&lt;=5,"32",IF($G$14&lt;=10,"32",IF($G$14&lt;=15,"32",IF($G$14&lt;=23,"32",IF($G$14&lt;=27,"40",IF($G$14&lt;=38,"40",IF($G$14&lt;=47,"50",IF($G$14&lt;=57,"60",IF($G$14&lt;=66,"75",IF($G$14&lt;=75,"75","REDIMENSIONAR"))))))))))</f>
        <v>32</v>
      </c>
    </row>
    <row r="19" spans="1:12" x14ac:dyDescent="0.25">
      <c r="A19" s="13"/>
      <c r="B19" s="13"/>
      <c r="C19" s="13"/>
      <c r="D19" s="61"/>
      <c r="F19" s="37"/>
      <c r="G19" s="38" t="str">
        <f>IF($G$14&lt;=5,"A1",IF($G$14&lt;=10,"A2",IF($G$14&lt;=15,"B",IF($G$14&lt;=23,"D2",IF($G$14&lt;=27,"D3",IF($G$14&lt;=38,"D4",IF($G$14&lt;=47,"D5",IF($G$14&lt;=57,"D6",IF($G$14&lt;=66,"D7",IF($G$14&lt;=75,"D8","REDIMENSIONAR"))))))))))</f>
        <v>A1</v>
      </c>
      <c r="H19" s="38">
        <f>IF(G14&lt;=10,2,IF(G14&lt;=15,3,4))</f>
        <v>2</v>
      </c>
      <c r="I19" s="38">
        <f>IF(H19=2,1,IF(H19=3,2,3))</f>
        <v>1</v>
      </c>
      <c r="J19" s="38" t="str">
        <f>IF($G$14&lt;=5,"40 Monopolar",IF($G$14&lt;=10,"70 Monopolar",IF($G$14&lt;=15,"60 Bipolar",IF($G$14&lt;=23,"60 Tripolar",IF($G$14&lt;=27,"70 Tripolar",IF($G$14&lt;=38,"100 Tripolar",IF($G$14&lt;=47,"120 Tripolar",IF($G$14&lt;=57,"150 Tripolar",IF($G$14&lt;=66,"175 Tripolar",IF($G$14&lt;=75,"200","REDIMENSIONAR"))))))))))</f>
        <v>40 Monopolar</v>
      </c>
      <c r="K19" s="39" t="str">
        <f>IF($G$14&lt;=5,"6",IF($G$14&lt;=10,"16",IF($G$14&lt;=15,"16",IF($G$14&lt;=23,"16",IF($G$14&lt;=27,"25",IF($G$14&lt;=38,"35",IF($G$14&lt;=47,"50",IF($G$14&lt;=57,"70",IF($G$14&lt;=66,"95",IF($G$14&lt;=75,"120","REDIMENSIONAR"))))))))))</f>
        <v>6</v>
      </c>
      <c r="L19" s="39" t="str">
        <f>IF($G$14&lt;=5,"32",IF($G$14&lt;=10,"32",IF($G$14&lt;=15,"32",IF($G$14&lt;=23,"32",IF($G$14&lt;=27,"40",IF($G$14&lt;=38,"40",IF($G$14&lt;=47,"50",IF($G$14&lt;=57,"60",IF($G$14&lt;=66,"75",IF($G$14&lt;=75,"75","REDIMENSIONAR"))))))))))</f>
        <v>32</v>
      </c>
    </row>
    <row r="20" spans="1:12" x14ac:dyDescent="0.25">
      <c r="A20" s="13"/>
      <c r="B20" s="13"/>
      <c r="C20" s="13"/>
      <c r="D20" s="61"/>
      <c r="F20" s="40"/>
      <c r="G20" s="41"/>
      <c r="H20" s="41"/>
      <c r="I20" s="41"/>
      <c r="J20" s="41"/>
      <c r="K20" s="18"/>
      <c r="L20" s="19"/>
    </row>
    <row r="21" spans="1:12" x14ac:dyDescent="0.25">
      <c r="A21" s="13"/>
      <c r="B21" s="13"/>
      <c r="C21" s="13"/>
      <c r="D21" s="61"/>
      <c r="I21" s="18"/>
      <c r="J21" s="18"/>
      <c r="K21" s="18"/>
      <c r="L21" s="19"/>
    </row>
    <row r="22" spans="1:12" x14ac:dyDescent="0.25">
      <c r="A22" s="13"/>
      <c r="B22" s="13"/>
      <c r="C22" s="54"/>
      <c r="D22" s="66"/>
      <c r="F22" s="18"/>
      <c r="G22" s="18"/>
      <c r="I22" s="18"/>
      <c r="J22" s="18"/>
      <c r="K22" s="18"/>
      <c r="L22" s="19"/>
    </row>
    <row r="23" spans="1:12" x14ac:dyDescent="0.25">
      <c r="I23" s="18"/>
      <c r="J23" s="18"/>
      <c r="K23" s="18"/>
      <c r="L23" s="19"/>
    </row>
    <row r="24" spans="1:12" x14ac:dyDescent="0.25">
      <c r="I24" s="18"/>
      <c r="J24" s="18"/>
      <c r="K24" s="18"/>
      <c r="L24" s="19"/>
    </row>
  </sheetData>
  <mergeCells count="3">
    <mergeCell ref="A1:D1"/>
    <mergeCell ref="F2:I2"/>
    <mergeCell ref="A10:B1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6" sqref="F6"/>
    </sheetView>
  </sheetViews>
  <sheetFormatPr defaultRowHeight="15" x14ac:dyDescent="0.25"/>
  <cols>
    <col min="1" max="1" width="11.7109375" customWidth="1"/>
    <col min="2" max="2" width="15.85546875" customWidth="1"/>
    <col min="4" max="4" width="9.28515625" bestFit="1" customWidth="1"/>
    <col min="5" max="5" width="10.42578125" bestFit="1" customWidth="1"/>
  </cols>
  <sheetData>
    <row r="1" spans="1:7" x14ac:dyDescent="0.25">
      <c r="A1" s="44"/>
      <c r="B1" s="72" t="s">
        <v>0</v>
      </c>
      <c r="C1" s="69" t="s">
        <v>1</v>
      </c>
      <c r="D1" s="48" t="s">
        <v>2</v>
      </c>
      <c r="E1" s="48" t="s">
        <v>3</v>
      </c>
      <c r="F1" s="19"/>
      <c r="G1" s="19"/>
    </row>
    <row r="2" spans="1:7" x14ac:dyDescent="0.25">
      <c r="A2" s="9" t="s">
        <v>89</v>
      </c>
      <c r="B2" s="48"/>
      <c r="C2" s="48"/>
      <c r="D2" s="48"/>
      <c r="E2" s="48"/>
    </row>
    <row r="3" spans="1:7" ht="30" x14ac:dyDescent="0.25">
      <c r="A3" s="44" t="s">
        <v>90</v>
      </c>
      <c r="B3" s="48"/>
      <c r="C3" s="74"/>
      <c r="D3" s="48"/>
      <c r="E3" s="48"/>
    </row>
    <row r="4" spans="1:7" ht="30" x14ac:dyDescent="0.25">
      <c r="A4" s="44" t="s">
        <v>91</v>
      </c>
      <c r="B4" s="48" t="str">
        <f>IF(B2=1.5,7.07*B3,IF(B2=2.5,10.17*B3,IF(B2=4,13.85*B3,IF(B2=6,17.35*B3,IF(B2=10,28.27*B3,IF(B2=16,45.36*B3,"-"))))))</f>
        <v>-</v>
      </c>
      <c r="C4" s="48" t="str">
        <f t="shared" ref="C4:E4" si="0">IF(C2=1.5,7.07*C3,IF(C2=2.5,10.17*C3,IF(C2=4,13.85*C3,IF(C2=6,17.35*C3,IF(C2=10,28.27*C3,IF(C2=16,45.36*C3,"-"))))))</f>
        <v>-</v>
      </c>
      <c r="D4" s="48" t="str">
        <f t="shared" si="0"/>
        <v>-</v>
      </c>
      <c r="E4" s="73" t="str">
        <f t="shared" si="0"/>
        <v>-</v>
      </c>
    </row>
    <row r="5" spans="1:7" x14ac:dyDescent="0.25">
      <c r="A5" s="55"/>
      <c r="B5" s="19"/>
      <c r="C5" s="13"/>
      <c r="E5" s="48" t="s">
        <v>62</v>
      </c>
      <c r="F5" s="48">
        <f>SUM(B4:E4)</f>
        <v>0</v>
      </c>
    </row>
    <row r="6" spans="1:7" x14ac:dyDescent="0.25">
      <c r="A6" s="55"/>
      <c r="B6" s="19"/>
      <c r="C6" s="13"/>
      <c r="E6" t="s">
        <v>92</v>
      </c>
      <c r="F6" t="str">
        <f>IF(F5&lt;=120.77*0.4,"16 mm",IF(F5&lt;=196.07*0.4,"20 mm",IF(F5&lt;=336.52*0.4,"25 mm",IF(F5&lt;=551.55*0.4,"32 mm","Redimensionar"))))</f>
        <v>16 mm</v>
      </c>
    </row>
    <row r="7" spans="1:7" x14ac:dyDescent="0.25">
      <c r="A7" s="55"/>
      <c r="B7" s="19"/>
      <c r="C7" s="13"/>
    </row>
    <row r="8" spans="1:7" x14ac:dyDescent="0.25">
      <c r="A8" s="160" t="s">
        <v>88</v>
      </c>
      <c r="B8" s="160"/>
      <c r="C8" s="13"/>
    </row>
    <row r="9" spans="1:7" ht="45" x14ac:dyDescent="0.25">
      <c r="A9" s="44" t="s">
        <v>86</v>
      </c>
      <c r="B9" s="71" t="s">
        <v>87</v>
      </c>
      <c r="C9" s="13"/>
    </row>
    <row r="10" spans="1:7" x14ac:dyDescent="0.25">
      <c r="A10" s="44">
        <v>1.5</v>
      </c>
      <c r="B10" s="48">
        <v>3</v>
      </c>
      <c r="C10" s="13"/>
    </row>
    <row r="11" spans="1:7" x14ac:dyDescent="0.25">
      <c r="A11" s="44">
        <v>2.5</v>
      </c>
      <c r="B11" s="48">
        <v>3.6</v>
      </c>
    </row>
    <row r="12" spans="1:7" x14ac:dyDescent="0.25">
      <c r="A12" s="44">
        <v>4</v>
      </c>
      <c r="B12" s="48">
        <v>4.2</v>
      </c>
    </row>
    <row r="13" spans="1:7" x14ac:dyDescent="0.25">
      <c r="A13" s="44">
        <v>6</v>
      </c>
      <c r="B13" s="72">
        <v>4.7</v>
      </c>
    </row>
    <row r="14" spans="1:7" x14ac:dyDescent="0.25">
      <c r="A14" s="44">
        <v>10</v>
      </c>
      <c r="B14" s="72">
        <v>6</v>
      </c>
    </row>
  </sheetData>
  <mergeCells count="1">
    <mergeCell ref="A8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Tom. e Ilum.</vt:lpstr>
      <vt:lpstr>Dim. Fios</vt:lpstr>
      <vt:lpstr>Demanda</vt:lpstr>
      <vt:lpstr>Eletrodutos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Alberto de Souza</dc:creator>
  <cp:lastModifiedBy>Wérikson Frederiko de O Alves</cp:lastModifiedBy>
  <cp:lastPrinted>2011-10-17T10:37:27Z</cp:lastPrinted>
  <dcterms:created xsi:type="dcterms:W3CDTF">2011-09-12T11:23:48Z</dcterms:created>
  <dcterms:modified xsi:type="dcterms:W3CDTF">2020-11-01T15:16:14Z</dcterms:modified>
</cp:coreProperties>
</file>