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0"/>
  <workbookPr filterPrivacy="1"/>
  <xr:revisionPtr revIDLastSave="0" documentId="8_{DD507C57-40A3-40A9-8906-05C6901DD42F}" xr6:coauthVersionLast="41" xr6:coauthVersionMax="41" xr10:uidLastSave="{00000000-0000-0000-0000-000000000000}"/>
  <bookViews>
    <workbookView xWindow="0" yWindow="0" windowWidth="22260" windowHeight="12645" xr2:uid="{00000000-000D-0000-FFFF-FFFF00000000}"/>
  </bookViews>
  <sheets>
    <sheet name="Verbruik" sheetId="1" r:id="rId1"/>
    <sheet name="Metingen LoRa" sheetId="2" r:id="rId2"/>
    <sheet name="Metingen Sht3x" sheetId="5" r:id="rId3"/>
    <sheet name="Metingen Dash7 Resp_mode_NO" sheetId="3" r:id="rId4"/>
    <sheet name="Metingen Dash7 Resp_mode_ANY" sheetId="6" r:id="rId5"/>
    <sheet name="Metingen LSM303AGR" sheetId="4" r:id="rId6"/>
    <sheet name="ConsumptionGraph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29" i="1"/>
  <c r="E29" i="1"/>
  <c r="G19" i="1"/>
  <c r="E19" i="1"/>
  <c r="C24" i="1"/>
  <c r="B24" i="1"/>
  <c r="C26" i="1"/>
  <c r="B26" i="1"/>
  <c r="M8" i="2"/>
  <c r="M7" i="2"/>
  <c r="M6" i="2"/>
  <c r="M5" i="2"/>
  <c r="M4" i="2"/>
  <c r="M3" i="2"/>
  <c r="M2" i="2"/>
  <c r="M9" i="2"/>
  <c r="M11" i="2"/>
  <c r="M10" i="2"/>
  <c r="I22" i="2"/>
  <c r="I21" i="2"/>
  <c r="I20" i="2"/>
  <c r="I19" i="2"/>
  <c r="H16" i="2"/>
  <c r="H17" i="2"/>
  <c r="C35" i="1"/>
  <c r="B35" i="1"/>
  <c r="E37" i="1"/>
  <c r="C37" i="1"/>
  <c r="B37" i="1"/>
  <c r="G38" i="1"/>
  <c r="E18" i="3"/>
  <c r="E17" i="3"/>
  <c r="B21" i="6"/>
  <c r="E17" i="6"/>
  <c r="E18" i="6"/>
  <c r="K14" i="6"/>
  <c r="J14" i="6"/>
  <c r="I14" i="6"/>
  <c r="H14" i="6"/>
  <c r="G14" i="6"/>
  <c r="F14" i="6"/>
  <c r="E14" i="6"/>
  <c r="D14" i="6"/>
  <c r="A14" i="6"/>
  <c r="G14" i="3"/>
  <c r="F14" i="3"/>
  <c r="E38" i="1"/>
  <c r="D14" i="3"/>
  <c r="H14" i="3"/>
  <c r="J14" i="3"/>
  <c r="K14" i="3"/>
  <c r="I14" i="3"/>
  <c r="E14" i="3"/>
  <c r="A14" i="3"/>
  <c r="J14" i="2"/>
  <c r="I14" i="2"/>
  <c r="H14" i="2"/>
  <c r="G14" i="2"/>
  <c r="O11" i="2"/>
  <c r="O10" i="2"/>
  <c r="O9" i="2"/>
  <c r="O8" i="2"/>
  <c r="O7" i="2"/>
  <c r="O6" i="2"/>
  <c r="O5" i="2"/>
  <c r="D14" i="2"/>
  <c r="O3" i="2"/>
  <c r="O4" i="2"/>
  <c r="O2" i="2"/>
  <c r="A14" i="2"/>
  <c r="O14" i="2"/>
  <c r="M14" i="2"/>
  <c r="B15" i="5"/>
  <c r="C7" i="4"/>
  <c r="D6" i="4"/>
  <c r="D7" i="4"/>
  <c r="E6" i="4"/>
  <c r="E7" i="4"/>
  <c r="C6" i="4"/>
  <c r="B9" i="1"/>
  <c r="G12" i="1"/>
  <c r="E12" i="1"/>
  <c r="B11" i="1"/>
  <c r="B10" i="1"/>
  <c r="C5" i="1"/>
  <c r="C4" i="1"/>
  <c r="B5" i="1"/>
  <c r="B4" i="1"/>
  <c r="E5" i="1"/>
  <c r="G5" i="1"/>
  <c r="L7" i="1"/>
  <c r="L6" i="1"/>
  <c r="L3" i="1"/>
  <c r="L4" i="1"/>
</calcChain>
</file>

<file path=xl/sharedStrings.xml><?xml version="1.0" encoding="utf-8"?>
<sst xmlns="http://schemas.openxmlformats.org/spreadsheetml/2006/main" count="299" uniqueCount="98">
  <si>
    <t>SHT3x</t>
  </si>
  <si>
    <t>typical</t>
  </si>
  <si>
    <t>max</t>
  </si>
  <si>
    <t>PWR typ/h</t>
  </si>
  <si>
    <t>PWR max/h</t>
  </si>
  <si>
    <t>Measurements/hour:</t>
  </si>
  <si>
    <t>/</t>
  </si>
  <si>
    <t>[-]</t>
  </si>
  <si>
    <t>Battery capacity:</t>
  </si>
  <si>
    <t>[mAh]</t>
  </si>
  <si>
    <t>Measurement duration:</t>
  </si>
  <si>
    <t>[ms]</t>
  </si>
  <si>
    <t>Battery life (typ):</t>
  </si>
  <si>
    <t>[h]</t>
  </si>
  <si>
    <t>Idle current:</t>
  </si>
  <si>
    <t>[mA]</t>
  </si>
  <si>
    <t>Battery life (max):</t>
  </si>
  <si>
    <t>Measuring current:</t>
  </si>
  <si>
    <t>Battery cons/hour (typ):</t>
  </si>
  <si>
    <t>LSM303agr</t>
  </si>
  <si>
    <t>Battery cons/hour (max):</t>
  </si>
  <si>
    <t>Sample Rate</t>
  </si>
  <si>
    <t>[Hz]</t>
  </si>
  <si>
    <t>Current Consumption (lpm)</t>
  </si>
  <si>
    <t>Current Consumption (normal)</t>
  </si>
  <si>
    <t>Current Consumption (high res)</t>
  </si>
  <si>
    <t>Mode:</t>
  </si>
  <si>
    <t>lpm</t>
  </si>
  <si>
    <t>GPS</t>
  </si>
  <si>
    <t>Measurements/hour</t>
  </si>
  <si>
    <t>Measurement duration (lorawan academy)</t>
  </si>
  <si>
    <t>Measuring current</t>
  </si>
  <si>
    <t>Idle current (lorawan academy)</t>
  </si>
  <si>
    <t>Mode: (Acq/FullPWR/GLP)</t>
  </si>
  <si>
    <t>Acq</t>
  </si>
  <si>
    <t>LoRa-module</t>
  </si>
  <si>
    <t>Msg/hour</t>
  </si>
  <si>
    <t>Msg length</t>
  </si>
  <si>
    <t>[byte]</t>
  </si>
  <si>
    <t>Sending duration/ message</t>
  </si>
  <si>
    <t>Sending current</t>
  </si>
  <si>
    <t>Listen duration</t>
  </si>
  <si>
    <t>Listen current</t>
  </si>
  <si>
    <t>Idle current</t>
  </si>
  <si>
    <t>Spreading factor</t>
  </si>
  <si>
    <t xml:space="preserve"> </t>
  </si>
  <si>
    <t>Dash7-module</t>
  </si>
  <si>
    <t>Resp Mode</t>
  </si>
  <si>
    <t>NO</t>
  </si>
  <si>
    <t>Murata Idle</t>
  </si>
  <si>
    <t>STM32</t>
  </si>
  <si>
    <t>Verbruik Idle</t>
  </si>
  <si>
    <t>Verbruik sturen:</t>
  </si>
  <si>
    <t>Tijd per byte (SF12)</t>
  </si>
  <si>
    <t>1 byte</t>
  </si>
  <si>
    <t>4 byte</t>
  </si>
  <si>
    <t>16 byte</t>
  </si>
  <si>
    <t>32 byte</t>
  </si>
  <si>
    <t>Listen frames</t>
  </si>
  <si>
    <t>Gemiddeld</t>
  </si>
  <si>
    <t>Header</t>
  </si>
  <si>
    <t>per byte</t>
  </si>
  <si>
    <t>theoretisch</t>
  </si>
  <si>
    <t>Listen frame length afhankelijk van SF?</t>
  </si>
  <si>
    <t>GEEN LINEAIR VERBAND</t>
  </si>
  <si>
    <t>lege main-loop</t>
  </si>
  <si>
    <t>1 meting per sec -&gt; 10 metingen </t>
  </si>
  <si>
    <t>Verbruik IDLE</t>
  </si>
  <si>
    <t>Verbruik met temperatuurmeting</t>
  </si>
  <si>
    <t>[µA]</t>
  </si>
  <si>
    <t>Verbruik:</t>
  </si>
  <si>
    <t>bullshittttt</t>
  </si>
  <si>
    <t>1 byte: [ms]</t>
  </si>
  <si>
    <t>1 byte [mA]</t>
  </si>
  <si>
    <t>4 byte: [ms]</t>
  </si>
  <si>
    <t>4 byte: [mA]</t>
  </si>
  <si>
    <t>16 byte: [ms]</t>
  </si>
  <si>
    <t>16 byte: [mA]</t>
  </si>
  <si>
    <t>32 byte: [ms]</t>
  </si>
  <si>
    <t>32 byte: [mA]</t>
  </si>
  <si>
    <t>Gemiddeld:</t>
  </si>
  <si>
    <t>Verbruik Theoretisch:</t>
  </si>
  <si>
    <t>Aantal bytes:</t>
  </si>
  <si>
    <t>Tijd</t>
  </si>
  <si>
    <t>gem verbruik</t>
  </si>
  <si>
    <t>Totaal Verbruik</t>
  </si>
  <si>
    <t>Aantal boodschappe</t>
  </si>
  <si>
    <t>ACC</t>
  </si>
  <si>
    <t>Enabled</t>
  </si>
  <si>
    <t>Disabled</t>
  </si>
  <si>
    <t>1 uA = 0.001 mA</t>
  </si>
  <si>
    <t>Mag</t>
  </si>
  <si>
    <t>1 mAs = 0.00027777777777778 mAh</t>
  </si>
  <si>
    <t>Temp</t>
  </si>
  <si>
    <t>Verbruik [µA] over 10s</t>
  </si>
  <si>
    <t>Verbruik [µA] over 1s</t>
  </si>
  <si>
    <t>Verbruik [mAh]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</si>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</sst>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05895"/>
        <c:axId val="1158195495"/>
      </c:lineChart>
      <c:catAx>
        <c:axId val="1158205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95495"/>
        <c:crosses val="autoZero"/>
        <c:auto val="1"/>
        <c:lblAlgn val="ctr"/>
        <c:lblOffset val="100"/>
        <c:noMultiLvlLbl val="0"/>
      </c:catAx>
      <c:valAx>
        <c:axId val="1158195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05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6</xdr:row>
      <xdr:rowOff>57150</xdr:rowOff>
    </xdr:from>
    <xdr:to>
      <xdr:col>16</xdr:col>
      <xdr:colOff>400050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2B7AC-6A40-4C6B-BE54-0A17CC59C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A21" workbookViewId="0" xr3:uid="{AEA406A1-0E4B-5B11-9CD5-51D6E497D94C}">
      <selection activeCell="B35" sqref="B35"/>
    </sheetView>
  </sheetViews>
  <sheetFormatPr defaultRowHeight="15"/>
  <cols>
    <col min="1" max="1" width="39.85546875" bestFit="1" customWidth="1"/>
    <col min="2" max="2" width="10" bestFit="1" customWidth="1"/>
    <col min="5" max="5" width="12" bestFit="1" customWidth="1"/>
    <col min="11" max="11" width="23.28515625" customWidth="1"/>
    <col min="12" max="12" width="13.42578125" customWidth="1"/>
  </cols>
  <sheetData>
    <row r="1" spans="1:13">
      <c r="A1" s="3" t="s">
        <v>0</v>
      </c>
      <c r="B1" t="s">
        <v>1</v>
      </c>
      <c r="C1" t="s">
        <v>2</v>
      </c>
      <c r="E1" t="s">
        <v>3</v>
      </c>
      <c r="G1" t="s">
        <v>4</v>
      </c>
    </row>
    <row r="2" spans="1:13">
      <c r="A2" s="1" t="s">
        <v>5</v>
      </c>
      <c r="B2">
        <v>4</v>
      </c>
      <c r="C2" t="s">
        <v>6</v>
      </c>
      <c r="D2" t="s">
        <v>7</v>
      </c>
      <c r="K2" s="1" t="s">
        <v>8</v>
      </c>
      <c r="L2">
        <v>6600</v>
      </c>
      <c r="M2" t="s">
        <v>9</v>
      </c>
    </row>
    <row r="3" spans="1:13">
      <c r="A3" t="s">
        <v>10</v>
      </c>
      <c r="B3">
        <v>2.5</v>
      </c>
      <c r="C3">
        <v>4</v>
      </c>
      <c r="D3" t="s">
        <v>11</v>
      </c>
      <c r="K3" t="s">
        <v>12</v>
      </c>
      <c r="L3">
        <f>L2/SUM(E2:E104)</f>
        <v>97.356010243210449</v>
      </c>
      <c r="M3" t="s">
        <v>13</v>
      </c>
    </row>
    <row r="4" spans="1:13">
      <c r="A4" t="s">
        <v>14</v>
      </c>
      <c r="B4">
        <f>0.2*10^(-3)</f>
        <v>2.0000000000000001E-4</v>
      </c>
      <c r="C4">
        <f>2*10^-3</f>
        <v>2E-3</v>
      </c>
      <c r="D4" t="s">
        <v>15</v>
      </c>
      <c r="K4" t="s">
        <v>16</v>
      </c>
      <c r="L4">
        <f>L2/SUM(G2:G104)</f>
        <v>97.353418182089371</v>
      </c>
      <c r="M4" t="s">
        <v>13</v>
      </c>
    </row>
    <row r="5" spans="1:13">
      <c r="A5" t="s">
        <v>17</v>
      </c>
      <c r="B5">
        <f>600*10^-3</f>
        <v>0.6</v>
      </c>
      <c r="C5">
        <f>1500*10^-3</f>
        <v>1.5</v>
      </c>
      <c r="D5" t="s">
        <v>15</v>
      </c>
      <c r="E5" s="2">
        <f>(B2*B3*B5+(3600*10^3-B2*B3)*B4)/(3600*10^3)</f>
        <v>2.0166611111111112E-4</v>
      </c>
      <c r="F5" s="2" t="s">
        <v>15</v>
      </c>
      <c r="G5" s="2">
        <f>(B2*C3*C5+(3600*10^3-B2*C3)*C4)/(3600*10^3)</f>
        <v>2.0066577777777777E-3</v>
      </c>
      <c r="H5" s="2" t="s">
        <v>15</v>
      </c>
    </row>
    <row r="6" spans="1:13">
      <c r="K6" t="s">
        <v>18</v>
      </c>
      <c r="L6">
        <f>SUM(E2:E104)</f>
        <v>67.792424766711108</v>
      </c>
      <c r="M6" t="s">
        <v>15</v>
      </c>
    </row>
    <row r="7" spans="1:13">
      <c r="A7" s="3" t="s">
        <v>19</v>
      </c>
      <c r="K7" t="s">
        <v>20</v>
      </c>
      <c r="L7">
        <f>SUM(G2:G104)</f>
        <v>67.794229758377782</v>
      </c>
      <c r="M7" t="s">
        <v>15</v>
      </c>
    </row>
    <row r="8" spans="1:13">
      <c r="A8" s="1" t="s">
        <v>21</v>
      </c>
      <c r="B8">
        <v>10</v>
      </c>
      <c r="C8" t="s">
        <v>22</v>
      </c>
    </row>
    <row r="9" spans="1:13">
      <c r="A9" t="s">
        <v>23</v>
      </c>
      <c r="B9">
        <f xml:space="preserve"> IF(B8=1,3.7,IF(B8=10,4.4,IF(B8 = 25,5.6,IF(B8=50,7.7,IF(B8=100,11.7,IF(B8 = 200,20,IF(B8=400,36,"!!!")))))))*10^-3</f>
        <v>4.4000000000000003E-3</v>
      </c>
      <c r="C9" t="s">
        <v>15</v>
      </c>
    </row>
    <row r="10" spans="1:13">
      <c r="A10" t="s">
        <v>24</v>
      </c>
      <c r="B10">
        <f xml:space="preserve"> IF(B8=1,3.7,IF(B8=10,5.4,IF(B8 = 25,8,IF(B8=50,12.6,IF(B8=100,22,IF(B8 = 200,40,IF(B8=400,75,"!!!")))))))*10^-3</f>
        <v>5.4000000000000003E-3</v>
      </c>
      <c r="C10" t="s">
        <v>15</v>
      </c>
    </row>
    <row r="11" spans="1:13">
      <c r="A11" t="s">
        <v>25</v>
      </c>
      <c r="B11">
        <f xml:space="preserve"> IF(B8=1,3.7,IF(B8=10,5.4,IF(B8 = 25,8,IF(B8=50,12.6,IF(B8=100,22,IF(B8 = 200,40,IF(B8=400,75,"!!!")))))))*10^-3</f>
        <v>5.4000000000000003E-3</v>
      </c>
      <c r="C11" t="s">
        <v>15</v>
      </c>
    </row>
    <row r="12" spans="1:13">
      <c r="A12" s="1" t="s">
        <v>26</v>
      </c>
      <c r="B12" t="s">
        <v>27</v>
      </c>
      <c r="C12" t="s">
        <v>6</v>
      </c>
      <c r="E12" s="2">
        <f>IF(B12="lpm", B9, IF(B12="normal", B10, IF(B12="high res",B11,"!!!")))</f>
        <v>4.4000000000000003E-3</v>
      </c>
      <c r="F12" s="2" t="s">
        <v>15</v>
      </c>
      <c r="G12" s="2">
        <f>IF(B12="lpm", B9, IF(B12="normal", B10, IF(B12="high res",B11,"!!!!")))</f>
        <v>4.4000000000000003E-3</v>
      </c>
      <c r="H12" s="2" t="s">
        <v>15</v>
      </c>
    </row>
    <row r="14" spans="1:13">
      <c r="A14" s="3" t="s">
        <v>28</v>
      </c>
      <c r="B14" t="s">
        <v>1</v>
      </c>
      <c r="C14" t="s">
        <v>2</v>
      </c>
    </row>
    <row r="15" spans="1:13">
      <c r="A15" s="1" t="s">
        <v>29</v>
      </c>
      <c r="B15">
        <v>6</v>
      </c>
      <c r="C15" t="s">
        <v>6</v>
      </c>
      <c r="D15" t="s">
        <v>7</v>
      </c>
    </row>
    <row r="16" spans="1:13">
      <c r="A16" t="s">
        <v>30</v>
      </c>
      <c r="B16">
        <v>15000</v>
      </c>
      <c r="C16">
        <v>15000</v>
      </c>
      <c r="D16" t="s">
        <v>11</v>
      </c>
    </row>
    <row r="17" spans="1:8">
      <c r="A17" t="s">
        <v>31</v>
      </c>
      <c r="B17">
        <v>21.707000000000001</v>
      </c>
      <c r="C17">
        <v>21.707000000000001</v>
      </c>
      <c r="D17" t="s">
        <v>15</v>
      </c>
    </row>
    <row r="18" spans="1:8">
      <c r="A18" t="s">
        <v>32</v>
      </c>
      <c r="B18">
        <v>0.08</v>
      </c>
      <c r="C18">
        <v>0.08</v>
      </c>
      <c r="D18" t="s">
        <v>15</v>
      </c>
    </row>
    <row r="19" spans="1:8">
      <c r="A19" s="1" t="s">
        <v>33</v>
      </c>
      <c r="B19" t="s">
        <v>34</v>
      </c>
      <c r="C19" t="s">
        <v>6</v>
      </c>
      <c r="E19" s="2">
        <f>B17</f>
        <v>21.707000000000001</v>
      </c>
      <c r="F19" s="2" t="s">
        <v>15</v>
      </c>
      <c r="G19" s="2">
        <f>B17</f>
        <v>21.707000000000001</v>
      </c>
      <c r="H19" s="2" t="s">
        <v>15</v>
      </c>
    </row>
    <row r="21" spans="1:8">
      <c r="A21" s="3" t="s">
        <v>35</v>
      </c>
    </row>
    <row r="22" spans="1:8">
      <c r="A22" s="1" t="s">
        <v>36</v>
      </c>
      <c r="B22">
        <v>1</v>
      </c>
      <c r="C22" t="s">
        <v>6</v>
      </c>
      <c r="D22" t="s">
        <v>7</v>
      </c>
    </row>
    <row r="23" spans="1:8">
      <c r="A23" s="1" t="s">
        <v>37</v>
      </c>
      <c r="B23">
        <v>32</v>
      </c>
      <c r="C23" t="s">
        <v>6</v>
      </c>
      <c r="D23" t="s">
        <v>38</v>
      </c>
    </row>
    <row r="24" spans="1:8">
      <c r="A24" t="s">
        <v>39</v>
      </c>
      <c r="B24">
        <f>IF(B23=1,1305.1,IF(B23=4,1472.6,IF(B23=16,1796.7,IF(B23=32,2288.1,"!!!!"))))</f>
        <v>2288.1</v>
      </c>
      <c r="C24">
        <f>IF(B23=1,1305.1,IF(B23=4,1472.6,IF(B23=16,1796.7,IF(B23=32,2288.1,"!!!!"))))</f>
        <v>2288.1</v>
      </c>
      <c r="D24" t="s">
        <v>11</v>
      </c>
    </row>
    <row r="25" spans="1:8">
      <c r="A25" t="s">
        <v>40</v>
      </c>
      <c r="B25">
        <v>42.079599999999999</v>
      </c>
      <c r="C25">
        <v>42.079599999999999</v>
      </c>
      <c r="D25" t="s">
        <v>15</v>
      </c>
    </row>
    <row r="26" spans="1:8">
      <c r="A26" t="s">
        <v>41</v>
      </c>
      <c r="B26">
        <f>2*185.3</f>
        <v>370.6</v>
      </c>
      <c r="C26">
        <f>2*185.3</f>
        <v>370.6</v>
      </c>
      <c r="D26" t="s">
        <v>11</v>
      </c>
    </row>
    <row r="27" spans="1:8">
      <c r="A27" t="s">
        <v>42</v>
      </c>
      <c r="B27">
        <v>24.154399999999999</v>
      </c>
      <c r="C27">
        <v>24.154399999999999</v>
      </c>
      <c r="D27" t="s">
        <v>15</v>
      </c>
    </row>
    <row r="28" spans="1:8">
      <c r="A28" t="s">
        <v>43</v>
      </c>
      <c r="B28">
        <v>11.077999999999999</v>
      </c>
      <c r="C28">
        <v>11.077999999999999</v>
      </c>
      <c r="D28" t="s">
        <v>15</v>
      </c>
      <c r="E28" s="4"/>
      <c r="F28" s="4"/>
      <c r="G28" s="4"/>
      <c r="H28" s="4"/>
    </row>
    <row r="29" spans="1:8">
      <c r="A29" s="1" t="s">
        <v>44</v>
      </c>
      <c r="B29">
        <v>7</v>
      </c>
      <c r="C29" t="s">
        <v>6</v>
      </c>
      <c r="D29" t="s">
        <v>7</v>
      </c>
      <c r="E29" s="2">
        <f>(B22*B24/(2^(12-B29))*B25 + B22*B26*B27)/(3600*10^3)</f>
        <v>3.3223454274305562E-3</v>
      </c>
      <c r="F29" s="2" t="s">
        <v>15</v>
      </c>
      <c r="G29" s="2">
        <f>(B22*B24/(2^(12-B29))*B25 + B22*B26*B27)/(3600*10^3)</f>
        <v>3.3223454274305562E-3</v>
      </c>
      <c r="H29" s="2" t="s">
        <v>15</v>
      </c>
    </row>
    <row r="30" spans="1:8">
      <c r="A30" s="4"/>
      <c r="B30" t="s">
        <v>45</v>
      </c>
    </row>
    <row r="31" spans="1:8">
      <c r="A31" s="3" t="s">
        <v>46</v>
      </c>
    </row>
    <row r="32" spans="1:8">
      <c r="A32" s="1" t="s">
        <v>36</v>
      </c>
      <c r="B32">
        <v>1</v>
      </c>
      <c r="C32" t="s">
        <v>6</v>
      </c>
      <c r="D32" t="s">
        <v>7</v>
      </c>
    </row>
    <row r="33" spans="1:8">
      <c r="A33" s="1" t="s">
        <v>37</v>
      </c>
      <c r="B33">
        <v>2</v>
      </c>
      <c r="C33" t="s">
        <v>6</v>
      </c>
      <c r="D33" t="s">
        <v>38</v>
      </c>
    </row>
    <row r="34" spans="1:8">
      <c r="A34" s="1" t="s">
        <v>47</v>
      </c>
      <c r="B34" t="s">
        <v>48</v>
      </c>
      <c r="C34" t="s">
        <v>6</v>
      </c>
    </row>
    <row r="35" spans="1:8">
      <c r="A35" t="s">
        <v>39</v>
      </c>
      <c r="B35">
        <f>121.34+B33*3.06</f>
        <v>127.46000000000001</v>
      </c>
      <c r="C35">
        <f>121.34+B33*3.06</f>
        <v>127.46000000000001</v>
      </c>
      <c r="D35" t="s">
        <v>11</v>
      </c>
    </row>
    <row r="36" spans="1:8">
      <c r="A36" t="s">
        <v>40</v>
      </c>
      <c r="B36">
        <v>35.402000000000001</v>
      </c>
      <c r="C36">
        <v>35.402000000000001</v>
      </c>
      <c r="D36" t="s">
        <v>15</v>
      </c>
    </row>
    <row r="37" spans="1:8">
      <c r="A37" t="s">
        <v>43</v>
      </c>
      <c r="B37">
        <f>IF(B34="NO",11.078,IF(B34="ALL",24.539,"!!!!"))</f>
        <v>11.077999999999999</v>
      </c>
      <c r="C37">
        <f>IF(B34="NO",11.078,IF(B34="ALL",24.539,"!!!!"))</f>
        <v>11.077999999999999</v>
      </c>
      <c r="D37" t="s">
        <v>15</v>
      </c>
      <c r="E37" s="2">
        <f>(B32*B35*B36)/(3600*10^3)</f>
        <v>1.2534274777777777E-3</v>
      </c>
      <c r="F37" s="2" t="s">
        <v>15</v>
      </c>
      <c r="G37" s="2">
        <f>(B32*B35*B36)/(3600*10^3)</f>
        <v>1.2534274777777777E-3</v>
      </c>
      <c r="H37" s="2" t="s">
        <v>15</v>
      </c>
    </row>
    <row r="38" spans="1:8">
      <c r="A38" t="s">
        <v>49</v>
      </c>
      <c r="E38" s="2">
        <f>(3600*10^3 - B22*B24/(2^(12-B29))-B22*B26 -  B32*B35)*B37/(3600*10^3)</f>
        <v>11.076247327694791</v>
      </c>
      <c r="F38" s="2" t="s">
        <v>15</v>
      </c>
      <c r="G38" s="2">
        <f>(3600*10^3 - B22*B24/(2^(12-B29))-B22*B26 -  B32*B35)*B37/(3600*10^3)</f>
        <v>11.076247327694791</v>
      </c>
      <c r="H38" s="2" t="s">
        <v>15</v>
      </c>
    </row>
    <row r="39" spans="1:8">
      <c r="A39" s="4"/>
      <c r="B39" s="4"/>
      <c r="C39" s="4"/>
      <c r="D39" s="4"/>
      <c r="E39" s="4"/>
      <c r="F39" s="4"/>
      <c r="G39" s="4"/>
      <c r="H39" s="4"/>
    </row>
    <row r="40" spans="1:8">
      <c r="A40" s="3" t="s">
        <v>50</v>
      </c>
      <c r="E40" s="2">
        <v>35</v>
      </c>
      <c r="F40" s="2" t="s">
        <v>15</v>
      </c>
      <c r="G40" s="2">
        <v>35</v>
      </c>
      <c r="H40" s="2" t="s">
        <v>15</v>
      </c>
    </row>
    <row r="44" spans="1:8">
      <c r="A44" s="4"/>
      <c r="B44" s="4"/>
      <c r="C44" s="4"/>
      <c r="D44" s="4"/>
      <c r="E44" s="4"/>
      <c r="F44" s="4"/>
      <c r="G44" s="4"/>
      <c r="H4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64C4-2E32-446B-A8BB-0CEFCF159919}">
  <dimension ref="A1:P22"/>
  <sheetViews>
    <sheetView workbookViewId="0" xr3:uid="{F63A2D33-3565-5BE7-AD76-AA332E6F3090}">
      <selection activeCell="M14" sqref="M14"/>
    </sheetView>
  </sheetViews>
  <sheetFormatPr defaultRowHeight="15"/>
  <cols>
    <col min="1" max="1" width="21.28515625" customWidth="1"/>
    <col min="2" max="2" width="14.140625" customWidth="1"/>
    <col min="3" max="3" width="17.140625" customWidth="1"/>
    <col min="4" max="4" width="16" customWidth="1"/>
    <col min="6" max="6" width="21.42578125" customWidth="1"/>
    <col min="7" max="7" width="10.5703125" customWidth="1"/>
    <col min="8" max="8" width="9.85546875" customWidth="1"/>
    <col min="9" max="10" width="8.5703125" customWidth="1"/>
  </cols>
  <sheetData>
    <row r="1" spans="1:16">
      <c r="A1" t="s">
        <v>51</v>
      </c>
      <c r="C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M1" t="s">
        <v>58</v>
      </c>
    </row>
    <row r="2" spans="1:16">
      <c r="A2">
        <v>11.08</v>
      </c>
      <c r="B2" t="s">
        <v>15</v>
      </c>
      <c r="D2">
        <v>42.152000000000001</v>
      </c>
      <c r="E2" t="s">
        <v>15</v>
      </c>
      <c r="G2">
        <v>1301</v>
      </c>
      <c r="H2">
        <v>1467</v>
      </c>
      <c r="I2">
        <v>1793</v>
      </c>
      <c r="J2">
        <v>2299</v>
      </c>
      <c r="K2" t="s">
        <v>11</v>
      </c>
      <c r="M2">
        <f>24.186</f>
        <v>24.186</v>
      </c>
      <c r="N2" t="s">
        <v>15</v>
      </c>
      <c r="O2">
        <f>2*188</f>
        <v>376</v>
      </c>
      <c r="P2" t="s">
        <v>11</v>
      </c>
    </row>
    <row r="3" spans="1:16">
      <c r="A3" s="5">
        <v>11.08</v>
      </c>
      <c r="B3" t="s">
        <v>15</v>
      </c>
      <c r="D3">
        <v>42.079000000000001</v>
      </c>
      <c r="E3" t="s">
        <v>15</v>
      </c>
      <c r="G3">
        <v>1307</v>
      </c>
      <c r="H3">
        <v>1470</v>
      </c>
      <c r="I3">
        <v>1803</v>
      </c>
      <c r="J3">
        <v>2283</v>
      </c>
      <c r="K3" t="s">
        <v>11</v>
      </c>
      <c r="M3">
        <f>24.146</f>
        <v>24.146000000000001</v>
      </c>
      <c r="N3" t="s">
        <v>15</v>
      </c>
      <c r="O3">
        <f>2*187</f>
        <v>374</v>
      </c>
      <c r="P3" t="s">
        <v>11</v>
      </c>
    </row>
    <row r="4" spans="1:16">
      <c r="A4" s="5">
        <v>11.08</v>
      </c>
      <c r="B4" t="s">
        <v>15</v>
      </c>
      <c r="D4">
        <v>42.033000000000001</v>
      </c>
      <c r="E4" t="s">
        <v>15</v>
      </c>
      <c r="G4">
        <v>1309</v>
      </c>
      <c r="H4">
        <v>1477</v>
      </c>
      <c r="I4">
        <v>1795</v>
      </c>
      <c r="J4">
        <v>2292</v>
      </c>
      <c r="K4" t="s">
        <v>11</v>
      </c>
      <c r="M4">
        <f>24.105</f>
        <v>24.105</v>
      </c>
      <c r="N4" t="s">
        <v>15</v>
      </c>
      <c r="O4">
        <f>2*183</f>
        <v>366</v>
      </c>
      <c r="P4" t="s">
        <v>11</v>
      </c>
    </row>
    <row r="5" spans="1:16">
      <c r="A5" s="5">
        <v>11.08</v>
      </c>
      <c r="B5" t="s">
        <v>15</v>
      </c>
      <c r="D5">
        <v>42.113</v>
      </c>
      <c r="E5" t="s">
        <v>15</v>
      </c>
      <c r="G5">
        <v>1306</v>
      </c>
      <c r="H5">
        <v>1474</v>
      </c>
      <c r="I5">
        <v>1795</v>
      </c>
      <c r="J5">
        <v>2287</v>
      </c>
      <c r="K5" t="s">
        <v>11</v>
      </c>
      <c r="M5">
        <f>24.184</f>
        <v>24.184000000000001</v>
      </c>
      <c r="N5" t="s">
        <v>15</v>
      </c>
      <c r="O5">
        <f>2*188</f>
        <v>376</v>
      </c>
      <c r="P5" t="s">
        <v>11</v>
      </c>
    </row>
    <row r="6" spans="1:16">
      <c r="A6" s="5">
        <v>11.08</v>
      </c>
      <c r="B6" t="s">
        <v>15</v>
      </c>
      <c r="D6">
        <v>42.036000000000001</v>
      </c>
      <c r="E6" t="s">
        <v>15</v>
      </c>
      <c r="G6">
        <v>1303</v>
      </c>
      <c r="H6">
        <v>1462</v>
      </c>
      <c r="I6">
        <v>1797</v>
      </c>
      <c r="J6">
        <v>2293</v>
      </c>
      <c r="K6" t="s">
        <v>11</v>
      </c>
      <c r="M6">
        <f>24.112</f>
        <v>24.111999999999998</v>
      </c>
      <c r="N6" t="s">
        <v>15</v>
      </c>
      <c r="O6">
        <f>2*187</f>
        <v>374</v>
      </c>
      <c r="P6" t="s">
        <v>11</v>
      </c>
    </row>
    <row r="7" spans="1:16">
      <c r="A7" s="5">
        <v>11.08</v>
      </c>
      <c r="B7" t="s">
        <v>15</v>
      </c>
      <c r="D7">
        <v>42.103999999999999</v>
      </c>
      <c r="E7" t="s">
        <v>15</v>
      </c>
      <c r="G7">
        <v>1296</v>
      </c>
      <c r="H7">
        <v>1465</v>
      </c>
      <c r="I7">
        <v>1793</v>
      </c>
      <c r="J7">
        <v>2280</v>
      </c>
      <c r="K7" t="s">
        <v>11</v>
      </c>
      <c r="M7">
        <f>24.208</f>
        <v>24.207999999999998</v>
      </c>
      <c r="N7" t="s">
        <v>15</v>
      </c>
      <c r="O7">
        <f>2*177</f>
        <v>354</v>
      </c>
      <c r="P7" t="s">
        <v>11</v>
      </c>
    </row>
    <row r="8" spans="1:16">
      <c r="A8" s="5">
        <v>11.08</v>
      </c>
      <c r="B8" t="s">
        <v>15</v>
      </c>
      <c r="D8">
        <v>42.100999999999999</v>
      </c>
      <c r="E8" t="s">
        <v>15</v>
      </c>
      <c r="G8">
        <v>1307</v>
      </c>
      <c r="H8">
        <v>1480</v>
      </c>
      <c r="I8">
        <v>1799</v>
      </c>
      <c r="J8">
        <v>2292</v>
      </c>
      <c r="K8" t="s">
        <v>11</v>
      </c>
      <c r="M8">
        <f>24.174</f>
        <v>24.173999999999999</v>
      </c>
      <c r="N8" t="s">
        <v>15</v>
      </c>
      <c r="O8">
        <f>2*189</f>
        <v>378</v>
      </c>
      <c r="P8" t="s">
        <v>11</v>
      </c>
    </row>
    <row r="9" spans="1:16">
      <c r="A9" s="5">
        <v>11.08</v>
      </c>
      <c r="B9" t="s">
        <v>15</v>
      </c>
      <c r="D9">
        <v>42.03</v>
      </c>
      <c r="E9" t="s">
        <v>15</v>
      </c>
      <c r="G9">
        <v>1306</v>
      </c>
      <c r="H9">
        <v>1476</v>
      </c>
      <c r="I9">
        <v>1798</v>
      </c>
      <c r="J9">
        <v>2290</v>
      </c>
      <c r="K9" t="s">
        <v>11</v>
      </c>
      <c r="M9">
        <f>24.116</f>
        <v>24.116</v>
      </c>
      <c r="N9" t="s">
        <v>15</v>
      </c>
      <c r="O9">
        <f>2*189</f>
        <v>378</v>
      </c>
      <c r="P9" t="s">
        <v>11</v>
      </c>
    </row>
    <row r="10" spans="1:16">
      <c r="A10" s="5">
        <v>11.08</v>
      </c>
      <c r="B10" t="s">
        <v>15</v>
      </c>
      <c r="D10">
        <v>42.067</v>
      </c>
      <c r="E10" t="s">
        <v>15</v>
      </c>
      <c r="G10">
        <v>1306</v>
      </c>
      <c r="H10">
        <v>1475</v>
      </c>
      <c r="I10">
        <v>1797</v>
      </c>
      <c r="J10">
        <v>2284</v>
      </c>
      <c r="K10" t="s">
        <v>11</v>
      </c>
      <c r="M10">
        <f>24.138</f>
        <v>24.138000000000002</v>
      </c>
      <c r="N10" t="s">
        <v>15</v>
      </c>
      <c r="O10">
        <f>2*188</f>
        <v>376</v>
      </c>
      <c r="P10" t="s">
        <v>11</v>
      </c>
    </row>
    <row r="11" spans="1:16">
      <c r="A11" s="5">
        <v>11.08</v>
      </c>
      <c r="B11" t="s">
        <v>15</v>
      </c>
      <c r="D11">
        <v>42.081000000000003</v>
      </c>
      <c r="E11" t="s">
        <v>15</v>
      </c>
      <c r="G11">
        <v>1310</v>
      </c>
      <c r="H11">
        <v>1480</v>
      </c>
      <c r="I11">
        <v>1797</v>
      </c>
      <c r="J11">
        <v>2281</v>
      </c>
      <c r="K11" t="s">
        <v>11</v>
      </c>
      <c r="M11">
        <f>24.175</f>
        <v>24.175000000000001</v>
      </c>
      <c r="N11" t="s">
        <v>15</v>
      </c>
      <c r="O11">
        <f>2*177</f>
        <v>354</v>
      </c>
      <c r="P11" t="s">
        <v>11</v>
      </c>
    </row>
    <row r="13" spans="1:16">
      <c r="A13" t="s">
        <v>59</v>
      </c>
      <c r="D13" t="s">
        <v>59</v>
      </c>
      <c r="G13" t="s">
        <v>59</v>
      </c>
      <c r="M13" t="s">
        <v>59</v>
      </c>
      <c r="O13" t="s">
        <v>59</v>
      </c>
    </row>
    <row r="14" spans="1:16">
      <c r="A14">
        <f>SUM(A2:A11)/10</f>
        <v>11.08</v>
      </c>
      <c r="B14" t="s">
        <v>15</v>
      </c>
      <c r="C14" t="s">
        <v>52</v>
      </c>
      <c r="D14">
        <f>(SUM(D2:D11))/10</f>
        <v>42.079600000000006</v>
      </c>
      <c r="E14" t="s">
        <v>15</v>
      </c>
      <c r="F14" t="s">
        <v>53</v>
      </c>
      <c r="G14">
        <f>(SUM(G2:G11))/10</f>
        <v>1305.0999999999999</v>
      </c>
      <c r="H14">
        <f>(SUM(H2:H11))/10</f>
        <v>1472.6</v>
      </c>
      <c r="I14">
        <f>(SUM(I2:I11))/10</f>
        <v>1796.7</v>
      </c>
      <c r="J14">
        <f>(SUM(J2:J11))/10</f>
        <v>2288.1</v>
      </c>
      <c r="K14" t="s">
        <v>11</v>
      </c>
      <c r="M14">
        <f>(SUM(M2:M11))/10</f>
        <v>24.154400000000003</v>
      </c>
      <c r="N14" t="s">
        <v>15</v>
      </c>
      <c r="O14">
        <f>(SUM(O2:O11))/10</f>
        <v>370.6</v>
      </c>
      <c r="P14" t="s">
        <v>11</v>
      </c>
    </row>
    <row r="16" spans="1:16">
      <c r="G16" t="s">
        <v>60</v>
      </c>
      <c r="H16">
        <f>(G14-H17 + H14-4*H17 + I14-16*H17 + J14-32*H17)/4</f>
        <v>1184.2278136200716</v>
      </c>
      <c r="I16" t="s">
        <v>11</v>
      </c>
    </row>
    <row r="17" spans="7:13">
      <c r="G17" t="s">
        <v>61</v>
      </c>
      <c r="H17">
        <f>((H14-G14)/3 + (I14-G14)/15 + (J14-G14)/31)/3</f>
        <v>40.105448028673841</v>
      </c>
      <c r="I17" t="s">
        <v>11</v>
      </c>
    </row>
    <row r="18" spans="7:13">
      <c r="H18" t="s">
        <v>62</v>
      </c>
      <c r="M18" s="11" t="s">
        <v>63</v>
      </c>
    </row>
    <row r="19" spans="7:13">
      <c r="H19">
        <v>1</v>
      </c>
      <c r="I19">
        <f>H16+H17</f>
        <v>1224.3332616487455</v>
      </c>
    </row>
    <row r="20" spans="7:13">
      <c r="H20">
        <v>4</v>
      </c>
      <c r="I20">
        <f>H16+4*H17</f>
        <v>1344.649605734767</v>
      </c>
    </row>
    <row r="21" spans="7:13">
      <c r="H21">
        <v>16</v>
      </c>
      <c r="I21">
        <f>H16+16*H17</f>
        <v>1825.914982078853</v>
      </c>
      <c r="K21" t="s">
        <v>64</v>
      </c>
    </row>
    <row r="22" spans="7:13">
      <c r="H22">
        <v>32</v>
      </c>
      <c r="I22">
        <f>H16+32*H17</f>
        <v>2467.6021505376348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B27A-B7C7-43C0-92B0-CC027A0AD418}">
  <dimension ref="A1:D16"/>
  <sheetViews>
    <sheetView workbookViewId="0" xr3:uid="{DEB0B3BA-2B28-5ACA-BDFD-7C038D1498EF}">
      <selection activeCell="C18" sqref="C18"/>
    </sheetView>
  </sheetViews>
  <sheetFormatPr defaultRowHeight="15"/>
  <cols>
    <col min="1" max="1" width="13.42578125" bestFit="1" customWidth="1"/>
    <col min="2" max="2" width="23.140625" bestFit="1" customWidth="1"/>
    <col min="3" max="3" width="31.5703125" bestFit="1" customWidth="1"/>
  </cols>
  <sheetData>
    <row r="1" spans="1:4">
      <c r="B1" t="s">
        <v>65</v>
      </c>
      <c r="C1" t="s">
        <v>66</v>
      </c>
    </row>
    <row r="2" spans="1:4">
      <c r="B2" s="9" t="s">
        <v>67</v>
      </c>
      <c r="C2" s="9" t="s">
        <v>68</v>
      </c>
    </row>
    <row r="3" spans="1:4">
      <c r="B3" s="7">
        <v>35417.78</v>
      </c>
      <c r="C3" s="5">
        <v>35420.54</v>
      </c>
      <c r="D3" t="s">
        <v>69</v>
      </c>
    </row>
    <row r="4" spans="1:4">
      <c r="B4" s="7">
        <v>35424.720000000001</v>
      </c>
      <c r="C4" s="5">
        <v>35417.46</v>
      </c>
      <c r="D4" t="s">
        <v>69</v>
      </c>
    </row>
    <row r="5" spans="1:4">
      <c r="B5" s="7">
        <v>35431.33</v>
      </c>
      <c r="C5" s="5">
        <v>35421.14</v>
      </c>
      <c r="D5" t="s">
        <v>69</v>
      </c>
    </row>
    <row r="6" spans="1:4">
      <c r="B6" s="7">
        <v>35410.910000000003</v>
      </c>
      <c r="C6" s="5">
        <v>35412.54</v>
      </c>
      <c r="D6" t="s">
        <v>69</v>
      </c>
    </row>
    <row r="7" spans="1:4">
      <c r="B7" s="7">
        <v>35426.85</v>
      </c>
      <c r="C7" s="5">
        <v>35399.86</v>
      </c>
      <c r="D7" t="s">
        <v>69</v>
      </c>
    </row>
    <row r="8" spans="1:4">
      <c r="B8" s="7">
        <v>35435.14</v>
      </c>
      <c r="C8" s="5">
        <v>35415.33</v>
      </c>
      <c r="D8" t="s">
        <v>69</v>
      </c>
    </row>
    <row r="9" spans="1:4">
      <c r="B9" s="7">
        <v>35448.83</v>
      </c>
      <c r="C9" s="5">
        <v>35412.949999999997</v>
      </c>
      <c r="D9" t="s">
        <v>69</v>
      </c>
    </row>
    <row r="10" spans="1:4">
      <c r="B10" s="7">
        <v>35427.39</v>
      </c>
      <c r="C10" s="5">
        <v>35407.14</v>
      </c>
      <c r="D10" t="s">
        <v>69</v>
      </c>
    </row>
    <row r="11" spans="1:4">
      <c r="B11" s="7">
        <v>35430.74</v>
      </c>
      <c r="C11" s="5">
        <v>35413.49</v>
      </c>
      <c r="D11" t="s">
        <v>69</v>
      </c>
    </row>
    <row r="12" spans="1:4">
      <c r="B12" s="7">
        <v>35427.160000000003</v>
      </c>
      <c r="C12" s="5">
        <v>35406.82</v>
      </c>
      <c r="D12" t="s">
        <v>69</v>
      </c>
    </row>
    <row r="15" spans="1:4">
      <c r="A15" s="9" t="s">
        <v>70</v>
      </c>
      <c r="B15">
        <f>(SUM(C3:C12)-SUM(B3:B12))/10</f>
        <v>-15.357999999995808</v>
      </c>
      <c r="C15" t="s">
        <v>69</v>
      </c>
    </row>
    <row r="16" spans="1:4">
      <c r="B16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3D3B-4A6F-42B5-87B2-56F66D81F80D}">
  <dimension ref="A1:K18"/>
  <sheetViews>
    <sheetView workbookViewId="0" xr3:uid="{A5FE282D-E1E6-53E9-8FCD-DA338583AD3C}">
      <selection activeCell="E17" sqref="E17"/>
    </sheetView>
  </sheetViews>
  <sheetFormatPr defaultRowHeight="15"/>
  <cols>
    <col min="1" max="1" width="21.28515625" customWidth="1"/>
    <col min="2" max="2" width="14.140625" customWidth="1"/>
    <col min="3" max="3" width="21.42578125" customWidth="1"/>
    <col min="4" max="4" width="12.28515625" customWidth="1"/>
    <col min="5" max="5" width="12.5703125" customWidth="1"/>
    <col min="6" max="6" width="13.140625" customWidth="1"/>
    <col min="7" max="7" width="15" customWidth="1"/>
    <col min="8" max="8" width="13.7109375" customWidth="1"/>
    <col min="9" max="9" width="12.28515625" customWidth="1"/>
    <col min="10" max="10" width="12.7109375" customWidth="1"/>
    <col min="11" max="11" width="15" customWidth="1"/>
  </cols>
  <sheetData>
    <row r="1" spans="1:11">
      <c r="A1" t="s">
        <v>51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>
      <c r="A2">
        <v>11.077999999999999</v>
      </c>
      <c r="B2" t="s">
        <v>15</v>
      </c>
      <c r="D2">
        <v>128</v>
      </c>
      <c r="E2">
        <v>37.225000000000001</v>
      </c>
      <c r="F2">
        <v>132</v>
      </c>
      <c r="G2">
        <v>33.430999999999997</v>
      </c>
      <c r="H2">
        <v>167</v>
      </c>
      <c r="I2">
        <v>36.526000000000003</v>
      </c>
      <c r="J2">
        <v>210</v>
      </c>
      <c r="K2">
        <v>37.686999999999998</v>
      </c>
    </row>
    <row r="3" spans="1:11">
      <c r="A3">
        <v>11.077999999999999</v>
      </c>
      <c r="B3" t="s">
        <v>15</v>
      </c>
      <c r="D3">
        <v>125</v>
      </c>
      <c r="E3">
        <v>34.756</v>
      </c>
      <c r="F3">
        <v>136</v>
      </c>
      <c r="G3">
        <v>33.557000000000002</v>
      </c>
      <c r="H3">
        <v>170</v>
      </c>
      <c r="I3">
        <v>34.57</v>
      </c>
      <c r="J3">
        <v>215</v>
      </c>
      <c r="K3">
        <v>35.972000000000001</v>
      </c>
    </row>
    <row r="4" spans="1:11">
      <c r="A4">
        <v>11.077999999999999</v>
      </c>
      <c r="B4" t="s">
        <v>15</v>
      </c>
      <c r="D4">
        <v>125</v>
      </c>
      <c r="E4">
        <v>37.31</v>
      </c>
      <c r="F4">
        <v>136</v>
      </c>
      <c r="G4">
        <v>33.372</v>
      </c>
      <c r="H4">
        <v>171</v>
      </c>
      <c r="I4">
        <v>34.637999999999998</v>
      </c>
      <c r="J4">
        <v>228</v>
      </c>
      <c r="K4">
        <v>34.322000000000003</v>
      </c>
    </row>
    <row r="5" spans="1:11">
      <c r="A5">
        <v>11.077999999999999</v>
      </c>
      <c r="B5" t="s">
        <v>15</v>
      </c>
      <c r="D5">
        <v>122</v>
      </c>
      <c r="E5">
        <v>36.526000000000003</v>
      </c>
      <c r="F5">
        <v>123</v>
      </c>
      <c r="G5">
        <v>37.305999999999997</v>
      </c>
      <c r="H5">
        <v>169</v>
      </c>
      <c r="I5">
        <v>36.47</v>
      </c>
      <c r="J5">
        <v>222</v>
      </c>
      <c r="K5">
        <v>35.003</v>
      </c>
    </row>
    <row r="6" spans="1:11">
      <c r="A6">
        <v>11.077999999999999</v>
      </c>
      <c r="B6" t="s">
        <v>15</v>
      </c>
      <c r="D6">
        <v>124</v>
      </c>
      <c r="E6">
        <v>34.880000000000003</v>
      </c>
      <c r="F6">
        <v>133</v>
      </c>
      <c r="G6">
        <v>33.505000000000003</v>
      </c>
      <c r="H6">
        <v>173</v>
      </c>
      <c r="I6">
        <v>36.47</v>
      </c>
      <c r="J6">
        <v>225</v>
      </c>
      <c r="K6">
        <v>34.073999999999998</v>
      </c>
    </row>
    <row r="7" spans="1:11">
      <c r="A7">
        <v>11.077999999999999</v>
      </c>
      <c r="B7" t="s">
        <v>15</v>
      </c>
      <c r="D7">
        <v>124</v>
      </c>
      <c r="E7">
        <v>37.360999999999997</v>
      </c>
      <c r="F7">
        <v>135</v>
      </c>
      <c r="G7">
        <v>33.429000000000002</v>
      </c>
      <c r="H7">
        <v>166</v>
      </c>
      <c r="I7">
        <v>37.924999999999997</v>
      </c>
      <c r="J7">
        <v>223</v>
      </c>
      <c r="K7">
        <v>35.031999999999996</v>
      </c>
    </row>
    <row r="8" spans="1:11">
      <c r="A8">
        <v>11.077999999999999</v>
      </c>
      <c r="B8" t="s">
        <v>15</v>
      </c>
      <c r="D8">
        <v>122</v>
      </c>
      <c r="E8">
        <v>34.896000000000001</v>
      </c>
      <c r="F8">
        <v>123</v>
      </c>
      <c r="G8">
        <v>37.374000000000002</v>
      </c>
      <c r="H8">
        <v>170</v>
      </c>
      <c r="I8">
        <v>34.689</v>
      </c>
      <c r="J8">
        <v>224</v>
      </c>
      <c r="K8">
        <v>35.075000000000003</v>
      </c>
    </row>
    <row r="9" spans="1:11">
      <c r="A9">
        <v>11.077999999999999</v>
      </c>
      <c r="B9" t="s">
        <v>15</v>
      </c>
      <c r="D9">
        <v>123</v>
      </c>
      <c r="E9">
        <v>34.719000000000001</v>
      </c>
      <c r="F9">
        <v>137</v>
      </c>
      <c r="G9">
        <v>33.409999999999997</v>
      </c>
      <c r="H9">
        <v>168</v>
      </c>
      <c r="I9">
        <v>36.676000000000002</v>
      </c>
      <c r="J9">
        <v>210</v>
      </c>
      <c r="K9">
        <v>36.182000000000002</v>
      </c>
    </row>
    <row r="10" spans="1:11">
      <c r="A10">
        <v>11.077999999999999</v>
      </c>
      <c r="B10" t="s">
        <v>15</v>
      </c>
      <c r="D10">
        <v>128</v>
      </c>
      <c r="E10">
        <v>37.354999999999997</v>
      </c>
      <c r="F10">
        <v>141</v>
      </c>
      <c r="G10">
        <v>33.643999999999998</v>
      </c>
      <c r="H10">
        <v>167</v>
      </c>
      <c r="I10">
        <v>34.329000000000001</v>
      </c>
      <c r="J10">
        <v>221</v>
      </c>
      <c r="K10">
        <v>35.253999999999998</v>
      </c>
    </row>
    <row r="11" spans="1:11">
      <c r="A11">
        <v>11.077999999999999</v>
      </c>
      <c r="B11" t="s">
        <v>15</v>
      </c>
      <c r="D11">
        <v>123</v>
      </c>
      <c r="E11">
        <v>34.770000000000003</v>
      </c>
      <c r="F11">
        <v>140</v>
      </c>
      <c r="G11">
        <v>33.622</v>
      </c>
      <c r="H11">
        <v>181</v>
      </c>
      <c r="I11">
        <v>35.158999999999999</v>
      </c>
      <c r="J11">
        <v>217</v>
      </c>
      <c r="K11">
        <v>37.584000000000003</v>
      </c>
    </row>
    <row r="13" spans="1:11">
      <c r="A13" t="s">
        <v>59</v>
      </c>
    </row>
    <row r="14" spans="1:11">
      <c r="A14">
        <f>SUM(A2:A11)/10</f>
        <v>11.078000000000001</v>
      </c>
      <c r="B14" t="s">
        <v>15</v>
      </c>
      <c r="C14" t="s">
        <v>80</v>
      </c>
      <c r="D14">
        <f t="shared" ref="D14:K14" si="0">(SUM(D2:D11))/10</f>
        <v>124.4</v>
      </c>
      <c r="E14">
        <f t="shared" si="0"/>
        <v>35.979799999999997</v>
      </c>
      <c r="F14">
        <f>(SUM(F2:F11))/10</f>
        <v>133.6</v>
      </c>
      <c r="G14">
        <f>(SUM(G2:G11))/10</f>
        <v>34.265000000000001</v>
      </c>
      <c r="H14">
        <f t="shared" si="0"/>
        <v>170.2</v>
      </c>
      <c r="I14">
        <f t="shared" si="0"/>
        <v>35.745199999999997</v>
      </c>
      <c r="J14">
        <f t="shared" si="0"/>
        <v>219.5</v>
      </c>
      <c r="K14">
        <f t="shared" si="0"/>
        <v>35.618499999999997</v>
      </c>
    </row>
    <row r="15" spans="1:11">
      <c r="D15" t="s">
        <v>11</v>
      </c>
      <c r="E15" t="s">
        <v>15</v>
      </c>
      <c r="F15" t="s">
        <v>11</v>
      </c>
      <c r="G15" t="s">
        <v>15</v>
      </c>
      <c r="H15" t="s">
        <v>11</v>
      </c>
      <c r="I15" t="s">
        <v>15</v>
      </c>
      <c r="J15" t="s">
        <v>11</v>
      </c>
      <c r="K15" t="s">
        <v>15</v>
      </c>
    </row>
    <row r="17" spans="4:6">
      <c r="D17" t="s">
        <v>60</v>
      </c>
      <c r="E17">
        <f>(D14-E18 + F14-4*E18 + H14-16*E18 + J14-32*E18)/4</f>
        <v>121.34580645161292</v>
      </c>
      <c r="F17" t="s">
        <v>11</v>
      </c>
    </row>
    <row r="18" spans="4:6">
      <c r="D18" t="s">
        <v>61</v>
      </c>
      <c r="E18">
        <f>((F14-D14)/3 + (H14-D14)/15 + (J14-D14)/31)/3</f>
        <v>3.0625806451612889</v>
      </c>
      <c r="F18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8F97-C59C-46FB-BBAD-B5CB0550D871}">
  <dimension ref="A1:K23"/>
  <sheetViews>
    <sheetView topLeftCell="A3" workbookViewId="0" xr3:uid="{F9CC26AC-E5D6-5F48-B45C-15BCC51BE92B}">
      <selection activeCell="D17" sqref="D17:F18"/>
    </sheetView>
  </sheetViews>
  <sheetFormatPr defaultRowHeight="15"/>
  <cols>
    <col min="1" max="1" width="21.28515625" customWidth="1"/>
    <col min="2" max="2" width="14.140625" customWidth="1"/>
    <col min="3" max="3" width="21.42578125" customWidth="1"/>
    <col min="4" max="4" width="12.28515625" customWidth="1"/>
    <col min="5" max="5" width="12.5703125" customWidth="1"/>
    <col min="6" max="6" width="13.140625" customWidth="1"/>
    <col min="7" max="7" width="15" customWidth="1"/>
    <col min="8" max="8" width="13.7109375" customWidth="1"/>
    <col min="9" max="9" width="12.28515625" customWidth="1"/>
    <col min="10" max="10" width="12.7109375" customWidth="1"/>
    <col min="11" max="11" width="15" customWidth="1"/>
  </cols>
  <sheetData>
    <row r="1" spans="1:11">
      <c r="A1" t="s">
        <v>51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>
      <c r="A2">
        <v>24.539000000000001</v>
      </c>
      <c r="B2" t="s">
        <v>15</v>
      </c>
      <c r="D2">
        <v>128</v>
      </c>
      <c r="E2">
        <v>37.225000000000001</v>
      </c>
      <c r="F2">
        <v>132</v>
      </c>
      <c r="G2">
        <v>33.430999999999997</v>
      </c>
      <c r="H2">
        <v>167</v>
      </c>
      <c r="I2">
        <v>36.526000000000003</v>
      </c>
      <c r="J2">
        <v>210</v>
      </c>
      <c r="K2">
        <v>37.686999999999998</v>
      </c>
    </row>
    <row r="3" spans="1:11">
      <c r="A3">
        <v>24.539000000000001</v>
      </c>
      <c r="B3" t="s">
        <v>15</v>
      </c>
      <c r="D3">
        <v>125</v>
      </c>
      <c r="E3">
        <v>34.756</v>
      </c>
      <c r="F3">
        <v>136</v>
      </c>
      <c r="G3">
        <v>33.557000000000002</v>
      </c>
      <c r="H3">
        <v>170</v>
      </c>
      <c r="I3">
        <v>34.57</v>
      </c>
      <c r="J3">
        <v>215</v>
      </c>
      <c r="K3">
        <v>35.972000000000001</v>
      </c>
    </row>
    <row r="4" spans="1:11">
      <c r="A4">
        <v>24.539000000000001</v>
      </c>
      <c r="B4" t="s">
        <v>15</v>
      </c>
      <c r="D4">
        <v>125</v>
      </c>
      <c r="E4">
        <v>37.31</v>
      </c>
      <c r="F4">
        <v>136</v>
      </c>
      <c r="G4">
        <v>33.372</v>
      </c>
      <c r="H4">
        <v>171</v>
      </c>
      <c r="I4">
        <v>34.637999999999998</v>
      </c>
      <c r="J4">
        <v>228</v>
      </c>
      <c r="K4">
        <v>34.322000000000003</v>
      </c>
    </row>
    <row r="5" spans="1:11">
      <c r="A5">
        <v>24.539000000000001</v>
      </c>
      <c r="B5" t="s">
        <v>15</v>
      </c>
      <c r="D5">
        <v>122</v>
      </c>
      <c r="E5">
        <v>36.526000000000003</v>
      </c>
      <c r="F5">
        <v>123</v>
      </c>
      <c r="G5">
        <v>37.305999999999997</v>
      </c>
      <c r="H5">
        <v>169</v>
      </c>
      <c r="I5">
        <v>36.47</v>
      </c>
      <c r="J5">
        <v>222</v>
      </c>
      <c r="K5">
        <v>35.003</v>
      </c>
    </row>
    <row r="6" spans="1:11">
      <c r="A6">
        <v>24.539000000000001</v>
      </c>
      <c r="B6" t="s">
        <v>15</v>
      </c>
      <c r="D6">
        <v>124</v>
      </c>
      <c r="E6">
        <v>34.880000000000003</v>
      </c>
      <c r="F6">
        <v>133</v>
      </c>
      <c r="G6">
        <v>33.505000000000003</v>
      </c>
      <c r="H6">
        <v>173</v>
      </c>
      <c r="I6">
        <v>36.47</v>
      </c>
      <c r="J6">
        <v>225</v>
      </c>
      <c r="K6">
        <v>34.073999999999998</v>
      </c>
    </row>
    <row r="7" spans="1:11">
      <c r="A7">
        <v>24.539000000000001</v>
      </c>
      <c r="B7" t="s">
        <v>15</v>
      </c>
      <c r="D7">
        <v>124</v>
      </c>
      <c r="E7">
        <v>37.360999999999997</v>
      </c>
      <c r="F7">
        <v>135</v>
      </c>
      <c r="G7">
        <v>33.429000000000002</v>
      </c>
      <c r="H7">
        <v>166</v>
      </c>
      <c r="I7">
        <v>37.924999999999997</v>
      </c>
      <c r="J7">
        <v>223</v>
      </c>
      <c r="K7">
        <v>35.031999999999996</v>
      </c>
    </row>
    <row r="8" spans="1:11">
      <c r="A8">
        <v>24.539000000000001</v>
      </c>
      <c r="B8" t="s">
        <v>15</v>
      </c>
      <c r="D8">
        <v>122</v>
      </c>
      <c r="E8">
        <v>34.896000000000001</v>
      </c>
      <c r="F8">
        <v>123</v>
      </c>
      <c r="G8">
        <v>37.374000000000002</v>
      </c>
      <c r="H8">
        <v>170</v>
      </c>
      <c r="I8">
        <v>34.689</v>
      </c>
      <c r="J8">
        <v>224</v>
      </c>
      <c r="K8">
        <v>35.075000000000003</v>
      </c>
    </row>
    <row r="9" spans="1:11">
      <c r="A9">
        <v>24.539000000000001</v>
      </c>
      <c r="B9" t="s">
        <v>15</v>
      </c>
      <c r="D9">
        <v>123</v>
      </c>
      <c r="E9">
        <v>34.719000000000001</v>
      </c>
      <c r="F9">
        <v>137</v>
      </c>
      <c r="G9">
        <v>33.409999999999997</v>
      </c>
      <c r="H9">
        <v>168</v>
      </c>
      <c r="I9">
        <v>36.676000000000002</v>
      </c>
      <c r="J9">
        <v>210</v>
      </c>
      <c r="K9">
        <v>36.182000000000002</v>
      </c>
    </row>
    <row r="10" spans="1:11">
      <c r="A10">
        <v>24.539000000000001</v>
      </c>
      <c r="B10" t="s">
        <v>15</v>
      </c>
      <c r="D10">
        <v>128</v>
      </c>
      <c r="E10">
        <v>37.354999999999997</v>
      </c>
      <c r="F10">
        <v>141</v>
      </c>
      <c r="G10">
        <v>33.643999999999998</v>
      </c>
      <c r="H10">
        <v>167</v>
      </c>
      <c r="I10">
        <v>34.329000000000001</v>
      </c>
      <c r="J10">
        <v>221</v>
      </c>
      <c r="K10">
        <v>35.253999999999998</v>
      </c>
    </row>
    <row r="11" spans="1:11">
      <c r="A11">
        <v>24.539000000000001</v>
      </c>
      <c r="B11" t="s">
        <v>15</v>
      </c>
      <c r="D11">
        <v>123</v>
      </c>
      <c r="E11">
        <v>34.770000000000003</v>
      </c>
      <c r="F11">
        <v>140</v>
      </c>
      <c r="G11">
        <v>33.622</v>
      </c>
      <c r="H11">
        <v>181</v>
      </c>
      <c r="I11">
        <v>35.158999999999999</v>
      </c>
      <c r="J11">
        <v>217</v>
      </c>
      <c r="K11">
        <v>37.584000000000003</v>
      </c>
    </row>
    <row r="13" spans="1:11">
      <c r="A13" t="s">
        <v>59</v>
      </c>
    </row>
    <row r="14" spans="1:11">
      <c r="A14">
        <f>SUM(A2:A11)/10</f>
        <v>24.538999999999998</v>
      </c>
      <c r="B14" t="s">
        <v>15</v>
      </c>
      <c r="C14" t="s">
        <v>80</v>
      </c>
      <c r="D14">
        <f t="shared" ref="D14:K14" si="0">(SUM(D2:D11))/10</f>
        <v>124.4</v>
      </c>
      <c r="E14">
        <f t="shared" si="0"/>
        <v>35.979799999999997</v>
      </c>
      <c r="F14">
        <f>(SUM(F2:F11))/10</f>
        <v>133.6</v>
      </c>
      <c r="G14">
        <f>(SUM(G2:G11))/10</f>
        <v>34.265000000000001</v>
      </c>
      <c r="H14">
        <f t="shared" si="0"/>
        <v>170.2</v>
      </c>
      <c r="I14">
        <f t="shared" si="0"/>
        <v>35.745199999999997</v>
      </c>
      <c r="J14">
        <f t="shared" si="0"/>
        <v>219.5</v>
      </c>
      <c r="K14">
        <f t="shared" si="0"/>
        <v>35.618499999999997</v>
      </c>
    </row>
    <row r="15" spans="1:11">
      <c r="D15" t="s">
        <v>11</v>
      </c>
      <c r="E15" t="s">
        <v>15</v>
      </c>
      <c r="F15" t="s">
        <v>11</v>
      </c>
      <c r="G15" t="s">
        <v>15</v>
      </c>
      <c r="H15" t="s">
        <v>11</v>
      </c>
      <c r="I15" t="s">
        <v>15</v>
      </c>
      <c r="J15" t="s">
        <v>11</v>
      </c>
      <c r="K15" t="s">
        <v>15</v>
      </c>
    </row>
    <row r="17" spans="1:6">
      <c r="D17" t="s">
        <v>60</v>
      </c>
      <c r="E17">
        <f>(D14-E18 + F14-4*E18 + H14-16*E18 + J14-32*E18)/4</f>
        <v>121.34580645161292</v>
      </c>
      <c r="F17" t="s">
        <v>11</v>
      </c>
    </row>
    <row r="18" spans="1:6">
      <c r="D18" t="s">
        <v>61</v>
      </c>
      <c r="E18">
        <f>((F14-D14)/3 + (H14-D14)/15 + (J14-D14)/31)/3</f>
        <v>3.0625806451612889</v>
      </c>
      <c r="F18" t="s">
        <v>11</v>
      </c>
    </row>
    <row r="19" spans="1:6">
      <c r="A19" t="s">
        <v>81</v>
      </c>
    </row>
    <row r="20" spans="1:6">
      <c r="A20" t="s">
        <v>82</v>
      </c>
      <c r="B20" t="s">
        <v>83</v>
      </c>
      <c r="C20" t="s">
        <v>84</v>
      </c>
      <c r="D20" t="s">
        <v>85</v>
      </c>
    </row>
    <row r="21" spans="1:6">
      <c r="A21">
        <v>5</v>
      </c>
      <c r="B21">
        <f xml:space="preserve"> E17+A21*E18</f>
        <v>136.65870967741935</v>
      </c>
    </row>
    <row r="22" spans="1:6">
      <c r="B22" t="s">
        <v>11</v>
      </c>
      <c r="C22" t="s">
        <v>15</v>
      </c>
      <c r="D22" t="s">
        <v>15</v>
      </c>
    </row>
    <row r="23" spans="1:6">
      <c r="A23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0B84-8511-4E7D-BF0D-E43DE89DEF62}">
  <dimension ref="A1:G9"/>
  <sheetViews>
    <sheetView workbookViewId="0" xr3:uid="{473E38E5-16D0-5B20-9CD4-1A752B9036E4}">
      <selection activeCell="B7" sqref="B7"/>
    </sheetView>
  </sheetViews>
  <sheetFormatPr defaultRowHeight="15"/>
  <cols>
    <col min="2" max="2" width="20.7109375" customWidth="1"/>
    <col min="3" max="3" width="17.5703125" customWidth="1"/>
    <col min="4" max="4" width="17.7109375" customWidth="1"/>
    <col min="5" max="5" width="18.140625" customWidth="1"/>
    <col min="7" max="7" width="32.140625" bestFit="1" customWidth="1"/>
  </cols>
  <sheetData>
    <row r="1" spans="1:7">
      <c r="A1" s="7"/>
      <c r="B1" s="7"/>
      <c r="C1" s="7"/>
      <c r="D1" s="7"/>
      <c r="E1" s="7"/>
      <c r="F1" s="7"/>
    </row>
    <row r="2" spans="1:7">
      <c r="A2" s="7"/>
      <c r="B2" s="7" t="s">
        <v>87</v>
      </c>
      <c r="C2" s="7" t="s">
        <v>88</v>
      </c>
      <c r="D2" s="7" t="s">
        <v>88</v>
      </c>
      <c r="E2" s="7" t="s">
        <v>89</v>
      </c>
      <c r="F2" s="7"/>
      <c r="G2" t="s">
        <v>90</v>
      </c>
    </row>
    <row r="3" spans="1:7">
      <c r="A3" s="7"/>
      <c r="B3" s="7" t="s">
        <v>91</v>
      </c>
      <c r="C3" s="7" t="s">
        <v>88</v>
      </c>
      <c r="D3" s="7" t="s">
        <v>89</v>
      </c>
      <c r="E3" s="7" t="s">
        <v>89</v>
      </c>
      <c r="F3" s="7"/>
      <c r="G3" t="s">
        <v>92</v>
      </c>
    </row>
    <row r="4" spans="1:7">
      <c r="A4" s="7"/>
      <c r="B4" s="7" t="s">
        <v>93</v>
      </c>
      <c r="C4" s="7" t="s">
        <v>88</v>
      </c>
      <c r="D4" s="7" t="s">
        <v>89</v>
      </c>
      <c r="E4" s="7" t="s">
        <v>89</v>
      </c>
      <c r="F4" s="7"/>
    </row>
    <row r="5" spans="1:7">
      <c r="A5" s="7"/>
      <c r="B5" s="8" t="s">
        <v>94</v>
      </c>
      <c r="C5" s="7">
        <v>35426.455000000002</v>
      </c>
      <c r="D5" s="7">
        <v>35443.945</v>
      </c>
      <c r="E5" s="7">
        <v>35431.69</v>
      </c>
      <c r="F5" s="7"/>
    </row>
    <row r="6" spans="1:7">
      <c r="A6" s="7"/>
      <c r="B6" s="8" t="s">
        <v>95</v>
      </c>
      <c r="C6" s="7">
        <f>C5*10</f>
        <v>354264.55000000005</v>
      </c>
      <c r="D6" s="7">
        <f t="shared" ref="D6:E6" si="0">D5*10</f>
        <v>354439.45</v>
      </c>
      <c r="E6" s="7">
        <f t="shared" si="0"/>
        <v>354316.9</v>
      </c>
      <c r="F6" s="7"/>
    </row>
    <row r="7" spans="1:7">
      <c r="A7" s="7"/>
      <c r="B7" s="8" t="s">
        <v>96</v>
      </c>
      <c r="C7" s="7">
        <f>(C6*0.001)*0.00027777777777778</f>
        <v>9.8406819444445237E-2</v>
      </c>
      <c r="D7" s="7">
        <f t="shared" ref="D7:E7" si="1">(D6*0.001)*0.00027777777777778</f>
        <v>9.8455402777778575E-2</v>
      </c>
      <c r="E7" s="7">
        <f t="shared" si="1"/>
        <v>9.842136111111191E-2</v>
      </c>
      <c r="F7" s="7"/>
    </row>
    <row r="8" spans="1:7">
      <c r="A8" s="6"/>
      <c r="B8" s="6"/>
      <c r="C8" s="6"/>
      <c r="D8" s="6"/>
      <c r="E8" s="6"/>
      <c r="F8" s="6"/>
    </row>
    <row r="9" spans="1:7">
      <c r="A9" s="6"/>
      <c r="B9" s="6"/>
      <c r="C9" s="6"/>
      <c r="D9" s="6"/>
      <c r="E9" s="6"/>
      <c r="F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D9B1-C8D5-4512-8B95-ECE03BF9398C}">
  <dimension ref="B1:C7"/>
  <sheetViews>
    <sheetView workbookViewId="0" xr3:uid="{43A7E31C-16FA-5BB7-B2A2-AD8250497B11}"/>
  </sheetViews>
  <sheetFormatPr defaultRowHeight="15"/>
  <cols>
    <col min="2" max="2" width="17.5703125" customWidth="1"/>
  </cols>
  <sheetData>
    <row r="1" spans="2:3">
      <c r="C1" s="10" t="s">
        <v>97</v>
      </c>
    </row>
    <row r="2" spans="2:3">
      <c r="B2" s="3" t="s">
        <v>0</v>
      </c>
      <c r="C2">
        <v>1</v>
      </c>
    </row>
    <row r="3" spans="2:3">
      <c r="B3" s="3" t="s">
        <v>19</v>
      </c>
      <c r="C3">
        <v>1</v>
      </c>
    </row>
    <row r="4" spans="2:3">
      <c r="B4" s="3" t="s">
        <v>28</v>
      </c>
      <c r="C4">
        <v>1</v>
      </c>
    </row>
    <row r="5" spans="2:3">
      <c r="B5" s="3" t="s">
        <v>35</v>
      </c>
      <c r="C5">
        <v>1</v>
      </c>
    </row>
    <row r="6" spans="2:3">
      <c r="B6" s="3" t="s">
        <v>46</v>
      </c>
      <c r="C6">
        <v>1</v>
      </c>
    </row>
    <row r="7" spans="2:3">
      <c r="B7" s="3" t="s">
        <v>50</v>
      </c>
      <c r="C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2019-01-24T14:16:32Z</dcterms:modified>
  <cp:category/>
  <cp:contentStatus/>
</cp:coreProperties>
</file>