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omments12.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uwoca.sharepoint.com/sites/Skylark2/Shared Documents/Communications/Link_budgets/"/>
    </mc:Choice>
  </mc:AlternateContent>
  <xr:revisionPtr revIDLastSave="0" documentId="8_{D5ABC98B-03B3-46DD-864B-AF9638C97FC0}" xr6:coauthVersionLast="47" xr6:coauthVersionMax="47" xr10:uidLastSave="{00000000-0000-0000-0000-000000000000}"/>
  <bookViews>
    <workbookView xWindow="-108" yWindow="-108" windowWidth="23256" windowHeight="12576" tabRatio="850" firstSheet="13" activeTab="3" xr2:uid="{293003C9-1163-4E50-8A98-C049B95988DD}"/>
  </bookViews>
  <sheets>
    <sheet name="Inputs" sheetId="1" r:id="rId1"/>
    <sheet name="Orbit" sheetId="24" r:id="rId2"/>
    <sheet name="Data" sheetId="37" r:id="rId3"/>
    <sheet name="CubeSat hardware" sheetId="32" r:id="rId4"/>
    <sheet name="Groundstation hardware" sheetId="29" r:id="rId5"/>
    <sheet name="MTU hardware" sheetId="33" r:id="rId6"/>
    <sheet name="Transmitters" sheetId="4" r:id="rId7"/>
    <sheet name="Antennas" sheetId="28" r:id="rId8"/>
    <sheet name="Receivers" sheetId="5" r:id="rId9"/>
    <sheet name="Modulation" sheetId="8" r:id="rId10"/>
    <sheet name="Groundstation Losses" sheetId="23" r:id="rId11"/>
    <sheet name="MTU Losses" sheetId="34" r:id="rId12"/>
    <sheet name="Uplink Budget (Sat-GS)" sheetId="19" r:id="rId13"/>
    <sheet name="Downlink Budget (Sat-GS)" sheetId="35" r:id="rId14"/>
    <sheet name="Uplink Budget (Sat-MTU)" sheetId="30" r:id="rId15"/>
    <sheet name="Downlink Budget (Sat-MTU)" sheetId="36" r:id="rId16"/>
    <sheet name="Backend Data" sheetId="13" r:id="rId17"/>
  </sheets>
  <definedNames>
    <definedName name="Downlink">'Backend Data'!$N$47:$X$52</definedName>
    <definedName name="Uplink">'Backend Data'!$N$40:$X$45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5" l="1"/>
  <c r="V45" i="5"/>
  <c r="E48" i="36"/>
  <c r="E49" i="36"/>
  <c r="E50" i="36"/>
  <c r="D52" i="35"/>
  <c r="D53" i="35"/>
  <c r="D54" i="35"/>
  <c r="D55" i="35"/>
  <c r="X32" i="8"/>
  <c r="X31" i="8"/>
  <c r="E22" i="36"/>
  <c r="E6" i="36"/>
  <c r="V28" i="4"/>
  <c r="T40" i="37"/>
  <c r="T31" i="37"/>
  <c r="T26" i="37"/>
  <c r="T48" i="37"/>
  <c r="T11" i="37"/>
  <c r="T32" i="37"/>
  <c r="T33" i="24"/>
  <c r="T30" i="24"/>
  <c r="E22" i="19"/>
  <c r="E34" i="19"/>
  <c r="X52" i="13"/>
  <c r="V39" i="1"/>
  <c r="V31" i="5"/>
  <c r="V30" i="5"/>
  <c r="V75" i="5"/>
  <c r="V74" i="5"/>
  <c r="W11" i="23"/>
  <c r="W11" i="34"/>
  <c r="E18" i="36"/>
  <c r="E18" i="35"/>
  <c r="E18" i="30"/>
  <c r="E18" i="19"/>
  <c r="T74" i="4"/>
  <c r="V57" i="4"/>
  <c r="V54" i="4"/>
  <c r="V53" i="4"/>
  <c r="C40" i="33"/>
  <c r="B39" i="33"/>
  <c r="C45" i="32"/>
  <c r="B44" i="32"/>
  <c r="V25" i="4"/>
  <c r="V42" i="5"/>
  <c r="E30" i="36"/>
  <c r="E27" i="36"/>
  <c r="E47" i="36"/>
  <c r="E43" i="36"/>
  <c r="E42" i="36"/>
  <c r="E39" i="36"/>
  <c r="E40" i="36" s="1"/>
  <c r="E34" i="36"/>
  <c r="E17" i="36"/>
  <c r="E10" i="36"/>
  <c r="E7" i="36"/>
  <c r="E27" i="35"/>
  <c r="E47" i="35"/>
  <c r="E42" i="35"/>
  <c r="E39" i="35"/>
  <c r="E40" i="35" s="1"/>
  <c r="E34" i="35"/>
  <c r="E22" i="35"/>
  <c r="E17" i="35"/>
  <c r="V85" i="5"/>
  <c r="V43" i="5"/>
  <c r="B103" i="29"/>
  <c r="C103" i="29" s="1"/>
  <c r="B108" i="29"/>
  <c r="C108" i="29" s="1"/>
  <c r="C109" i="29" s="1"/>
  <c r="B101" i="29"/>
  <c r="C101" i="29" s="1"/>
  <c r="B86" i="29"/>
  <c r="B85" i="29"/>
  <c r="B78" i="29"/>
  <c r="B77" i="29"/>
  <c r="B97" i="29"/>
  <c r="C104" i="29"/>
  <c r="B90" i="29"/>
  <c r="B92" i="29" s="1"/>
  <c r="T15" i="4"/>
  <c r="T16" i="4"/>
  <c r="Z65" i="5"/>
  <c r="B72" i="29"/>
  <c r="Y15" i="4" s="1"/>
  <c r="B71" i="29"/>
  <c r="T20" i="4" s="1"/>
  <c r="U65" i="5"/>
  <c r="U69" i="5"/>
  <c r="B32" i="33"/>
  <c r="B40" i="32"/>
  <c r="T50" i="4" s="1"/>
  <c r="U23" i="5"/>
  <c r="B41" i="32"/>
  <c r="B33" i="33"/>
  <c r="X15" i="8"/>
  <c r="X16" i="8"/>
  <c r="Y37" i="34"/>
  <c r="Y38" i="34" s="1"/>
  <c r="Y37" i="23"/>
  <c r="Y38" i="23" s="1"/>
  <c r="Y35" i="34"/>
  <c r="Y80" i="34"/>
  <c r="Y81" i="34" s="1"/>
  <c r="T38" i="24"/>
  <c r="E6" i="30"/>
  <c r="E7" i="30"/>
  <c r="E8" i="30"/>
  <c r="E22" i="30"/>
  <c r="E47" i="30"/>
  <c r="E35" i="30"/>
  <c r="E34" i="30"/>
  <c r="E33" i="30"/>
  <c r="E27" i="30"/>
  <c r="E21" i="30"/>
  <c r="E17" i="30"/>
  <c r="Y78" i="34"/>
  <c r="Y79" i="34" s="1"/>
  <c r="E13" i="36" s="1"/>
  <c r="Y78" i="23"/>
  <c r="Y79" i="23" s="1"/>
  <c r="E13" i="35" s="1"/>
  <c r="Y80" i="23"/>
  <c r="Y35" i="23"/>
  <c r="Y36" i="23" s="1"/>
  <c r="Y36" i="34"/>
  <c r="E13" i="30" s="1"/>
  <c r="W9" i="23"/>
  <c r="W9" i="34"/>
  <c r="T71" i="28"/>
  <c r="T31" i="28"/>
  <c r="T78" i="28"/>
  <c r="T49" i="28"/>
  <c r="T8" i="28"/>
  <c r="T17" i="28"/>
  <c r="W54" i="28"/>
  <c r="W53" i="28"/>
  <c r="T54" i="28"/>
  <c r="T53" i="28"/>
  <c r="T13" i="28"/>
  <c r="T12" i="28"/>
  <c r="E43" i="30"/>
  <c r="E42" i="30"/>
  <c r="E39" i="30"/>
  <c r="E30" i="30"/>
  <c r="Z49" i="13"/>
  <c r="Z52" i="13"/>
  <c r="Z51" i="13"/>
  <c r="Z50" i="13"/>
  <c r="Z43" i="13"/>
  <c r="Z44" i="13"/>
  <c r="Z45" i="13"/>
  <c r="Z42" i="13"/>
  <c r="E10" i="30"/>
  <c r="E10" i="19"/>
  <c r="W33" i="28"/>
  <c r="W32" i="28"/>
  <c r="W31" i="28"/>
  <c r="W13" i="28"/>
  <c r="W12" i="28"/>
  <c r="T11" i="28"/>
  <c r="T20" i="28"/>
  <c r="W21" i="28"/>
  <c r="T38" i="28"/>
  <c r="W80" i="28"/>
  <c r="W79" i="28"/>
  <c r="W78" i="28"/>
  <c r="W63" i="28"/>
  <c r="W62" i="28"/>
  <c r="T62" i="28"/>
  <c r="T61" i="28"/>
  <c r="T58" i="28"/>
  <c r="T21" i="28"/>
  <c r="W40" i="28"/>
  <c r="W39" i="28"/>
  <c r="W38" i="28"/>
  <c r="W22" i="28"/>
  <c r="T45" i="4"/>
  <c r="E6" i="35" s="1"/>
  <c r="E7" i="35" s="1"/>
  <c r="T75" i="4"/>
  <c r="E40" i="30"/>
  <c r="V130" i="5"/>
  <c r="W73" i="28"/>
  <c r="E6" i="19"/>
  <c r="E7" i="19" s="1"/>
  <c r="E8" i="19" s="1"/>
  <c r="E43" i="19"/>
  <c r="E39" i="19"/>
  <c r="E47" i="19"/>
  <c r="N52" i="13"/>
  <c r="X51" i="13"/>
  <c r="N51" i="13"/>
  <c r="N50" i="13"/>
  <c r="N49" i="13"/>
  <c r="X44" i="13"/>
  <c r="X45" i="13"/>
  <c r="N45" i="13"/>
  <c r="N44" i="13"/>
  <c r="N43" i="13"/>
  <c r="N42" i="13"/>
  <c r="E27" i="19"/>
  <c r="E42" i="19"/>
  <c r="E13" i="19"/>
  <c r="Y81" i="23"/>
  <c r="E21" i="19"/>
  <c r="D33" i="13"/>
  <c r="C73" i="13"/>
  <c r="D73" i="13"/>
  <c r="V86" i="5"/>
  <c r="T27" i="24"/>
  <c r="V27" i="24" s="1"/>
  <c r="T28" i="24"/>
  <c r="V28" i="24" s="1"/>
  <c r="T31" i="24"/>
  <c r="T34" i="24" s="1"/>
  <c r="E40" i="19"/>
  <c r="D37" i="13"/>
  <c r="D30" i="13"/>
  <c r="E33" i="19"/>
  <c r="T46" i="4"/>
  <c r="E17" i="19"/>
  <c r="D40" i="13"/>
  <c r="D39" i="13"/>
  <c r="D38" i="13"/>
  <c r="D32" i="13"/>
  <c r="D31" i="13"/>
  <c r="T17" i="4"/>
  <c r="G85" i="13"/>
  <c r="H85" i="13"/>
  <c r="G83" i="13"/>
  <c r="H83" i="13"/>
  <c r="G82" i="13"/>
  <c r="H82" i="13"/>
  <c r="G81" i="13"/>
  <c r="H81" i="13"/>
  <c r="G80" i="13"/>
  <c r="H80" i="13"/>
  <c r="G79" i="13"/>
  <c r="H79" i="13"/>
  <c r="G84" i="13"/>
  <c r="H84" i="13"/>
  <c r="G78" i="13"/>
  <c r="H78" i="13"/>
  <c r="D41" i="13"/>
  <c r="U103" i="23"/>
  <c r="D34" i="13"/>
  <c r="U60" i="23" s="1"/>
  <c r="G77" i="13"/>
  <c r="H77" i="13"/>
  <c r="G76" i="13"/>
  <c r="H76" i="13"/>
  <c r="G75" i="13"/>
  <c r="H75" i="13"/>
  <c r="G74" i="13"/>
  <c r="W10" i="23" s="1"/>
  <c r="E16" i="35" s="1"/>
  <c r="G73" i="13"/>
  <c r="H73" i="13"/>
  <c r="E30" i="19"/>
  <c r="E16" i="19"/>
  <c r="U100" i="23"/>
  <c r="E14" i="35" s="1"/>
  <c r="U104" i="23"/>
  <c r="U57" i="23"/>
  <c r="E14" i="19"/>
  <c r="H74" i="13"/>
  <c r="U61" i="23"/>
  <c r="T35" i="37" l="1"/>
  <c r="T41" i="37"/>
  <c r="T49" i="37"/>
  <c r="E33" i="35"/>
  <c r="E21" i="35"/>
  <c r="T43" i="24"/>
  <c r="T44" i="24" s="1"/>
  <c r="G98" i="13"/>
  <c r="H98" i="13" s="1"/>
  <c r="W10" i="34"/>
  <c r="T79" i="4"/>
  <c r="U107" i="5"/>
  <c r="V116" i="5"/>
  <c r="V83" i="4"/>
  <c r="V117" i="5"/>
  <c r="V84" i="4"/>
  <c r="G91" i="13"/>
  <c r="H91" i="13" s="1"/>
  <c r="G92" i="13"/>
  <c r="H92" i="13" s="1"/>
  <c r="G93" i="13"/>
  <c r="H93" i="13" s="1"/>
  <c r="G94" i="13"/>
  <c r="H94" i="13" s="1"/>
  <c r="G90" i="13"/>
  <c r="H90" i="13" s="1"/>
  <c r="G86" i="13"/>
  <c r="H86" i="13" s="1"/>
  <c r="G87" i="13"/>
  <c r="H87" i="13" s="1"/>
  <c r="G88" i="13"/>
  <c r="H88" i="13" s="1"/>
  <c r="G89" i="13"/>
  <c r="H89" i="13" s="1"/>
  <c r="E16" i="36"/>
  <c r="G97" i="13"/>
  <c r="H97" i="13" s="1"/>
  <c r="G96" i="13"/>
  <c r="H96" i="13" s="1"/>
  <c r="G95" i="13"/>
  <c r="H95" i="13" s="1"/>
  <c r="E14" i="36"/>
  <c r="E30" i="35"/>
  <c r="E43" i="35"/>
  <c r="E21" i="36"/>
  <c r="E33" i="36"/>
  <c r="E8" i="36"/>
  <c r="E8" i="35"/>
  <c r="V24" i="4"/>
  <c r="V78" i="5"/>
  <c r="Y74" i="4"/>
  <c r="U111" i="5"/>
  <c r="V122" i="5"/>
  <c r="V87" i="4"/>
  <c r="E9" i="30" s="1"/>
  <c r="Y45" i="4"/>
  <c r="U27" i="5"/>
  <c r="V35" i="5" s="1"/>
  <c r="E23" i="19"/>
  <c r="T76" i="4"/>
  <c r="V88" i="4"/>
  <c r="T36" i="24"/>
  <c r="E15" i="35" s="1"/>
  <c r="T35" i="24"/>
  <c r="T39" i="24"/>
  <c r="E16" i="30"/>
  <c r="T40" i="24"/>
  <c r="E15" i="30" s="1"/>
  <c r="T41" i="24"/>
  <c r="E15" i="36" s="1"/>
  <c r="T79" i="28"/>
  <c r="T39" i="28"/>
  <c r="T59" i="28"/>
  <c r="T18" i="28"/>
  <c r="T72" i="28"/>
  <c r="T32" i="28"/>
  <c r="T50" i="28"/>
  <c r="T9" i="28"/>
  <c r="U60" i="34"/>
  <c r="U57" i="34"/>
  <c r="U103" i="34"/>
  <c r="U100" i="34"/>
  <c r="U104" i="34" s="1"/>
  <c r="E35" i="19"/>
  <c r="T47" i="4"/>
  <c r="V58" i="4"/>
  <c r="V81" i="5"/>
  <c r="V88" i="5" s="1"/>
  <c r="V125" i="5"/>
  <c r="V132" i="5" s="1"/>
  <c r="E11" i="30"/>
  <c r="V29" i="4"/>
  <c r="E9" i="19"/>
  <c r="E11" i="19" s="1"/>
  <c r="U61" i="34" l="1"/>
  <c r="E14" i="30"/>
  <c r="E24" i="35"/>
  <c r="E28" i="35" s="1"/>
  <c r="E36" i="35"/>
  <c r="E23" i="35"/>
  <c r="E25" i="35" s="1"/>
  <c r="E35" i="35"/>
  <c r="E37" i="35" s="1"/>
  <c r="E23" i="30"/>
  <c r="V38" i="5"/>
  <c r="E24" i="36"/>
  <c r="E28" i="36" s="1"/>
  <c r="E36" i="36"/>
  <c r="E23" i="36"/>
  <c r="E25" i="36" s="1"/>
  <c r="E35" i="36"/>
  <c r="E37" i="36" s="1"/>
  <c r="E9" i="36"/>
  <c r="E11" i="36" s="1"/>
  <c r="E19" i="36" s="1"/>
  <c r="E9" i="35"/>
  <c r="E11" i="35" s="1"/>
  <c r="E19" i="35" s="1"/>
  <c r="E38" i="35"/>
  <c r="E41" i="35" s="1"/>
  <c r="E44" i="35" s="1"/>
  <c r="E15" i="19"/>
  <c r="E19" i="30"/>
  <c r="E26" i="30" s="1"/>
  <c r="E36" i="30"/>
  <c r="E37" i="30" s="1"/>
  <c r="E38" i="30" s="1"/>
  <c r="E41" i="30" s="1"/>
  <c r="E44" i="30" s="1"/>
  <c r="G44" i="30" s="1"/>
  <c r="E24" i="30"/>
  <c r="E28" i="30" s="1"/>
  <c r="E46" i="30"/>
  <c r="E19" i="19"/>
  <c r="E26" i="19" s="1"/>
  <c r="E36" i="19"/>
  <c r="E37" i="19" s="1"/>
  <c r="E24" i="19"/>
  <c r="E48" i="35" l="1"/>
  <c r="E49" i="35"/>
  <c r="E50" i="35"/>
  <c r="G44" i="35"/>
  <c r="E26" i="35"/>
  <c r="E29" i="35" s="1"/>
  <c r="E31" i="35" s="1"/>
  <c r="E46" i="35" s="1"/>
  <c r="E38" i="36"/>
  <c r="E41" i="36" s="1"/>
  <c r="E44" i="36" s="1"/>
  <c r="E26" i="36"/>
  <c r="E38" i="19"/>
  <c r="E41" i="19" s="1"/>
  <c r="E44" i="19" s="1"/>
  <c r="E25" i="30"/>
  <c r="E28" i="19"/>
  <c r="E29" i="19" s="1"/>
  <c r="E31" i="19" s="1"/>
  <c r="G31" i="19" s="1"/>
  <c r="E25" i="19"/>
  <c r="E51" i="35" l="1"/>
  <c r="E52" i="35"/>
  <c r="E53" i="35"/>
  <c r="E54" i="35"/>
  <c r="E55" i="35"/>
  <c r="E29" i="36"/>
  <c r="E31" i="36" s="1"/>
  <c r="E46" i="36" s="1"/>
  <c r="G44" i="36"/>
  <c r="G31" i="35"/>
  <c r="G31" i="36"/>
  <c r="E46" i="19"/>
  <c r="G44" i="19"/>
  <c r="E29" i="30"/>
  <c r="E31" i="30" s="1"/>
  <c r="G31" i="30" s="1"/>
  <c r="E56"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tc={84567A0F-53D8-4E16-B08D-99115ED492EC}</author>
  </authors>
  <commentList>
    <comment ref="W28" authorId="0" shapeId="0" xr:uid="{126DC7EB-ACBC-437C-8FE3-4B568D4005AC}">
      <text>
        <r>
          <rPr>
            <b/>
            <sz val="9"/>
            <color indexed="81"/>
            <rFont val="Tahoma"/>
            <family val="2"/>
          </rPr>
          <t xml:space="preserve">Nicholas Mitchell
</t>
        </r>
        <r>
          <rPr>
            <sz val="9"/>
            <color indexed="81"/>
            <rFont val="Tahoma"/>
            <family val="2"/>
          </rPr>
          <t xml:space="preserve">Example bandwidth given by endurosat for the transceiver (roughly needed for GFSK modulation 9.6Kbps data rate) 
</t>
        </r>
      </text>
    </comment>
    <comment ref="W33" authorId="0" shapeId="0" xr:uid="{4E88D332-B5EA-4A28-AD13-00405DADF657}">
      <text>
        <r>
          <rPr>
            <b/>
            <sz val="9"/>
            <color indexed="81"/>
            <rFont val="Tahoma"/>
            <family val="2"/>
          </rPr>
          <t xml:space="preserve">Nicholas Mitchell
</t>
        </r>
        <r>
          <rPr>
            <sz val="9"/>
            <color indexed="81"/>
            <rFont val="Tahoma"/>
            <family val="2"/>
          </rPr>
          <t xml:space="preserve">Example bandwidth given by endurosat for the transceiver (roughly needed for GFSK modulation 9.6Kbps data rate) 
</t>
        </r>
      </text>
    </comment>
    <comment ref="V39" authorId="1" shapeId="0" xr:uid="{84567A0F-53D8-4E16-B08D-99115ED492EC}">
      <text>
        <t>[Threaded comment]
Your version of Excel allows you to read this threaded comment; however, any edits to it will get removed if the file is opened in a newer version of Excel. Learn more: https://go.microsoft.com/fwlink/?linkid=870924
Comment:
    Assuming it points straight up, and is non-tracking</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Nicholas Mitchell</author>
    <author>Mackenzie Essington</author>
  </authors>
  <commentList>
    <comment ref="F6" authorId="0" shapeId="0" xr:uid="{E1E30AD5-0C19-41E8-B6D9-207FA54DC442}">
      <text>
        <r>
          <rPr>
            <b/>
            <sz val="9"/>
            <color indexed="81"/>
            <rFont val="Tahoma"/>
            <family val="2"/>
          </rPr>
          <t>Nicholas Mitchell:</t>
        </r>
        <r>
          <rPr>
            <sz val="9"/>
            <color indexed="81"/>
            <rFont val="Tahoma"/>
            <family val="2"/>
          </rPr>
          <t xml:space="preserve">
Maximum DC transmission power allowed by amateur radio band is 250W DC </t>
        </r>
      </text>
    </comment>
    <comment ref="E30" authorId="1" shapeId="0" xr:uid="{A7E43512-0E86-4890-B84A-1C45E5BDFDBD}">
      <text>
        <r>
          <rPr>
            <sz val="11"/>
            <color theme="1"/>
            <rFont val="Calibri"/>
            <family val="2"/>
            <scheme val="minor"/>
          </rPr>
          <t>Mackenzie Essington:
Endurosat can only provide 2GFSK transceiver, number reflects this modulation scheme
Nick: 
Taken from BER analysis in backend, needs to be updated with GMSK</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Nicholas Mitchell</author>
    <author>Mackenzie Essington</author>
  </authors>
  <commentList>
    <comment ref="F6" authorId="0" shapeId="0" xr:uid="{380F14AA-08B1-4C75-B124-E96AEED88BC1}">
      <text>
        <r>
          <rPr>
            <b/>
            <sz val="9"/>
            <color indexed="81"/>
            <rFont val="Tahoma"/>
            <family val="2"/>
          </rPr>
          <t>Nicholas Mitchell:</t>
        </r>
        <r>
          <rPr>
            <sz val="9"/>
            <color indexed="81"/>
            <rFont val="Tahoma"/>
            <family val="2"/>
          </rPr>
          <t xml:space="preserve">
Maximum DC transmission power allowed by amateur radio band is 250W DC </t>
        </r>
      </text>
    </comment>
    <comment ref="E30" authorId="1" shapeId="0" xr:uid="{642A272D-2DD9-4CE2-823B-B67C1AB991E2}">
      <text>
        <r>
          <rPr>
            <sz val="11"/>
            <color theme="1"/>
            <rFont val="Calibri"/>
            <family val="2"/>
            <scheme val="minor"/>
          </rPr>
          <t>Mackenzie Essington:
Endurosat can only provide 2GFSK transceiver, number reflects this modulation scheme
Nick: 
Taken from BER analysis in backend, needs to be updated with GMSK</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Nicholas Mitchell</author>
    <author>tc={7A99E4CA-F8AD-47F2-81A9-F3365D2F1334}</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family val="2"/>
          </rPr>
          <t>Nicholas Mitchell:</t>
        </r>
        <r>
          <rPr>
            <sz val="9"/>
            <color indexed="81"/>
            <rFont val="Tahoma"/>
            <family val="2"/>
          </rPr>
          <t xml:space="preserve">
Compression of the camera could be anywhere between 1x and 15x, Canadensys will continue to update us on size of image + possible compresssion configurations 
</t>
        </r>
      </text>
    </comment>
    <comment ref="N47" authorId="1" shapeId="0" xr:uid="{7A99E4CA-F8AD-47F2-81A9-F3365D2F1334}">
      <text>
        <t>[Threaded comment]
Your version of Excel allows you to read this threaded comment; however, any edits to it will get removed if the file is opened in a newer version of Excel. Learn more: https://go.microsoft.com/fwlink/?linkid=870924
Comment:
    This was never updated. What should it be?</t>
      </text>
    </comment>
    <comment ref="B71" authorId="2" shapeId="0" xr:uid="{55D5A880-3829-4B5F-B051-F7BA1872011F}">
      <text>
        <t xml:space="preserve">[Threaded comment]
Your version of Excel allows you to read this threaded comment; however, any edits to it will get removed if the file is opened in a newer version of Excel. Learn more: https://go.microsoft.com/fwlink/?linkid=870924
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3" authorId="0" shapeId="0" xr:uid="{5A4E32C0-B1D0-4D86-9C76-69D248464DCB}">
      <text>
        <r>
          <rPr>
            <b/>
            <sz val="9"/>
            <color indexed="81"/>
            <rFont val="Tahoma"/>
            <family val="2"/>
          </rPr>
          <t>Nicholas Mitchell:</t>
        </r>
        <r>
          <rPr>
            <sz val="9"/>
            <color indexed="81"/>
            <rFont val="Tahoma"/>
            <family val="2"/>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 ref="U38" authorId="0" shapeId="0" xr:uid="{2C19290D-5D62-4682-B4BA-F49346E2DFCE}">
      <text>
        <r>
          <rPr>
            <b/>
            <sz val="9"/>
            <color indexed="81"/>
            <rFont val="Tahoma"/>
            <family val="2"/>
          </rPr>
          <t>Nicholas Mitchell:</t>
        </r>
        <r>
          <rPr>
            <sz val="9"/>
            <color indexed="81"/>
            <rFont val="Tahoma"/>
            <family val="2"/>
          </rPr>
          <t xml:space="preserve">
Will affect atmospheric attenuation as shown in backend data 
</t>
        </r>
      </text>
    </comment>
    <comment ref="U40" authorId="0" shapeId="0" xr:uid="{2BE30D02-FBC2-42FB-9A08-4C501CEAD758}">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Amey</author>
  </authors>
  <commentList>
    <comment ref="U15" authorId="0" shapeId="0" xr:uid="{F220BF6F-DA3C-4189-BAAF-0749DEA77EE1}">
      <text>
        <r>
          <rPr>
            <sz val="11"/>
            <color theme="1"/>
            <rFont val="Calibri"/>
            <family val="2"/>
            <scheme val="minor"/>
          </rPr>
          <t>Stephen Amey:
Data transmission process:
send sync
receive status
burst transfer X packets
repeat</t>
        </r>
      </text>
    </comment>
    <comment ref="T25" authorId="0" shapeId="0" xr:uid="{DFAA97DE-C664-41F7-8596-D829D21AD9F6}">
      <text>
        <r>
          <rPr>
            <sz val="11"/>
            <color theme="1"/>
            <rFont val="Calibri"/>
            <family val="2"/>
            <scheme val="minor"/>
          </rPr>
          <t>Stephen Amey:
Not the individual data transfer commands. Just anything top-level, e.g. setOBCTime.
Assumed max packet size.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tc={BE429D58-BED1-4C3E-B416-C342EA13DEDD}</author>
  </authors>
  <commentList>
    <comment ref="V24" authorId="0" shapeId="0" xr:uid="{E8097769-D31F-40F0-8225-B87F306D536F}">
      <text>
        <r>
          <rPr>
            <b/>
            <sz val="9"/>
            <color indexed="81"/>
            <rFont val="Tahoma"/>
            <family val="2"/>
          </rPr>
          <t>Nicholas Mitchell:</t>
        </r>
        <r>
          <rPr>
            <sz val="9"/>
            <color indexed="81"/>
            <rFont val="Tahoma"/>
            <family val="2"/>
          </rPr>
          <t xml:space="preserve">
Capstone students, 
Likely for PA, LNA, Surge protector and isolator</t>
        </r>
      </text>
    </comment>
    <comment ref="V25" authorId="0" shapeId="0" xr:uid="{BF2DDE5C-4696-4D16-BD01-F31049D27AFF}">
      <text>
        <r>
          <rPr>
            <b/>
            <sz val="9"/>
            <color indexed="81"/>
            <rFont val="Tahoma"/>
            <family val="2"/>
          </rPr>
          <t>Nicholas Mitchell:</t>
        </r>
        <r>
          <rPr>
            <sz val="9"/>
            <color indexed="81"/>
            <rFont val="Tahoma"/>
            <family val="2"/>
          </rPr>
          <t xml:space="preserve">
Antenna VSWR is 1.5 Maximum
equal to mismatch loss of 0.177dB 
</t>
        </r>
      </text>
    </comment>
    <comment ref="V53" authorId="0" shapeId="0" xr:uid="{C5BC1A41-2A53-470F-94CE-3CF92333D43E}">
      <text>
        <r>
          <rPr>
            <b/>
            <sz val="9"/>
            <color indexed="81"/>
            <rFont val="Tahoma"/>
            <family val="2"/>
          </rPr>
          <t>Nicholas Mitchell:</t>
        </r>
        <r>
          <rPr>
            <sz val="9"/>
            <color indexed="81"/>
            <rFont val="Tahoma"/>
            <family val="2"/>
          </rPr>
          <t xml:space="preserve">
Capstone students, 
Likely for PA, LNA, Surge protector and isolator</t>
        </r>
      </text>
    </comment>
    <comment ref="V54" authorId="0" shapeId="0" xr:uid="{0E7B4A9E-5F43-424D-A9E2-5F660AB39B04}">
      <text>
        <r>
          <rPr>
            <b/>
            <sz val="9"/>
            <color indexed="81"/>
            <rFont val="Tahoma"/>
            <family val="2"/>
          </rPr>
          <t>Nicholas Mitchell:</t>
        </r>
        <r>
          <rPr>
            <sz val="9"/>
            <color indexed="81"/>
            <rFont val="Tahoma"/>
            <family val="2"/>
          </rPr>
          <t xml:space="preserve">
Antenna VSWR is 1.5 Maximum
equal to mismatch loss of 0.177dB 
</t>
        </r>
      </text>
    </comment>
    <comment ref="V83" authorId="0" shapeId="0" xr:uid="{99A3C28D-9EBF-4639-BA9E-E1BC51ED3782}">
      <text>
        <r>
          <rPr>
            <b/>
            <sz val="9"/>
            <color indexed="81"/>
            <rFont val="Tahoma"/>
            <family val="2"/>
          </rPr>
          <t>Nicholas Mitchell:</t>
        </r>
        <r>
          <rPr>
            <sz val="9"/>
            <color indexed="81"/>
            <rFont val="Tahoma"/>
            <family val="2"/>
          </rPr>
          <t xml:space="preserve">
Capstone students, 
Likely for PA, LNA, Surge protector and isolator</t>
        </r>
      </text>
    </comment>
    <comment ref="V84" authorId="0" shapeId="0" xr:uid="{788926D7-8B82-4099-8864-3F1311FD7710}">
      <text>
        <r>
          <rPr>
            <b/>
            <sz val="9"/>
            <color indexed="81"/>
            <rFont val="Tahoma"/>
            <family val="2"/>
          </rPr>
          <t>Nicholas Mitchell:</t>
        </r>
        <r>
          <rPr>
            <sz val="9"/>
            <color indexed="81"/>
            <rFont val="Tahoma"/>
            <family val="2"/>
          </rPr>
          <t xml:space="preserve">
Antenna VSWR is 1.5 Maximum
equal to mismatch loss of 0.177dB 
</t>
        </r>
      </text>
    </comment>
    <comment ref="X88" authorId="1" shapeId="0" xr:uid="{BE429D58-BED1-4C3E-B416-C342EA13DEDD}">
      <text>
        <t>[Threaded comment]
Your version of Excel allows you to read this threaded comment; however, any edits to it will get removed if the file is opened in a newer version of Excel. Learn more: https://go.microsoft.com/fwlink/?linkid=870924
Comment:
    dBW = dB</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Mackenzie Essington</author>
    <author>tc={05181116-AE4B-4596-9597-1700E230E23C}</author>
  </authors>
  <commentList>
    <comment ref="T53" authorId="0" shapeId="0" xr:uid="{C8553480-4888-49F1-94CD-C67C0784B002}">
      <text>
        <r>
          <rPr>
            <sz val="11"/>
            <color theme="1"/>
            <rFont val="Calibri"/>
            <family val="2"/>
            <scheme val="minor"/>
          </rPr>
          <t xml:space="preserve">Mackenzie Essington:
Jul 22/22
Based on how we build - must match API - LH
Annika Vetter March 24 2024
Can be changed to RHCP, depends on how other components are (assuming endurosat uhf antenna type 3)
</t>
        </r>
      </text>
    </comment>
    <comment ref="T54" authorId="1" shapeId="0" xr:uid="{05181116-AE4B-4596-9597-1700E230E23C}">
      <text>
        <t xml:space="preserve">[Threaded comment]
Your version of Excel allows you to read this threaded comment; however, any edits to it will get removed if the file is opened in a newer version of Excel. Learn more: https://go.microsoft.com/fwlink/?linkid=870924
Comment:
    Assuming we are using same groundstation hardware as the ukpik team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tc={80D4A24E-91C6-40FB-9426-A2B9D961BD2D}</author>
    <author>tc={171C6AAB-B539-4323-A0D4-340F454C1114}</author>
    <author>tc={F906572A-7D01-46E1-80EA-B3029D468BD7}</author>
    <author>tc={E5B778E4-A199-4917-BB6C-3951EAD71248}</author>
    <author>tc={7D00511A-C340-4AD3-B022-F83C2CEE5FF7}</author>
    <author>tc={A82AE0B7-9255-42F5-9759-AED98780337C}</author>
    <author>tc={AF9A2CB7-FA5A-4877-B1EC-8402D73884B2}</author>
    <author>tc={9A234736-7CC1-4282-BB71-6547720A4829}</author>
    <author>Mackenzie Essington</author>
    <author>tc={CC287213-A8CD-4A96-AFF7-5E68FF807B9E}</author>
  </authors>
  <commentList>
    <comment ref="R31" authorId="0" shapeId="0" xr:uid="{80D4A24E-91C6-40FB-9426-A2B9D961BD2D}">
      <text>
        <t>[Threaded comment]
Your version of Excel allows you to read this threaded comment; however, any edits to it will get removed if the file is opened in a newer version of Excel. Learn more: https://go.microsoft.com/fwlink/?linkid=870924
Comment:
    Is this needed on the Rx path? I assumed so.</t>
      </text>
    </comment>
    <comment ref="V38" authorId="1" shapeId="0" xr:uid="{171C6AAB-B539-4323-A0D4-340F454C1114}">
      <text>
        <t>[Threaded comment]
Your version of Excel allows you to read this threaded comment; however, any edits to it will get removed if the file is opened in a newer version of Excel. Learn more: https://go.microsoft.com/fwlink/?linkid=870924
Comment:
    I've seen higher around 0.9705</t>
      </text>
    </comment>
    <comment ref="V39" authorId="2" shapeId="0" xr:uid="{F906572A-7D01-46E1-80EA-B3029D468BD7}">
      <text>
        <t>[Threaded comment]
Your version of Excel allows you to read this threaded comment; however, any edits to it will get removed if the file is opened in a newer version of Excel. Learn more: https://go.microsoft.com/fwlink/?linkid=870924
Comment:
    Flux value taken from: http://www.hamradiodaily.com/
equation for antenna sky temperature from : 
https://en.wikipedia.org/wiki/Antenna_noise_temperature
Reply:
    Seems a bit high, others are around 120K</t>
      </text>
    </comment>
    <comment ref="Z39" authorId="3" shapeId="0" xr:uid="{E5B778E4-A199-4917-BB6C-3951EAD71248}">
      <text>
        <t>[Threaded comment]
Your version of Excel allows you to read this threaded comment; however, any edits to it will get removed if the file is opened in a newer version of Excel. Learn more: https://go.microsoft.com/fwlink/?linkid=870924
Comment:
    Verify that these values are correct.</t>
      </text>
    </comment>
    <comment ref="V40" authorId="4" shapeId="0" xr:uid="{7D00511A-C340-4AD3-B022-F83C2CEE5FF7}">
      <text>
        <t>[Threaded comment]
Your version of Excel allows you to read this threaded comment; however, any edits to it will get removed if the file is opened in a newer version of Excel. Learn more: https://go.microsoft.com/fwlink/?linkid=870924
Comment:
    Value taken from ITU presentation
https://www.itu.int/en/ITU-R/space/workshops/2016-small-sat/Documents/Link_budget_uvigo.pdf
Reply:
    Seems about right. Others use 280K</t>
      </text>
    </comment>
    <comment ref="V41" authorId="5" shapeId="0" xr:uid="{A82AE0B7-9255-42F5-9759-AED98780337C}">
      <text>
        <t>[Threaded comment]
Your version of Excel allows you to read this threaded comment; however, any edits to it will get removed if the file is opened in a newer version of Excel. Learn more: https://go.microsoft.com/fwlink/?linkid=870924
Comment:
    Noise figure of transceiver is 0.9dB 
Reply:
    Not sure how to verify this one.</t>
      </text>
    </comment>
    <comment ref="V44" authorId="6" shapeId="0" xr:uid="{AF9A2CB7-FA5A-4877-B1EC-8402D73884B2}">
      <text>
        <t>[Threaded comment]
Your version of Excel allows you to read this threaded comment; however, any edits to it will get removed if the file is opened in a newer version of Excel. Learn more: https://go.microsoft.com/fwlink/?linkid=870924
Comment:
    Where to find this?</t>
      </text>
    </comment>
    <comment ref="R75" authorId="7" shapeId="0" xr:uid="{9A234736-7CC1-4282-BB71-6547720A4829}">
      <text>
        <t>[Threaded comment]
Your version of Excel allows you to read this threaded comment; however, any edits to it will get removed if the file is opened in a newer version of Excel. Learn more: https://go.microsoft.com/fwlink/?linkid=870924
Comment:
    Is this needed on the Rx path? I assumed so.</t>
      </text>
    </comment>
    <comment ref="V82" authorId="8" shapeId="0" xr:uid="{C5856384-72CD-4AB2-941C-6B7471A4B744}">
      <text>
        <r>
          <rPr>
            <sz val="11"/>
            <color theme="1"/>
            <rFont val="Calibri"/>
            <family val="2"/>
            <scheme val="minor"/>
          </rPr>
          <t>Mackenzie Essington:
Updated from 500 - followed calcs in OrcaSat link budget
LARC Temp = 75.2
WIRB Temp = 58.56</t>
        </r>
      </text>
    </comment>
    <comment ref="R117" authorId="9" shapeId="0" xr:uid="{CC287213-A8CD-4A96-AFF7-5E68FF807B9E}">
      <text>
        <t>[Threaded comment]
Your version of Excel allows you to read this threaded comment; however, any edits to it will get removed if the file is opened in a newer version of Excel. Learn more: https://go.microsoft.com/fwlink/?linkid=870924
Comment:
    Is this needed on the Rx path? I assumed so.</t>
      </text>
    </comment>
    <comment ref="V126" authorId="8" shapeId="0" xr:uid="{DAA7BFF9-7ED8-43E9-9808-C6622AC2BE1C}">
      <text>
        <r>
          <rPr>
            <sz val="11"/>
            <color theme="1"/>
            <rFont val="Calibri"/>
            <family val="2"/>
            <scheme val="minor"/>
          </rPr>
          <t>Mackenzie Essington:
Updated from 500 - followed calcs in OrcaSat link budget
LARC Temp = 75.2
WIRB Temp = 58.56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tc={5E3CF481-1618-4EE4-8E2F-2F2473729D71}</author>
    <author>tc={95699BE4-7F80-4927-A030-03FE5C775133}</author>
  </authors>
  <commentList>
    <comment ref="X15" authorId="0" shapeId="0" xr:uid="{5E3CF481-1618-4EE4-8E2F-2F2473729D71}">
      <text>
        <t>[Threaded comment]
Your version of Excel allows you to read this threaded comment; however, any edits to it will get removed if the file is opened in a newer version of Excel. Learn more: https://go.microsoft.com/fwlink/?linkid=870924
Comment:
    I'm really just guessing here, based on 'Backend Data' tab. Someone who actually knows what they're doing should look at this.</t>
      </text>
    </comment>
    <comment ref="X31" authorId="1" shapeId="0" xr:uid="{95699BE4-7F80-4927-A030-03FE5C775133}">
      <text>
        <t>[Threaded comment]
Your version of Excel allows you to read this threaded comment; however, any edits to it will get removed if the file is opened in a newer version of Excel. Learn more: https://go.microsoft.com/fwlink/?linkid=870924
Comment:
    I'm really just guessing here, based on 'Backend Data' tab. Someone who actually knows what they're doing should look at this.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tc={808BD2D9-9BC7-420B-B092-67C471645572}</author>
    <author>tc={D6B0170A-2AB0-424C-AB7E-6F9ADB212ED2}</author>
    <author>tc={81557FCA-5C7A-4465-8614-603036D013CA}</author>
  </authors>
  <commentList>
    <comment ref="Y10" authorId="0" shapeId="0" xr:uid="{E2AFC99D-A20C-4E24-BF8D-7D9E7E86132E}">
      <text>
        <t xml:space="preserve">[Threaded comment]
Your version of Excel allows you to read this threaded comment; however, any edits to it will get removed if the file is opened in a newer version of Excel. Learn more: https://go.microsoft.com/fwlink/?linkid=870924
Comment:
    Link:
http://www.waves.utoronto.ca/prof/svhum/ece422/notes/20b-atmospheric.pdf?fbclid=IwAR2oVL_9TkEH4mXklzxo_iNu5hyJ8jxbcKOk16BTHitMQmBwhpPEPx-8710
</t>
      </text>
    </comment>
    <comment ref="X16" authorId="1" shapeId="0" xr:uid="{0E1E6DBA-9F16-4BC1-AD87-2A8049A1B7B0}">
      <text>
        <r>
          <rPr>
            <b/>
            <sz val="9"/>
            <color indexed="81"/>
            <rFont val="Tahoma"/>
            <family val="2"/>
          </rPr>
          <t>Nicholas Mitchell:</t>
        </r>
        <r>
          <rPr>
            <sz val="9"/>
            <color indexed="81"/>
            <rFont val="Tahoma"/>
            <family val="2"/>
          </rPr>
          <t xml:space="preserve">
Ionospheric losses need to be looked at as well. Since we are operating in circular polarized type of transmission faraday rotation is insignificant. 
Ionospheric scintillation effects are more serious and can go up to 27dB </t>
        </r>
      </text>
    </comment>
    <comment ref="Y38" authorId="2" shapeId="0" xr:uid="{808BD2D9-9BC7-420B-B092-67C471645572}">
      <text>
        <t>[Threaded comment]
Your version of Excel allows you to read this threaded comment; however, any edits to it will get removed if the file is opened in a newer version of Excel. Learn more: https://go.microsoft.com/fwlink/?linkid=870924
Comment:
    Grab this from the UHF antenna datasheet radiation pattern
**Seems it drops by about 5dB every 60 degrees</t>
      </text>
    </comment>
    <comment ref="R54" authorId="3" shapeId="0" xr:uid="{D6B0170A-2AB0-424C-AB7E-6F9ADB212ED2}">
      <text>
        <t>[Threaded comment]
Your version of Excel allows you to read this threaded comment; however, any edits to it will get removed if the file is opened in a newer version of Excel. Learn more: https://go.microsoft.com/fwlink/?linkid=870924
Comment:
    Axial Ratios:
Circular: 1.0
Elliptical: 2.0</t>
      </text>
    </comment>
    <comment ref="Y79" authorId="4" shapeId="0" xr:uid="{81557FCA-5C7A-4465-8614-603036D013CA}">
      <text>
        <t>[Threaded comment]
Your version of Excel allows you to read this threaded comment; however, any edits to it will get removed if the file is opened in a newer version of Excel. Learn more: https://go.microsoft.com/fwlink/?linkid=870924
Comment:
    Grab this from the UHF antenna datasheet radiation pattern
**Seems it drops by about 5dB every 60 degrees</t>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tc={746030E5-12D3-4B69-9D65-2620DAE60F70}</author>
    <author>Nicholas Mitchell</author>
    <author>tc={2704F444-D0FA-4955-A13A-7B91501BDA08}</author>
    <author>tc={287C7DE0-66D4-4DA2-8F7B-13BC503A44CF}</author>
    <author>tc={B56F335B-56B0-48AD-AAC7-8376CBEC2A90}</author>
    <author>tc={C72C90B2-FFFB-4190-8011-F67329A7916A}</author>
  </authors>
  <commentList>
    <comment ref="Y10" authorId="0" shapeId="0" xr:uid="{746030E5-12D3-4B69-9D65-2620DAE60F70}">
      <text>
        <t xml:space="preserve">[Threaded comment]
Your version of Excel allows you to read this threaded comment; however, any edits to it will get removed if the file is opened in a newer version of Excel. Learn more: https://go.microsoft.com/fwlink/?linkid=870924
Comment:
    Link:
http://www.waves.utoronto.ca/prof/svhum/ece422/notes/20b-atmospheric.pdf?fbclid=IwAR2oVL_9TkEH4mXklzxo_iNu5hyJ8jxbcKOk16BTHitMQmBwhpPEPx-8710
</t>
      </text>
    </comment>
    <comment ref="X16" authorId="1" shapeId="0" xr:uid="{0C35DF83-C4D2-4C3A-AAD3-C5D0747282E8}">
      <text>
        <r>
          <rPr>
            <b/>
            <sz val="9"/>
            <color indexed="81"/>
            <rFont val="Tahoma"/>
            <family val="2"/>
          </rPr>
          <t>Nicholas Mitchell:</t>
        </r>
        <r>
          <rPr>
            <sz val="9"/>
            <color indexed="81"/>
            <rFont val="Tahoma"/>
            <family val="2"/>
          </rPr>
          <t xml:space="preserve">
Ionospheric losses need to be looked at as well. Since we are operating in circular polarized type of transmission faraday rotation is insignificant. 
Ionospheric scintillation effects are more serious and can go up to 27dB </t>
        </r>
      </text>
    </comment>
    <comment ref="Y36" authorId="2" shapeId="0" xr:uid="{2704F444-D0FA-4955-A13A-7B91501BDA08}">
      <text>
        <t>[Threaded comment]
Your version of Excel allows you to read this threaded comment; however, any edits to it will get removed if the file is opened in a newer version of Excel. Learn more: https://go.microsoft.com/fwlink/?linkid=870924
Comment:
    Not sure on this equation...</t>
      </text>
    </comment>
    <comment ref="Y38" authorId="3" shapeId="0" xr:uid="{287C7DE0-66D4-4DA2-8F7B-13BC503A44CF}">
      <text>
        <t>[Threaded comment]
Your version of Excel allows you to read this threaded comment; however, any edits to it will get removed if the file is opened in a newer version of Excel. Learn more: https://go.microsoft.com/fwlink/?linkid=870924
Comment:
    Grab this from the UHF antenna datasheet radiation pattern
**Seems it drops by about 5dB every 60 degrees</t>
      </text>
    </comment>
    <comment ref="R54" authorId="4" shapeId="0" xr:uid="{B56F335B-56B0-48AD-AAC7-8376CBEC2A90}">
      <text>
        <t>[Threaded comment]
Your version of Excel allows you to read this threaded comment; however, any edits to it will get removed if the file is opened in a newer version of Excel. Learn more: https://go.microsoft.com/fwlink/?linkid=870924
Comment:
    Axial Ratios:
Circular: 1.0
Elliptical: 2.0</t>
      </text>
    </comment>
    <comment ref="Y79" authorId="5" shapeId="0" xr:uid="{C72C90B2-FFFB-4190-8011-F67329A7916A}">
      <text>
        <t>[Threaded comment]
Your version of Excel allows you to read this threaded comment; however, any edits to it will get removed if the file is opened in a newer version of Excel. Learn more: https://go.microsoft.com/fwlink/?linkid=870924
Comment:
    Grab this from the UHF antenna datasheet radiation pattern
**Seems it drops by about 5dB every 60 degrees</t>
      </text>
    </comment>
    <comment ref="Z79" authorId="1" shapeId="0" xr:uid="{C12A8FB1-C0FE-45E9-9A4A-2439DE31106D}">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DA60E126-CFB6-4377-9765-30DE5A7A54C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sharedStrings.xml><?xml version="1.0" encoding="utf-8"?>
<sst xmlns="http://schemas.openxmlformats.org/spreadsheetml/2006/main" count="1491" uniqueCount="531">
  <si>
    <t>Password to unprotect sheets: 123</t>
  </si>
  <si>
    <t>Note that the link budgets produced by this spreadsheet will be using the worst-case values given. For example, at the extreme edges of the pass.</t>
  </si>
  <si>
    <t>Constants</t>
  </si>
  <si>
    <t>Value</t>
  </si>
  <si>
    <t>Unit</t>
  </si>
  <si>
    <t>Speed of light</t>
  </si>
  <si>
    <t>m/s</t>
  </si>
  <si>
    <t>Boltzmann constant</t>
  </si>
  <si>
    <t>dBW/K/Hz</t>
  </si>
  <si>
    <t>This will not reflect the more optimal conditions when the satellite is closer to the center of a pass. If you would like to simulate these conditions, adjust the 'elevation angle' inputs.</t>
  </si>
  <si>
    <t>Radius of earth</t>
  </si>
  <si>
    <t>km</t>
  </si>
  <si>
    <t>Operating Frequencies</t>
  </si>
  <si>
    <t>Uplink Frequency</t>
  </si>
  <si>
    <t>MHz</t>
  </si>
  <si>
    <t>Comms requirement</t>
  </si>
  <si>
    <t>Downlink Frequency</t>
  </si>
  <si>
    <t>Orbital &amp; Payload Information</t>
  </si>
  <si>
    <t>Satellite Altitude</t>
  </si>
  <si>
    <t>Orbit requirement</t>
  </si>
  <si>
    <t>Time per pass (transmission duration)</t>
  </si>
  <si>
    <t>s</t>
  </si>
  <si>
    <t>Complete passes per day</t>
  </si>
  <si>
    <t>passes</t>
  </si>
  <si>
    <t>Rain losses</t>
  </si>
  <si>
    <t>dB</t>
  </si>
  <si>
    <t>GS Antenna Parameters</t>
  </si>
  <si>
    <t>Worst case antenna elevation angle</t>
  </si>
  <si>
    <t>°</t>
  </si>
  <si>
    <t>GS requirement</t>
  </si>
  <si>
    <t>Legal requirement of minimum 5 degrees elevation for frequencies &lt;10GHz</t>
  </si>
  <si>
    <t>Satellite receiver bandwidth</t>
  </si>
  <si>
    <t>kHz</t>
  </si>
  <si>
    <t>MTU Antenna Parameters</t>
  </si>
  <si>
    <t>https://ised-isde.canada.ca/site/spectrum-management-telecommunications/en/learn-more/key-documents/procedures/client-procedures-circulars-cpc/cpc-2-6-02-licensing-space-stations</t>
  </si>
  <si>
    <t>MTU requirement</t>
  </si>
  <si>
    <t>Pointing errors</t>
  </si>
  <si>
    <t>Worst case satellite pointing error</t>
  </si>
  <si>
    <t>ADCS requirement</t>
  </si>
  <si>
    <t>Worst case groundstation pointing error</t>
  </si>
  <si>
    <t>Worst case MTU pointing error</t>
  </si>
  <si>
    <t>Orbit &amp; Free-Space Path Losses</t>
  </si>
  <si>
    <t>Uplink frequency &amp; ideal wavelength</t>
  </si>
  <si>
    <t>m</t>
  </si>
  <si>
    <t xml:space="preserve"> Downlink frequency &amp; ideal wavelength</t>
  </si>
  <si>
    <t>Satellite altitude</t>
  </si>
  <si>
    <t>Radius of Earth</t>
  </si>
  <si>
    <t>GS antenna elevation angle</t>
  </si>
  <si>
    <t>GS Slant Range (worst case distance)</t>
  </si>
  <si>
    <t>Uplink free-space path loss</t>
  </si>
  <si>
    <t>Downlink free-space path loss</t>
  </si>
  <si>
    <t>MTU antenna elevation angle</t>
  </si>
  <si>
    <t>MTU Slant Range (worst case distance)</t>
  </si>
  <si>
    <t>Orbital period</t>
  </si>
  <si>
    <t>minutes</t>
  </si>
  <si>
    <t>Maximum pass time</t>
  </si>
  <si>
    <t>Data Transfer Protocol</t>
  </si>
  <si>
    <t>Max packet size</t>
  </si>
  <si>
    <t>kilobits</t>
  </si>
  <si>
    <t>Max packet payload</t>
  </si>
  <si>
    <t>Overhead</t>
  </si>
  <si>
    <t>Sync packet size</t>
  </si>
  <si>
    <t>Status packet size</t>
  </si>
  <si>
    <t>Burst size</t>
  </si>
  <si>
    <t>packets</t>
  </si>
  <si>
    <t>Handshake initiation size</t>
  </si>
  <si>
    <t>Handshake response size</t>
  </si>
  <si>
    <t>Data Downlink per pass (average)</t>
  </si>
  <si>
    <t>Number of user commands per pass</t>
  </si>
  <si>
    <t>Total with overhead</t>
  </si>
  <si>
    <t>OBC telemetry</t>
  </si>
  <si>
    <t>EPS telemetry</t>
  </si>
  <si>
    <t>Transceiver telemetry</t>
  </si>
  <si>
    <t>Endurosat total</t>
  </si>
  <si>
    <t>ADCS telemetry</t>
  </si>
  <si>
    <t>Drag sail telemetry</t>
  </si>
  <si>
    <t>PTB telemetry</t>
  </si>
  <si>
    <t>FW telemetry</t>
  </si>
  <si>
    <t>Other total</t>
  </si>
  <si>
    <t>MTU data size (1 station)</t>
  </si>
  <si>
    <t>Kb</t>
  </si>
  <si>
    <t>Number of stations</t>
  </si>
  <si>
    <t>MTU total</t>
  </si>
  <si>
    <t>Antenna (Endurosat UHF Antenna III)</t>
  </si>
  <si>
    <t>https://www.endurosat.com/products/uhf-antenna-iii/</t>
  </si>
  <si>
    <t>Antenna type</t>
  </si>
  <si>
    <t>Quad monopole</t>
  </si>
  <si>
    <t>Frequency</t>
  </si>
  <si>
    <t>435 - 438</t>
  </si>
  <si>
    <t>Gain</t>
  </si>
  <si>
    <t>dBi</t>
  </si>
  <si>
    <t>Datasheet says &gt;0 dBi? I used the radiation pattern in Figure 16.</t>
  </si>
  <si>
    <t>By simulations, it should be higher,</t>
  </si>
  <si>
    <t>beamwidth</t>
  </si>
  <si>
    <t>degrees circular</t>
  </si>
  <si>
    <t>-3dB at 45 degrees (90 deg beamwidth).</t>
  </si>
  <si>
    <t>Polarization</t>
  </si>
  <si>
    <t>RHCP</t>
  </si>
  <si>
    <t>Feed Impedance</t>
  </si>
  <si>
    <t>Ohm</t>
  </si>
  <si>
    <t>Input Connector</t>
  </si>
  <si>
    <t>Straight MCX</t>
  </si>
  <si>
    <t>Maximum VSWR</t>
  </si>
  <si>
    <t>:1</t>
  </si>
  <si>
    <t>This is from the GomSpace antenna, update for new one</t>
  </si>
  <si>
    <t>Max RF power handling</t>
  </si>
  <si>
    <t>Transceiver (Endurosat UHF Transceiver II)</t>
  </si>
  <si>
    <t>https://www.endurosat.com/products/uhf-transceiver-ii/</t>
  </si>
  <si>
    <t>Transmitter</t>
  </si>
  <si>
    <t>Frequency range</t>
  </si>
  <si>
    <t>430 - 440</t>
  </si>
  <si>
    <t>Output power</t>
  </si>
  <si>
    <t>W</t>
  </si>
  <si>
    <t>2W optional</t>
  </si>
  <si>
    <t>Receiver</t>
  </si>
  <si>
    <t>Sensitivity</t>
  </si>
  <si>
    <t>dBm</t>
  </si>
  <si>
    <t>SNR</t>
  </si>
  <si>
    <t>PER &lt; 1% @ 9600 bps</t>
  </si>
  <si>
    <t>Noise figure</t>
  </si>
  <si>
    <t>LNA gain</t>
  </si>
  <si>
    <t>Other</t>
  </si>
  <si>
    <t>Connector</t>
  </si>
  <si>
    <t>Straight MMCX</t>
  </si>
  <si>
    <t>Modulation scheme</t>
  </si>
  <si>
    <t>2GFSK</t>
  </si>
  <si>
    <t>Frequency stability</t>
  </si>
  <si>
    <t>±2.5</t>
  </si>
  <si>
    <t>ppm</t>
  </si>
  <si>
    <t>Cabling</t>
  </si>
  <si>
    <t>EXAMPLE: A10A07A270133BD</t>
  </si>
  <si>
    <t>End 1</t>
  </si>
  <si>
    <t>Need to find an actual cable!</t>
  </si>
  <si>
    <t>End 2</t>
  </si>
  <si>
    <t>Coax type</t>
  </si>
  <si>
    <t>RG178</t>
  </si>
  <si>
    <t>Assumed RG178 based on Ukpik coax cable</t>
  </si>
  <si>
    <t>Length</t>
  </si>
  <si>
    <t>Cable length may change, but assume 10cm</t>
  </si>
  <si>
    <t>Cable loss</t>
  </si>
  <si>
    <t>dB/m</t>
  </si>
  <si>
    <t>Connector loss</t>
  </si>
  <si>
    <t>Connection summary</t>
  </si>
  <si>
    <t>Tx and Rx path Cabling</t>
  </si>
  <si>
    <t>Connection name</t>
  </si>
  <si>
    <t>Cable length</t>
  </si>
  <si>
    <t>Cable loss (dB/m)</t>
  </si>
  <si>
    <t>Connector 1</t>
  </si>
  <si>
    <t>Connector 2</t>
  </si>
  <si>
    <t>Loss 1 (dB)</t>
  </si>
  <si>
    <t>Loss 2 (dB)</t>
  </si>
  <si>
    <t>Line A (Ant to Trx)</t>
  </si>
  <si>
    <t>Cable losses (dB)</t>
  </si>
  <si>
    <t>Connector losses (dB)</t>
  </si>
  <si>
    <t>Insertion losses (dB)</t>
  </si>
  <si>
    <t>Antenna mismatch losses (dB)</t>
  </si>
  <si>
    <t>Antenna (two FG425CP16 in array)</t>
  </si>
  <si>
    <t>FG425CP16 (2x): because there are two, this makes it an antenna array. Refer to 'Yagi stacking' for more info, and need to do a proper analysis on this.</t>
  </si>
  <si>
    <t>Yagi array</t>
  </si>
  <si>
    <t>https://www.m2inc.com/FG425CP16</t>
  </si>
  <si>
    <t>12.5 single, +2.5 dB in array (verify later for 31" spacing)</t>
  </si>
  <si>
    <t>28 single. When stacked, 28 degree in vertical, 14 degree horizontal approximately.</t>
  </si>
  <si>
    <t>N female</t>
  </si>
  <si>
    <t>Boom length</t>
  </si>
  <si>
    <t>Not sure how this is affected by the array?</t>
  </si>
  <si>
    <t>Max transmission power</t>
  </si>
  <si>
    <t>Transceiver (USRP B210)</t>
  </si>
  <si>
    <t>https://www.ettus.com/all-products/ub210-kit/</t>
  </si>
  <si>
    <t>50 - 6000</t>
  </si>
  <si>
    <t>Power Output</t>
  </si>
  <si>
    <t>10 dBm (1dBm = 1mW, not linear scale!)</t>
  </si>
  <si>
    <t>8 in datasheet, but 5 in Ukpik link budget?</t>
  </si>
  <si>
    <t>Connectors</t>
  </si>
  <si>
    <t>SMA female</t>
  </si>
  <si>
    <t>Surge Protector (GT-NFF-AL) [NOT INCLUDED FOR NOW]</t>
  </si>
  <si>
    <t>https://www.polyphaser.com/type-n-surge-protector-6ghz-4ghz-gas-discharge-tube-gt-nff-al</t>
  </si>
  <si>
    <t>&lt; 6000</t>
  </si>
  <si>
    <t>Insertion loss</t>
  </si>
  <si>
    <t xml:space="preserve">VSWR </t>
  </si>
  <si>
    <t>Not yet used?</t>
  </si>
  <si>
    <t>Maximum Input Power</t>
  </si>
  <si>
    <t>LNA Amplifier (FGLNA-1-0.42-0.45-1-N-N)</t>
  </si>
  <si>
    <t>See datasheet in Teams</t>
  </si>
  <si>
    <t>420 - 450</t>
  </si>
  <si>
    <t>Noise Figure</t>
  </si>
  <si>
    <t xml:space="preserve">Tx path VSWR </t>
  </si>
  <si>
    <t>?</t>
  </si>
  <si>
    <t>None provided?</t>
  </si>
  <si>
    <t>Tx path Insertion loss</t>
  </si>
  <si>
    <t>Power Amplifier  (ZHL-50W-52-S+)</t>
  </si>
  <si>
    <t>https://www.minicircuits.com/pdfs/ZHL-50W-52-S+.pdf</t>
  </si>
  <si>
    <t>50 - 500</t>
  </si>
  <si>
    <t>Output power (1dB compression)</t>
  </si>
  <si>
    <t>Gain (@450MHz)</t>
  </si>
  <si>
    <t>Input VSWR</t>
  </si>
  <si>
    <t>Cavity Filter (714008)</t>
  </si>
  <si>
    <t>https://www.etlsystems.com/catalogue/rf-components-buy-online-get-instant-quotes/filters/if-band-cavity-band-pass-filter-0</t>
  </si>
  <si>
    <t>Circulator (UIYCDC9648A400T470NF)</t>
  </si>
  <si>
    <t>https://www.uiy.com/Datasheet/UIYCDC9648A.pdf</t>
  </si>
  <si>
    <t>400 - 470</t>
  </si>
  <si>
    <t>Isolation</t>
  </si>
  <si>
    <t>Insufficient?</t>
  </si>
  <si>
    <t>https://timesmicrowave.com/wp-content/uploads/2022/06/lmr-400-datasheet-1.pdf</t>
  </si>
  <si>
    <t>SMA insertion loss seems to be about 0.1 dB, but update this later.</t>
  </si>
  <si>
    <t>Estimated lengths</t>
  </si>
  <si>
    <t>Tx path cabling</t>
  </si>
  <si>
    <t>Only care about everything after the PA</t>
  </si>
  <si>
    <t>Line B (PA to Circulator)</t>
  </si>
  <si>
    <t>LMR400</t>
  </si>
  <si>
    <t>Line C (Circulator to LNA)</t>
  </si>
  <si>
    <t>Line D (LNA to Antenna)</t>
  </si>
  <si>
    <t>Rx path Cabling (before LNA)</t>
  </si>
  <si>
    <t>Only care about everything between the antenna and LNA</t>
  </si>
  <si>
    <t>Line D (Antenna to LNA)</t>
  </si>
  <si>
    <t>Rx path cabling (after LNA)</t>
  </si>
  <si>
    <t>Line C (LNA to Circulator)</t>
  </si>
  <si>
    <t>Line E (Circulator to Filter)</t>
  </si>
  <si>
    <t>Line F (Filter to Trx)</t>
  </si>
  <si>
    <t>Tx path insertion losses (dB)</t>
  </si>
  <si>
    <t>Component</t>
  </si>
  <si>
    <t>Loss (dB)</t>
  </si>
  <si>
    <t>Circulator</t>
  </si>
  <si>
    <t>LNA</t>
  </si>
  <si>
    <t>Rx path insertion losses (dB)</t>
  </si>
  <si>
    <t>Probably limiter?</t>
  </si>
  <si>
    <t>Tx path antenna mismatch losses</t>
  </si>
  <si>
    <t>VSWR (:1)</t>
  </si>
  <si>
    <t>Mismatch loss (dB)</t>
  </si>
  <si>
    <t>Antenna</t>
  </si>
  <si>
    <t>Rx path antenna mismatch losses</t>
  </si>
  <si>
    <t>Antenna (I0JXX 70cm)</t>
  </si>
  <si>
    <t>OLD:</t>
  </si>
  <si>
    <t>($367USD)</t>
  </si>
  <si>
    <t>https://www.m2inc.com/FG436CP16</t>
  </si>
  <si>
    <t>Yagi</t>
  </si>
  <si>
    <t>We want to maximize gain here. Options:</t>
  </si>
  <si>
    <t>Horizontal polarization (-3dB loss)</t>
  </si>
  <si>
    <t>Circluar-polarized</t>
  </si>
  <si>
    <t>(19.4-&gt;16.4 dBi, $600USD</t>
  </si>
  <si>
    <t>https://www.dxengineering.com/parts/msq-4329wl</t>
  </si>
  <si>
    <t>(15.5 dBi, $644USD)</t>
  </si>
  <si>
    <t>https://www.m2inc.com/FG436CP30</t>
  </si>
  <si>
    <t>(20.18-&gt;17.18 dBi, $550USD)</t>
  </si>
  <si>
    <t>https://www.dxengineering.com/parts/jxx-18470-39-70</t>
  </si>
  <si>
    <t>(16.56 dBi, $380USD)</t>
  </si>
  <si>
    <t>https://www.dxengineering.com/parts/jxx-18470-32-70</t>
  </si>
  <si>
    <t>May also stack yagis for 2.5dBi gain.</t>
  </si>
  <si>
    <t>GUESSING</t>
  </si>
  <si>
    <t>Transceiver (CC1200RHBR)</t>
  </si>
  <si>
    <t>https://www.digikey.ca/en/products/detail/texas-instruments/CC1200RHBR/4251536</t>
  </si>
  <si>
    <t>410 - 475</t>
  </si>
  <si>
    <t>+16 dBm with VDD=3.6V? (See table 4.11)</t>
  </si>
  <si>
    <t>1.2 kbps (see table 4.10.3)</t>
  </si>
  <si>
    <t>(14 dB) PER &lt; 1% @ 9600 bps?</t>
  </si>
  <si>
    <t>LMR400-DB</t>
  </si>
  <si>
    <t>Estimated length of 5 meters</t>
  </si>
  <si>
    <t>https://www.qsl.net/vk5bar/AHARS-Resources/typical_coax_cable_losses.htm</t>
  </si>
  <si>
    <t>Assumed straight 'N' female connectors, and not right-angle (which is 0.3dB insertion loss)</t>
  </si>
  <si>
    <t>Uplink Transmitter (Ground Station)</t>
  </si>
  <si>
    <t>UPDATE DIAGRAM</t>
  </si>
  <si>
    <t>Power</t>
  </si>
  <si>
    <t>Connector Losses</t>
  </si>
  <si>
    <t xml:space="preserve">Transmitter Power </t>
  </si>
  <si>
    <t>dBW</t>
  </si>
  <si>
    <t>Cable Losses</t>
  </si>
  <si>
    <t>Total cable losses</t>
  </si>
  <si>
    <t>Other Components</t>
  </si>
  <si>
    <t>Insertion Losses</t>
  </si>
  <si>
    <t>Antenna Mismatch Losses</t>
  </si>
  <si>
    <t>Losses and Power Delivered to Antenna</t>
  </si>
  <si>
    <t>Total Losses</t>
  </si>
  <si>
    <t>Power Delivered</t>
  </si>
  <si>
    <t>Downlink Transmitter (Satellite)</t>
  </si>
  <si>
    <t>Uplink Transmitter (MTU)</t>
  </si>
  <si>
    <t xml:space="preserve"> </t>
  </si>
  <si>
    <t>Uplink Antenna (Ground Station)</t>
  </si>
  <si>
    <t>Wavelength</t>
  </si>
  <si>
    <t>Antenna Type</t>
  </si>
  <si>
    <r>
      <t>Boom Length (</t>
    </r>
    <r>
      <rPr>
        <sz val="11"/>
        <color theme="1"/>
        <rFont val="Symbol"/>
        <family val="1"/>
        <charset val="2"/>
      </rPr>
      <t>l</t>
    </r>
    <r>
      <rPr>
        <sz val="11"/>
        <color theme="1"/>
        <rFont val="Calibri"/>
        <family val="2"/>
        <scheme val="minor"/>
      </rPr>
      <t>)</t>
    </r>
  </si>
  <si>
    <t>Beamwidth</t>
  </si>
  <si>
    <t>Uplink Antenna (Satellite)</t>
  </si>
  <si>
    <t>Downlink Antenna (Ground Station)</t>
  </si>
  <si>
    <t>Downlink Antenna (Satellite)</t>
  </si>
  <si>
    <t>Downlink Frequency:</t>
  </si>
  <si>
    <t>Wavelength:</t>
  </si>
  <si>
    <t>Uplink Antenna (MTU)</t>
  </si>
  <si>
    <t>Downlink Antenna (MTU)</t>
  </si>
  <si>
    <t>Uplink Receiver (Satellite)</t>
  </si>
  <si>
    <t>Diagram included for reference. Anything internal to the transceiver is a black-box to us.</t>
  </si>
  <si>
    <t>Total connector losses</t>
  </si>
  <si>
    <t>Total In-Line Losses from Antenna to transceiver</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</si>
  <si>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</si>
  <si>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</si>
  <si>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</si>
  <si>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</si>
  <si>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</si>
  <si>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</si>
  <si>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</si>
  <si>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</si>
  <si>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</si>
  <si>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</si>
  <si>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</si>
  <si>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</si>
  <si>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</si>
  <si>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</si>
  <si>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</si>
  <si>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 (calc)</t>
  </si>
  <si>
    <r>
      <t>T</t>
    </r>
    <r>
      <rPr>
        <vertAlign val="subscript"/>
        <sz val="11"/>
        <color theme="1"/>
        <rFont val="Calibri"/>
        <family val="2"/>
        <scheme val="minor"/>
      </rPr>
      <t>sys</t>
    </r>
  </si>
  <si>
    <t>Downlink Receiver (Ground Station)</t>
  </si>
  <si>
    <t>Cable Losses (before LNA)</t>
  </si>
  <si>
    <t>Cable Losses (after LNA)</t>
  </si>
  <si>
    <t>Total In-Line Losses from Antenna to LNA</t>
  </si>
  <si>
    <t>Antenna or "Sky" Temp.</t>
  </si>
  <si>
    <t>Ground Station Feedline Temp.</t>
  </si>
  <si>
    <t>LNA Temperature</t>
  </si>
  <si>
    <t>LNA Gain</t>
  </si>
  <si>
    <t>Comms. Rcvr Front End Temp.</t>
  </si>
  <si>
    <r>
      <t>T</t>
    </r>
    <r>
      <rPr>
        <vertAlign val="subscript"/>
        <sz val="11"/>
        <color theme="1"/>
        <rFont val="Calibri"/>
        <family val="2"/>
        <scheme val="minor"/>
      </rPr>
      <t>ComRcvr</t>
    </r>
  </si>
  <si>
    <t>System Noise Temperature</t>
  </si>
  <si>
    <t>Downlink Receiver (MTU)</t>
  </si>
  <si>
    <t>Total In-Line Losses from Antenna to Transceiver</t>
  </si>
  <si>
    <t>Modulation (CubeSat - Groundstation)</t>
  </si>
  <si>
    <t xml:space="preserve">Downlink Specified bit error rate </t>
  </si>
  <si>
    <t>Uplink Specified bit error rate</t>
  </si>
  <si>
    <t>Downlink data rate</t>
  </si>
  <si>
    <t>kbps</t>
  </si>
  <si>
    <t>Uplink data rate</t>
  </si>
  <si>
    <t>Modulation levels (M-ary)</t>
  </si>
  <si>
    <t>SNR required at Cubesat</t>
  </si>
  <si>
    <t>SNR required at GroundStation</t>
  </si>
  <si>
    <t>Modulation (CubeSat - MTU)</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</si>
  <si>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</si>
  <si>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</si>
  <si>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</si>
  <si>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</si>
  <si>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</si>
  <si>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</si>
  <si>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</si>
  <si>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</si>
  <si>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</si>
  <si>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</si>
  <si>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</si>
  <si>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</si>
  <si>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</si>
  <si>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</si>
  <si>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</si>
  <si>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</si>
  <si>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</si>
  <si>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</si>
  <si>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</si>
  <si>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</si>
  <si>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</si>
  <si>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</si>
  <si>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</si>
  <si>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</si>
  <si>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</si>
  <si>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</si>
  <si>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</si>
  <si>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</si>
  <si>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</si>
  <si>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</si>
  <si>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</si>
  <si>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</si>
  <si>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</si>
  <si>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</si>
  <si>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MTU Antenna Pointing Losses</t>
  </si>
  <si>
    <t>MTU</t>
  </si>
  <si>
    <t>Axial Ratio of Tx Ant. (MTU)</t>
  </si>
  <si>
    <t>Axial Ratio of Rx Ant. (MTU)</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</si>
  <si>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</si>
  <si>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</si>
  <si>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</si>
  <si>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</si>
  <si>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</si>
  <si>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</si>
  <si>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</si>
  <si>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</si>
  <si>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</si>
  <si>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</si>
  <si>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</si>
  <si>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</si>
  <si>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</si>
  <si>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</si>
  <si>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</si>
  <si>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</si>
  <si>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</si>
  <si>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</si>
  <si>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</si>
  <si>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</si>
  <si>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</si>
  <si>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</si>
  <si>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Should be closer to 300?</t>
  </si>
  <si>
    <t>Satellite figure of merrit (G/T)</t>
  </si>
  <si>
    <t>dB/K</t>
  </si>
  <si>
    <t>Signal Power at satellite LNA Input</t>
  </si>
  <si>
    <t>Satellite Receiver Bandwidth</t>
  </si>
  <si>
    <t>Hz</t>
  </si>
  <si>
    <t>Satellite Receiver Noise Power</t>
  </si>
  <si>
    <t>Signal-to-Noise Power Ratio at sat. receiver: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</si>
  <si>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</si>
  <si>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</si>
  <si>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</si>
  <si>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</si>
  <si>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</si>
  <si>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</si>
  <si>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</si>
  <si>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</si>
  <si>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bps</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</si>
  <si>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</si>
  <si>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</si>
  <si>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</si>
  <si>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</si>
  <si>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</si>
  <si>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</si>
  <si>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</si>
  <si>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</si>
  <si>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</si>
  <si>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</si>
  <si>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</si>
  <si>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</si>
  <si>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</si>
  <si>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</si>
  <si>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</si>
  <si>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Isotropic signal level at GS</t>
  </si>
  <si>
    <t>Ground Station (SNR Method)</t>
  </si>
  <si>
    <t>GS antenna pointing loss</t>
  </si>
  <si>
    <t>GS antenna gain</t>
  </si>
  <si>
    <t>GS total transmission line loss</t>
  </si>
  <si>
    <t>GS effective noise temperature</t>
  </si>
  <si>
    <t>GS figure of merit (G/T)</t>
  </si>
  <si>
    <t>Signal power at GS LNA Input</t>
  </si>
  <si>
    <t>GS receiver bandwidth</t>
  </si>
  <si>
    <t>Received noise power at GS</t>
  </si>
  <si>
    <t>Signal-to-noise power ratio at GS receiver</t>
  </si>
  <si>
    <t>Required signal-to-noise ratio</t>
  </si>
  <si>
    <t>Ground Station (Eb/No Method)</t>
  </si>
  <si>
    <t>GS signal-to-noise power density (S/No)</t>
  </si>
  <si>
    <t>Average transmission duration (per pass)</t>
  </si>
  <si>
    <t>Need to update the data fields</t>
  </si>
  <si>
    <t>Average passes per day</t>
  </si>
  <si>
    <t>Data transmission (per pass)</t>
  </si>
  <si>
    <t>kb</t>
  </si>
  <si>
    <t>kilobit, not byte</t>
  </si>
  <si>
    <t>Commands</t>
  </si>
  <si>
    <t>%</t>
  </si>
  <si>
    <t>Free</t>
  </si>
  <si>
    <t>Uplink Budget (MTU)</t>
  </si>
  <si>
    <t>MTU antenna pointing losses</t>
  </si>
  <si>
    <t>MTU-to-Sat. antenna polarization losses</t>
  </si>
  <si>
    <t>Downlink Budget (MTU)</t>
  </si>
  <si>
    <t>What needs to be fixed:</t>
  </si>
  <si>
    <t>Connection losses in GS, MTU</t>
  </si>
  <si>
    <t>Transmission powers for GS, MTU</t>
  </si>
  <si>
    <t xml:space="preserve">Change out the downlink science data here (and in the inputs) </t>
  </si>
  <si>
    <t>Add data uplink volume per pass to the uplink pages</t>
  </si>
  <si>
    <t>Update pass duration/number of passes with orbit data, and change this for MTUs as well?</t>
  </si>
  <si>
    <t>Results:</t>
  </si>
  <si>
    <t>If our MTU-Sat link budget turns out to not be enough, can size up/stack antennas. costs a bit more, but can easily be done after the CubeSat has launched</t>
  </si>
  <si>
    <t>2W transmitter on satellite is not needed. The uplink is the lowest margin.</t>
  </si>
  <si>
    <t>Sat.-to-MTU antenna polarization losses</t>
  </si>
  <si>
    <t>To do with this information:</t>
  </si>
  <si>
    <t>Once everything is input, adjust elevation angles to find when MTU and ground station do and do not have good signal reception.</t>
  </si>
  <si>
    <t>This will serve as input to the comms team for access windows!</t>
  </si>
  <si>
    <t>Can adjust data rate to something in between 1200 and 9600... Lower data rate for better signal, but make sure it is sufficient to transfer data!</t>
  </si>
  <si>
    <t>Isotropic signal level at MTU</t>
  </si>
  <si>
    <t>GS-Sat and MTU-Sat data rates should be the same to simplify things...</t>
  </si>
  <si>
    <t>MTU (SNR Method)</t>
  </si>
  <si>
    <t>MTU antenna pointing loss</t>
  </si>
  <si>
    <t>MTU antenna gain</t>
  </si>
  <si>
    <t>MTU total transmission line loss</t>
  </si>
  <si>
    <t>MTU effective noise temperature</t>
  </si>
  <si>
    <t>MTU figure of merit (G/T)</t>
  </si>
  <si>
    <t>Signal power at MTU LNA Input</t>
  </si>
  <si>
    <t>MTU receiver bandwidth</t>
  </si>
  <si>
    <t>Received noise power at MTU</t>
  </si>
  <si>
    <t>Signal-to-noise power ratio at MTU receiver</t>
  </si>
  <si>
    <t>MTU (Eb/No Method)</t>
  </si>
  <si>
    <t>MTU signal-to-noise power density (S/No)</t>
  </si>
  <si>
    <t>Questions for the CSA:</t>
  </si>
  <si>
    <t>Can we assume our CubeSat antenna is indeed 6 dBi?</t>
  </si>
  <si>
    <t>Switching radio modes is a pain for conops...</t>
  </si>
  <si>
    <t>Transmission duration (per pass)</t>
  </si>
  <si>
    <t>Passes per day</t>
  </si>
  <si>
    <t>Uplink</t>
  </si>
  <si>
    <t>Ionespheric Losses</t>
  </si>
  <si>
    <t>Loss</t>
  </si>
  <si>
    <t>LHCP</t>
  </si>
  <si>
    <t>Downlink</t>
  </si>
  <si>
    <t>Antenna Polarization</t>
  </si>
  <si>
    <t>Compression</t>
  </si>
  <si>
    <t>Bit Error Rate</t>
  </si>
  <si>
    <t>Equation for conversion provided by Endurosat (where n = number of bits per packet)</t>
  </si>
  <si>
    <t>DL data rate</t>
  </si>
  <si>
    <r>
      <t> </t>
    </r>
    <r>
      <rPr>
        <sz val="11"/>
        <color rgb="FF201F1E"/>
        <rFont val="Calibri"/>
        <family val="2"/>
        <scheme val="minor"/>
      </rPr>
      <t>PER = 1 - ( 1 - BER )^n</t>
    </r>
  </si>
  <si>
    <t xml:space="preserve">BER graph was generated by Nick: </t>
  </si>
  <si>
    <t>UL data rate</t>
  </si>
  <si>
    <t xml:space="preserve">In consideration that our uplink is planned </t>
  </si>
  <si>
    <t>Uplink Antenna Losses</t>
  </si>
  <si>
    <t>If data rate is decreased by 1/8 but bandwidth is kept the same: SNR = SNR -10log10(1/8) = SNR-9.03 dB</t>
  </si>
  <si>
    <t>Intermediate Value</t>
  </si>
  <si>
    <t>Polarization Loss (do not edit)</t>
  </si>
  <si>
    <t>Downlink Antenna Losses</t>
  </si>
  <si>
    <t xml:space="preserve">Uplink Modulation Information </t>
  </si>
  <si>
    <t>SA addition (I am guessing)</t>
  </si>
  <si>
    <t>ID</t>
  </si>
  <si>
    <t>Scheme</t>
  </si>
  <si>
    <t>M-Levels</t>
  </si>
  <si>
    <t>Theoretical Bandwidth Efficiency[bps/Hz]</t>
  </si>
  <si>
    <t>Bandwidth-Time Product</t>
  </si>
  <si>
    <t>Data Rate [kbps]</t>
  </si>
  <si>
    <t>Bandwidth (KHz)</t>
  </si>
  <si>
    <t>Margin (KHz)</t>
  </si>
  <si>
    <t>Bandwidth Final(KHz)</t>
  </si>
  <si>
    <t>BER</t>
  </si>
  <si>
    <t>SNR (dB)</t>
  </si>
  <si>
    <t>PER</t>
  </si>
  <si>
    <t>NA</t>
  </si>
  <si>
    <t xml:space="preserve">m=0.50 </t>
  </si>
  <si>
    <t>m=0.50</t>
  </si>
  <si>
    <t xml:space="preserve">Downlink Modulation Information (Copied from above table to give a start….) </t>
  </si>
  <si>
    <t>UHF datasheet modes:</t>
  </si>
  <si>
    <t>1200 - 600</t>
  </si>
  <si>
    <t>Data rate (bps) - Frequency deviation (Hz)</t>
  </si>
  <si>
    <t>Atmospheric Attenuation</t>
  </si>
  <si>
    <t>Frequency (GHz)</t>
  </si>
  <si>
    <t>absorption coeff oxygen [ dB/km ]</t>
  </si>
  <si>
    <t>absorption coeff water [dB/km]</t>
  </si>
  <si>
    <t>h_s (km)</t>
  </si>
  <si>
    <t>Elevation angle</t>
  </si>
  <si>
    <t>Aa: Total Attenuation for slanted links [dB]</t>
  </si>
  <si>
    <t>Attenuation Linear[W]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</si>
</sst>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00"/>
  </numFmts>
  <fonts count="38">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9"/>
      <color rgb="FF201F1E"/>
      <name val="Segoe UI"/>
      <family val="2"/>
    </font>
    <font>
      <sz val="11"/>
      <color rgb="FF201F1E"/>
      <name val="Calibri"/>
      <family val="2"/>
      <scheme val="minor"/>
    </font>
    <font>
      <b/>
      <sz val="11"/>
      <color rgb="FF3F3F76"/>
      <name val="Calibri"/>
      <family val="2"/>
      <scheme val="minor"/>
    </font>
    <font>
      <b/>
      <sz val="11"/>
      <color rgb="FF000000"/>
      <name val="Calibri"/>
      <family val="2"/>
      <scheme val="minor"/>
    </font>
    <font>
      <sz val="11"/>
      <color rgb="FF000000"/>
      <name val="Calibri"/>
      <family val="2"/>
    </font>
    <font>
      <b/>
      <sz val="14"/>
      <color rgb="FFFFFFFF"/>
      <name val="Calibri"/>
      <family val="2"/>
    </font>
    <font>
      <sz val="11"/>
      <color rgb="FF000000"/>
      <name val="Aptos Narrow"/>
      <family val="2"/>
    </font>
    <font>
      <sz val="11"/>
      <color rgb="FF000000"/>
      <name val="Calibri"/>
      <family val="2"/>
      <scheme val="minor"/>
    </font>
    <font>
      <b/>
      <i/>
      <sz val="11"/>
      <color theme="1" tint="0.249977111117893"/>
      <name val="Calibri"/>
      <family val="2"/>
      <scheme val="minor"/>
    </font>
  </fonts>
  <fills count="4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
      <patternFill patternType="solid">
        <fgColor theme="0" tint="-0.24994659260841701"/>
        <bgColor indexed="64"/>
      </patternFill>
    </fill>
    <fill>
      <patternFill patternType="solid">
        <fgColor theme="9"/>
        <bgColor indexed="64"/>
      </patternFill>
    </fill>
    <fill>
      <patternFill patternType="solid">
        <fgColor rgb="FFFF0000"/>
        <bgColor indexed="64"/>
      </patternFill>
    </fill>
    <fill>
      <patternFill patternType="solid">
        <fgColor rgb="FF595959"/>
        <bgColor rgb="FF000000"/>
      </patternFill>
    </fill>
    <fill>
      <patternFill patternType="solid">
        <fgColor rgb="FFFFC000"/>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E387FF"/>
        <bgColor indexed="64"/>
      </patternFill>
    </fill>
    <fill>
      <patternFill patternType="solid">
        <fgColor rgb="FFEEB8FF"/>
        <bgColor indexed="64"/>
      </patternFill>
    </fill>
    <fill>
      <patternFill patternType="solid">
        <fgColor rgb="FFC2F7FF"/>
        <bgColor indexed="64"/>
      </patternFill>
    </fill>
    <fill>
      <patternFill patternType="solid">
        <fgColor rgb="FF40FCFF"/>
        <bgColor indexed="64"/>
      </patternFill>
    </fill>
  </fills>
  <borders count="9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double">
        <color rgb="FF3F3F3F"/>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double">
        <color rgb="FF3F3F3F"/>
      </left>
      <right/>
      <top style="double">
        <color rgb="FF3F3F3F"/>
      </top>
      <bottom style="thin">
        <color rgb="FF000000"/>
      </bottom>
      <diagonal/>
    </border>
    <border>
      <left/>
      <right/>
      <top style="double">
        <color rgb="FF3F3F3F"/>
      </top>
      <bottom style="thin">
        <color rgb="FF000000"/>
      </bottom>
      <diagonal/>
    </border>
    <border>
      <left style="thin">
        <color rgb="FF7F7F7F"/>
      </left>
      <right style="thin">
        <color rgb="FF7F7F7F"/>
      </right>
      <top/>
      <bottom style="thin">
        <color rgb="FF7F7F7F"/>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7F7F7F"/>
      </left>
      <right style="thin">
        <color rgb="FF7F7F7F"/>
      </right>
      <top style="thin">
        <color rgb="FF7F7F7F"/>
      </top>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double">
        <color rgb="FF3F3F3F"/>
      </top>
      <bottom style="thin">
        <color rgb="FF000000"/>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3F3F3F"/>
      </left>
      <right style="thin">
        <color rgb="FF000000"/>
      </right>
      <top style="thin">
        <color rgb="FF3F3F3F"/>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style="medium">
        <color rgb="FF000000"/>
      </left>
      <right/>
      <top/>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style="thin">
        <color indexed="64"/>
      </left>
      <right style="medium">
        <color indexed="64"/>
      </right>
      <top style="thin">
        <color indexed="64"/>
      </top>
      <bottom style="thin">
        <color rgb="FF000000"/>
      </bottom>
      <diagonal/>
    </border>
    <border>
      <left style="thin">
        <color rgb="FF000000"/>
      </left>
      <right style="thin">
        <color indexed="64"/>
      </right>
      <top style="thin">
        <color indexed="64"/>
      </top>
      <bottom style="thin">
        <color indexed="64"/>
      </bottom>
      <diagonal/>
    </border>
    <border>
      <left/>
      <right/>
      <top/>
      <bottom style="medium">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top/>
      <bottom style="medium">
        <color indexed="64"/>
      </bottom>
      <diagonal/>
    </border>
    <border>
      <left/>
      <right style="medium">
        <color rgb="FF000000"/>
      </right>
      <top/>
      <bottom style="medium">
        <color indexed="64"/>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5" fillId="19" borderId="0" applyNumberFormat="0" applyBorder="0" applyAlignment="0" applyProtection="0"/>
    <xf numFmtId="0" fontId="26" fillId="20" borderId="29" applyNumberFormat="0" applyAlignment="0" applyProtection="0"/>
    <xf numFmtId="0" fontId="24" fillId="21" borderId="0" applyNumberFormat="0" applyBorder="0" applyAlignment="0" applyProtection="0"/>
  </cellStyleXfs>
  <cellXfs count="447">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4" borderId="7" xfId="0" applyFill="1" applyBorder="1"/>
    <xf numFmtId="0" fontId="0" fillId="4" borderId="0" xfId="0" applyFill="1"/>
    <xf numFmtId="0" fontId="0" fillId="4" borderId="8" xfId="0" applyFill="1" applyBorder="1"/>
    <xf numFmtId="0" fontId="0" fillId="4" borderId="0" xfId="0" applyFill="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ill="1" applyAlignment="1">
      <alignment horizontal="center"/>
    </xf>
    <xf numFmtId="0" fontId="9" fillId="7" borderId="0" xfId="0" applyFont="1" applyFill="1"/>
    <xf numFmtId="0" fontId="9" fillId="8" borderId="0" xfId="0" applyFont="1" applyFill="1"/>
    <xf numFmtId="0" fontId="0" fillId="7" borderId="0" xfId="0" applyFill="1" applyAlignment="1">
      <alignment vertical="center"/>
    </xf>
    <xf numFmtId="0" fontId="2" fillId="6" borderId="0" xfId="0" applyFont="1" applyFill="1"/>
    <xf numFmtId="0" fontId="0" fillId="6" borderId="0" xfId="0" applyFill="1" applyAlignment="1">
      <alignment vertical="center"/>
    </xf>
    <xf numFmtId="0" fontId="2" fillId="6" borderId="10" xfId="0" applyFont="1" applyFill="1" applyBorder="1"/>
    <xf numFmtId="0" fontId="1" fillId="2" borderId="5" xfId="0" applyFont="1" applyFill="1" applyBorder="1"/>
    <xf numFmtId="0" fontId="12" fillId="2" borderId="5" xfId="0" applyFont="1" applyFill="1" applyBorder="1"/>
    <xf numFmtId="0" fontId="1" fillId="2" borderId="0" xfId="0" applyFont="1" applyFill="1"/>
    <xf numFmtId="0" fontId="12" fillId="2" borderId="0" xfId="0" applyFont="1" applyFill="1"/>
    <xf numFmtId="0" fontId="4" fillId="7" borderId="0" xfId="0" applyFont="1" applyFill="1" applyAlignment="1">
      <alignment vertical="center"/>
    </xf>
    <xf numFmtId="0" fontId="0" fillId="7" borderId="0" xfId="0" applyFill="1" applyAlignment="1">
      <alignment horizontal="right"/>
    </xf>
    <xf numFmtId="0" fontId="13" fillId="7" borderId="0" xfId="0" applyFont="1" applyFill="1" applyAlignment="1">
      <alignment vertical="center"/>
    </xf>
    <xf numFmtId="0" fontId="0" fillId="7" borderId="0" xfId="0" applyFill="1" applyAlignment="1">
      <alignment horizontal="left"/>
    </xf>
    <xf numFmtId="2" fontId="0" fillId="7" borderId="0" xfId="0" applyNumberFormat="1" applyFill="1" applyAlignment="1">
      <alignment horizontal="center" vertical="center"/>
    </xf>
    <xf numFmtId="2" fontId="0" fillId="7" borderId="0" xfId="0" applyNumberFormat="1" applyFill="1" applyAlignment="1">
      <alignment horizontal="left" vertical="center"/>
    </xf>
    <xf numFmtId="0" fontId="2" fillId="7" borderId="10" xfId="0" applyFont="1" applyFill="1" applyBorder="1"/>
    <xf numFmtId="0" fontId="4" fillId="2" borderId="5" xfId="0" applyFont="1" applyFill="1" applyBorder="1" applyAlignment="1">
      <alignment vertical="center"/>
    </xf>
    <xf numFmtId="0" fontId="4" fillId="8" borderId="0" xfId="0" applyFont="1" applyFill="1" applyAlignment="1">
      <alignment vertical="center"/>
    </xf>
    <xf numFmtId="0" fontId="13" fillId="8" borderId="0" xfId="0" applyFont="1" applyFill="1" applyAlignment="1">
      <alignment vertical="center"/>
    </xf>
    <xf numFmtId="0" fontId="0" fillId="8" borderId="0" xfId="0" applyFill="1" applyAlignment="1">
      <alignment vertical="center"/>
    </xf>
    <xf numFmtId="2" fontId="0" fillId="8" borderId="0" xfId="0" applyNumberFormat="1" applyFill="1" applyAlignment="1">
      <alignment horizontal="center" vertical="center"/>
    </xf>
    <xf numFmtId="2" fontId="0" fillId="8" borderId="0" xfId="0" applyNumberFormat="1" applyFill="1" applyAlignment="1">
      <alignment horizontal="left" vertical="center"/>
    </xf>
    <xf numFmtId="0" fontId="2" fillId="8" borderId="10" xfId="0" applyFont="1" applyFill="1" applyBorder="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xf numFmtId="0" fontId="0" fillId="5" borderId="10" xfId="0" applyFill="1" applyBorder="1"/>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6" xfId="0" applyFill="1" applyBorder="1"/>
    <xf numFmtId="0" fontId="4" fillId="5" borderId="3" xfId="0" applyFont="1" applyFill="1" applyBorder="1" applyAlignment="1">
      <alignment vertical="center"/>
    </xf>
    <xf numFmtId="0" fontId="4" fillId="2" borderId="0" xfId="0" applyFont="1" applyFill="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0" fontId="2" fillId="7" borderId="0" xfId="0" applyFont="1" applyFill="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xf numFmtId="0" fontId="0" fillId="13" borderId="11" xfId="0" applyFill="1" applyBorder="1"/>
    <xf numFmtId="0" fontId="0" fillId="13" borderId="0" xfId="0" applyFill="1" applyAlignment="1">
      <alignment horizontal="left"/>
    </xf>
    <xf numFmtId="0" fontId="2" fillId="8" borderId="0" xfId="0" applyFont="1" applyFill="1"/>
    <xf numFmtId="0" fontId="15" fillId="11" borderId="15" xfId="1" applyAlignment="1">
      <alignment horizontal="center"/>
    </xf>
    <xf numFmtId="0" fontId="7" fillId="7" borderId="0" xfId="0" applyFont="1" applyFill="1" applyAlignment="1">
      <alignment horizontal="center"/>
    </xf>
    <xf numFmtId="0" fontId="10" fillId="7" borderId="0" xfId="0" applyFont="1" applyFill="1"/>
    <xf numFmtId="0" fontId="10" fillId="8" borderId="0" xfId="0" applyFont="1" applyFill="1"/>
    <xf numFmtId="0" fontId="7" fillId="8" borderId="0" xfId="0" applyFont="1" applyFill="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Alignment="1">
      <alignment horizontal="left"/>
    </xf>
    <xf numFmtId="0" fontId="7" fillId="6" borderId="0" xfId="0" applyFont="1" applyFill="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0" fillId="15" borderId="0" xfId="0" applyFill="1"/>
    <xf numFmtId="11" fontId="15" fillId="11" borderId="15" xfId="1" applyNumberFormat="1" applyAlignment="1">
      <alignment horizontal="center"/>
    </xf>
    <xf numFmtId="2" fontId="16" fillId="12" borderId="16" xfId="2" applyNumberFormat="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8" borderId="0" xfId="0" applyFill="1" applyAlignment="1">
      <alignment horizontal="left"/>
    </xf>
    <xf numFmtId="0" fontId="0" fillId="7" borderId="0" xfId="0" applyFill="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16" fillId="12" borderId="16" xfId="2" applyAlignment="1">
      <alignment horizontal="center"/>
    </xf>
    <xf numFmtId="164" fontId="16" fillId="12" borderId="16" xfId="2" applyNumberFormat="1" applyAlignment="1">
      <alignment horizontal="center"/>
    </xf>
    <xf numFmtId="166" fontId="16" fillId="12" borderId="16" xfId="2" applyNumberFormat="1" applyAlignment="1">
      <alignment horizontal="center"/>
    </xf>
    <xf numFmtId="0" fontId="3" fillId="15" borderId="7" xfId="0" applyFont="1" applyFill="1" applyBorder="1" applyAlignment="1">
      <alignment vertical="center"/>
    </xf>
    <xf numFmtId="0" fontId="3" fillId="15" borderId="0" xfId="0" applyFont="1" applyFill="1" applyAlignment="1">
      <alignment vertical="center"/>
    </xf>
    <xf numFmtId="0" fontId="0" fillId="15" borderId="0" xfId="0" applyFill="1" applyAlignment="1">
      <alignment horizontal="center"/>
    </xf>
    <xf numFmtId="0" fontId="15" fillId="15" borderId="0" xfId="1" applyFill="1" applyBorder="1" applyAlignment="1">
      <alignment horizontal="center"/>
    </xf>
    <xf numFmtId="0" fontId="0" fillId="15" borderId="0" xfId="0" applyFill="1" applyAlignment="1">
      <alignment horizontal="left"/>
    </xf>
    <xf numFmtId="11" fontId="0" fillId="5" borderId="0" xfId="0" applyNumberFormat="1" applyFill="1" applyAlignment="1">
      <alignment horizontal="center"/>
    </xf>
    <xf numFmtId="0" fontId="21" fillId="7" borderId="0" xfId="3" applyFill="1" applyBorder="1"/>
    <xf numFmtId="0" fontId="0" fillId="10" borderId="0" xfId="0" applyFill="1" applyAlignment="1">
      <alignment horizontal="center"/>
    </xf>
    <xf numFmtId="0" fontId="0" fillId="0" borderId="30" xfId="0" applyBorder="1" applyAlignment="1">
      <alignment horizontal="center"/>
    </xf>
    <xf numFmtId="0" fontId="24" fillId="21" borderId="30" xfId="6" applyBorder="1" applyAlignment="1">
      <alignment horizontal="center"/>
    </xf>
    <xf numFmtId="0" fontId="25" fillId="19" borderId="30" xfId="4" applyBorder="1" applyAlignment="1">
      <alignment horizontal="center"/>
    </xf>
    <xf numFmtId="0" fontId="25" fillId="19" borderId="30" xfId="4" applyBorder="1"/>
    <xf numFmtId="0" fontId="20" fillId="16" borderId="30" xfId="0" applyFont="1" applyFill="1" applyBorder="1" applyAlignment="1">
      <alignment horizontal="center"/>
    </xf>
    <xf numFmtId="11" fontId="0" fillId="0" borderId="30" xfId="0" applyNumberFormat="1" applyBorder="1" applyAlignment="1">
      <alignment horizontal="center"/>
    </xf>
    <xf numFmtId="0" fontId="0" fillId="10" borderId="13" xfId="0" applyFill="1" applyBorder="1" applyAlignment="1">
      <alignment horizontal="center"/>
    </xf>
    <xf numFmtId="0" fontId="27" fillId="7" borderId="0" xfId="0" applyFont="1" applyFill="1"/>
    <xf numFmtId="0" fontId="27" fillId="5" borderId="0" xfId="0" applyFont="1" applyFill="1"/>
    <xf numFmtId="0" fontId="0" fillId="18" borderId="30" xfId="0" applyFill="1" applyBorder="1" applyAlignment="1">
      <alignment horizontal="center" vertical="center"/>
    </xf>
    <xf numFmtId="0" fontId="21" fillId="0" borderId="0" xfId="3"/>
    <xf numFmtId="0" fontId="0" fillId="17" borderId="30" xfId="0" applyFill="1" applyBorder="1" applyAlignment="1">
      <alignment horizontal="center" vertical="center"/>
    </xf>
    <xf numFmtId="0" fontId="0" fillId="23" borderId="30" xfId="0" applyFill="1" applyBorder="1" applyAlignment="1">
      <alignment horizontal="center"/>
    </xf>
    <xf numFmtId="0" fontId="0" fillId="23" borderId="37" xfId="0" applyFill="1" applyBorder="1" applyAlignment="1">
      <alignment horizontal="center"/>
    </xf>
    <xf numFmtId="0" fontId="0" fillId="23" borderId="38"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7" borderId="30" xfId="0" applyFill="1" applyBorder="1" applyAlignment="1">
      <alignment horizontal="center"/>
    </xf>
    <xf numFmtId="49" fontId="0" fillId="23" borderId="38" xfId="0" applyNumberFormat="1" applyFill="1" applyBorder="1" applyAlignment="1">
      <alignment horizontal="center"/>
    </xf>
    <xf numFmtId="0" fontId="29" fillId="0" borderId="0" xfId="0" applyFont="1"/>
    <xf numFmtId="0" fontId="0" fillId="0" borderId="45" xfId="0" applyBorder="1" applyAlignment="1">
      <alignment horizontal="center"/>
    </xf>
    <xf numFmtId="11" fontId="0" fillId="0" borderId="45" xfId="0" applyNumberFormat="1" applyBorder="1" applyAlignment="1">
      <alignment horizontal="center"/>
    </xf>
    <xf numFmtId="0" fontId="0" fillId="0" borderId="38" xfId="0" applyBorder="1" applyAlignment="1">
      <alignment horizontal="center"/>
    </xf>
    <xf numFmtId="0" fontId="0" fillId="0" borderId="40" xfId="0" applyBorder="1" applyAlignment="1">
      <alignment horizontal="center"/>
    </xf>
    <xf numFmtId="11" fontId="20" fillId="0" borderId="0" xfId="0" applyNumberFormat="1" applyFont="1" applyAlignment="1">
      <alignment horizontal="center"/>
    </xf>
    <xf numFmtId="0" fontId="20" fillId="0" borderId="0" xfId="0" applyFont="1" applyAlignment="1">
      <alignment horizontal="center"/>
    </xf>
    <xf numFmtId="11"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0" fillId="10" borderId="0" xfId="0" applyFill="1" applyAlignment="1">
      <alignment horizontal="center" vertical="center"/>
    </xf>
    <xf numFmtId="167" fontId="0" fillId="0" borderId="37" xfId="0" applyNumberFormat="1" applyBorder="1" applyAlignment="1">
      <alignment horizontal="center"/>
    </xf>
    <xf numFmtId="0" fontId="20" fillId="16" borderId="37" xfId="0" applyFont="1" applyFill="1" applyBorder="1" applyAlignment="1">
      <alignment horizontal="center"/>
    </xf>
    <xf numFmtId="0" fontId="20" fillId="16" borderId="38" xfId="0" applyFont="1" applyFill="1" applyBorder="1" applyAlignment="1">
      <alignment horizontal="center"/>
    </xf>
    <xf numFmtId="167" fontId="0" fillId="0" borderId="39" xfId="0" applyNumberFormat="1" applyBorder="1" applyAlignment="1">
      <alignment horizontal="center"/>
    </xf>
    <xf numFmtId="0" fontId="21" fillId="0" borderId="0" xfId="3" applyAlignment="1">
      <alignment horizontal="center"/>
    </xf>
    <xf numFmtId="0" fontId="0" fillId="4" borderId="0" xfId="0" applyFill="1" applyAlignment="1">
      <alignment horizontal="center"/>
    </xf>
    <xf numFmtId="0" fontId="0" fillId="17" borderId="30" xfId="0" applyFill="1" applyBorder="1" applyAlignment="1">
      <alignment horizontal="center"/>
    </xf>
    <xf numFmtId="0" fontId="0" fillId="8" borderId="0" xfId="0" applyFill="1" applyAlignment="1">
      <alignment horizontal="center"/>
    </xf>
    <xf numFmtId="0" fontId="0" fillId="8"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xf>
    <xf numFmtId="0" fontId="21" fillId="0" borderId="0" xfId="3" applyAlignment="1">
      <alignment horizontal="left"/>
    </xf>
    <xf numFmtId="0" fontId="0" fillId="0" borderId="0" xfId="0" applyAlignment="1">
      <alignment horizontal="left"/>
    </xf>
    <xf numFmtId="0" fontId="0" fillId="29" borderId="0" xfId="0" applyFill="1"/>
    <xf numFmtId="2" fontId="16" fillId="12" borderId="25" xfId="2" applyNumberFormat="1" applyBorder="1" applyAlignment="1">
      <alignment horizontal="center"/>
    </xf>
    <xf numFmtId="0" fontId="31" fillId="22" borderId="53" xfId="1" applyFont="1" applyFill="1" applyBorder="1" applyAlignment="1">
      <alignment horizontal="center"/>
    </xf>
    <xf numFmtId="0" fontId="16" fillId="12" borderId="53" xfId="2" applyBorder="1" applyAlignment="1">
      <alignment horizontal="center"/>
    </xf>
    <xf numFmtId="0" fontId="31" fillId="22" borderId="54" xfId="1" applyFont="1" applyFill="1" applyBorder="1" applyAlignment="1">
      <alignment horizontal="center"/>
    </xf>
    <xf numFmtId="0" fontId="0" fillId="4" borderId="53" xfId="0" applyFill="1" applyBorder="1"/>
    <xf numFmtId="0" fontId="0" fillId="31" borderId="0" xfId="0" applyFill="1"/>
    <xf numFmtId="0" fontId="16" fillId="12" borderId="28" xfId="2" applyBorder="1" applyAlignment="1">
      <alignment horizontal="center"/>
    </xf>
    <xf numFmtId="165" fontId="32" fillId="22" borderId="54" xfId="1" applyNumberFormat="1" applyFont="1" applyFill="1" applyBorder="1" applyAlignment="1">
      <alignment horizontal="center"/>
    </xf>
    <xf numFmtId="0" fontId="0" fillId="18" borderId="53" xfId="0" applyFill="1" applyBorder="1" applyAlignment="1">
      <alignment horizontal="center" vertical="center"/>
    </xf>
    <xf numFmtId="0" fontId="0" fillId="18" borderId="34" xfId="0" applyFill="1" applyBorder="1" applyAlignment="1">
      <alignment horizontal="center" vertical="center"/>
    </xf>
    <xf numFmtId="0" fontId="33" fillId="0" borderId="0" xfId="0" applyFont="1"/>
    <xf numFmtId="0" fontId="34" fillId="32" borderId="30" xfId="0" applyFont="1" applyFill="1" applyBorder="1"/>
    <xf numFmtId="10" fontId="0" fillId="0" borderId="0" xfId="0" applyNumberFormat="1"/>
    <xf numFmtId="165" fontId="31" fillId="22" borderId="53" xfId="1" applyNumberFormat="1" applyFont="1" applyFill="1" applyBorder="1" applyAlignment="1">
      <alignment horizontal="center"/>
    </xf>
    <xf numFmtId="2" fontId="16" fillId="5" borderId="16" xfId="2" applyNumberFormat="1" applyFill="1" applyAlignment="1">
      <alignment horizontal="center"/>
    </xf>
    <xf numFmtId="2" fontId="16" fillId="5" borderId="27" xfId="2" applyNumberFormat="1" applyFill="1" applyBorder="1" applyAlignment="1">
      <alignment horizontal="center"/>
    </xf>
    <xf numFmtId="2" fontId="31" fillId="5" borderId="53" xfId="1" applyNumberFormat="1" applyFont="1" applyFill="1" applyBorder="1" applyAlignment="1">
      <alignment horizontal="center"/>
    </xf>
    <xf numFmtId="2" fontId="16" fillId="34" borderId="16" xfId="2" applyNumberFormat="1" applyFill="1" applyAlignment="1">
      <alignment horizontal="center"/>
    </xf>
    <xf numFmtId="2" fontId="16" fillId="34" borderId="25" xfId="2" applyNumberFormat="1" applyFill="1" applyBorder="1" applyAlignment="1">
      <alignment horizontal="center" vertical="center"/>
    </xf>
    <xf numFmtId="2" fontId="16" fillId="34" borderId="25" xfId="2" applyNumberFormat="1" applyFill="1" applyBorder="1" applyAlignment="1">
      <alignment horizontal="center"/>
    </xf>
    <xf numFmtId="0" fontId="16" fillId="6" borderId="0" xfId="2" applyFill="1" applyBorder="1" applyAlignment="1">
      <alignment horizontal="center"/>
    </xf>
    <xf numFmtId="0" fontId="16" fillId="5" borderId="28" xfId="2" applyFill="1" applyBorder="1" applyAlignment="1">
      <alignment horizontal="center"/>
    </xf>
    <xf numFmtId="2" fontId="15" fillId="11" borderId="57" xfId="1" applyNumberFormat="1" applyBorder="1" applyAlignment="1" applyProtection="1">
      <alignment horizontal="center"/>
      <protection locked="0"/>
    </xf>
    <xf numFmtId="0" fontId="2" fillId="0" borderId="0" xfId="0" applyFont="1"/>
    <xf numFmtId="164" fontId="15" fillId="11" borderId="62" xfId="1" applyNumberFormat="1" applyBorder="1" applyAlignment="1" applyProtection="1">
      <alignment horizontal="center"/>
      <protection locked="0"/>
    </xf>
    <xf numFmtId="0" fontId="32" fillId="3" borderId="55" xfId="5" applyFont="1" applyFill="1" applyBorder="1" applyAlignment="1">
      <alignment horizontal="center"/>
    </xf>
    <xf numFmtId="0" fontId="32" fillId="3" borderId="56" xfId="5" applyFont="1" applyFill="1" applyBorder="1" applyAlignment="1">
      <alignment horizontal="center"/>
    </xf>
    <xf numFmtId="0" fontId="2" fillId="7" borderId="0" xfId="0" applyFont="1" applyFill="1" applyAlignment="1">
      <alignment horizontal="center"/>
    </xf>
    <xf numFmtId="0" fontId="0" fillId="35" borderId="63" xfId="0" applyFill="1" applyBorder="1"/>
    <xf numFmtId="0" fontId="0" fillId="35" borderId="65" xfId="0" applyFill="1" applyBorder="1"/>
    <xf numFmtId="0" fontId="0" fillId="35" borderId="67" xfId="0" applyFill="1" applyBorder="1"/>
    <xf numFmtId="0" fontId="0" fillId="35" borderId="59" xfId="0" applyFill="1" applyBorder="1"/>
    <xf numFmtId="0" fontId="0" fillId="35" borderId="68" xfId="0" applyFill="1" applyBorder="1"/>
    <xf numFmtId="0" fontId="0" fillId="4" borderId="69" xfId="0" applyFill="1" applyBorder="1"/>
    <xf numFmtId="2" fontId="16" fillId="12" borderId="53" xfId="2" applyNumberFormat="1" applyBorder="1" applyAlignment="1">
      <alignment horizontal="center"/>
    </xf>
    <xf numFmtId="0" fontId="0" fillId="18" borderId="0" xfId="0" applyFill="1" applyAlignment="1">
      <alignment horizontal="center" vertical="center"/>
    </xf>
    <xf numFmtId="0" fontId="32" fillId="3" borderId="70" xfId="5" applyFont="1" applyFill="1" applyBorder="1" applyAlignment="1">
      <alignment horizontal="center"/>
    </xf>
    <xf numFmtId="0" fontId="2" fillId="4" borderId="66" xfId="0" applyFont="1" applyFill="1" applyBorder="1"/>
    <xf numFmtId="0" fontId="2" fillId="4" borderId="53" xfId="0" applyFont="1" applyFill="1" applyBorder="1"/>
    <xf numFmtId="0" fontId="2" fillId="4" borderId="74" xfId="0" applyFont="1" applyFill="1" applyBorder="1"/>
    <xf numFmtId="0" fontId="0" fillId="4" borderId="53" xfId="0" applyFill="1" applyBorder="1" applyAlignment="1">
      <alignment horizontal="left"/>
    </xf>
    <xf numFmtId="0" fontId="35" fillId="0" borderId="0" xfId="0" applyFont="1"/>
    <xf numFmtId="2" fontId="18" fillId="5" borderId="76" xfId="2" applyNumberFormat="1" applyFont="1" applyFill="1" applyBorder="1" applyAlignment="1">
      <alignment horizontal="center"/>
    </xf>
    <xf numFmtId="0" fontId="0" fillId="35" borderId="30" xfId="0" applyFill="1" applyBorder="1" applyAlignment="1">
      <alignment horizontal="center"/>
    </xf>
    <xf numFmtId="0" fontId="0" fillId="35" borderId="34" xfId="0" applyFill="1" applyBorder="1" applyAlignment="1">
      <alignment horizontal="center"/>
    </xf>
    <xf numFmtId="0" fontId="0" fillId="35" borderId="53" xfId="0" applyFill="1" applyBorder="1" applyAlignment="1">
      <alignment horizontal="center"/>
    </xf>
    <xf numFmtId="0" fontId="0" fillId="23" borderId="53" xfId="0" applyFill="1" applyBorder="1" applyAlignment="1">
      <alignment horizontal="center"/>
    </xf>
    <xf numFmtId="0" fontId="0" fillId="23" borderId="49" xfId="0" applyFill="1" applyBorder="1" applyAlignment="1">
      <alignment horizontal="center"/>
    </xf>
    <xf numFmtId="0" fontId="0" fillId="17" borderId="53" xfId="0" applyFill="1" applyBorder="1" applyAlignment="1">
      <alignment horizontal="center" vertical="center"/>
    </xf>
    <xf numFmtId="0" fontId="0" fillId="17" borderId="53" xfId="0" applyFill="1" applyBorder="1" applyAlignment="1">
      <alignment horizontal="center"/>
    </xf>
    <xf numFmtId="0" fontId="0" fillId="17" borderId="34" xfId="0" applyFill="1" applyBorder="1" applyAlignment="1">
      <alignment horizontal="center" vertical="center"/>
    </xf>
    <xf numFmtId="0" fontId="0" fillId="17" borderId="34" xfId="0" applyFill="1" applyBorder="1" applyAlignment="1">
      <alignment horizontal="center"/>
    </xf>
    <xf numFmtId="0" fontId="0" fillId="35" borderId="51" xfId="0" applyFill="1" applyBorder="1" applyAlignment="1">
      <alignment horizontal="center"/>
    </xf>
    <xf numFmtId="0" fontId="0" fillId="35" borderId="66" xfId="0" applyFill="1" applyBorder="1" applyAlignment="1">
      <alignment horizontal="center"/>
    </xf>
    <xf numFmtId="0" fontId="0" fillId="38" borderId="30" xfId="0" applyFill="1" applyBorder="1" applyAlignment="1">
      <alignment horizontal="center"/>
    </xf>
    <xf numFmtId="0" fontId="0" fillId="38" borderId="53" xfId="0" applyFill="1" applyBorder="1" applyAlignment="1">
      <alignment horizontal="center"/>
    </xf>
    <xf numFmtId="0" fontId="0" fillId="35" borderId="61" xfId="0" applyFill="1" applyBorder="1"/>
    <xf numFmtId="0" fontId="0" fillId="33" borderId="75" xfId="0" applyFill="1" applyBorder="1" applyAlignment="1">
      <alignment horizontal="center"/>
    </xf>
    <xf numFmtId="0" fontId="0" fillId="33" borderId="69" xfId="0" applyFill="1" applyBorder="1" applyAlignment="1">
      <alignment horizontal="center"/>
    </xf>
    <xf numFmtId="0" fontId="0" fillId="39" borderId="53" xfId="0" applyFill="1" applyBorder="1" applyAlignment="1">
      <alignment horizontal="center"/>
    </xf>
    <xf numFmtId="0" fontId="0" fillId="13" borderId="53" xfId="0" applyFill="1" applyBorder="1"/>
    <xf numFmtId="2" fontId="0" fillId="35" borderId="61" xfId="0" applyNumberFormat="1" applyFill="1" applyBorder="1"/>
    <xf numFmtId="0" fontId="2" fillId="4" borderId="54" xfId="0" applyFont="1" applyFill="1" applyBorder="1"/>
    <xf numFmtId="0" fontId="0" fillId="33" borderId="75" xfId="0" applyFill="1" applyBorder="1"/>
    <xf numFmtId="0" fontId="0" fillId="33" borderId="74" xfId="0" applyFill="1" applyBorder="1" applyAlignment="1">
      <alignment horizontal="center"/>
    </xf>
    <xf numFmtId="0" fontId="0" fillId="33" borderId="69" xfId="0" applyFill="1" applyBorder="1"/>
    <xf numFmtId="0" fontId="0" fillId="35" borderId="80" xfId="0" applyFill="1" applyBorder="1"/>
    <xf numFmtId="2" fontId="0" fillId="35" borderId="65" xfId="0" applyNumberFormat="1" applyFill="1" applyBorder="1"/>
    <xf numFmtId="0" fontId="0" fillId="4" borderId="66" xfId="0" applyFill="1" applyBorder="1"/>
    <xf numFmtId="0" fontId="0" fillId="31" borderId="53" xfId="0" applyFill="1" applyBorder="1" applyAlignment="1">
      <alignment horizontal="left"/>
    </xf>
    <xf numFmtId="0" fontId="0" fillId="31" borderId="53" xfId="0" applyFill="1" applyBorder="1"/>
    <xf numFmtId="0" fontId="36" fillId="31" borderId="53" xfId="0" applyFont="1" applyFill="1" applyBorder="1" applyAlignment="1">
      <alignment horizontal="left"/>
    </xf>
    <xf numFmtId="0" fontId="36" fillId="31" borderId="53" xfId="0" applyFont="1" applyFill="1" applyBorder="1"/>
    <xf numFmtId="0" fontId="0" fillId="31" borderId="66" xfId="0" applyFill="1" applyBorder="1" applyAlignment="1">
      <alignment horizontal="left"/>
    </xf>
    <xf numFmtId="49" fontId="0" fillId="23" borderId="47" xfId="0" applyNumberFormat="1" applyFill="1" applyBorder="1" applyAlignment="1">
      <alignment horizontal="center"/>
    </xf>
    <xf numFmtId="0" fontId="0" fillId="23" borderId="84" xfId="0" applyFill="1" applyBorder="1" applyAlignment="1">
      <alignment horizontal="center"/>
    </xf>
    <xf numFmtId="49" fontId="0" fillId="23" borderId="84" xfId="0" applyNumberFormat="1" applyFill="1" applyBorder="1" applyAlignment="1">
      <alignment horizontal="center"/>
    </xf>
    <xf numFmtId="0" fontId="0" fillId="23" borderId="85" xfId="0" applyFill="1" applyBorder="1" applyAlignment="1">
      <alignment horizontal="center"/>
    </xf>
    <xf numFmtId="165" fontId="16" fillId="31" borderId="16" xfId="2" applyNumberFormat="1" applyFill="1" applyAlignment="1">
      <alignment horizontal="center"/>
    </xf>
    <xf numFmtId="0" fontId="16" fillId="31" borderId="16" xfId="2" applyFill="1" applyAlignment="1">
      <alignment horizontal="center"/>
    </xf>
    <xf numFmtId="0" fontId="1" fillId="5" borderId="0" xfId="0" applyFont="1" applyFill="1"/>
    <xf numFmtId="2" fontId="37" fillId="22" borderId="53" xfId="0" applyNumberFormat="1" applyFont="1" applyFill="1" applyBorder="1" applyAlignment="1">
      <alignment horizontal="center"/>
    </xf>
    <xf numFmtId="2" fontId="0" fillId="35" borderId="68" xfId="0" applyNumberFormat="1" applyFill="1" applyBorder="1"/>
    <xf numFmtId="2" fontId="15" fillId="11" borderId="87" xfId="1" applyNumberFormat="1" applyBorder="1" applyAlignment="1" applyProtection="1">
      <alignment horizontal="center"/>
      <protection locked="0"/>
    </xf>
    <xf numFmtId="2" fontId="15" fillId="11" borderId="88" xfId="1" applyNumberFormat="1" applyBorder="1" applyAlignment="1" applyProtection="1">
      <alignment horizontal="center"/>
      <protection locked="0"/>
    </xf>
    <xf numFmtId="2" fontId="0" fillId="5" borderId="0" xfId="1" applyNumberFormat="1" applyFont="1" applyFill="1" applyBorder="1" applyAlignment="1" applyProtection="1">
      <alignment horizontal="center"/>
      <protection locked="0"/>
    </xf>
    <xf numFmtId="2" fontId="0" fillId="5" borderId="26" xfId="1" applyNumberFormat="1" applyFont="1" applyFill="1" applyBorder="1" applyAlignment="1" applyProtection="1">
      <alignment horizontal="center"/>
    </xf>
    <xf numFmtId="2" fontId="16" fillId="5" borderId="53" xfId="2" applyNumberFormat="1" applyFill="1" applyBorder="1" applyAlignment="1">
      <alignment horizontal="center"/>
    </xf>
    <xf numFmtId="2" fontId="31" fillId="5" borderId="15" xfId="1" applyNumberFormat="1" applyFont="1" applyFill="1" applyAlignment="1" applyProtection="1">
      <alignment horizontal="center"/>
      <protection locked="0"/>
    </xf>
    <xf numFmtId="0" fontId="0" fillId="13" borderId="0" xfId="0" applyFill="1" applyAlignment="1">
      <alignment horizontal="center"/>
    </xf>
    <xf numFmtId="2" fontId="0" fillId="13" borderId="0" xfId="0" applyNumberFormat="1" applyFill="1"/>
    <xf numFmtId="1" fontId="15" fillId="11" borderId="53" xfId="1" applyNumberFormat="1" applyBorder="1" applyAlignment="1" applyProtection="1">
      <alignment horizontal="center"/>
      <protection locked="0"/>
    </xf>
    <xf numFmtId="1" fontId="15" fillId="11" borderId="15" xfId="1" applyNumberFormat="1" applyAlignment="1" applyProtection="1">
      <alignment horizontal="center"/>
      <protection locked="0"/>
    </xf>
    <xf numFmtId="164" fontId="16" fillId="12" borderId="53" xfId="2" applyNumberFormat="1" applyBorder="1" applyAlignment="1">
      <alignment horizontal="center"/>
    </xf>
    <xf numFmtId="2" fontId="0" fillId="0" borderId="0" xfId="0" applyNumberFormat="1"/>
    <xf numFmtId="1" fontId="16" fillId="12" borderId="53" xfId="2" applyNumberFormat="1" applyBorder="1" applyAlignment="1">
      <alignment horizontal="center"/>
    </xf>
    <xf numFmtId="0" fontId="0" fillId="8" borderId="63" xfId="0" applyFill="1" applyBorder="1" applyAlignment="1">
      <alignment horizontal="center"/>
    </xf>
    <xf numFmtId="0" fontId="0" fillId="8" borderId="89" xfId="0" applyFill="1" applyBorder="1" applyAlignment="1">
      <alignment horizontal="center"/>
    </xf>
    <xf numFmtId="0" fontId="0" fillId="8" borderId="90" xfId="0" applyFill="1" applyBorder="1" applyAlignment="1">
      <alignment horizontal="center"/>
    </xf>
    <xf numFmtId="0" fontId="0" fillId="9" borderId="91" xfId="0" applyFill="1" applyBorder="1"/>
    <xf numFmtId="0" fontId="0" fillId="9" borderId="92" xfId="0" applyFill="1" applyBorder="1"/>
    <xf numFmtId="0" fontId="0" fillId="5" borderId="80" xfId="0" applyFill="1" applyBorder="1"/>
    <xf numFmtId="0" fontId="0" fillId="5" borderId="93" xfId="0" applyFill="1" applyBorder="1"/>
    <xf numFmtId="0" fontId="0" fillId="5" borderId="94" xfId="0" applyFill="1" applyBorder="1"/>
    <xf numFmtId="0" fontId="0" fillId="5" borderId="95" xfId="0" applyFill="1" applyBorder="1"/>
    <xf numFmtId="0" fontId="0" fillId="5" borderId="96" xfId="0" applyFill="1" applyBorder="1"/>
    <xf numFmtId="0" fontId="0" fillId="5" borderId="97" xfId="0" applyFill="1" applyBorder="1"/>
    <xf numFmtId="0" fontId="0" fillId="5" borderId="64" xfId="0" applyFill="1" applyBorder="1"/>
    <xf numFmtId="0" fontId="0" fillId="5" borderId="86" xfId="0" applyFill="1" applyBorder="1"/>
    <xf numFmtId="0" fontId="0" fillId="5" borderId="65" xfId="0" applyFill="1" applyBorder="1"/>
    <xf numFmtId="0" fontId="19" fillId="5" borderId="0" xfId="0" applyFont="1" applyFill="1" applyAlignment="1">
      <alignment horizontal="left"/>
    </xf>
    <xf numFmtId="2" fontId="0" fillId="33" borderId="0" xfId="0" applyNumberFormat="1" applyFill="1" applyAlignment="1">
      <alignment horizontal="center"/>
    </xf>
    <xf numFmtId="2" fontId="0" fillId="33" borderId="86" xfId="0" applyNumberFormat="1" applyFill="1" applyBorder="1" applyAlignment="1">
      <alignment horizontal="center"/>
    </xf>
    <xf numFmtId="0" fontId="19" fillId="5" borderId="86" xfId="0" applyFont="1" applyFill="1" applyBorder="1" applyAlignment="1">
      <alignment horizontal="right"/>
    </xf>
    <xf numFmtId="0" fontId="0" fillId="3" borderId="0" xfId="0" applyFill="1"/>
    <xf numFmtId="2" fontId="0" fillId="3" borderId="0" xfId="0" applyNumberFormat="1" applyFill="1" applyAlignment="1">
      <alignment horizontal="center"/>
    </xf>
    <xf numFmtId="0" fontId="1" fillId="3" borderId="0" xfId="0" applyFont="1" applyFill="1"/>
    <xf numFmtId="0" fontId="8" fillId="7" borderId="0" xfId="0" applyFont="1" applyFill="1"/>
    <xf numFmtId="166" fontId="0" fillId="5" borderId="0" xfId="0" applyNumberFormat="1" applyFill="1" applyAlignment="1">
      <alignment horizontal="center"/>
    </xf>
    <xf numFmtId="0" fontId="0" fillId="2" borderId="0" xfId="0" applyFill="1" applyAlignment="1">
      <alignment horizontal="center" wrapText="1"/>
    </xf>
    <xf numFmtId="0" fontId="21" fillId="2" borderId="0" xfId="3" applyFill="1" applyAlignment="1">
      <alignment horizontal="center" wrapText="1"/>
    </xf>
    <xf numFmtId="0" fontId="0" fillId="4" borderId="0" xfId="0" applyFill="1" applyAlignment="1">
      <alignment horizontal="center"/>
    </xf>
    <xf numFmtId="0" fontId="0" fillId="4" borderId="17" xfId="0" applyFill="1" applyBorder="1" applyAlignment="1">
      <alignment horizont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59" xfId="0" applyFont="1" applyFill="1" applyBorder="1" applyAlignment="1">
      <alignment horizontal="center" vertical="center"/>
    </xf>
    <xf numFmtId="0" fontId="4" fillId="5" borderId="60" xfId="0" applyFont="1" applyFill="1" applyBorder="1" applyAlignment="1">
      <alignment horizontal="center" vertical="center"/>
    </xf>
    <xf numFmtId="0" fontId="4" fillId="5" borderId="61" xfId="0" applyFont="1" applyFill="1" applyBorder="1" applyAlignment="1">
      <alignment horizontal="center" vertical="center"/>
    </xf>
    <xf numFmtId="0" fontId="0" fillId="4" borderId="0" xfId="0" applyFill="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4" borderId="0" xfId="0" applyFill="1" applyAlignment="1">
      <alignment horizontal="center" vertical="center"/>
    </xf>
    <xf numFmtId="0" fontId="0" fillId="4" borderId="18" xfId="0" applyFill="1" applyBorder="1" applyAlignment="1">
      <alignment horizontal="center" vertical="center"/>
    </xf>
    <xf numFmtId="0" fontId="0" fillId="4" borderId="18" xfId="0" applyFill="1" applyBorder="1" applyAlignment="1">
      <alignment horizontal="center"/>
    </xf>
    <xf numFmtId="0" fontId="0" fillId="13" borderId="0" xfId="0" applyFill="1" applyAlignment="1">
      <alignment horizontal="center"/>
    </xf>
    <xf numFmtId="0" fontId="0" fillId="13" borderId="18" xfId="0" applyFill="1" applyBorder="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13" borderId="17" xfId="0" applyFill="1" applyBorder="1" applyAlignment="1">
      <alignment horizontal="center"/>
    </xf>
    <xf numFmtId="0" fontId="0" fillId="35" borderId="64" xfId="0" applyFill="1" applyBorder="1" applyAlignment="1">
      <alignment horizontal="center"/>
    </xf>
    <xf numFmtId="0" fontId="0" fillId="35" borderId="86" xfId="0" applyFill="1" applyBorder="1" applyAlignment="1">
      <alignment horizontal="center"/>
    </xf>
    <xf numFmtId="0" fontId="0" fillId="25" borderId="30" xfId="0" applyFill="1" applyBorder="1" applyAlignment="1">
      <alignment horizontal="center"/>
    </xf>
    <xf numFmtId="0" fontId="32" fillId="3" borderId="55" xfId="5" applyFont="1" applyFill="1" applyBorder="1" applyAlignment="1">
      <alignment horizontal="center"/>
    </xf>
    <xf numFmtId="0" fontId="32" fillId="3" borderId="56" xfId="5" applyFont="1" applyFill="1" applyBorder="1" applyAlignment="1">
      <alignment horizontal="center"/>
    </xf>
    <xf numFmtId="0" fontId="32" fillId="3" borderId="70" xfId="5" applyFont="1" applyFill="1" applyBorder="1" applyAlignment="1">
      <alignment horizontal="center"/>
    </xf>
    <xf numFmtId="0" fontId="0" fillId="33" borderId="75" xfId="0" applyFill="1" applyBorder="1" applyAlignment="1">
      <alignment horizontal="center"/>
    </xf>
    <xf numFmtId="0" fontId="0" fillId="33" borderId="69" xfId="0" applyFill="1" applyBorder="1" applyAlignment="1">
      <alignment horizontal="center"/>
    </xf>
    <xf numFmtId="0" fontId="0" fillId="2" borderId="30" xfId="0" applyFill="1" applyBorder="1" applyAlignment="1">
      <alignment horizontal="center" vertical="center"/>
    </xf>
    <xf numFmtId="0" fontId="0" fillId="30" borderId="51" xfId="0" applyFill="1" applyBorder="1" applyAlignment="1">
      <alignment horizontal="center" vertical="center"/>
    </xf>
    <xf numFmtId="0" fontId="0" fillId="30" borderId="52" xfId="0" applyFill="1" applyBorder="1" applyAlignment="1">
      <alignment horizontal="center" vertical="center"/>
    </xf>
    <xf numFmtId="0" fontId="0" fillId="24" borderId="42" xfId="0" applyFill="1" applyBorder="1" applyAlignment="1">
      <alignment horizontal="center"/>
    </xf>
    <xf numFmtId="0" fontId="0" fillId="24" borderId="43" xfId="0" applyFill="1" applyBorder="1" applyAlignment="1">
      <alignment horizontal="center"/>
    </xf>
    <xf numFmtId="0" fontId="0" fillId="24" borderId="44" xfId="0" applyFill="1" applyBorder="1" applyAlignment="1">
      <alignment horizontal="center"/>
    </xf>
    <xf numFmtId="0" fontId="0" fillId="24" borderId="42" xfId="0" applyFill="1" applyBorder="1" applyAlignment="1">
      <alignment horizontal="center" vertical="center"/>
    </xf>
    <xf numFmtId="0" fontId="0" fillId="24" borderId="43" xfId="0" applyFill="1" applyBorder="1" applyAlignment="1">
      <alignment horizontal="center" vertical="center"/>
    </xf>
    <xf numFmtId="0" fontId="0" fillId="24" borderId="44" xfId="0" applyFill="1" applyBorder="1" applyAlignment="1">
      <alignment horizontal="center" vertical="center"/>
    </xf>
    <xf numFmtId="0" fontId="0" fillId="24" borderId="77" xfId="0" applyFill="1" applyBorder="1" applyAlignment="1">
      <alignment horizontal="center"/>
    </xf>
    <xf numFmtId="0" fontId="0" fillId="24" borderId="26" xfId="0" applyFill="1" applyBorder="1" applyAlignment="1">
      <alignment horizontal="center"/>
    </xf>
    <xf numFmtId="0" fontId="0" fillId="24" borderId="78" xfId="0" applyFill="1" applyBorder="1" applyAlignment="1">
      <alignment horizontal="center"/>
    </xf>
    <xf numFmtId="0" fontId="0" fillId="30" borderId="53" xfId="0" applyFill="1" applyBorder="1" applyAlignment="1">
      <alignment horizontal="center" vertical="center"/>
    </xf>
    <xf numFmtId="0" fontId="0" fillId="24" borderId="77" xfId="0" applyFill="1" applyBorder="1" applyAlignment="1">
      <alignment horizontal="center" vertical="center"/>
    </xf>
    <xf numFmtId="0" fontId="0" fillId="24" borderId="26" xfId="0" applyFill="1" applyBorder="1" applyAlignment="1">
      <alignment horizontal="center" vertical="center"/>
    </xf>
    <xf numFmtId="0" fontId="0" fillId="24" borderId="78" xfId="0" applyFill="1" applyBorder="1" applyAlignment="1">
      <alignment horizontal="center" vertical="center"/>
    </xf>
    <xf numFmtId="0" fontId="0" fillId="35" borderId="59" xfId="0" applyFill="1" applyBorder="1" applyAlignment="1">
      <alignment horizontal="center"/>
    </xf>
    <xf numFmtId="0" fontId="0" fillId="35" borderId="61" xfId="0" applyFill="1" applyBorder="1" applyAlignment="1">
      <alignment horizontal="center"/>
    </xf>
    <xf numFmtId="0" fontId="0" fillId="37" borderId="33" xfId="0" applyFill="1" applyBorder="1" applyAlignment="1">
      <alignment horizontal="center"/>
    </xf>
    <xf numFmtId="0" fontId="0" fillId="37" borderId="32" xfId="0" applyFill="1" applyBorder="1" applyAlignment="1">
      <alignment horizontal="center"/>
    </xf>
    <xf numFmtId="0" fontId="0" fillId="37" borderId="31" xfId="0" applyFill="1" applyBorder="1" applyAlignment="1">
      <alignment horizontal="center"/>
    </xf>
    <xf numFmtId="0" fontId="0" fillId="40" borderId="51" xfId="0" applyFill="1" applyBorder="1" applyAlignment="1">
      <alignment horizontal="center"/>
    </xf>
    <xf numFmtId="0" fontId="0" fillId="40" borderId="52" xfId="0" applyFill="1" applyBorder="1" applyAlignment="1">
      <alignment horizontal="center"/>
    </xf>
    <xf numFmtId="0" fontId="0" fillId="40" borderId="79" xfId="0" applyFill="1" applyBorder="1" applyAlignment="1">
      <alignment horizontal="center"/>
    </xf>
    <xf numFmtId="0" fontId="0" fillId="35" borderId="65" xfId="0" applyFill="1" applyBorder="1" applyAlignment="1">
      <alignment horizontal="center"/>
    </xf>
    <xf numFmtId="0" fontId="0" fillId="26" borderId="33" xfId="0" applyFill="1" applyBorder="1" applyAlignment="1">
      <alignment horizontal="center"/>
    </xf>
    <xf numFmtId="0" fontId="0" fillId="26" borderId="32" xfId="0" applyFill="1" applyBorder="1" applyAlignment="1">
      <alignment horizontal="center"/>
    </xf>
    <xf numFmtId="0" fontId="0" fillId="26" borderId="31" xfId="0" applyFill="1" applyBorder="1" applyAlignment="1">
      <alignment horizontal="center"/>
    </xf>
    <xf numFmtId="0" fontId="0" fillId="36" borderId="33" xfId="0" applyFill="1" applyBorder="1" applyAlignment="1">
      <alignment horizontal="center"/>
    </xf>
    <xf numFmtId="0" fontId="0" fillId="36" borderId="32" xfId="0" applyFill="1" applyBorder="1" applyAlignment="1">
      <alignment horizontal="center"/>
    </xf>
    <xf numFmtId="0" fontId="0" fillId="36" borderId="31" xfId="0" applyFill="1" applyBorder="1" applyAlignment="1">
      <alignment horizontal="center"/>
    </xf>
    <xf numFmtId="0" fontId="2" fillId="7" borderId="0" xfId="0" applyFont="1" applyFill="1" applyAlignment="1">
      <alignment horizontal="center"/>
    </xf>
    <xf numFmtId="0" fontId="0" fillId="7" borderId="0" xfId="0" applyFill="1" applyAlignment="1">
      <alignment horizontal="center" vertical="center"/>
    </xf>
    <xf numFmtId="0" fontId="0" fillId="7" borderId="0" xfId="0" applyFill="1" applyAlignment="1">
      <alignment horizontal="center"/>
    </xf>
    <xf numFmtId="0" fontId="0" fillId="7" borderId="17" xfId="0" applyFill="1" applyBorder="1" applyAlignment="1">
      <alignment horizontal="center"/>
    </xf>
    <xf numFmtId="0" fontId="31" fillId="5" borderId="53" xfId="1" applyFont="1" applyFill="1" applyBorder="1" applyAlignment="1">
      <alignment horizontal="center"/>
    </xf>
    <xf numFmtId="2" fontId="16" fillId="12" borderId="16" xfId="2" applyNumberFormat="1" applyAlignment="1">
      <alignment horizontal="center"/>
    </xf>
    <xf numFmtId="0" fontId="16" fillId="12" borderId="16" xfId="2" applyAlignment="1">
      <alignment horizontal="center"/>
    </xf>
    <xf numFmtId="2" fontId="31" fillId="5" borderId="53" xfId="1" applyNumberFormat="1" applyFont="1" applyFill="1" applyBorder="1" applyAlignment="1">
      <alignment horizontal="center"/>
    </xf>
    <xf numFmtId="0" fontId="2" fillId="8" borderId="0" xfId="0" applyFont="1" applyFill="1" applyAlignment="1">
      <alignment horizontal="center"/>
    </xf>
    <xf numFmtId="0" fontId="0" fillId="8" borderId="0" xfId="0" applyFill="1" applyAlignment="1">
      <alignment horizontal="center"/>
    </xf>
    <xf numFmtId="2" fontId="16" fillId="12" borderId="81" xfId="2" applyNumberFormat="1" applyBorder="1" applyAlignment="1">
      <alignment horizontal="center"/>
    </xf>
    <xf numFmtId="2" fontId="16" fillId="12" borderId="83" xfId="2" applyNumberFormat="1" applyBorder="1" applyAlignment="1">
      <alignment horizontal="center"/>
    </xf>
    <xf numFmtId="2" fontId="16" fillId="12" borderId="53" xfId="2" applyNumberFormat="1" applyBorder="1" applyAlignment="1">
      <alignment horizontal="center"/>
    </xf>
    <xf numFmtId="0" fontId="0" fillId="8" borderId="0" xfId="0" applyFill="1" applyAlignment="1">
      <alignment horizontal="center" vertical="center"/>
    </xf>
    <xf numFmtId="0" fontId="0" fillId="31" borderId="0" xfId="0" applyFill="1" applyAlignment="1">
      <alignment horizontal="center"/>
    </xf>
    <xf numFmtId="0" fontId="0" fillId="7" borderId="58" xfId="0" applyFill="1" applyBorder="1" applyAlignment="1">
      <alignment horizontal="center"/>
    </xf>
    <xf numFmtId="0" fontId="0" fillId="8" borderId="58" xfId="0" applyFill="1" applyBorder="1" applyAlignment="1">
      <alignment horizontal="center"/>
    </xf>
    <xf numFmtId="0" fontId="0" fillId="8" borderId="17" xfId="0" applyFill="1" applyBorder="1" applyAlignment="1">
      <alignment horizontal="center"/>
    </xf>
    <xf numFmtId="0" fontId="6" fillId="14" borderId="71" xfId="0" applyFont="1" applyFill="1" applyBorder="1" applyAlignment="1">
      <alignment horizontal="center"/>
    </xf>
    <xf numFmtId="0" fontId="6" fillId="14" borderId="72" xfId="0" applyFont="1" applyFill="1" applyBorder="1" applyAlignment="1">
      <alignment horizontal="center"/>
    </xf>
    <xf numFmtId="0" fontId="6" fillId="14" borderId="73" xfId="0" applyFont="1" applyFill="1" applyBorder="1" applyAlignment="1">
      <alignment horizont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2" fontId="16" fillId="12" borderId="22" xfId="2" applyNumberFormat="1" applyBorder="1" applyAlignment="1">
      <alignment horizontal="center"/>
    </xf>
    <xf numFmtId="2" fontId="16" fillId="12" borderId="23" xfId="2" applyNumberFormat="1" applyBorder="1" applyAlignment="1">
      <alignment horizontal="center"/>
    </xf>
    <xf numFmtId="2" fontId="16" fillId="12" borderId="24" xfId="2" applyNumberFormat="1" applyBorder="1" applyAlignment="1">
      <alignment horizontal="center"/>
    </xf>
    <xf numFmtId="0" fontId="10" fillId="8" borderId="0" xfId="0" applyFont="1" applyFill="1" applyAlignment="1">
      <alignment horizontal="center"/>
    </xf>
    <xf numFmtId="2" fontId="2" fillId="5" borderId="53" xfId="0" applyNumberFormat="1" applyFont="1" applyFill="1" applyBorder="1" applyAlignment="1">
      <alignment horizontal="center"/>
    </xf>
    <xf numFmtId="0" fontId="2" fillId="5" borderId="53" xfId="0" applyFont="1" applyFill="1" applyBorder="1" applyAlignment="1">
      <alignment horizontal="center"/>
    </xf>
    <xf numFmtId="2" fontId="16" fillId="12" borderId="82" xfId="2" applyNumberFormat="1" applyBorder="1" applyAlignment="1">
      <alignment horizontal="center"/>
    </xf>
    <xf numFmtId="2" fontId="2" fillId="12" borderId="16" xfId="2" applyNumberFormat="1" applyFont="1" applyAlignment="1">
      <alignment horizontal="center"/>
    </xf>
    <xf numFmtId="0" fontId="15" fillId="11" borderId="15" xfId="1" applyAlignment="1">
      <alignment horizontal="center"/>
    </xf>
    <xf numFmtId="0" fontId="10" fillId="7" borderId="0" xfId="0" applyFont="1" applyFill="1" applyAlignment="1">
      <alignment horizontal="center"/>
    </xf>
    <xf numFmtId="0" fontId="9" fillId="7" borderId="0" xfId="0" applyFont="1" applyFill="1" applyAlignment="1">
      <alignment horizontal="center"/>
    </xf>
    <xf numFmtId="0" fontId="9" fillId="7" borderId="18" xfId="0" applyFont="1" applyFill="1" applyBorder="1" applyAlignment="1">
      <alignment horizontal="center"/>
    </xf>
    <xf numFmtId="0" fontId="15" fillId="11" borderId="57" xfId="1" applyBorder="1" applyAlignment="1">
      <alignment horizontal="center"/>
    </xf>
    <xf numFmtId="0" fontId="24" fillId="11" borderId="62" xfId="1" applyFont="1" applyBorder="1" applyAlignment="1">
      <alignment horizontal="center"/>
    </xf>
    <xf numFmtId="0" fontId="27" fillId="7" borderId="0" xfId="0" applyFont="1" applyFill="1" applyAlignment="1">
      <alignment horizontal="center"/>
    </xf>
    <xf numFmtId="0" fontId="2" fillId="8" borderId="0" xfId="0" applyFont="1" applyFill="1" applyAlignment="1">
      <alignment horizontal="center" vertical="center"/>
    </xf>
    <xf numFmtId="0" fontId="0" fillId="6" borderId="0" xfId="0" applyFill="1" applyAlignment="1">
      <alignment horizontal="center"/>
    </xf>
    <xf numFmtId="0" fontId="2" fillId="7" borderId="0" xfId="0" applyFont="1" applyFill="1" applyAlignment="1">
      <alignment horizontal="center" vertical="center"/>
    </xf>
    <xf numFmtId="0" fontId="2" fillId="6" borderId="0" xfId="0" applyFont="1" applyFill="1" applyAlignment="1">
      <alignment horizontal="center"/>
    </xf>
    <xf numFmtId="0" fontId="0" fillId="5" borderId="0" xfId="0" applyFill="1" applyAlignment="1">
      <alignment horizontal="left" vertical="center"/>
    </xf>
    <xf numFmtId="0" fontId="28" fillId="28" borderId="35" xfId="0" applyFont="1" applyFill="1" applyBorder="1" applyAlignment="1">
      <alignment horizontal="center"/>
    </xf>
    <xf numFmtId="0" fontId="28" fillId="28" borderId="48" xfId="0" applyFont="1" applyFill="1" applyBorder="1" applyAlignment="1">
      <alignment horizontal="center"/>
    </xf>
    <xf numFmtId="0" fontId="28" fillId="28" borderId="36" xfId="0" applyFont="1" applyFill="1" applyBorder="1" applyAlignment="1">
      <alignment horizontal="center"/>
    </xf>
    <xf numFmtId="0" fontId="26" fillId="20" borderId="50" xfId="5" applyBorder="1" applyAlignment="1">
      <alignment horizontal="center"/>
    </xf>
    <xf numFmtId="0" fontId="26" fillId="20" borderId="26" xfId="5" applyBorder="1" applyAlignment="1">
      <alignment horizontal="center"/>
    </xf>
    <xf numFmtId="0" fontId="26" fillId="20" borderId="41" xfId="5" applyBorder="1" applyAlignment="1">
      <alignment horizontal="center"/>
    </xf>
    <xf numFmtId="0" fontId="0" fillId="0" borderId="0" xfId="0"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2" fillId="0" borderId="0" xfId="0" applyFont="1" applyAlignment="1">
      <alignment horizontal="center"/>
    </xf>
    <xf numFmtId="0" fontId="0" fillId="0" borderId="0" xfId="0" applyAlignment="1"/>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7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FFF2CC"/>
      <color rgb="FFCCFFCC"/>
      <color rgb="FFF4B084"/>
      <color rgb="FF40FCFF"/>
      <color rgb="FFC2F7FF"/>
      <color rgb="FFEEB8FF"/>
      <color rgb="FFE387FF"/>
      <color rgb="FFFFFF99"/>
      <color rgb="FFE1CD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rgbClr val="A5A5A5"/>
              </a:solidFill>
              <a:ln>
                <a:noFill/>
              </a:ln>
              <a:effectLst/>
            </c:spPr>
            <c:extLst>
              <c:ext xmlns:c16="http://schemas.microsoft.com/office/drawing/2014/chart" uri="{C3380CC4-5D6E-409C-BE32-E72D297353CC}">
                <c16:uniqueId val="{00000001-B0F8-497F-BCBA-5731A120D728}"/>
              </c:ext>
            </c:extLst>
          </c:dPt>
          <c:dPt>
            <c:idx val="2"/>
            <c:invertIfNegative val="0"/>
            <c:bubble3D val="0"/>
            <c:spPr>
              <a:solidFill>
                <a:srgbClr val="ED7D31"/>
              </a:solidFill>
              <a:ln>
                <a:noFill/>
              </a:ln>
              <a:effectLst/>
            </c:spPr>
            <c:extLst>
              <c:ext xmlns:c16="http://schemas.microsoft.com/office/drawing/2014/chart" uri="{C3380CC4-5D6E-409C-BE32-E72D297353CC}">
                <c16:uniqueId val="{00000003-B0F8-497F-BCBA-5731A120D728}"/>
              </c:ext>
            </c:extLst>
          </c:dPt>
          <c:dPt>
            <c:idx val="4"/>
            <c:invertIfNegative val="0"/>
            <c:bubble3D val="0"/>
            <c:spPr>
              <a:solidFill>
                <a:srgbClr val="00B0F0"/>
              </a:solidFill>
              <a:ln>
                <a:noFill/>
              </a:ln>
              <a:effectLst/>
            </c:spPr>
            <c:extLst>
              <c:ext xmlns:c16="http://schemas.microsoft.com/office/drawing/2014/chart" uri="{C3380CC4-5D6E-409C-BE32-E72D297353CC}">
                <c16:uniqueId val="{00000005-B0F8-497F-BCBA-5731A120D728}"/>
              </c:ext>
            </c:extLst>
          </c:dPt>
          <c:dPt>
            <c:idx val="5"/>
            <c:invertIfNegative val="0"/>
            <c:bubble3D val="0"/>
            <c:spPr>
              <a:solidFill>
                <a:srgbClr val="70AD47"/>
              </a:solidFill>
              <a:ln>
                <a:noFill/>
              </a:ln>
              <a:effectLst/>
            </c:spPr>
            <c:extLst>
              <c:ext xmlns:c16="http://schemas.microsoft.com/office/drawing/2014/chart" uri="{C3380CC4-5D6E-409C-BE32-E72D297353CC}">
                <c16:uniqueId val="{00000007-B0F8-497F-BCBA-5731A120D72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'Downlink Budget (Sat-GS)'!$D$51:$D$56</c:f>
              <c:strCache>
                <c:ptCount val="6"/>
                <c:pt idx="0">
                  <c:v>Commands</c:v>
                </c:pt>
                <c:pt idx="1">
                  <c:v>Telemetry
 (OBC, EPS, Transceiver)</c:v>
                </c:pt>
                <c:pt idx="2">
                  <c:v>Telemetry
 (ADCS)</c:v>
                </c:pt>
                <c:pt idx="3">
                  <c:v>Telemetry
 (PTB)</c:v>
                </c:pt>
                <c:pt idx="4">
                  <c:v>MTU payload
 (30 stations)</c:v>
                </c:pt>
                <c:pt idx="5">
                  <c:v>Free</c:v>
                </c:pt>
              </c:strCache>
            </c:strRef>
          </c:cat>
          <c:val>
            <c:numRef>
              <c:f>'Downlink Budget (Sat-GS)'!$E$51:$E$56</c:f>
              <c:numCache>
                <c:formatCode>0.00</c:formatCode>
                <c:ptCount val="6"/>
                <c:pt idx="0">
                  <c:v>1.864768718785393</c:v>
                </c:pt>
                <c:pt idx="1">
                  <c:v>4.3619372639414848</c:v>
                </c:pt>
                <c:pt idx="2">
                  <c:v>23.2717730977696</c:v>
                </c:pt>
                <c:pt idx="3">
                  <c:v>8.240289864023195</c:v>
                </c:pt>
                <c:pt idx="4">
                  <c:v>1.3097037824245239</c:v>
                </c:pt>
                <c:pt idx="5">
                  <c:v>60.95152727305581</c:v>
                </c:pt>
              </c:numCache>
            </c:numRef>
          </c:val>
          <c:extLst>
            <c:ext xmlns:c16="http://schemas.microsoft.com/office/drawing/2014/chart" uri="{C3380CC4-5D6E-409C-BE32-E72D297353CC}">
              <c16:uniqueId val="{00000007-76EF-48C0-910D-615ED0C5E460}"/>
            </c:ext>
          </c:extLst>
        </c:ser>
        <c:dLbls>
          <c:showLegendKey val="0"/>
          <c:showVal val="0"/>
          <c:showCatName val="0"/>
          <c:showSerName val="0"/>
          <c:showPercent val="0"/>
          <c:showBubbleSize val="0"/>
        </c:dLbls>
        <c:gapWidth val="0"/>
        <c:overlap val="-27"/>
        <c:axId val="810483207"/>
        <c:axId val="754066951"/>
      </c:barChart>
      <c:catAx>
        <c:axId val="810483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a:ea typeface="Calibri"/>
                <a:cs typeface="Calibri"/>
              </a:defRPr>
            </a:pPr>
            <a:endParaRPr lang="en-US"/>
          </a:p>
        </c:txPr>
        <c:crossAx val="754066951"/>
        <c:crosses val="autoZero"/>
        <c:auto val="1"/>
        <c:lblAlgn val="ctr"/>
        <c:lblOffset val="100"/>
        <c:noMultiLvlLbl val="0"/>
      </c:catAx>
      <c:valAx>
        <c:axId val="754066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Utilization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83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xdr:row>
      <xdr:rowOff>0</xdr:rowOff>
    </xdr:from>
    <xdr:to>
      <xdr:col>17</xdr:col>
      <xdr:colOff>0</xdr:colOff>
      <xdr:row>19</xdr:row>
      <xdr:rowOff>47625</xdr:rowOff>
    </xdr:to>
    <xdr:pic>
      <xdr:nvPicPr>
        <xdr:cNvPr id="2" name="Picture 1">
          <a:extLst>
            <a:ext uri="{FF2B5EF4-FFF2-40B4-BE49-F238E27FC236}">
              <a16:creationId xmlns:a16="http://schemas.microsoft.com/office/drawing/2014/main" id="{CB744323-3A64-1821-2C95-29C8F0B0F010}"/>
            </a:ext>
          </a:extLst>
        </xdr:cNvPr>
        <xdr:cNvPicPr>
          <a:picLocks noChangeAspect="1"/>
        </xdr:cNvPicPr>
      </xdr:nvPicPr>
      <xdr:blipFill>
        <a:blip xmlns:r="http://schemas.openxmlformats.org/officeDocument/2006/relationships" r:embed="rId1"/>
        <a:stretch>
          <a:fillRect/>
        </a:stretch>
      </xdr:blipFill>
      <xdr:spPr>
        <a:xfrm>
          <a:off x="3724275" y="1914525"/>
          <a:ext cx="0" cy="23336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D87525CC-9661-4BC9-8054-DAB895F6B619}"/>
            </a:ext>
          </a:extLst>
        </xdr:cNvPr>
        <xdr:cNvSpPr/>
      </xdr:nvSpPr>
      <xdr:spPr>
        <a:xfrm>
          <a:off x="3105150" y="1241425"/>
          <a:ext cx="285750" cy="48895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2EC00A2-94DE-405A-AF52-2459EA7CE86F}"/>
            </a:ext>
            <a:ext uri="{147F2762-F138-4A5C-976F-8EAC2B608ADB}">
              <a16:predDERef xmlns:a16="http://schemas.microsoft.com/office/drawing/2014/main" pred="{D87525CC-9661-4BC9-8054-DAB895F6B619}"/>
            </a:ext>
          </a:extLst>
        </xdr:cNvPr>
        <xdr:cNvSpPr/>
      </xdr:nvSpPr>
      <xdr:spPr>
        <a:xfrm>
          <a:off x="3105150" y="6969125"/>
          <a:ext cx="285750" cy="37782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361950</xdr:colOff>
      <xdr:row>21</xdr:row>
      <xdr:rowOff>28575</xdr:rowOff>
    </xdr:from>
    <xdr:to>
      <xdr:col>25</xdr:col>
      <xdr:colOff>428625</xdr:colOff>
      <xdr:row>45</xdr:row>
      <xdr:rowOff>95250</xdr:rowOff>
    </xdr:to>
    <xdr:graphicFrame macro="">
      <xdr:nvGraphicFramePr>
        <xdr:cNvPr id="8" name="Chart 7">
          <a:extLst>
            <a:ext uri="{FF2B5EF4-FFF2-40B4-BE49-F238E27FC236}">
              <a16:creationId xmlns:a16="http://schemas.microsoft.com/office/drawing/2014/main" id="{3BFDF279-7EA3-3938-AC9D-0F1352DDC3C8}"/>
            </a:ext>
            <a:ext uri="{147F2762-F138-4A5C-976F-8EAC2B608ADB}">
              <a16:predDERef xmlns:a16="http://schemas.microsoft.com/office/drawing/2014/main" pred="{02EC00A2-94DE-405A-AF52-2459EA7C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5" name="Left Brace 4">
          <a:extLst>
            <a:ext uri="{FF2B5EF4-FFF2-40B4-BE49-F238E27FC236}">
              <a16:creationId xmlns:a16="http://schemas.microsoft.com/office/drawing/2014/main" id="{9CB641F2-B496-4DF6-9AD1-E17EC9E1A4DC}"/>
            </a:ext>
          </a:extLst>
        </xdr:cNvPr>
        <xdr:cNvSpPr/>
      </xdr:nvSpPr>
      <xdr:spPr>
        <a:xfrm>
          <a:off x="3217545" y="1178561"/>
          <a:ext cx="487680" cy="47371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6" name="Left Brace 5">
          <a:extLst>
            <a:ext uri="{FF2B5EF4-FFF2-40B4-BE49-F238E27FC236}">
              <a16:creationId xmlns:a16="http://schemas.microsoft.com/office/drawing/2014/main" id="{06AF472A-03FC-4AD4-8D0C-CAA5BD4C5683}"/>
            </a:ext>
          </a:extLst>
        </xdr:cNvPr>
        <xdr:cNvSpPr/>
      </xdr:nvSpPr>
      <xdr:spPr>
        <a:xfrm>
          <a:off x="3227070" y="7214870"/>
          <a:ext cx="487680" cy="36258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2486025</xdr:colOff>
      <xdr:row>5</xdr:row>
      <xdr:rowOff>50801</xdr:rowOff>
    </xdr:from>
    <xdr:to>
      <xdr:col>4</xdr:col>
      <xdr:colOff>276225</xdr:colOff>
      <xdr:row>7</xdr:row>
      <xdr:rowOff>158751</xdr:rowOff>
    </xdr:to>
    <xdr:sp macro="" textlink="">
      <xdr:nvSpPr>
        <xdr:cNvPr id="7" name="Left Brace 6">
          <a:extLst>
            <a:ext uri="{FF2B5EF4-FFF2-40B4-BE49-F238E27FC236}">
              <a16:creationId xmlns:a16="http://schemas.microsoft.com/office/drawing/2014/main" id="{6870B0EE-EDB4-4B73-A529-60D487D1F776}"/>
            </a:ext>
          </a:extLst>
        </xdr:cNvPr>
        <xdr:cNvSpPr/>
      </xdr:nvSpPr>
      <xdr:spPr>
        <a:xfrm>
          <a:off x="3217545" y="1178561"/>
          <a:ext cx="487680" cy="47371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49C12C92-65D1-4B64-A581-7E03472B833F}"/>
            </a:ext>
          </a:extLst>
        </xdr:cNvPr>
        <xdr:cNvSpPr/>
      </xdr:nvSpPr>
      <xdr:spPr>
        <a:xfrm>
          <a:off x="3057525" y="1231900"/>
          <a:ext cx="285750" cy="48895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678CA9B6-9B9F-4817-BC83-065A6535D5A9}"/>
            </a:ext>
            <a:ext uri="{147F2762-F138-4A5C-976F-8EAC2B608ADB}">
              <a16:predDERef xmlns:a16="http://schemas.microsoft.com/office/drawing/2014/main" pred="{49C12C92-65D1-4B64-A581-7E03472B833F}"/>
            </a:ext>
          </a:extLst>
        </xdr:cNvPr>
        <xdr:cNvSpPr/>
      </xdr:nvSpPr>
      <xdr:spPr>
        <a:xfrm>
          <a:off x="3057525" y="6921500"/>
          <a:ext cx="285750" cy="37782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1815</xdr:colOff>
      <xdr:row>0</xdr:row>
      <xdr:rowOff>76199</xdr:rowOff>
    </xdr:from>
    <xdr:to>
      <xdr:col>16</xdr:col>
      <xdr:colOff>2604861</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46172" y="76199"/>
          <a:ext cx="6004832" cy="3743093"/>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523875</xdr:colOff>
      <xdr:row>0</xdr:row>
      <xdr:rowOff>38100</xdr:rowOff>
    </xdr:from>
    <xdr:to>
      <xdr:col>10</xdr:col>
      <xdr:colOff>85725</xdr:colOff>
      <xdr:row>10</xdr:row>
      <xdr:rowOff>171450</xdr:rowOff>
    </xdr:to>
    <xdr:pic>
      <xdr:nvPicPr>
        <xdr:cNvPr id="2" name="Picture 1">
          <a:extLst>
            <a:ext uri="{FF2B5EF4-FFF2-40B4-BE49-F238E27FC236}">
              <a16:creationId xmlns:a16="http://schemas.microsoft.com/office/drawing/2014/main" id="{2AD8DD1A-FD75-873F-051F-062A722D208A}"/>
            </a:ext>
          </a:extLst>
        </xdr:cNvPr>
        <xdr:cNvPicPr>
          <a:picLocks noChangeAspect="1"/>
        </xdr:cNvPicPr>
      </xdr:nvPicPr>
      <xdr:blipFill>
        <a:blip xmlns:r="http://schemas.openxmlformats.org/officeDocument/2006/relationships" r:embed="rId1"/>
        <a:stretch>
          <a:fillRect/>
        </a:stretch>
      </xdr:blipFill>
      <xdr:spPr>
        <a:xfrm>
          <a:off x="10810875" y="38100"/>
          <a:ext cx="3181350" cy="2038350"/>
        </a:xfrm>
        <a:prstGeom prst="rect">
          <a:avLst/>
        </a:prstGeom>
      </xdr:spPr>
    </xdr:pic>
    <xdr:clientData/>
  </xdr:twoCellAnchor>
  <xdr:twoCellAnchor editAs="oneCell">
    <xdr:from>
      <xdr:col>12</xdr:col>
      <xdr:colOff>485775</xdr:colOff>
      <xdr:row>0</xdr:row>
      <xdr:rowOff>0</xdr:rowOff>
    </xdr:from>
    <xdr:to>
      <xdr:col>18</xdr:col>
      <xdr:colOff>514350</xdr:colOff>
      <xdr:row>13</xdr:row>
      <xdr:rowOff>66675</xdr:rowOff>
    </xdr:to>
    <xdr:pic>
      <xdr:nvPicPr>
        <xdr:cNvPr id="3" name="Picture 2">
          <a:extLst>
            <a:ext uri="{FF2B5EF4-FFF2-40B4-BE49-F238E27FC236}">
              <a16:creationId xmlns:a16="http://schemas.microsoft.com/office/drawing/2014/main" id="{07A108D7-1556-26DA-AE20-805113FD43C9}"/>
            </a:ext>
            <a:ext uri="{147F2762-F138-4A5C-976F-8EAC2B608ADB}">
              <a16:predDERef xmlns:a16="http://schemas.microsoft.com/office/drawing/2014/main" pred="{2AD8DD1A-FD75-873F-051F-062A722D208A}"/>
            </a:ext>
          </a:extLst>
        </xdr:cNvPr>
        <xdr:cNvPicPr>
          <a:picLocks noChangeAspect="1"/>
        </xdr:cNvPicPr>
      </xdr:nvPicPr>
      <xdr:blipFill>
        <a:blip xmlns:r="http://schemas.openxmlformats.org/officeDocument/2006/relationships" r:embed="rId2"/>
        <a:stretch>
          <a:fillRect/>
        </a:stretch>
      </xdr:blipFill>
      <xdr:spPr>
        <a:xfrm>
          <a:off x="14430375" y="0"/>
          <a:ext cx="3686175" cy="2543175"/>
        </a:xfrm>
        <a:prstGeom prst="rect">
          <a:avLst/>
        </a:prstGeom>
      </xdr:spPr>
    </xdr:pic>
    <xdr:clientData/>
  </xdr:twoCellAnchor>
  <xdr:twoCellAnchor editAs="oneCell">
    <xdr:from>
      <xdr:col>5</xdr:col>
      <xdr:colOff>1371600</xdr:colOff>
      <xdr:row>14</xdr:row>
      <xdr:rowOff>19050</xdr:rowOff>
    </xdr:from>
    <xdr:to>
      <xdr:col>10</xdr:col>
      <xdr:colOff>304800</xdr:colOff>
      <xdr:row>25</xdr:row>
      <xdr:rowOff>104775</xdr:rowOff>
    </xdr:to>
    <xdr:pic>
      <xdr:nvPicPr>
        <xdr:cNvPr id="6" name="Picture 5">
          <a:extLst>
            <a:ext uri="{FF2B5EF4-FFF2-40B4-BE49-F238E27FC236}">
              <a16:creationId xmlns:a16="http://schemas.microsoft.com/office/drawing/2014/main" id="{1FAA65E8-85C1-682C-A7B5-41726420DB98}"/>
            </a:ext>
            <a:ext uri="{147F2762-F138-4A5C-976F-8EAC2B608ADB}">
              <a16:predDERef xmlns:a16="http://schemas.microsoft.com/office/drawing/2014/main" pred="{07A108D7-1556-26DA-AE20-805113FD43C9}"/>
            </a:ext>
          </a:extLst>
        </xdr:cNvPr>
        <xdr:cNvPicPr>
          <a:picLocks noChangeAspect="1"/>
        </xdr:cNvPicPr>
      </xdr:nvPicPr>
      <xdr:blipFill>
        <a:blip xmlns:r="http://schemas.openxmlformats.org/officeDocument/2006/relationships" r:embed="rId3"/>
        <a:stretch>
          <a:fillRect/>
        </a:stretch>
      </xdr:blipFill>
      <xdr:spPr>
        <a:xfrm>
          <a:off x="10106025" y="2686050"/>
          <a:ext cx="3924300" cy="2181225"/>
        </a:xfrm>
        <a:prstGeom prst="rect">
          <a:avLst/>
        </a:prstGeom>
      </xdr:spPr>
    </xdr:pic>
    <xdr:clientData/>
  </xdr:twoCellAnchor>
  <xdr:twoCellAnchor editAs="oneCell">
    <xdr:from>
      <xdr:col>11</xdr:col>
      <xdr:colOff>504825</xdr:colOff>
      <xdr:row>14</xdr:row>
      <xdr:rowOff>19050</xdr:rowOff>
    </xdr:from>
    <xdr:to>
      <xdr:col>18</xdr:col>
      <xdr:colOff>190500</xdr:colOff>
      <xdr:row>25</xdr:row>
      <xdr:rowOff>114300</xdr:rowOff>
    </xdr:to>
    <xdr:pic>
      <xdr:nvPicPr>
        <xdr:cNvPr id="7" name="Picture 6">
          <a:extLst>
            <a:ext uri="{FF2B5EF4-FFF2-40B4-BE49-F238E27FC236}">
              <a16:creationId xmlns:a16="http://schemas.microsoft.com/office/drawing/2014/main" id="{C9895CBA-FAAB-518C-4EF6-F59C7C16523D}"/>
            </a:ext>
            <a:ext uri="{147F2762-F138-4A5C-976F-8EAC2B608ADB}">
              <a16:predDERef xmlns:a16="http://schemas.microsoft.com/office/drawing/2014/main" pred="{1FAA65E8-85C1-682C-A7B5-41726420DB98}"/>
            </a:ext>
          </a:extLst>
        </xdr:cNvPr>
        <xdr:cNvPicPr>
          <a:picLocks noChangeAspect="1"/>
        </xdr:cNvPicPr>
      </xdr:nvPicPr>
      <xdr:blipFill>
        <a:blip xmlns:r="http://schemas.openxmlformats.org/officeDocument/2006/relationships" r:embed="rId4"/>
        <a:stretch>
          <a:fillRect/>
        </a:stretch>
      </xdr:blipFill>
      <xdr:spPr>
        <a:xfrm>
          <a:off x="13839825" y="2686050"/>
          <a:ext cx="3952875" cy="2190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314325</xdr:colOff>
      <xdr:row>76</xdr:row>
      <xdr:rowOff>0</xdr:rowOff>
    </xdr:from>
    <xdr:to>
      <xdr:col>17</xdr:col>
      <xdr:colOff>9525</xdr:colOff>
      <xdr:row>85</xdr:row>
      <xdr:rowOff>38100</xdr:rowOff>
    </xdr:to>
    <xdr:pic>
      <xdr:nvPicPr>
        <xdr:cNvPr id="3" name="Picture 2">
          <a:extLst>
            <a:ext uri="{FF2B5EF4-FFF2-40B4-BE49-F238E27FC236}">
              <a16:creationId xmlns:a16="http://schemas.microsoft.com/office/drawing/2014/main" id="{08E89B93-33DA-4B7C-9BFB-504EB724545E}"/>
            </a:ext>
          </a:extLst>
        </xdr:cNvPr>
        <xdr:cNvPicPr>
          <a:picLocks noChangeAspect="1"/>
        </xdr:cNvPicPr>
      </xdr:nvPicPr>
      <xdr:blipFill>
        <a:blip xmlns:r="http://schemas.openxmlformats.org/officeDocument/2006/relationships" r:embed="rId1"/>
        <a:stretch>
          <a:fillRect/>
        </a:stretch>
      </xdr:blipFill>
      <xdr:spPr>
        <a:xfrm>
          <a:off x="13306425" y="14849475"/>
          <a:ext cx="4572000" cy="1752600"/>
        </a:xfrm>
        <a:prstGeom prst="rect">
          <a:avLst/>
        </a:prstGeom>
      </xdr:spPr>
    </xdr:pic>
    <xdr:clientData/>
  </xdr:twoCellAnchor>
  <xdr:twoCellAnchor editAs="oneCell">
    <xdr:from>
      <xdr:col>9</xdr:col>
      <xdr:colOff>600075</xdr:colOff>
      <xdr:row>4</xdr:row>
      <xdr:rowOff>123825</xdr:rowOff>
    </xdr:from>
    <xdr:to>
      <xdr:col>23</xdr:col>
      <xdr:colOff>66675</xdr:colOff>
      <xdr:row>17</xdr:row>
      <xdr:rowOff>133350</xdr:rowOff>
    </xdr:to>
    <xdr:pic>
      <xdr:nvPicPr>
        <xdr:cNvPr id="4" name="Picture 3">
          <a:extLst>
            <a:ext uri="{FF2B5EF4-FFF2-40B4-BE49-F238E27FC236}">
              <a16:creationId xmlns:a16="http://schemas.microsoft.com/office/drawing/2014/main" id="{AB5F28B8-C771-9129-68B3-1C2B7CDDF707}"/>
            </a:ext>
            <a:ext uri="{147F2762-F138-4A5C-976F-8EAC2B608ADB}">
              <a16:predDERef xmlns:a16="http://schemas.microsoft.com/office/drawing/2014/main" pred="{08E89B93-33DA-4B7C-9BFB-504EB724545E}"/>
            </a:ext>
          </a:extLst>
        </xdr:cNvPr>
        <xdr:cNvPicPr>
          <a:picLocks noChangeAspect="1"/>
        </xdr:cNvPicPr>
      </xdr:nvPicPr>
      <xdr:blipFill>
        <a:blip xmlns:r="http://schemas.openxmlformats.org/officeDocument/2006/relationships" r:embed="rId1"/>
        <a:stretch>
          <a:fillRect/>
        </a:stretch>
      </xdr:blipFill>
      <xdr:spPr>
        <a:xfrm>
          <a:off x="13592175" y="885825"/>
          <a:ext cx="8001000" cy="30670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0</xdr:colOff>
      <xdr:row>66</xdr:row>
      <xdr:rowOff>560</xdr:rowOff>
    </xdr:from>
    <xdr:ext cx="5970701" cy="946692"/>
    <xdr:pic>
      <xdr:nvPicPr>
        <xdr:cNvPr id="4" name="Picture 3">
          <a:extLst>
            <a:ext uri="{FF2B5EF4-FFF2-40B4-BE49-F238E27FC236}">
              <a16:creationId xmlns:a16="http://schemas.microsoft.com/office/drawing/2014/main" id="{363C3072-3F8B-457E-AA00-29834E99B350}"/>
            </a:ext>
          </a:extLst>
        </xdr:cNvPr>
        <xdr:cNvPicPr>
          <a:picLocks noChangeAspect="1"/>
        </xdr:cNvPicPr>
      </xdr:nvPicPr>
      <xdr:blipFill>
        <a:blip xmlns:r="http://schemas.openxmlformats.org/officeDocument/2006/relationships" r:embed="rId1"/>
        <a:stretch>
          <a:fillRect/>
        </a:stretch>
      </xdr:blipFill>
      <xdr:spPr>
        <a:xfrm>
          <a:off x="3886200" y="1524560"/>
          <a:ext cx="5970701" cy="946692"/>
        </a:xfrm>
        <a:prstGeom prst="rect">
          <a:avLst/>
        </a:prstGeom>
      </xdr:spPr>
    </xdr:pic>
    <xdr:clientData/>
  </xdr:oneCellAnchor>
  <xdr:twoCellAnchor editAs="oneCell">
    <xdr:from>
      <xdr:col>17</xdr:col>
      <xdr:colOff>523875</xdr:colOff>
      <xdr:row>36</xdr:row>
      <xdr:rowOff>66675</xdr:rowOff>
    </xdr:from>
    <xdr:to>
      <xdr:col>25</xdr:col>
      <xdr:colOff>28575</xdr:colOff>
      <xdr:row>42</xdr:row>
      <xdr:rowOff>114300</xdr:rowOff>
    </xdr:to>
    <xdr:pic>
      <xdr:nvPicPr>
        <xdr:cNvPr id="6" name="Picture 5">
          <a:extLst>
            <a:ext uri="{FF2B5EF4-FFF2-40B4-BE49-F238E27FC236}">
              <a16:creationId xmlns:a16="http://schemas.microsoft.com/office/drawing/2014/main" id="{6AC6C03A-0BDF-A2A2-E3D3-CF06B3A90BD4}"/>
            </a:ext>
            <a:ext uri="{147F2762-F138-4A5C-976F-8EAC2B608ADB}">
              <a16:predDERef xmlns:a16="http://schemas.microsoft.com/office/drawing/2014/main" pred="{363C3072-3F8B-457E-AA00-29834E99B350}"/>
            </a:ext>
          </a:extLst>
        </xdr:cNvPr>
        <xdr:cNvPicPr>
          <a:picLocks noChangeAspect="1"/>
        </xdr:cNvPicPr>
      </xdr:nvPicPr>
      <xdr:blipFill>
        <a:blip xmlns:r="http://schemas.openxmlformats.org/officeDocument/2006/relationships" r:embed="rId2"/>
        <a:stretch>
          <a:fillRect/>
        </a:stretch>
      </xdr:blipFill>
      <xdr:spPr>
        <a:xfrm>
          <a:off x="4248150" y="7572375"/>
          <a:ext cx="4572000" cy="1133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17</xdr:col>
      <xdr:colOff>171451</xdr:colOff>
      <xdr:row>6</xdr:row>
      <xdr:rowOff>152400</xdr:rowOff>
    </xdr:from>
    <xdr:to>
      <xdr:col>26</xdr:col>
      <xdr:colOff>173161</xdr:colOff>
      <xdr:row>17</xdr:row>
      <xdr:rowOff>79054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95726" y="1495425"/>
          <a:ext cx="5469060" cy="2022154"/>
        </a:xfrm>
        <a:prstGeom prst="rect">
          <a:avLst/>
        </a:prstGeom>
      </xdr:spPr>
    </xdr:pic>
    <xdr:clientData/>
  </xdr:twoCellAnchor>
  <xdr:oneCellAnchor>
    <xdr:from>
      <xdr:col>17</xdr:col>
      <xdr:colOff>965</xdr:colOff>
      <xdr:row>53</xdr:row>
      <xdr:rowOff>0</xdr:rowOff>
    </xdr:from>
    <xdr:ext cx="5485435" cy="1818537"/>
    <xdr:pic>
      <xdr:nvPicPr>
        <xdr:cNvPr id="3" name="Picture 2">
          <a:extLst>
            <a:ext uri="{FF2B5EF4-FFF2-40B4-BE49-F238E27FC236}">
              <a16:creationId xmlns:a16="http://schemas.microsoft.com/office/drawing/2014/main" id="{C1C5A451-5C2D-4700-B16E-C983CE4FC151}"/>
            </a:ext>
            <a:ext uri="{147F2762-F138-4A5C-976F-8EAC2B608ADB}">
              <a16:predDERef xmlns:a16="http://schemas.microsoft.com/office/drawing/2014/main" pred="{56EA7532-F221-48DE-A714-D4B22170338C}"/>
            </a:ext>
          </a:extLst>
        </xdr:cNvPr>
        <xdr:cNvPicPr>
          <a:picLocks noChangeAspect="1"/>
        </xdr:cNvPicPr>
      </xdr:nvPicPr>
      <xdr:blipFill>
        <a:blip xmlns:r="http://schemas.openxmlformats.org/officeDocument/2006/relationships" r:embed="rId2"/>
        <a:stretch>
          <a:fillRect/>
        </a:stretch>
      </xdr:blipFill>
      <xdr:spPr>
        <a:xfrm>
          <a:off x="3725240" y="10534650"/>
          <a:ext cx="5485435" cy="1818537"/>
        </a:xfrm>
        <a:prstGeom prst="rect">
          <a:avLst/>
        </a:prstGeom>
      </xdr:spPr>
    </xdr:pic>
    <xdr:clientData/>
  </xdr:oneCellAnchor>
  <xdr:oneCellAnchor>
    <xdr:from>
      <xdr:col>17</xdr:col>
      <xdr:colOff>965</xdr:colOff>
      <xdr:row>95</xdr:row>
      <xdr:rowOff>0</xdr:rowOff>
    </xdr:from>
    <xdr:ext cx="5485435" cy="1818537"/>
    <xdr:pic>
      <xdr:nvPicPr>
        <xdr:cNvPr id="5" name="Picture 4">
          <a:extLst>
            <a:ext uri="{FF2B5EF4-FFF2-40B4-BE49-F238E27FC236}">
              <a16:creationId xmlns:a16="http://schemas.microsoft.com/office/drawing/2014/main" id="{B16F6F62-4FCC-46B7-90A6-F5890C0071CF}"/>
            </a:ext>
          </a:extLst>
        </xdr:cNvPr>
        <xdr:cNvPicPr>
          <a:picLocks noChangeAspect="1"/>
        </xdr:cNvPicPr>
      </xdr:nvPicPr>
      <xdr:blipFill>
        <a:blip xmlns:r="http://schemas.openxmlformats.org/officeDocument/2006/relationships" r:embed="rId2"/>
        <a:stretch>
          <a:fillRect/>
        </a:stretch>
      </xdr:blipFill>
      <xdr:spPr>
        <a:xfrm>
          <a:off x="3887165" y="9685020"/>
          <a:ext cx="5485435" cy="1818537"/>
        </a:xfrm>
        <a:prstGeom prst="rect">
          <a:avLst/>
        </a:prstGeom>
      </xdr:spPr>
    </xdr:pic>
    <xdr:clientData/>
  </xdr:oneCellAnchor>
  <xdr:twoCellAnchor>
    <xdr:from>
      <xdr:col>0</xdr:col>
      <xdr:colOff>0</xdr:colOff>
      <xdr:row>0</xdr:row>
      <xdr:rowOff>0</xdr:rowOff>
    </xdr:from>
    <xdr:to>
      <xdr:col>27</xdr:col>
      <xdr:colOff>114300</xdr:colOff>
      <xdr:row>55</xdr:row>
      <xdr:rowOff>152400</xdr:rowOff>
    </xdr:to>
    <xdr:sp macro="" textlink="">
      <xdr:nvSpPr>
        <xdr:cNvPr id="5201" name="AutoShape 81">
          <a:extLst>
            <a:ext uri="{FF2B5EF4-FFF2-40B4-BE49-F238E27FC236}">
              <a16:creationId xmlns:a16="http://schemas.microsoft.com/office/drawing/2014/main" id="{D3EEE506-10BF-5EB4-C4D7-898DA95AFE9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133350</xdr:colOff>
      <xdr:row>26</xdr:row>
      <xdr:rowOff>161925</xdr:rowOff>
    </xdr:from>
    <xdr:to>
      <xdr:col>19</xdr:col>
      <xdr:colOff>123825</xdr:colOff>
      <xdr:row>27</xdr:row>
      <xdr:rowOff>171450</xdr:rowOff>
    </xdr:to>
    <xdr:sp macro="" textlink="">
      <xdr:nvSpPr>
        <xdr:cNvPr id="20" name="Line 2">
          <a:extLst>
            <a:ext uri="{FF2B5EF4-FFF2-40B4-BE49-F238E27FC236}">
              <a16:creationId xmlns:a16="http://schemas.microsoft.com/office/drawing/2014/main" id="{663741D6-0950-4A94-86DD-E421CF1D5396}"/>
            </a:ext>
            <a:ext uri="{147F2762-F138-4A5C-976F-8EAC2B608ADB}">
              <a16:predDERef xmlns:a16="http://schemas.microsoft.com/office/drawing/2014/main" pred="{8A854AAA-B968-4303-B311-D028B5E41043}"/>
            </a:ext>
          </a:extLst>
        </xdr:cNvPr>
        <xdr:cNvSpPr>
          <a:spLocks noChangeShapeType="1"/>
        </xdr:cNvSpPr>
      </xdr:nvSpPr>
      <xdr:spPr bwMode="auto">
        <a:xfrm rot="-1651313" flipH="1">
          <a:off x="4543425" y="5886450"/>
          <a:ext cx="581025" cy="2000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 uri="{147F2762-F138-4A5C-976F-8EAC2B608ADB}">
              <a16:predDERef xmlns:a16="http://schemas.microsoft.com/office/drawing/2014/main" pred="{BCED2B5D-B682-4BAC-B958-9919269161B9}"/>
            </a:ext>
          </a:extLst>
        </xdr:cNvPr>
        <xdr:cNvSpPr txBox="1">
          <a:spLocks noChangeArrowheads="1"/>
        </xdr:cNvSpPr>
      </xdr:nvSpPr>
      <xdr:spPr bwMode="auto">
        <a:xfrm>
          <a:off x="4400550" y="600392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2" name="Rectangle 18">
          <a:extLst>
            <a:ext uri="{FF2B5EF4-FFF2-40B4-BE49-F238E27FC236}">
              <a16:creationId xmlns:a16="http://schemas.microsoft.com/office/drawing/2014/main" id="{9EDE951E-175F-4C11-A25C-CFF368943F8C}"/>
            </a:ext>
          </a:extLst>
        </xdr:cNvPr>
        <xdr:cNvSpPr>
          <a:spLocks noChangeArrowheads="1"/>
        </xdr:cNvSpPr>
      </xdr:nvSpPr>
      <xdr:spPr bwMode="auto">
        <a:xfrm rot="-1662453">
          <a:off x="4543425" y="5918200"/>
          <a:ext cx="276225" cy="2825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3" name="Line 2">
          <a:extLst>
            <a:ext uri="{FF2B5EF4-FFF2-40B4-BE49-F238E27FC236}">
              <a16:creationId xmlns:a16="http://schemas.microsoft.com/office/drawing/2014/main" id="{97DA4742-8E04-41BD-8AC7-C4C824E861EE}"/>
            </a:ext>
            <a:ext uri="{147F2762-F138-4A5C-976F-8EAC2B608ADB}">
              <a16:predDERef xmlns:a16="http://schemas.microsoft.com/office/drawing/2014/main" pred="{9EDE951E-175F-4C11-A25C-CFF368943F8C}"/>
            </a:ext>
          </a:extLst>
        </xdr:cNvPr>
        <xdr:cNvSpPr>
          <a:spLocks noChangeShapeType="1"/>
        </xdr:cNvSpPr>
      </xdr:nvSpPr>
      <xdr:spPr bwMode="auto">
        <a:xfrm rot="-1651313">
          <a:off x="4581525" y="5737225"/>
          <a:ext cx="0" cy="2000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4" name="AutoShape 5">
          <a:extLst>
            <a:ext uri="{FF2B5EF4-FFF2-40B4-BE49-F238E27FC236}">
              <a16:creationId xmlns:a16="http://schemas.microsoft.com/office/drawing/2014/main" id="{B908FA82-25EB-45F0-BB4A-5BFBC6F2073C}"/>
            </a:ext>
            <a:ext uri="{147F2762-F138-4A5C-976F-8EAC2B608ADB}">
              <a16:predDERef xmlns:a16="http://schemas.microsoft.com/office/drawing/2014/main" pred="{97DA4742-8E04-41BD-8AC7-C4C824E861EE}"/>
            </a:ext>
          </a:extLst>
        </xdr:cNvPr>
        <xdr:cNvSpPr>
          <a:spLocks noChangeArrowheads="1"/>
        </xdr:cNvSpPr>
      </xdr:nvSpPr>
      <xdr:spPr bwMode="auto">
        <a:xfrm rot="-6288120">
          <a:off x="4637088" y="869791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5" name="Line 6">
          <a:extLst>
            <a:ext uri="{FF2B5EF4-FFF2-40B4-BE49-F238E27FC236}">
              <a16:creationId xmlns:a16="http://schemas.microsoft.com/office/drawing/2014/main" id="{3FF58796-3C07-437E-B1F1-DFB5480D37D8}"/>
            </a:ext>
            <a:ext uri="{147F2762-F138-4A5C-976F-8EAC2B608ADB}">
              <a16:predDERef xmlns:a16="http://schemas.microsoft.com/office/drawing/2014/main" pred="{B908FA82-25EB-45F0-BB4A-5BFBC6F2073C}"/>
            </a:ext>
          </a:extLst>
        </xdr:cNvPr>
        <xdr:cNvSpPr>
          <a:spLocks noChangeShapeType="1"/>
        </xdr:cNvSpPr>
      </xdr:nvSpPr>
      <xdr:spPr bwMode="auto">
        <a:xfrm flipH="1">
          <a:off x="4667250" y="6048375"/>
          <a:ext cx="9525" cy="28956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6" name="Line 7">
          <a:extLst>
            <a:ext uri="{FF2B5EF4-FFF2-40B4-BE49-F238E27FC236}">
              <a16:creationId xmlns:a16="http://schemas.microsoft.com/office/drawing/2014/main" id="{BF19570D-37B3-456D-A196-CCC2D2EF5573}"/>
            </a:ext>
            <a:ext uri="{147F2762-F138-4A5C-976F-8EAC2B608ADB}">
              <a16:predDERef xmlns:a16="http://schemas.microsoft.com/office/drawing/2014/main" pred="{3FF58796-3C07-437E-B1F1-DFB5480D37D8}"/>
            </a:ext>
          </a:extLst>
        </xdr:cNvPr>
        <xdr:cNvSpPr>
          <a:spLocks noChangeShapeType="1"/>
        </xdr:cNvSpPr>
      </xdr:nvSpPr>
      <xdr:spPr bwMode="auto">
        <a:xfrm>
          <a:off x="4676775" y="6048375"/>
          <a:ext cx="628650" cy="16129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7" name="Line 8">
          <a:extLst>
            <a:ext uri="{FF2B5EF4-FFF2-40B4-BE49-F238E27FC236}">
              <a16:creationId xmlns:a16="http://schemas.microsoft.com/office/drawing/2014/main" id="{D1F4AAB6-2474-49B5-AECE-B7FA236D0695}"/>
            </a:ext>
            <a:ext uri="{147F2762-F138-4A5C-976F-8EAC2B608ADB}">
              <a16:predDERef xmlns:a16="http://schemas.microsoft.com/office/drawing/2014/main" pred="{BF19570D-37B3-456D-A196-CCC2D2EF5573}"/>
            </a:ext>
          </a:extLst>
        </xdr:cNvPr>
        <xdr:cNvSpPr>
          <a:spLocks noChangeShapeType="1"/>
        </xdr:cNvSpPr>
      </xdr:nvSpPr>
      <xdr:spPr bwMode="auto">
        <a:xfrm flipH="1" flipV="1">
          <a:off x="4286250" y="7219950"/>
          <a:ext cx="361950" cy="1714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8" name="Text Box 9">
          <a:extLst>
            <a:ext uri="{FF2B5EF4-FFF2-40B4-BE49-F238E27FC236}">
              <a16:creationId xmlns:a16="http://schemas.microsoft.com/office/drawing/2014/main" id="{F4C23153-7A0D-4474-911B-9226997C1CBA}"/>
            </a:ext>
            <a:ext uri="{147F2762-F138-4A5C-976F-8EAC2B608ADB}">
              <a16:predDERef xmlns:a16="http://schemas.microsoft.com/office/drawing/2014/main" pred="{D1F4AAB6-2474-49B5-AECE-B7FA236D0695}"/>
            </a:ext>
          </a:extLst>
        </xdr:cNvPr>
        <xdr:cNvSpPr txBox="1">
          <a:spLocks noChangeArrowheads="1"/>
        </xdr:cNvSpPr>
      </xdr:nvSpPr>
      <xdr:spPr bwMode="auto">
        <a:xfrm>
          <a:off x="4927600" y="74453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9" name="Line 10">
          <a:extLst>
            <a:ext uri="{FF2B5EF4-FFF2-40B4-BE49-F238E27FC236}">
              <a16:creationId xmlns:a16="http://schemas.microsoft.com/office/drawing/2014/main" id="{3870E7CE-EF5B-4CF7-8B65-D35E24BF4C56}"/>
            </a:ext>
            <a:ext uri="{147F2762-F138-4A5C-976F-8EAC2B608ADB}">
              <a16:predDERef xmlns:a16="http://schemas.microsoft.com/office/drawing/2014/main" pred="{F4C23153-7A0D-4474-911B-9226997C1CBA}"/>
            </a:ext>
          </a:extLst>
        </xdr:cNvPr>
        <xdr:cNvSpPr>
          <a:spLocks noChangeShapeType="1"/>
        </xdr:cNvSpPr>
      </xdr:nvSpPr>
      <xdr:spPr bwMode="auto">
        <a:xfrm flipH="1">
          <a:off x="4695825" y="75914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10" name="Line 11">
          <a:extLst>
            <a:ext uri="{FF2B5EF4-FFF2-40B4-BE49-F238E27FC236}">
              <a16:creationId xmlns:a16="http://schemas.microsoft.com/office/drawing/2014/main" id="{EAE1A37E-40F7-4F54-A075-760C3C5D9342}"/>
            </a:ext>
            <a:ext uri="{147F2762-F138-4A5C-976F-8EAC2B608ADB}">
              <a16:predDERef xmlns:a16="http://schemas.microsoft.com/office/drawing/2014/main" pred="{3870E7CE-EF5B-4CF7-8B65-D35E24BF4C56}"/>
            </a:ext>
          </a:extLst>
        </xdr:cNvPr>
        <xdr:cNvSpPr>
          <a:spLocks noChangeShapeType="1"/>
        </xdr:cNvSpPr>
      </xdr:nvSpPr>
      <xdr:spPr bwMode="auto">
        <a:xfrm flipV="1">
          <a:off x="5038725" y="740092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11" name="Text Box 12">
          <a:extLst>
            <a:ext uri="{FF2B5EF4-FFF2-40B4-BE49-F238E27FC236}">
              <a16:creationId xmlns:a16="http://schemas.microsoft.com/office/drawing/2014/main" id="{3EBD3A29-1280-4674-AF70-C616AA26168C}"/>
            </a:ext>
            <a:ext uri="{147F2762-F138-4A5C-976F-8EAC2B608ADB}">
              <a16:predDERef xmlns:a16="http://schemas.microsoft.com/office/drawing/2014/main" pred="{EAE1A37E-40F7-4F54-A075-760C3C5D9342}"/>
            </a:ext>
          </a:extLst>
        </xdr:cNvPr>
        <xdr:cNvSpPr txBox="1">
          <a:spLocks noChangeArrowheads="1"/>
        </xdr:cNvSpPr>
      </xdr:nvSpPr>
      <xdr:spPr bwMode="auto">
        <a:xfrm>
          <a:off x="4451350" y="72421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12" name="Line 13">
          <a:extLst>
            <a:ext uri="{FF2B5EF4-FFF2-40B4-BE49-F238E27FC236}">
              <a16:creationId xmlns:a16="http://schemas.microsoft.com/office/drawing/2014/main" id="{F031D84C-E3F0-49A9-BB21-412633EB7B16}"/>
            </a:ext>
            <a:ext uri="{147F2762-F138-4A5C-976F-8EAC2B608ADB}">
              <a16:predDERef xmlns:a16="http://schemas.microsoft.com/office/drawing/2014/main" pred="{3EBD3A29-1280-4674-AF70-C616AA26168C}"/>
            </a:ext>
          </a:extLst>
        </xdr:cNvPr>
        <xdr:cNvSpPr>
          <a:spLocks noChangeShapeType="1"/>
        </xdr:cNvSpPr>
      </xdr:nvSpPr>
      <xdr:spPr bwMode="auto">
        <a:xfrm flipV="1">
          <a:off x="4591050" y="72294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13" name="Line 14">
          <a:extLst>
            <a:ext uri="{FF2B5EF4-FFF2-40B4-BE49-F238E27FC236}">
              <a16:creationId xmlns:a16="http://schemas.microsoft.com/office/drawing/2014/main" id="{728FBDFF-3F17-4CE5-9836-0F1A59E1FDE9}"/>
            </a:ext>
            <a:ext uri="{147F2762-F138-4A5C-976F-8EAC2B608ADB}">
              <a16:predDERef xmlns:a16="http://schemas.microsoft.com/office/drawing/2014/main" pred="{F031D84C-E3F0-49A9-BB21-412633EB7B16}"/>
            </a:ext>
          </a:extLst>
        </xdr:cNvPr>
        <xdr:cNvSpPr>
          <a:spLocks noChangeShapeType="1"/>
        </xdr:cNvSpPr>
      </xdr:nvSpPr>
      <xdr:spPr bwMode="auto">
        <a:xfrm flipH="1">
          <a:off x="4305300" y="7343775"/>
          <a:ext cx="14287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14" name="AutoShape 15">
          <a:extLst>
            <a:ext uri="{FF2B5EF4-FFF2-40B4-BE49-F238E27FC236}">
              <a16:creationId xmlns:a16="http://schemas.microsoft.com/office/drawing/2014/main" id="{550E3C40-43D9-49BF-A8F9-ADFAE48FFCF9}"/>
            </a:ext>
            <a:ext uri="{147F2762-F138-4A5C-976F-8EAC2B608ADB}">
              <a16:predDERef xmlns:a16="http://schemas.microsoft.com/office/drawing/2014/main" pred="{728FBDFF-3F17-4CE5-9836-0F1A59E1FDE9}"/>
            </a:ext>
          </a:extLst>
        </xdr:cNvPr>
        <xdr:cNvSpPr>
          <a:spLocks noChangeArrowheads="1"/>
        </xdr:cNvSpPr>
      </xdr:nvSpPr>
      <xdr:spPr bwMode="auto">
        <a:xfrm>
          <a:off x="4562475" y="9023350"/>
          <a:ext cx="190500" cy="2825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15" name="Line 16">
          <a:extLst>
            <a:ext uri="{FF2B5EF4-FFF2-40B4-BE49-F238E27FC236}">
              <a16:creationId xmlns:a16="http://schemas.microsoft.com/office/drawing/2014/main" id="{C161DF5D-DD75-4FE5-9958-F9FF4E5B1031}"/>
            </a:ext>
            <a:ext uri="{147F2762-F138-4A5C-976F-8EAC2B608ADB}">
              <a16:predDERef xmlns:a16="http://schemas.microsoft.com/office/drawing/2014/main" pred="{550E3C40-43D9-49BF-A8F9-ADFAE48FFCF9}"/>
            </a:ext>
          </a:extLst>
        </xdr:cNvPr>
        <xdr:cNvSpPr>
          <a:spLocks noChangeShapeType="1"/>
        </xdr:cNvSpPr>
      </xdr:nvSpPr>
      <xdr:spPr bwMode="auto">
        <a:xfrm flipH="1">
          <a:off x="4181475" y="6127750"/>
          <a:ext cx="36195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16" name="Line 17">
          <a:extLst>
            <a:ext uri="{FF2B5EF4-FFF2-40B4-BE49-F238E27FC236}">
              <a16:creationId xmlns:a16="http://schemas.microsoft.com/office/drawing/2014/main" id="{33402D5A-6872-46B0-95E4-F6042386EB6A}"/>
            </a:ext>
            <a:ext uri="{147F2762-F138-4A5C-976F-8EAC2B608ADB}">
              <a16:predDERef xmlns:a16="http://schemas.microsoft.com/office/drawing/2014/main" pred="{C161DF5D-DD75-4FE5-9958-F9FF4E5B1031}"/>
            </a:ext>
          </a:extLst>
        </xdr:cNvPr>
        <xdr:cNvSpPr>
          <a:spLocks noChangeShapeType="1"/>
        </xdr:cNvSpPr>
      </xdr:nvSpPr>
      <xdr:spPr bwMode="auto">
        <a:xfrm flipH="1">
          <a:off x="4810125" y="5775325"/>
          <a:ext cx="266700" cy="180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17" name="AutoShape 18">
          <a:extLst>
            <a:ext uri="{FF2B5EF4-FFF2-40B4-BE49-F238E27FC236}">
              <a16:creationId xmlns:a16="http://schemas.microsoft.com/office/drawing/2014/main" id="{EC7BEEA8-2422-4F42-92F6-4B5740D62E83}"/>
            </a:ext>
            <a:ext uri="{147F2762-F138-4A5C-976F-8EAC2B608ADB}">
              <a16:predDERef xmlns:a16="http://schemas.microsoft.com/office/drawing/2014/main" pred="{33402D5A-6872-46B0-95E4-F6042386EB6A}"/>
            </a:ext>
          </a:extLst>
        </xdr:cNvPr>
        <xdr:cNvSpPr>
          <a:spLocks noChangeArrowheads="1"/>
        </xdr:cNvSpPr>
      </xdr:nvSpPr>
      <xdr:spPr bwMode="auto">
        <a:xfrm rot="3473625">
          <a:off x="4716463" y="6116637"/>
          <a:ext cx="10160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18" name="Text Box 35">
          <a:extLst>
            <a:ext uri="{FF2B5EF4-FFF2-40B4-BE49-F238E27FC236}">
              <a16:creationId xmlns:a16="http://schemas.microsoft.com/office/drawing/2014/main" id="{4B6F8BF7-0A25-42E3-A0C5-CE9FE0849398}"/>
            </a:ext>
            <a:ext uri="{147F2762-F138-4A5C-976F-8EAC2B608ADB}">
              <a16:predDERef xmlns:a16="http://schemas.microsoft.com/office/drawing/2014/main" pred="{EC7BEEA8-2422-4F42-92F6-4B5740D62E83}"/>
            </a:ext>
          </a:extLst>
        </xdr:cNvPr>
        <xdr:cNvSpPr txBox="1">
          <a:spLocks noChangeArrowheads="1"/>
        </xdr:cNvSpPr>
      </xdr:nvSpPr>
      <xdr:spPr bwMode="auto">
        <a:xfrm>
          <a:off x="4400550" y="5718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19" name="Text Box 37">
          <a:extLst>
            <a:ext uri="{FF2B5EF4-FFF2-40B4-BE49-F238E27FC236}">
              <a16:creationId xmlns:a16="http://schemas.microsoft.com/office/drawing/2014/main" id="{B3402B9C-FE25-426D-BB38-34411D6DC1A2}"/>
            </a:ext>
            <a:ext uri="{147F2762-F138-4A5C-976F-8EAC2B608ADB}">
              <a16:predDERef xmlns:a16="http://schemas.microsoft.com/office/drawing/2014/main" pred="{4B6F8BF7-0A25-42E3-A0C5-CE9FE0849398}"/>
            </a:ext>
          </a:extLst>
        </xdr:cNvPr>
        <xdr:cNvSpPr txBox="1">
          <a:spLocks noChangeArrowheads="1"/>
        </xdr:cNvSpPr>
      </xdr:nvSpPr>
      <xdr:spPr bwMode="auto">
        <a:xfrm>
          <a:off x="4873625" y="635635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20" name="Text Box 47">
          <a:extLst>
            <a:ext uri="{FF2B5EF4-FFF2-40B4-BE49-F238E27FC236}">
              <a16:creationId xmlns:a16="http://schemas.microsoft.com/office/drawing/2014/main" id="{6DE3D174-52DD-43D4-B0BF-96D769D3BA15}"/>
            </a:ext>
            <a:ext uri="{147F2762-F138-4A5C-976F-8EAC2B608ADB}">
              <a16:predDERef xmlns:a16="http://schemas.microsoft.com/office/drawing/2014/main" pred="{B3402B9C-FE25-426D-BB38-34411D6DC1A2}"/>
            </a:ext>
          </a:extLst>
        </xdr:cNvPr>
        <xdr:cNvSpPr txBox="1">
          <a:spLocks noChangeArrowheads="1"/>
        </xdr:cNvSpPr>
      </xdr:nvSpPr>
      <xdr:spPr bwMode="auto">
        <a:xfrm>
          <a:off x="5448300" y="672782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21" name="Line 49">
          <a:extLst>
            <a:ext uri="{FF2B5EF4-FFF2-40B4-BE49-F238E27FC236}">
              <a16:creationId xmlns:a16="http://schemas.microsoft.com/office/drawing/2014/main" id="{0A795E67-AF49-4EAF-89C6-0A61F9B37227}"/>
            </a:ext>
            <a:ext uri="{147F2762-F138-4A5C-976F-8EAC2B608ADB}">
              <a16:predDERef xmlns:a16="http://schemas.microsoft.com/office/drawing/2014/main" pred="{6DE3D174-52DD-43D4-B0BF-96D769D3BA15}"/>
            </a:ext>
          </a:extLst>
        </xdr:cNvPr>
        <xdr:cNvSpPr>
          <a:spLocks noChangeShapeType="1"/>
        </xdr:cNvSpPr>
      </xdr:nvSpPr>
      <xdr:spPr bwMode="auto">
        <a:xfrm flipH="1">
          <a:off x="5000625" y="6800850"/>
          <a:ext cx="400050"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22" name="Text Box 36">
          <a:extLst>
            <a:ext uri="{FF2B5EF4-FFF2-40B4-BE49-F238E27FC236}">
              <a16:creationId xmlns:a16="http://schemas.microsoft.com/office/drawing/2014/main" id="{1F12B8AC-15AD-496A-B3FC-AD922EA71330}"/>
            </a:ext>
            <a:ext uri="{147F2762-F138-4A5C-976F-8EAC2B608ADB}">
              <a16:predDERef xmlns:a16="http://schemas.microsoft.com/office/drawing/2014/main" pred="{0A795E67-AF49-4EAF-89C6-0A61F9B37227}"/>
            </a:ext>
          </a:extLst>
        </xdr:cNvPr>
        <xdr:cNvSpPr txBox="1">
          <a:spLocks noChangeArrowheads="1"/>
        </xdr:cNvSpPr>
      </xdr:nvSpPr>
      <xdr:spPr bwMode="auto">
        <a:xfrm>
          <a:off x="4000500" y="623887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23" name="Picture 39">
          <a:extLst>
            <a:ext uri="{FF2B5EF4-FFF2-40B4-BE49-F238E27FC236}">
              <a16:creationId xmlns:a16="http://schemas.microsoft.com/office/drawing/2014/main" id="{135C9F6E-16BB-4C1B-8EB4-6E3AB790C246}"/>
            </a:ext>
            <a:ext uri="{147F2762-F138-4A5C-976F-8EAC2B608ADB}">
              <a16:predDERef xmlns:a16="http://schemas.microsoft.com/office/drawing/2014/main" pred="{1F12B8AC-15AD-496A-B3FC-AD922EA71330}"/>
            </a:ext>
          </a:extLst>
        </xdr:cNvPr>
        <xdr:cNvPicPr>
          <a:picLocks noChangeAspect="1"/>
        </xdr:cNvPicPr>
      </xdr:nvPicPr>
      <xdr:blipFill>
        <a:blip xmlns:r="http://schemas.openxmlformats.org/officeDocument/2006/relationships" r:embed="rId1"/>
        <a:stretch>
          <a:fillRect/>
        </a:stretch>
      </xdr:blipFill>
      <xdr:spPr>
        <a:xfrm>
          <a:off x="7353300" y="10793970"/>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24" name="Rectangle 19">
          <a:extLst>
            <a:ext uri="{FF2B5EF4-FFF2-40B4-BE49-F238E27FC236}">
              <a16:creationId xmlns:a16="http://schemas.microsoft.com/office/drawing/2014/main" id="{5E1C2B86-E5CD-44E4-B015-330C2978E12F}"/>
            </a:ext>
            <a:ext uri="{147F2762-F138-4A5C-976F-8EAC2B608ADB}">
              <a16:predDERef xmlns:a16="http://schemas.microsoft.com/office/drawing/2014/main" pred="{135C9F6E-16BB-4C1B-8EB4-6E3AB790C246}"/>
            </a:ext>
          </a:extLst>
        </xdr:cNvPr>
        <xdr:cNvSpPr>
          <a:spLocks noChangeArrowheads="1"/>
        </xdr:cNvSpPr>
      </xdr:nvSpPr>
      <xdr:spPr bwMode="auto">
        <a:xfrm rot="-1662453">
          <a:off x="5114925" y="14557375"/>
          <a:ext cx="276225" cy="24765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25" name="Line 20">
          <a:extLst>
            <a:ext uri="{FF2B5EF4-FFF2-40B4-BE49-F238E27FC236}">
              <a16:creationId xmlns:a16="http://schemas.microsoft.com/office/drawing/2014/main" id="{A2A344C1-8EAD-4087-A935-1C4C54842DD7}"/>
            </a:ext>
            <a:ext uri="{147F2762-F138-4A5C-976F-8EAC2B608ADB}">
              <a16:predDERef xmlns:a16="http://schemas.microsoft.com/office/drawing/2014/main" pred="{5E1C2B86-E5CD-44E4-B015-330C2978E12F}"/>
            </a:ext>
          </a:extLst>
        </xdr:cNvPr>
        <xdr:cNvSpPr>
          <a:spLocks noChangeShapeType="1"/>
        </xdr:cNvSpPr>
      </xdr:nvSpPr>
      <xdr:spPr bwMode="auto">
        <a:xfrm rot="-1651313">
          <a:off x="5153025" y="14385925"/>
          <a:ext cx="0" cy="19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26" name="AutoShape 21">
          <a:extLst>
            <a:ext uri="{FF2B5EF4-FFF2-40B4-BE49-F238E27FC236}">
              <a16:creationId xmlns:a16="http://schemas.microsoft.com/office/drawing/2014/main" id="{D7F6B6C1-356F-42F0-87C9-F2F1362AE1AD}"/>
            </a:ext>
            <a:ext uri="{147F2762-F138-4A5C-976F-8EAC2B608ADB}">
              <a16:predDERef xmlns:a16="http://schemas.microsoft.com/office/drawing/2014/main" pred="{A2A344C1-8EAD-4087-A935-1C4C54842DD7}"/>
            </a:ext>
          </a:extLst>
        </xdr:cNvPr>
        <xdr:cNvSpPr>
          <a:spLocks noChangeArrowheads="1"/>
        </xdr:cNvSpPr>
      </xdr:nvSpPr>
      <xdr:spPr bwMode="auto">
        <a:xfrm rot="-6288120">
          <a:off x="5213350" y="17189450"/>
          <a:ext cx="88900" cy="51435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27" name="Line 22">
          <a:extLst>
            <a:ext uri="{FF2B5EF4-FFF2-40B4-BE49-F238E27FC236}">
              <a16:creationId xmlns:a16="http://schemas.microsoft.com/office/drawing/2014/main" id="{E46295D0-6BAB-48E0-B61C-BEDFFAAC2369}"/>
            </a:ext>
            <a:ext uri="{147F2762-F138-4A5C-976F-8EAC2B608ADB}">
              <a16:predDERef xmlns:a16="http://schemas.microsoft.com/office/drawing/2014/main" pred="{D7F6B6C1-356F-42F0-87C9-F2F1362AE1AD}"/>
            </a:ext>
          </a:extLst>
        </xdr:cNvPr>
        <xdr:cNvSpPr>
          <a:spLocks noChangeShapeType="1"/>
        </xdr:cNvSpPr>
      </xdr:nvSpPr>
      <xdr:spPr bwMode="auto">
        <a:xfrm flipH="1">
          <a:off x="5238750" y="14678025"/>
          <a:ext cx="9525" cy="275272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28" name="Line 23">
          <a:extLst>
            <a:ext uri="{FF2B5EF4-FFF2-40B4-BE49-F238E27FC236}">
              <a16:creationId xmlns:a16="http://schemas.microsoft.com/office/drawing/2014/main" id="{4340D908-9E16-4812-AF9E-C3CFB60F7244}"/>
            </a:ext>
            <a:ext uri="{147F2762-F138-4A5C-976F-8EAC2B608ADB}">
              <a16:predDERef xmlns:a16="http://schemas.microsoft.com/office/drawing/2014/main" pred="{E46295D0-6BAB-48E0-B61C-BEDFFAAC2369}"/>
            </a:ext>
          </a:extLst>
        </xdr:cNvPr>
        <xdr:cNvSpPr>
          <a:spLocks noChangeShapeType="1"/>
        </xdr:cNvSpPr>
      </xdr:nvSpPr>
      <xdr:spPr bwMode="auto">
        <a:xfrm>
          <a:off x="5248275" y="14678025"/>
          <a:ext cx="923925" cy="1536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29" name="Line 24">
          <a:extLst>
            <a:ext uri="{FF2B5EF4-FFF2-40B4-BE49-F238E27FC236}">
              <a16:creationId xmlns:a16="http://schemas.microsoft.com/office/drawing/2014/main" id="{7910BF3C-C818-40FA-9E21-45C89CE4A0B5}"/>
            </a:ext>
            <a:ext uri="{147F2762-F138-4A5C-976F-8EAC2B608ADB}">
              <a16:predDERef xmlns:a16="http://schemas.microsoft.com/office/drawing/2014/main" pred="{4340D908-9E16-4812-AF9E-C3CFB60F7244}"/>
            </a:ext>
          </a:extLst>
        </xdr:cNvPr>
        <xdr:cNvSpPr>
          <a:spLocks noChangeShapeType="1"/>
        </xdr:cNvSpPr>
      </xdr:nvSpPr>
      <xdr:spPr bwMode="auto">
        <a:xfrm flipH="1" flipV="1">
          <a:off x="4953000" y="15792450"/>
          <a:ext cx="266700" cy="162877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30" name="Text Box 25">
          <a:extLst>
            <a:ext uri="{FF2B5EF4-FFF2-40B4-BE49-F238E27FC236}">
              <a16:creationId xmlns:a16="http://schemas.microsoft.com/office/drawing/2014/main" id="{DD6CE366-736A-443E-9835-8CA3ABF69A20}"/>
            </a:ext>
            <a:ext uri="{147F2762-F138-4A5C-976F-8EAC2B608ADB}">
              <a16:predDERef xmlns:a16="http://schemas.microsoft.com/office/drawing/2014/main" pred="{7910BF3C-C818-40FA-9E21-45C89CE4A0B5}"/>
            </a:ext>
          </a:extLst>
        </xdr:cNvPr>
        <xdr:cNvSpPr txBox="1">
          <a:spLocks noChangeArrowheads="1"/>
        </xdr:cNvSpPr>
      </xdr:nvSpPr>
      <xdr:spPr bwMode="auto">
        <a:xfrm>
          <a:off x="5499100" y="160051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31" name="Line 26">
          <a:extLst>
            <a:ext uri="{FF2B5EF4-FFF2-40B4-BE49-F238E27FC236}">
              <a16:creationId xmlns:a16="http://schemas.microsoft.com/office/drawing/2014/main" id="{29164496-5DCA-44F1-B7F2-22BB89995ACD}"/>
            </a:ext>
            <a:ext uri="{147F2762-F138-4A5C-976F-8EAC2B608ADB}">
              <a16:predDERef xmlns:a16="http://schemas.microsoft.com/office/drawing/2014/main" pred="{DD6CE366-736A-443E-9835-8CA3ABF69A20}"/>
            </a:ext>
          </a:extLst>
        </xdr:cNvPr>
        <xdr:cNvSpPr>
          <a:spLocks noChangeShapeType="1"/>
        </xdr:cNvSpPr>
      </xdr:nvSpPr>
      <xdr:spPr bwMode="auto">
        <a:xfrm flipH="1">
          <a:off x="5267325" y="1614487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32" name="Line 27">
          <a:extLst>
            <a:ext uri="{FF2B5EF4-FFF2-40B4-BE49-F238E27FC236}">
              <a16:creationId xmlns:a16="http://schemas.microsoft.com/office/drawing/2014/main" id="{AEA536A0-9E5B-4602-89FB-7001A48BFB70}"/>
            </a:ext>
            <a:ext uri="{147F2762-F138-4A5C-976F-8EAC2B608ADB}">
              <a16:predDERef xmlns:a16="http://schemas.microsoft.com/office/drawing/2014/main" pred="{29164496-5DCA-44F1-B7F2-22BB89995ACD}"/>
            </a:ext>
          </a:extLst>
        </xdr:cNvPr>
        <xdr:cNvSpPr>
          <a:spLocks noChangeShapeType="1"/>
        </xdr:cNvSpPr>
      </xdr:nvSpPr>
      <xdr:spPr bwMode="auto">
        <a:xfrm flipV="1">
          <a:off x="5905500" y="15963900"/>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33" name="Text Box 28">
          <a:extLst>
            <a:ext uri="{FF2B5EF4-FFF2-40B4-BE49-F238E27FC236}">
              <a16:creationId xmlns:a16="http://schemas.microsoft.com/office/drawing/2014/main" id="{47BAAFB3-1B3F-4141-A836-442684CA6303}"/>
            </a:ext>
            <a:ext uri="{147F2762-F138-4A5C-976F-8EAC2B608ADB}">
              <a16:predDERef xmlns:a16="http://schemas.microsoft.com/office/drawing/2014/main" pred="{AEA536A0-9E5B-4602-89FB-7001A48BFB70}"/>
            </a:ext>
          </a:extLst>
        </xdr:cNvPr>
        <xdr:cNvSpPr txBox="1">
          <a:spLocks noChangeArrowheads="1"/>
        </xdr:cNvSpPr>
      </xdr:nvSpPr>
      <xdr:spPr bwMode="auto">
        <a:xfrm>
          <a:off x="5022850" y="157956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34" name="Line 29">
          <a:extLst>
            <a:ext uri="{FF2B5EF4-FFF2-40B4-BE49-F238E27FC236}">
              <a16:creationId xmlns:a16="http://schemas.microsoft.com/office/drawing/2014/main" id="{BE3AF402-E3FF-4280-A350-EBA8FDDF78BC}"/>
            </a:ext>
            <a:ext uri="{147F2762-F138-4A5C-976F-8EAC2B608ADB}">
              <a16:predDERef xmlns:a16="http://schemas.microsoft.com/office/drawing/2014/main" pred="{47BAAFB3-1B3F-4141-A836-442684CA6303}"/>
            </a:ext>
          </a:extLst>
        </xdr:cNvPr>
        <xdr:cNvSpPr>
          <a:spLocks noChangeShapeType="1"/>
        </xdr:cNvSpPr>
      </xdr:nvSpPr>
      <xdr:spPr bwMode="auto">
        <a:xfrm flipV="1">
          <a:off x="5162550" y="158019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35" name="Line 30">
          <a:extLst>
            <a:ext uri="{FF2B5EF4-FFF2-40B4-BE49-F238E27FC236}">
              <a16:creationId xmlns:a16="http://schemas.microsoft.com/office/drawing/2014/main" id="{8ADD4506-72C0-4038-B096-D9E9B6F4704C}"/>
            </a:ext>
            <a:ext uri="{147F2762-F138-4A5C-976F-8EAC2B608ADB}">
              <a16:predDERef xmlns:a16="http://schemas.microsoft.com/office/drawing/2014/main" pred="{BE3AF402-E3FF-4280-A350-EBA8FDDF78BC}"/>
            </a:ext>
          </a:extLst>
        </xdr:cNvPr>
        <xdr:cNvSpPr>
          <a:spLocks noChangeShapeType="1"/>
        </xdr:cNvSpPr>
      </xdr:nvSpPr>
      <xdr:spPr bwMode="auto">
        <a:xfrm flipH="1">
          <a:off x="4972050" y="15890875"/>
          <a:ext cx="47625" cy="44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36" name="AutoShape 31">
          <a:extLst>
            <a:ext uri="{FF2B5EF4-FFF2-40B4-BE49-F238E27FC236}">
              <a16:creationId xmlns:a16="http://schemas.microsoft.com/office/drawing/2014/main" id="{E746454B-4042-4FFA-A783-CFE3F79901E6}"/>
            </a:ext>
            <a:ext uri="{147F2762-F138-4A5C-976F-8EAC2B608ADB}">
              <a16:predDERef xmlns:a16="http://schemas.microsoft.com/office/drawing/2014/main" pred="{8ADD4506-72C0-4038-B096-D9E9B6F4704C}"/>
            </a:ext>
          </a:extLst>
        </xdr:cNvPr>
        <xdr:cNvSpPr>
          <a:spLocks noChangeArrowheads="1"/>
        </xdr:cNvSpPr>
      </xdr:nvSpPr>
      <xdr:spPr bwMode="auto">
        <a:xfrm>
          <a:off x="5133975" y="17510125"/>
          <a:ext cx="190500" cy="2635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37" name="Line 32">
          <a:extLst>
            <a:ext uri="{FF2B5EF4-FFF2-40B4-BE49-F238E27FC236}">
              <a16:creationId xmlns:a16="http://schemas.microsoft.com/office/drawing/2014/main" id="{2B6384C8-28E0-4192-9E31-20FBB70F944D}"/>
            </a:ext>
            <a:ext uri="{147F2762-F138-4A5C-976F-8EAC2B608ADB}">
              <a16:predDERef xmlns:a16="http://schemas.microsoft.com/office/drawing/2014/main" pred="{E746454B-4042-4FFA-A783-CFE3F79901E6}"/>
            </a:ext>
          </a:extLst>
        </xdr:cNvPr>
        <xdr:cNvSpPr>
          <a:spLocks noChangeShapeType="1"/>
        </xdr:cNvSpPr>
      </xdr:nvSpPr>
      <xdr:spPr bwMode="auto">
        <a:xfrm flipH="1">
          <a:off x="4848225" y="14757400"/>
          <a:ext cx="266700"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38" name="Line 33">
          <a:extLst>
            <a:ext uri="{FF2B5EF4-FFF2-40B4-BE49-F238E27FC236}">
              <a16:creationId xmlns:a16="http://schemas.microsoft.com/office/drawing/2014/main" id="{5772EE35-CF2E-4D32-8245-D28DF58D9C1A}"/>
            </a:ext>
            <a:ext uri="{147F2762-F138-4A5C-976F-8EAC2B608ADB}">
              <a16:predDERef xmlns:a16="http://schemas.microsoft.com/office/drawing/2014/main" pred="{2B6384C8-28E0-4192-9E31-20FBB70F944D}"/>
            </a:ext>
          </a:extLst>
        </xdr:cNvPr>
        <xdr:cNvSpPr>
          <a:spLocks noChangeShapeType="1"/>
        </xdr:cNvSpPr>
      </xdr:nvSpPr>
      <xdr:spPr bwMode="auto">
        <a:xfrm flipH="1">
          <a:off x="5381625" y="14424025"/>
          <a:ext cx="561975" cy="171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39" name="AutoShape 34">
          <a:extLst>
            <a:ext uri="{FF2B5EF4-FFF2-40B4-BE49-F238E27FC236}">
              <a16:creationId xmlns:a16="http://schemas.microsoft.com/office/drawing/2014/main" id="{ECBD7468-8622-401C-88E7-12F792A0BB24}"/>
            </a:ext>
            <a:ext uri="{147F2762-F138-4A5C-976F-8EAC2B608ADB}">
              <a16:predDERef xmlns:a16="http://schemas.microsoft.com/office/drawing/2014/main" pred="{5772EE35-CF2E-4D32-8245-D28DF58D9C1A}"/>
            </a:ext>
          </a:extLst>
        </xdr:cNvPr>
        <xdr:cNvSpPr>
          <a:spLocks noChangeArrowheads="1"/>
        </xdr:cNvSpPr>
      </xdr:nvSpPr>
      <xdr:spPr bwMode="auto">
        <a:xfrm rot="3473625">
          <a:off x="5292725" y="14741525"/>
          <a:ext cx="9207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40" name="Text Box 38">
          <a:extLst>
            <a:ext uri="{FF2B5EF4-FFF2-40B4-BE49-F238E27FC236}">
              <a16:creationId xmlns:a16="http://schemas.microsoft.com/office/drawing/2014/main" id="{EE8ED9FD-08C4-44BE-9865-72B4F55FD098}"/>
            </a:ext>
            <a:ext uri="{147F2762-F138-4A5C-976F-8EAC2B608ADB}">
              <a16:predDERef xmlns:a16="http://schemas.microsoft.com/office/drawing/2014/main" pred="{ECBD7468-8622-401C-88E7-12F792A0BB24}"/>
            </a:ext>
          </a:extLst>
        </xdr:cNvPr>
        <xdr:cNvSpPr txBox="1">
          <a:spLocks noChangeArrowheads="1"/>
        </xdr:cNvSpPr>
      </xdr:nvSpPr>
      <xdr:spPr bwMode="auto">
        <a:xfrm>
          <a:off x="4994275" y="14236700"/>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41" name="Text Box 39">
          <a:extLst>
            <a:ext uri="{FF2B5EF4-FFF2-40B4-BE49-F238E27FC236}">
              <a16:creationId xmlns:a16="http://schemas.microsoft.com/office/drawing/2014/main" id="{E81E42F2-394C-4C0C-B909-ACC92942E054}"/>
            </a:ext>
            <a:ext uri="{147F2762-F138-4A5C-976F-8EAC2B608ADB}">
              <a16:predDERef xmlns:a16="http://schemas.microsoft.com/office/drawing/2014/main" pred="{EE8ED9FD-08C4-44BE-9865-72B4F55FD098}"/>
            </a:ext>
          </a:extLst>
        </xdr:cNvPr>
        <xdr:cNvSpPr txBox="1">
          <a:spLocks noChangeArrowheads="1"/>
        </xdr:cNvSpPr>
      </xdr:nvSpPr>
      <xdr:spPr bwMode="auto">
        <a:xfrm>
          <a:off x="4683125" y="14878050"/>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42" name="Text Box 40">
          <a:extLst>
            <a:ext uri="{FF2B5EF4-FFF2-40B4-BE49-F238E27FC236}">
              <a16:creationId xmlns:a16="http://schemas.microsoft.com/office/drawing/2014/main" id="{9463B71D-BDE1-4E5E-8F82-20BCE5EAD7D3}"/>
            </a:ext>
            <a:ext uri="{147F2762-F138-4A5C-976F-8EAC2B608ADB}">
              <a16:predDERef xmlns:a16="http://schemas.microsoft.com/office/drawing/2014/main" pred="{E81E42F2-394C-4C0C-B909-ACC92942E054}"/>
            </a:ext>
          </a:extLst>
        </xdr:cNvPr>
        <xdr:cNvSpPr txBox="1">
          <a:spLocks noChangeArrowheads="1"/>
        </xdr:cNvSpPr>
      </xdr:nvSpPr>
      <xdr:spPr bwMode="auto">
        <a:xfrm>
          <a:off x="5470525" y="14884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43" name="Text Box 47">
          <a:extLst>
            <a:ext uri="{FF2B5EF4-FFF2-40B4-BE49-F238E27FC236}">
              <a16:creationId xmlns:a16="http://schemas.microsoft.com/office/drawing/2014/main" id="{53EC7812-1091-4654-ACF2-3E78C9504BA3}"/>
            </a:ext>
            <a:ext uri="{147F2762-F138-4A5C-976F-8EAC2B608ADB}">
              <a16:predDERef xmlns:a16="http://schemas.microsoft.com/office/drawing/2014/main" pred="{9463B71D-BDE1-4E5E-8F82-20BCE5EAD7D3}"/>
            </a:ext>
          </a:extLst>
        </xdr:cNvPr>
        <xdr:cNvSpPr txBox="1">
          <a:spLocks noChangeArrowheads="1"/>
        </xdr:cNvSpPr>
      </xdr:nvSpPr>
      <xdr:spPr bwMode="auto">
        <a:xfrm>
          <a:off x="3724275" y="1533842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44" name="Line 50">
          <a:extLst>
            <a:ext uri="{FF2B5EF4-FFF2-40B4-BE49-F238E27FC236}">
              <a16:creationId xmlns:a16="http://schemas.microsoft.com/office/drawing/2014/main" id="{668A5A38-5AAE-408E-BBB9-D53B37D56CD7}"/>
            </a:ext>
            <a:ext uri="{147F2762-F138-4A5C-976F-8EAC2B608ADB}">
              <a16:predDERef xmlns:a16="http://schemas.microsoft.com/office/drawing/2014/main" pred="{53EC7812-1091-4654-ACF2-3E78C9504BA3}"/>
            </a:ext>
          </a:extLst>
        </xdr:cNvPr>
        <xdr:cNvSpPr>
          <a:spLocks noChangeShapeType="1"/>
        </xdr:cNvSpPr>
      </xdr:nvSpPr>
      <xdr:spPr bwMode="auto">
        <a:xfrm flipV="1">
          <a:off x="4895850" y="15147925"/>
          <a:ext cx="53340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45" name="Picture 61">
          <a:extLst>
            <a:ext uri="{FF2B5EF4-FFF2-40B4-BE49-F238E27FC236}">
              <a16:creationId xmlns:a16="http://schemas.microsoft.com/office/drawing/2014/main" id="{34A383D4-4BEC-4DF9-AD17-CF51D5268BF5}"/>
            </a:ext>
            <a:ext uri="{147F2762-F138-4A5C-976F-8EAC2B608ADB}">
              <a16:predDERef xmlns:a16="http://schemas.microsoft.com/office/drawing/2014/main" pred="{668A5A38-5AAE-408E-BBB9-D53B37D56CD7}"/>
            </a:ext>
          </a:extLst>
        </xdr:cNvPr>
        <xdr:cNvPicPr>
          <a:picLocks noChangeAspect="1"/>
        </xdr:cNvPicPr>
      </xdr:nvPicPr>
      <xdr:blipFill>
        <a:blip xmlns:r="http://schemas.openxmlformats.org/officeDocument/2006/relationships" r:embed="rId1"/>
        <a:stretch>
          <a:fillRect/>
        </a:stretch>
      </xdr:blipFill>
      <xdr:spPr>
        <a:xfrm>
          <a:off x="7468794" y="19230975"/>
          <a:ext cx="2575318" cy="1554802"/>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2486025</xdr:colOff>
      <xdr:row>5</xdr:row>
      <xdr:rowOff>50801</xdr:rowOff>
    </xdr:from>
    <xdr:to>
      <xdr:col>4</xdr:col>
      <xdr:colOff>276225</xdr:colOff>
      <xdr:row>7</xdr:row>
      <xdr:rowOff>158751</xdr:rowOff>
    </xdr:to>
    <xdr:sp macro="" textlink="">
      <xdr:nvSpPr>
        <xdr:cNvPr id="4" name="Left Brace 3">
          <a:extLst>
            <a:ext uri="{FF2B5EF4-FFF2-40B4-BE49-F238E27FC236}">
              <a16:creationId xmlns:a16="http://schemas.microsoft.com/office/drawing/2014/main" id="{952CBA1D-6D2D-4754-8354-C3779E1A2AA8}"/>
            </a:ext>
          </a:extLst>
        </xdr:cNvPr>
        <xdr:cNvSpPr/>
      </xdr:nvSpPr>
      <xdr:spPr>
        <a:xfrm>
          <a:off x="3217545" y="1178561"/>
          <a:ext cx="487680" cy="47371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Stephen Amey" id="{21E3846F-F95F-4FCD-86ED-0EC8204BE010}" userId="S::samey3@uwo.ca::9fd06579-ee82-4b67-a550-80aabfd37c3d" providerId="AD"/>
  <person displayName="Nicholas Scott Mitchell" id="{8447AA1C-3AF5-4142-B3DA-39C564570AB1}" userId="S::nmitch6@uwo.ca::dfab81a8-ddf6-48e8-b76f-af4c63805494" providerId="AD"/>
  <person displayName="Annika Vetter" id="{E3E5B2C0-6149-4CDE-90CE-1F59A08F9CD9}" userId="S::avetter3@uwo.ca::adccb2e4-7b78-4df7-baee-18e5cfce1c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39" dT="2024-05-06T03:35:45.59" personId="{21E3846F-F95F-4FCD-86ED-0EC8204BE010}" id="{84567A0F-53D8-4E16-B08D-99115ED492EC}">
    <text>Assuming it points straight up, and is non-tracking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X88" dT="2024-05-06T02:24:17.71" personId="{21E3846F-F95F-4FCD-86ED-0EC8204BE010}" id="{BE429D58-BED1-4C3E-B416-C342EA13DEDD}">
    <text>dBW = dB</text>
  </threadedComment>
</ThreadedComments>
</file>

<file path=xl/threadedComments/threadedComment3.xml><?xml version="1.0" encoding="utf-8"?>
<ThreadedComments xmlns="http://schemas.microsoft.com/office/spreadsheetml/2018/threadedcomments" xmlns:x="http://schemas.openxmlformats.org/spreadsheetml/2006/main">
  <threadedComment ref="T54" dT="2024-03-24T18:53:46.91" personId="{E3E5B2C0-6149-4CDE-90CE-1F59A08F9CD9}" id="{05181116-AE4B-4596-9597-1700E230E23C}">
    <text xml:space="preserve">Assuming we are using same groundstation hardware as the ukpik team
</text>
  </threadedComment>
</ThreadedComments>
</file>

<file path=xl/threadedComments/threadedComment4.xml><?xml version="1.0" encoding="utf-8"?>
<ThreadedComments xmlns="http://schemas.microsoft.com/office/spreadsheetml/2018/threadedcomments" xmlns:x="http://schemas.openxmlformats.org/spreadsheetml/2006/main">
  <threadedComment ref="R31" dT="2024-05-06T07:34:55.20" personId="{21E3846F-F95F-4FCD-86ED-0EC8204BE010}" id="{80D4A24E-91C6-40FB-9426-A2B9D961BD2D}">
    <text>Is this needed on the Rx path? I assumed so.</text>
  </threadedComment>
  <threadedComment ref="V38" dT="2024-05-06T09:34:16.71" personId="{21E3846F-F95F-4FCD-86ED-0EC8204BE010}" id="{171C6AAB-B539-4323-A0D4-340F454C1114}">
    <text>I've seen higher around 0.9705</text>
  </threadedComment>
  <threadedComment ref="V39" personId="{EEACEFDE-2FEF-4DF7-A52C-99FB327ADE98}" id="{F906572A-7D01-46E1-80EA-B3029D468BD7}">
    <text xml:space="preserve">Flux value taken from: http://www.hamradiodaily.com/
equation for antenna sky temperature from : 
https://en.wikipedia.org/wiki/Antenna_noise_temperature
</text>
  </threadedComment>
  <threadedComment ref="V39" dT="2024-05-06T09:33:40.81" personId="{21E3846F-F95F-4FCD-86ED-0EC8204BE010}" id="{38369DAD-8379-4D4B-BF67-A654431E3D49}" parentId="{F906572A-7D01-46E1-80EA-B3029D468BD7}">
    <text>Seems a bit high, others are around 120K</text>
  </threadedComment>
  <threadedComment ref="Z39" dT="2024-05-04T04:21:35.18" personId="{21E3846F-F95F-4FCD-86ED-0EC8204BE010}" id="{E5B778E4-A199-4917-BB6C-3951EAD71248}">
    <text>Verify that these values are correct.</text>
  </threadedComment>
  <threadedComment ref="V40" personId="{EEACEFDE-2FEF-4DF7-A52C-99FB327ADE98}" id="{7D00511A-C340-4AD3-B022-F83C2CEE5FF7}">
    <text>Value taken from ITU presentation
https://www.itu.int/en/ITU-R/space/workshops/2016-small-sat/Documents/Link_budget_uvigo.pdf</text>
  </threadedComment>
  <threadedComment ref="V40" dT="2024-05-06T09:33:18.04" personId="{21E3846F-F95F-4FCD-86ED-0EC8204BE010}" id="{84310B5B-744D-4D78-B400-D531E1EA33C3}" parentId="{7D00511A-C340-4AD3-B022-F83C2CEE5FF7}">
    <text>Seems about right. Others use 280K</text>
  </threadedComment>
  <threadedComment ref="V41" personId="{EEACEFDE-2FEF-4DF7-A52C-99FB327ADE98}" id="{A82AE0B7-9255-42F5-9759-AED98780337C}">
    <text xml:space="preserve">Noise figure of transceiver is 0.9dB 
</text>
  </threadedComment>
  <threadedComment ref="V41" dT="2024-05-06T09:34:54.57" personId="{21E3846F-F95F-4FCD-86ED-0EC8204BE010}" id="{AADC7907-D766-447E-9C07-F097A5550DE6}" parentId="{A82AE0B7-9255-42F5-9759-AED98780337C}">
    <text>Not sure how to verify this one.</text>
  </threadedComment>
  <threadedComment ref="V44" dT="2024-05-06T09:35:29.17" personId="{21E3846F-F95F-4FCD-86ED-0EC8204BE010}" id="{AF9A2CB7-FA5A-4877-B1EC-8402D73884B2}">
    <text>Where to find this?</text>
  </threadedComment>
  <threadedComment ref="R75" dT="2024-05-06T07:34:55.20" personId="{21E3846F-F95F-4FCD-86ED-0EC8204BE010}" id="{9A234736-7CC1-4282-BB71-6547720A4829}">
    <text>Is this needed on the Rx path? I assumed so.</text>
  </threadedComment>
  <threadedComment ref="R117" dT="2024-05-06T07:34:55.20" personId="{21E3846F-F95F-4FCD-86ED-0EC8204BE010}" id="{CC287213-A8CD-4A96-AFF7-5E68FF807B9E}">
    <text>Is this needed on the Rx path? I assumed so.</text>
  </threadedComment>
</ThreadedComments>
</file>

<file path=xl/threadedComments/threadedComment5.xml><?xml version="1.0" encoding="utf-8"?>
<ThreadedComments xmlns="http://schemas.microsoft.com/office/spreadsheetml/2018/threadedcomments" xmlns:x="http://schemas.openxmlformats.org/spreadsheetml/2006/main">
  <threadedComment ref="X15" dT="2024-05-04T06:31:57.16" personId="{21E3846F-F95F-4FCD-86ED-0EC8204BE010}" id="{5E3CF481-1618-4EE4-8E2F-2F2473729D71}">
    <text>I'm really just guessing here, based on 'Backend Data' tab. Someone who actually knows what they're doing should look at this.</text>
  </threadedComment>
  <threadedComment ref="X31" dT="2024-05-04T06:31:57.16" personId="{21E3846F-F95F-4FCD-86ED-0EC8204BE010}" id="{95699BE4-7F80-4927-A030-03FE5C775133}">
    <text>I'm really just guessing here, based on 'Backend Data' tab. Someone who actually knows what they're doing should look at this.</text>
  </threadedComment>
</ThreadedComments>
</file>

<file path=xl/threadedComments/threadedComment6.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Y38" dT="2024-05-04T07:05:28.21" personId="{21E3846F-F95F-4FCD-86ED-0EC8204BE010}" id="{808BD2D9-9BC7-420B-B092-67C471645572}">
    <text>Grab this from the UHF antenna datasheet radiation pattern
**Seems it drops by about 5dB every 60 degrees</text>
  </threadedComment>
  <threadedComment ref="R54" personId="{F861966D-4CDD-41AA-B103-32BA93AA49AE}" id="{D6B0170A-2AB0-424C-AB7E-6F9ADB212ED2}">
    <text>Axial Ratios:
Circular: 1.0
Elliptical: 2.0</text>
  </threadedComment>
  <threadedComment ref="Y79" dT="2024-05-04T07:05:28.21" personId="{21E3846F-F95F-4FCD-86ED-0EC8204BE010}" id="{81557FCA-5C7A-4465-8614-603036D013CA}">
    <text>Grab this from the UHF antenna datasheet radiation pattern
**Seems it drops by about 5dB every 60 degrees</text>
  </threadedComment>
</ThreadedComments>
</file>

<file path=xl/threadedComments/threadedComment7.xml><?xml version="1.0" encoding="utf-8"?>
<ThreadedComments xmlns="http://schemas.microsoft.com/office/spreadsheetml/2018/threadedcomments" xmlns:x="http://schemas.openxmlformats.org/spreadsheetml/2006/main">
  <threadedComment ref="Y10" personId="{EEACEFDE-2FEF-4DF7-A52C-99FB327ADE98}" id="{746030E5-12D3-4B69-9D65-2620DAE60F70}">
    <text xml:space="preserve">Link:
http://www.waves.utoronto.ca/prof/svhum/ece422/notes/20b-atmospheric.pdf?fbclid=IwAR2oVL_9TkEH4mXklzxo_iNu5hyJ8jxbcKOk16BTHitMQmBwhpPEPx-8710
</text>
  </threadedComment>
  <threadedComment ref="Y36" dT="2024-05-04T07:05:11.40" personId="{21E3846F-F95F-4FCD-86ED-0EC8204BE010}" id="{2704F444-D0FA-4955-A13A-7B91501BDA08}">
    <text>Not sure on this equation...</text>
  </threadedComment>
  <threadedComment ref="Y38" dT="2024-05-04T07:05:28.21" personId="{21E3846F-F95F-4FCD-86ED-0EC8204BE010}" id="{287C7DE0-66D4-4DA2-8F7B-13BC503A44CF}">
    <text>Grab this from the UHF antenna datasheet radiation pattern
**Seems it drops by about 5dB every 60 degrees</text>
  </threadedComment>
  <threadedComment ref="R54" personId="{F861966D-4CDD-41AA-B103-32BA93AA49AE}" id="{B56F335B-56B0-48AD-AAC7-8376CBEC2A90}">
    <text>Axial Ratios:
Circular: 1.0
Elliptical: 2.0</text>
  </threadedComment>
  <threadedComment ref="Y79" dT="2024-05-04T07:05:28.21" personId="{21E3846F-F95F-4FCD-86ED-0EC8204BE010}" id="{C72C90B2-FFFB-4190-8011-F67329A7916A}">
    <text>Grab this from the UHF antenna datasheet radiation pattern
**Seems it drops by about 5dB every 60 degrees</text>
  </threadedComment>
</ThreadedComments>
</file>

<file path=xl/threadedComments/threadedComment8.xml><?xml version="1.0" encoding="utf-8"?>
<ThreadedComments xmlns="http://schemas.microsoft.com/office/spreadsheetml/2018/threadedcomments" xmlns:x="http://schemas.openxmlformats.org/spreadsheetml/2006/main">
  <threadedComment ref="N47" dT="2024-05-04T06:09:32.66" personId="{21E3846F-F95F-4FCD-86ED-0EC8204BE010}" id="{7A99E4CA-F8AD-47F2-81A9-F3365D2F1334}">
    <text>This was never updated. What should it be?</text>
  </threadedComment>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sed-isde.canada.ca/site/spectrum-management-telecommunications/en/learn-more/key-documents/procedures/client-procedures-circulars-cpc/cpc-2-6-02-licensing-space-stations"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ndurosat.com/products/uhf-transceiver-ii/" TargetMode="External"/><Relationship Id="rId1" Type="http://schemas.openxmlformats.org/officeDocument/2006/relationships/hyperlink" Target="https://www.endurosat.com/products/uhf-antenna-iii/"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m2inc.com/FG425CP16" TargetMode="External"/><Relationship Id="rId7" Type="http://schemas.openxmlformats.org/officeDocument/2006/relationships/hyperlink" Target="https://www.etlsystems.com/catalogue/rf-components-buy-online-get-instant-quotes/filters/if-band-cavity-band-pass-filter-0" TargetMode="External"/><Relationship Id="rId2" Type="http://schemas.openxmlformats.org/officeDocument/2006/relationships/hyperlink" Target="https://www.minicircuits.com/pdfs/ZHL-50W-52-S+.pdf" TargetMode="External"/><Relationship Id="rId1" Type="http://schemas.openxmlformats.org/officeDocument/2006/relationships/hyperlink" Target="https://www.ettus.com/all-products/ub210-kit/" TargetMode="External"/><Relationship Id="rId6" Type="http://schemas.openxmlformats.org/officeDocument/2006/relationships/hyperlink" Target="https://www.uiy.com/Datasheet/UIYCDC9648A.pdf" TargetMode="External"/><Relationship Id="rId5" Type="http://schemas.openxmlformats.org/officeDocument/2006/relationships/hyperlink" Target="https://www.polyphaser.com/type-n-surge-protector-6ghz-4ghz-gas-discharge-tube-gt-nff-al" TargetMode="External"/><Relationship Id="rId4" Type="http://schemas.openxmlformats.org/officeDocument/2006/relationships/hyperlink" Target="https://timesmicrowave.com/wp-content/uploads/2022/06/lmr-400-datasheet-1.pdf" TargetMode="External"/><Relationship Id="rId9"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dxengineering.com/parts/jxx-18470-39-70" TargetMode="External"/><Relationship Id="rId3" Type="http://schemas.openxmlformats.org/officeDocument/2006/relationships/hyperlink" Target="https://timesmicrowave.com/wp-content/uploads/2022/06/lmr-400-datasheet-1.pdf" TargetMode="External"/><Relationship Id="rId7" Type="http://schemas.openxmlformats.org/officeDocument/2006/relationships/hyperlink" Target="https://www.dxengineering.com/parts/msq-4329wl" TargetMode="External"/><Relationship Id="rId2" Type="http://schemas.openxmlformats.org/officeDocument/2006/relationships/hyperlink" Target="https://www.digikey.ca/en/products/detail/texas-instruments/CC1200RHBR/4251536" TargetMode="External"/><Relationship Id="rId1" Type="http://schemas.openxmlformats.org/officeDocument/2006/relationships/hyperlink" Target="https://www.m2inc.com/FG436CP16" TargetMode="External"/><Relationship Id="rId6" Type="http://schemas.openxmlformats.org/officeDocument/2006/relationships/hyperlink" Target="https://www.dxengineering.com/parts/jxx-18470-32-70" TargetMode="External"/><Relationship Id="rId5" Type="http://schemas.openxmlformats.org/officeDocument/2006/relationships/hyperlink" Target="https://www.m2inc.com/FG436CP30" TargetMode="External"/><Relationship Id="rId4" Type="http://schemas.openxmlformats.org/officeDocument/2006/relationships/hyperlink" Target="https://www.qsl.net/vk5bar/AHARS-Resources/typical_coax_cable_losses.ht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P50"/>
  <sheetViews>
    <sheetView showGridLines="0" topLeftCell="R29" zoomScale="115" zoomScaleNormal="115" workbookViewId="0">
      <selection activeCell="V10" sqref="V10"/>
    </sheetView>
  </sheetViews>
  <sheetFormatPr defaultColWidth="0" defaultRowHeight="14.45" zeroHeight="1"/>
  <cols>
    <col min="1" max="17" width="3.28515625" customWidth="1"/>
    <col min="18" max="20" width="11.28515625" customWidth="1"/>
    <col min="21" max="21" width="10.28515625" customWidth="1"/>
    <col min="22" max="22" width="10.85546875" bestFit="1" customWidth="1"/>
    <col min="23" max="23" width="9.28515625" bestFit="1" customWidth="1"/>
    <col min="24" max="24" width="8.7109375" customWidth="1"/>
    <col min="25" max="42" width="3.28515625" customWidth="1"/>
  </cols>
  <sheetData>
    <row r="1" spans="1:42">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row>
    <row r="2" spans="1:42" ht="15.6">
      <c r="A2" s="1"/>
      <c r="B2" s="1"/>
      <c r="C2" s="1"/>
      <c r="D2" s="1"/>
      <c r="E2" s="1"/>
      <c r="F2" s="1"/>
      <c r="G2" s="1"/>
      <c r="H2" s="1"/>
      <c r="I2" s="1"/>
      <c r="J2" s="1"/>
      <c r="K2" s="1"/>
      <c r="L2" s="1"/>
      <c r="M2" s="1"/>
      <c r="N2" s="1"/>
      <c r="O2" s="1"/>
      <c r="P2" s="1"/>
      <c r="Q2" s="1"/>
      <c r="R2" s="335" t="s">
        <v>0</v>
      </c>
      <c r="S2" s="336"/>
      <c r="T2" s="336"/>
      <c r="U2" s="336"/>
      <c r="V2" s="336"/>
      <c r="W2" s="336"/>
      <c r="X2" s="337"/>
      <c r="Y2" s="1"/>
      <c r="Z2" s="1"/>
      <c r="AA2" s="1"/>
      <c r="AB2" s="1"/>
      <c r="AC2" s="1"/>
      <c r="AD2" s="1"/>
      <c r="AE2" s="1"/>
      <c r="AF2" s="1"/>
      <c r="AG2" s="1"/>
      <c r="AH2" s="1"/>
      <c r="AI2" s="1"/>
      <c r="AJ2" s="1"/>
      <c r="AK2" s="1"/>
      <c r="AL2" s="1"/>
      <c r="AM2" s="1"/>
      <c r="AN2" s="1"/>
      <c r="AO2" s="1"/>
      <c r="AP2" s="1"/>
    </row>
    <row r="3" spans="1:42">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c r="AP3" s="1"/>
    </row>
    <row r="4" spans="1:42">
      <c r="A4" s="1"/>
      <c r="B4" s="1"/>
      <c r="C4" s="1"/>
      <c r="D4" s="1"/>
      <c r="E4" s="1"/>
      <c r="F4" s="1"/>
      <c r="G4" s="1"/>
      <c r="H4" s="1"/>
      <c r="I4" s="1"/>
      <c r="J4" s="1"/>
      <c r="K4" s="1"/>
      <c r="L4" s="1"/>
      <c r="M4" s="1"/>
      <c r="N4" s="1"/>
      <c r="O4" s="1"/>
      <c r="P4" s="3"/>
      <c r="Q4" s="113"/>
      <c r="R4" s="4"/>
      <c r="S4" s="4"/>
      <c r="T4" s="4"/>
      <c r="U4" s="5"/>
      <c r="V4" s="4"/>
      <c r="W4" s="4"/>
      <c r="X4" s="4"/>
      <c r="Y4" s="4"/>
      <c r="Z4" s="4"/>
      <c r="AA4" s="6"/>
      <c r="AB4" s="1"/>
      <c r="AC4" s="1"/>
      <c r="AD4" s="3"/>
      <c r="AE4" s="113"/>
      <c r="AF4" s="113"/>
      <c r="AG4" s="113"/>
      <c r="AH4" s="113"/>
      <c r="AI4" s="113"/>
      <c r="AJ4" s="113"/>
      <c r="AK4" s="113"/>
      <c r="AL4" s="113"/>
      <c r="AM4" s="4"/>
      <c r="AN4" s="6"/>
      <c r="AO4" s="1"/>
      <c r="AP4" s="1"/>
    </row>
    <row r="5" spans="1:42" ht="15" customHeight="1">
      <c r="A5" s="1"/>
      <c r="B5" s="1"/>
      <c r="C5" s="1"/>
      <c r="D5" s="1"/>
      <c r="E5" s="1"/>
      <c r="F5" s="1"/>
      <c r="G5" s="1"/>
      <c r="H5" s="1"/>
      <c r="I5" s="1"/>
      <c r="J5" s="1"/>
      <c r="K5" s="1"/>
      <c r="L5" s="1"/>
      <c r="M5" s="1"/>
      <c r="N5" s="1"/>
      <c r="O5" s="1"/>
      <c r="P5" s="7"/>
      <c r="Q5" s="8"/>
      <c r="R5" s="8"/>
      <c r="S5" s="8"/>
      <c r="T5" s="8"/>
      <c r="U5" s="196"/>
      <c r="V5" s="8"/>
      <c r="W5" s="8"/>
      <c r="X5" s="8"/>
      <c r="Y5" s="8"/>
      <c r="Z5" s="8"/>
      <c r="AA5" s="9"/>
      <c r="AB5" s="1"/>
      <c r="AC5" s="1"/>
      <c r="AD5" s="7"/>
      <c r="AE5" s="334" t="s">
        <v>1</v>
      </c>
      <c r="AF5" s="334"/>
      <c r="AG5" s="334"/>
      <c r="AH5" s="334"/>
      <c r="AI5" s="334"/>
      <c r="AJ5" s="334"/>
      <c r="AK5" s="334"/>
      <c r="AL5" s="334"/>
      <c r="AM5" s="334"/>
      <c r="AN5" s="9"/>
      <c r="AO5" s="1"/>
      <c r="AP5" s="1"/>
    </row>
    <row r="6" spans="1:42" ht="30">
      <c r="A6" s="1"/>
      <c r="B6" s="1"/>
      <c r="C6" s="1"/>
      <c r="D6" s="1"/>
      <c r="E6" s="1"/>
      <c r="F6" s="1"/>
      <c r="G6" s="1"/>
      <c r="H6" s="1"/>
      <c r="I6" s="1"/>
      <c r="J6" s="1"/>
      <c r="K6" s="1"/>
      <c r="L6" s="1"/>
      <c r="M6" s="1"/>
      <c r="N6" s="1"/>
      <c r="O6" s="1"/>
      <c r="P6" s="7"/>
      <c r="Q6" s="8"/>
      <c r="R6" s="328" t="s">
        <v>2</v>
      </c>
      <c r="S6" s="329"/>
      <c r="T6" s="329"/>
      <c r="U6" s="329"/>
      <c r="V6" s="329"/>
      <c r="W6" s="329"/>
      <c r="X6" s="330"/>
      <c r="Y6" s="8"/>
      <c r="Z6" s="8"/>
      <c r="AA6" s="9"/>
      <c r="AB6" s="1"/>
      <c r="AC6" s="1"/>
      <c r="AD6" s="7"/>
      <c r="AE6" s="334"/>
      <c r="AF6" s="334"/>
      <c r="AG6" s="334"/>
      <c r="AH6" s="334"/>
      <c r="AI6" s="334"/>
      <c r="AJ6" s="334"/>
      <c r="AK6" s="334"/>
      <c r="AL6" s="334"/>
      <c r="AM6" s="334"/>
      <c r="AN6" s="9"/>
      <c r="AO6" s="1"/>
      <c r="AP6" s="1"/>
    </row>
    <row r="7" spans="1:42">
      <c r="A7" s="1"/>
      <c r="B7" s="1"/>
      <c r="C7" s="1"/>
      <c r="D7" s="1"/>
      <c r="E7" s="1"/>
      <c r="F7" s="1"/>
      <c r="G7" s="1"/>
      <c r="H7" s="1"/>
      <c r="I7" s="1"/>
      <c r="J7" s="1"/>
      <c r="K7" s="1"/>
      <c r="L7" s="1"/>
      <c r="M7" s="1"/>
      <c r="N7" s="1"/>
      <c r="O7" s="1"/>
      <c r="P7" s="7"/>
      <c r="Q7" s="8"/>
      <c r="R7" s="8"/>
      <c r="S7" s="8"/>
      <c r="T7" s="8"/>
      <c r="U7" s="196"/>
      <c r="V7" s="8"/>
      <c r="W7" s="8"/>
      <c r="X7" s="8"/>
      <c r="Y7" s="8"/>
      <c r="Z7" s="8"/>
      <c r="AA7" s="9"/>
      <c r="AB7" s="1"/>
      <c r="AC7" s="1"/>
      <c r="AD7" s="7"/>
      <c r="AE7" s="334"/>
      <c r="AF7" s="334"/>
      <c r="AG7" s="334"/>
      <c r="AH7" s="334"/>
      <c r="AI7" s="334"/>
      <c r="AJ7" s="334"/>
      <c r="AK7" s="334"/>
      <c r="AL7" s="334"/>
      <c r="AM7" s="334"/>
      <c r="AN7" s="9"/>
      <c r="AO7" s="1"/>
      <c r="AP7" s="1"/>
    </row>
    <row r="8" spans="1:42">
      <c r="A8" s="1"/>
      <c r="B8" s="1"/>
      <c r="C8" s="1"/>
      <c r="D8" s="1"/>
      <c r="E8" s="1"/>
      <c r="F8" s="1"/>
      <c r="G8" s="1"/>
      <c r="H8" s="1"/>
      <c r="I8" s="1"/>
      <c r="J8" s="1"/>
      <c r="K8" s="1"/>
      <c r="L8" s="1"/>
      <c r="M8" s="1"/>
      <c r="N8" s="1"/>
      <c r="O8" s="1"/>
      <c r="P8" s="111"/>
      <c r="Q8" s="8"/>
      <c r="R8" s="8"/>
      <c r="S8" s="8"/>
      <c r="T8" s="8"/>
      <c r="U8" s="196"/>
      <c r="V8" s="196" t="s">
        <v>3</v>
      </c>
      <c r="W8" s="196" t="s">
        <v>4</v>
      </c>
      <c r="X8" s="8"/>
      <c r="Y8" s="8"/>
      <c r="Z8" s="8"/>
      <c r="AA8" s="9"/>
      <c r="AB8" s="1"/>
      <c r="AC8" s="1"/>
      <c r="AD8" s="7"/>
      <c r="AE8" s="334"/>
      <c r="AF8" s="334"/>
      <c r="AG8" s="334"/>
      <c r="AH8" s="334"/>
      <c r="AI8" s="334"/>
      <c r="AJ8" s="334"/>
      <c r="AK8" s="334"/>
      <c r="AL8" s="334"/>
      <c r="AM8" s="334"/>
      <c r="AN8" s="9"/>
      <c r="AO8" s="1"/>
      <c r="AP8" s="1"/>
    </row>
    <row r="9" spans="1:42">
      <c r="A9" s="1"/>
      <c r="B9" s="1"/>
      <c r="C9" s="1"/>
      <c r="D9" s="1"/>
      <c r="E9" s="1"/>
      <c r="F9" s="1"/>
      <c r="G9" s="1"/>
      <c r="H9" s="1"/>
      <c r="I9" s="1"/>
      <c r="J9" s="1"/>
      <c r="K9" s="1"/>
      <c r="L9" s="1"/>
      <c r="M9" s="1"/>
      <c r="N9" s="1"/>
      <c r="O9" s="1"/>
      <c r="P9" s="7"/>
      <c r="Q9" s="8"/>
      <c r="R9" s="326" t="s">
        <v>5</v>
      </c>
      <c r="S9" s="326"/>
      <c r="T9" s="326"/>
      <c r="U9" s="340"/>
      <c r="V9" s="150">
        <v>299792458</v>
      </c>
      <c r="W9" s="196" t="s">
        <v>6</v>
      </c>
      <c r="X9" s="8"/>
      <c r="Y9" s="8"/>
      <c r="Z9" s="8"/>
      <c r="AA9" s="9"/>
      <c r="AB9" s="1"/>
      <c r="AC9" s="1"/>
      <c r="AD9" s="7"/>
      <c r="AE9" s="196"/>
      <c r="AF9" s="196"/>
      <c r="AG9" s="196"/>
      <c r="AH9" s="196"/>
      <c r="AI9" s="196"/>
      <c r="AJ9" s="196"/>
      <c r="AK9" s="196"/>
      <c r="AL9" s="196"/>
      <c r="AM9" s="196"/>
      <c r="AN9" s="9"/>
      <c r="AO9" s="1"/>
      <c r="AP9" s="1"/>
    </row>
    <row r="10" spans="1:42" ht="15" customHeight="1">
      <c r="A10" s="1"/>
      <c r="B10" s="1"/>
      <c r="C10" s="1"/>
      <c r="D10" s="1"/>
      <c r="E10" s="1"/>
      <c r="F10" s="1"/>
      <c r="G10" s="1"/>
      <c r="H10" s="1"/>
      <c r="I10" s="1"/>
      <c r="J10" s="1"/>
      <c r="K10" s="1"/>
      <c r="L10" s="1"/>
      <c r="M10" s="1"/>
      <c r="N10" s="1"/>
      <c r="O10" s="1"/>
      <c r="P10" s="7"/>
      <c r="Q10" s="8"/>
      <c r="R10" s="338" t="s">
        <v>7</v>
      </c>
      <c r="S10" s="338"/>
      <c r="T10" s="338"/>
      <c r="U10" s="339"/>
      <c r="V10" s="150">
        <v>-228.6</v>
      </c>
      <c r="W10" s="196" t="s">
        <v>8</v>
      </c>
      <c r="X10" s="8"/>
      <c r="Y10" s="8"/>
      <c r="Z10" s="8"/>
      <c r="AA10" s="9"/>
      <c r="AB10" s="1"/>
      <c r="AC10" s="1"/>
      <c r="AD10" s="7"/>
      <c r="AE10" s="334" t="s">
        <v>9</v>
      </c>
      <c r="AF10" s="334"/>
      <c r="AG10" s="334"/>
      <c r="AH10" s="334"/>
      <c r="AI10" s="334"/>
      <c r="AJ10" s="334"/>
      <c r="AK10" s="334"/>
      <c r="AL10" s="334"/>
      <c r="AM10" s="334"/>
      <c r="AN10" s="9"/>
      <c r="AO10" s="1"/>
      <c r="AP10" s="1"/>
    </row>
    <row r="11" spans="1:42">
      <c r="A11" s="1"/>
      <c r="B11" s="1"/>
      <c r="C11" s="1"/>
      <c r="D11" s="1"/>
      <c r="E11" s="1"/>
      <c r="F11" s="1"/>
      <c r="G11" s="1"/>
      <c r="H11" s="1"/>
      <c r="I11" s="1"/>
      <c r="J11" s="1"/>
      <c r="K11" s="1"/>
      <c r="L11" s="1"/>
      <c r="M11" s="1"/>
      <c r="N11" s="1"/>
      <c r="O11" s="1"/>
      <c r="P11" s="7"/>
      <c r="Q11" s="8"/>
      <c r="R11" s="326" t="s">
        <v>10</v>
      </c>
      <c r="S11" s="326"/>
      <c r="T11" s="326"/>
      <c r="U11" s="340"/>
      <c r="V11" s="150">
        <v>6378.17</v>
      </c>
      <c r="W11" s="196" t="s">
        <v>11</v>
      </c>
      <c r="X11" s="8"/>
      <c r="Y11" s="8"/>
      <c r="Z11" s="8"/>
      <c r="AA11" s="9"/>
      <c r="AB11" s="1"/>
      <c r="AC11" s="1"/>
      <c r="AD11" s="7"/>
      <c r="AE11" s="334"/>
      <c r="AF11" s="334"/>
      <c r="AG11" s="334"/>
      <c r="AH11" s="334"/>
      <c r="AI11" s="334"/>
      <c r="AJ11" s="334"/>
      <c r="AK11" s="334"/>
      <c r="AL11" s="334"/>
      <c r="AM11" s="334"/>
      <c r="AN11" s="9"/>
      <c r="AO11" s="1"/>
      <c r="AP11" s="1"/>
    </row>
    <row r="12" spans="1:42">
      <c r="A12" s="1"/>
      <c r="B12" s="1"/>
      <c r="C12" s="1"/>
      <c r="D12" s="1"/>
      <c r="E12" s="1"/>
      <c r="F12" s="1"/>
      <c r="G12" s="1"/>
      <c r="H12" s="1"/>
      <c r="I12" s="1"/>
      <c r="J12" s="1"/>
      <c r="K12" s="1"/>
      <c r="L12" s="1"/>
      <c r="M12" s="1"/>
      <c r="N12" s="1"/>
      <c r="O12" s="1"/>
      <c r="P12" s="7"/>
      <c r="Q12" s="8"/>
      <c r="R12" s="8"/>
      <c r="S12" s="8"/>
      <c r="T12" s="8"/>
      <c r="U12" s="196"/>
      <c r="V12" s="8"/>
      <c r="W12" s="8"/>
      <c r="X12" s="8"/>
      <c r="Y12" s="8"/>
      <c r="Z12" s="8"/>
      <c r="AA12" s="9"/>
      <c r="AB12" s="1"/>
      <c r="AC12" s="1"/>
      <c r="AD12" s="7"/>
      <c r="AE12" s="334"/>
      <c r="AF12" s="334"/>
      <c r="AG12" s="334"/>
      <c r="AH12" s="334"/>
      <c r="AI12" s="334"/>
      <c r="AJ12" s="334"/>
      <c r="AK12" s="334"/>
      <c r="AL12" s="334"/>
      <c r="AM12" s="334"/>
      <c r="AN12" s="9"/>
      <c r="AO12" s="1"/>
      <c r="AP12" s="1"/>
    </row>
    <row r="13" spans="1:42" ht="30">
      <c r="A13" s="1"/>
      <c r="B13" s="1"/>
      <c r="C13" s="1"/>
      <c r="D13" s="1"/>
      <c r="E13" s="1"/>
      <c r="F13" s="1"/>
      <c r="G13" s="1"/>
      <c r="H13" s="1"/>
      <c r="I13" s="1"/>
      <c r="J13" s="1"/>
      <c r="K13" s="1"/>
      <c r="L13" s="1"/>
      <c r="M13" s="1"/>
      <c r="N13" s="1"/>
      <c r="O13" s="1"/>
      <c r="P13" s="7"/>
      <c r="Q13" s="8"/>
      <c r="R13" s="328" t="s">
        <v>12</v>
      </c>
      <c r="S13" s="329"/>
      <c r="T13" s="329"/>
      <c r="U13" s="329"/>
      <c r="V13" s="329"/>
      <c r="W13" s="329"/>
      <c r="X13" s="330"/>
      <c r="Y13" s="8"/>
      <c r="Z13" s="8"/>
      <c r="AA13" s="9"/>
      <c r="AB13" s="1"/>
      <c r="AC13" s="1"/>
      <c r="AD13" s="7"/>
      <c r="AE13" s="334"/>
      <c r="AF13" s="334"/>
      <c r="AG13" s="334"/>
      <c r="AH13" s="334"/>
      <c r="AI13" s="334"/>
      <c r="AJ13" s="334"/>
      <c r="AK13" s="334"/>
      <c r="AL13" s="334"/>
      <c r="AM13" s="334"/>
      <c r="AN13" s="9"/>
      <c r="AO13" s="1"/>
      <c r="AP13" s="1"/>
    </row>
    <row r="14" spans="1:42">
      <c r="A14" s="1"/>
      <c r="B14" s="1"/>
      <c r="C14" s="1"/>
      <c r="D14" s="1"/>
      <c r="E14" s="1"/>
      <c r="F14" s="1"/>
      <c r="G14" s="1"/>
      <c r="H14" s="1"/>
      <c r="I14" s="1"/>
      <c r="J14" s="1"/>
      <c r="K14" s="1"/>
      <c r="L14" s="1"/>
      <c r="M14" s="1"/>
      <c r="N14" s="1"/>
      <c r="O14" s="1"/>
      <c r="P14" s="7"/>
      <c r="Q14" s="8"/>
      <c r="R14" s="8"/>
      <c r="S14" s="8"/>
      <c r="T14" s="8"/>
      <c r="U14" s="196"/>
      <c r="V14" s="8"/>
      <c r="W14" s="8"/>
      <c r="X14" s="8"/>
      <c r="Y14" s="8"/>
      <c r="Z14" s="8"/>
      <c r="AA14" s="9"/>
      <c r="AB14" s="1"/>
      <c r="AC14" s="1"/>
      <c r="AD14" s="7"/>
      <c r="AE14" s="334"/>
      <c r="AF14" s="334"/>
      <c r="AG14" s="334"/>
      <c r="AH14" s="334"/>
      <c r="AI14" s="334"/>
      <c r="AJ14" s="334"/>
      <c r="AK14" s="334"/>
      <c r="AL14" s="334"/>
      <c r="AM14" s="334"/>
      <c r="AN14" s="9"/>
      <c r="AO14" s="1"/>
      <c r="AP14" s="1"/>
    </row>
    <row r="15" spans="1:42">
      <c r="A15" s="1"/>
      <c r="B15" s="1"/>
      <c r="C15" s="1"/>
      <c r="D15" s="1"/>
      <c r="E15" s="1"/>
      <c r="F15" s="1"/>
      <c r="G15" s="1"/>
      <c r="H15" s="1"/>
      <c r="I15" s="1"/>
      <c r="J15" s="1"/>
      <c r="K15" s="1"/>
      <c r="L15" s="1"/>
      <c r="M15" s="1"/>
      <c r="N15" s="1"/>
      <c r="O15" s="1"/>
      <c r="P15" s="7"/>
      <c r="Q15" s="8"/>
      <c r="R15" s="8"/>
      <c r="S15" s="326" t="s">
        <v>13</v>
      </c>
      <c r="T15" s="326"/>
      <c r="U15" s="326"/>
      <c r="V15" s="108">
        <v>437.15</v>
      </c>
      <c r="W15" s="8" t="s">
        <v>14</v>
      </c>
      <c r="X15" s="8" t="s">
        <v>15</v>
      </c>
      <c r="Y15" s="8"/>
      <c r="Z15" s="8"/>
      <c r="AA15" s="9"/>
      <c r="AB15" s="1"/>
      <c r="AC15" s="1"/>
      <c r="AD15" s="7"/>
      <c r="AE15" s="334"/>
      <c r="AF15" s="334"/>
      <c r="AG15" s="334"/>
      <c r="AH15" s="334"/>
      <c r="AI15" s="334"/>
      <c r="AJ15" s="334"/>
      <c r="AK15" s="334"/>
      <c r="AL15" s="334"/>
      <c r="AM15" s="334"/>
      <c r="AN15" s="9"/>
      <c r="AO15" s="1"/>
      <c r="AP15" s="1"/>
    </row>
    <row r="16" spans="1:42">
      <c r="A16" s="1"/>
      <c r="B16" s="1"/>
      <c r="C16" s="1"/>
      <c r="D16" s="1"/>
      <c r="E16" s="1"/>
      <c r="F16" s="1"/>
      <c r="G16" s="1"/>
      <c r="H16" s="1"/>
      <c r="I16" s="1"/>
      <c r="J16" s="1"/>
      <c r="K16" s="1"/>
      <c r="L16" s="1"/>
      <c r="M16" s="1"/>
      <c r="N16" s="1"/>
      <c r="O16" s="1"/>
      <c r="P16" s="7"/>
      <c r="Q16" s="8"/>
      <c r="R16" s="8"/>
      <c r="S16" s="326" t="s">
        <v>16</v>
      </c>
      <c r="T16" s="326"/>
      <c r="U16" s="326"/>
      <c r="V16" s="108">
        <v>437.15</v>
      </c>
      <c r="W16" s="8" t="s">
        <v>14</v>
      </c>
      <c r="X16" s="8" t="s">
        <v>15</v>
      </c>
      <c r="Y16" s="8"/>
      <c r="Z16" s="8"/>
      <c r="AA16" s="9"/>
      <c r="AB16" s="1"/>
      <c r="AC16" s="1"/>
      <c r="AD16" s="7"/>
      <c r="AE16" s="334"/>
      <c r="AF16" s="334"/>
      <c r="AG16" s="334"/>
      <c r="AH16" s="334"/>
      <c r="AI16" s="334"/>
      <c r="AJ16" s="334"/>
      <c r="AK16" s="334"/>
      <c r="AL16" s="334"/>
      <c r="AM16" s="334"/>
      <c r="AN16" s="9"/>
      <c r="AO16" s="1"/>
      <c r="AP16" s="1"/>
    </row>
    <row r="17" spans="1:42">
      <c r="A17" s="1"/>
      <c r="B17" s="1"/>
      <c r="C17" s="1"/>
      <c r="D17" s="1"/>
      <c r="E17" s="1"/>
      <c r="F17" s="1"/>
      <c r="G17" s="1"/>
      <c r="H17" s="1"/>
      <c r="I17" s="1"/>
      <c r="J17" s="1"/>
      <c r="K17" s="1"/>
      <c r="L17" s="1"/>
      <c r="M17" s="1"/>
      <c r="N17" s="1"/>
      <c r="O17" s="1"/>
      <c r="P17" s="7"/>
      <c r="Q17" s="8"/>
      <c r="R17" s="8"/>
      <c r="S17" s="8"/>
      <c r="T17" s="8"/>
      <c r="U17" s="196"/>
      <c r="V17" s="8"/>
      <c r="W17" s="8"/>
      <c r="X17" s="8"/>
      <c r="Y17" s="8"/>
      <c r="Z17" s="8"/>
      <c r="AA17" s="9"/>
      <c r="AB17" s="1"/>
      <c r="AC17" s="1"/>
      <c r="AD17" s="7"/>
      <c r="AE17" s="334"/>
      <c r="AF17" s="334"/>
      <c r="AG17" s="334"/>
      <c r="AH17" s="334"/>
      <c r="AI17" s="334"/>
      <c r="AJ17" s="334"/>
      <c r="AK17" s="334"/>
      <c r="AL17" s="334"/>
      <c r="AM17" s="334"/>
      <c r="AN17" s="9"/>
      <c r="AO17" s="1"/>
      <c r="AP17" s="1"/>
    </row>
    <row r="18" spans="1:42" ht="30">
      <c r="A18" s="1"/>
      <c r="B18" s="1"/>
      <c r="C18" s="1"/>
      <c r="D18" s="1"/>
      <c r="E18" s="1"/>
      <c r="F18" s="1"/>
      <c r="G18" s="1"/>
      <c r="H18" s="1"/>
      <c r="I18" s="1"/>
      <c r="J18" s="1"/>
      <c r="K18" s="1"/>
      <c r="L18" s="1"/>
      <c r="M18" s="1"/>
      <c r="N18" s="1"/>
      <c r="O18" s="1"/>
      <c r="P18" s="7"/>
      <c r="Q18" s="8"/>
      <c r="R18" s="328" t="s">
        <v>17</v>
      </c>
      <c r="S18" s="329"/>
      <c r="T18" s="329"/>
      <c r="U18" s="329"/>
      <c r="V18" s="329"/>
      <c r="W18" s="329"/>
      <c r="X18" s="330"/>
      <c r="Y18" s="8"/>
      <c r="Z18" s="8"/>
      <c r="AA18" s="9"/>
      <c r="AB18" s="1"/>
      <c r="AC18" s="1"/>
      <c r="AD18" s="11"/>
      <c r="AE18" s="12"/>
      <c r="AF18" s="12"/>
      <c r="AG18" s="12"/>
      <c r="AH18" s="12"/>
      <c r="AI18" s="12"/>
      <c r="AJ18" s="12"/>
      <c r="AK18" s="12"/>
      <c r="AL18" s="12"/>
      <c r="AM18" s="12"/>
      <c r="AN18" s="14"/>
      <c r="AO18" s="1"/>
      <c r="AP18" s="1"/>
    </row>
    <row r="19" spans="1:42">
      <c r="A19" s="1"/>
      <c r="B19" s="1"/>
      <c r="C19" s="1"/>
      <c r="D19" s="1"/>
      <c r="E19" s="1"/>
      <c r="F19" s="1"/>
      <c r="G19" s="1"/>
      <c r="H19" s="1"/>
      <c r="I19" s="1"/>
      <c r="J19" s="1"/>
      <c r="K19" s="1"/>
      <c r="L19" s="1"/>
      <c r="M19" s="1"/>
      <c r="N19" s="1"/>
      <c r="O19" s="1"/>
      <c r="P19" s="7"/>
      <c r="Q19" s="8"/>
      <c r="R19" s="8"/>
      <c r="S19" s="8"/>
      <c r="T19" s="8"/>
      <c r="U19" s="196"/>
      <c r="V19" s="8"/>
      <c r="W19" s="8"/>
      <c r="X19" s="8"/>
      <c r="Y19" s="8"/>
      <c r="Z19" s="8"/>
      <c r="AA19" s="9"/>
      <c r="AB19" s="1"/>
      <c r="AC19" s="1"/>
      <c r="AD19" s="1"/>
      <c r="AE19" s="1"/>
      <c r="AF19" s="1"/>
      <c r="AG19" s="1"/>
      <c r="AH19" s="1"/>
      <c r="AI19" s="1"/>
      <c r="AJ19" s="1"/>
      <c r="AK19" s="1"/>
      <c r="AL19" s="1"/>
      <c r="AM19" s="1"/>
      <c r="AN19" s="1"/>
      <c r="AO19" s="1"/>
      <c r="AP19" s="1"/>
    </row>
    <row r="20" spans="1:42">
      <c r="A20" s="1"/>
      <c r="B20" s="1"/>
      <c r="C20" s="1"/>
      <c r="D20" s="1"/>
      <c r="E20" s="1"/>
      <c r="F20" s="1"/>
      <c r="G20" s="1"/>
      <c r="H20" s="1"/>
      <c r="I20" s="1"/>
      <c r="J20" s="1"/>
      <c r="K20" s="1"/>
      <c r="L20" s="1"/>
      <c r="M20" s="1"/>
      <c r="N20" s="1"/>
      <c r="O20" s="1"/>
      <c r="P20" s="7"/>
      <c r="Q20" s="8"/>
      <c r="R20" s="326" t="s">
        <v>18</v>
      </c>
      <c r="S20" s="326"/>
      <c r="T20" s="326"/>
      <c r="U20" s="327"/>
      <c r="V20" s="109">
        <v>600</v>
      </c>
      <c r="W20" s="10" t="s">
        <v>11</v>
      </c>
      <c r="X20" s="8" t="s">
        <v>19</v>
      </c>
      <c r="Y20" s="8"/>
      <c r="Z20" s="8"/>
      <c r="AA20" s="9"/>
      <c r="AB20" s="1"/>
      <c r="AC20" s="1"/>
      <c r="AD20" s="1"/>
      <c r="AE20" s="1"/>
      <c r="AF20" s="1"/>
      <c r="AG20" s="1"/>
      <c r="AH20" s="1"/>
      <c r="AI20" s="1"/>
      <c r="AJ20" s="1"/>
      <c r="AK20" s="1"/>
      <c r="AL20" s="1"/>
      <c r="AM20" s="1"/>
      <c r="AN20" s="1"/>
      <c r="AO20" s="1"/>
      <c r="AP20" s="1"/>
    </row>
    <row r="21" spans="1:42">
      <c r="A21" s="1"/>
      <c r="B21" s="1"/>
      <c r="C21" s="1"/>
      <c r="D21" s="1"/>
      <c r="E21" s="1"/>
      <c r="F21" s="1"/>
      <c r="G21" s="1"/>
      <c r="H21" s="1"/>
      <c r="I21" s="1"/>
      <c r="J21" s="1"/>
      <c r="K21" s="1"/>
      <c r="L21" s="1"/>
      <c r="M21" s="1"/>
      <c r="N21" s="1"/>
      <c r="O21" s="1"/>
      <c r="P21" s="7"/>
      <c r="Q21" s="8"/>
      <c r="R21" s="326" t="s">
        <v>20</v>
      </c>
      <c r="S21" s="326"/>
      <c r="T21" s="326"/>
      <c r="U21" s="327"/>
      <c r="V21" s="109">
        <v>400.85399999999998</v>
      </c>
      <c r="W21" s="8" t="s">
        <v>21</v>
      </c>
      <c r="X21" s="8" t="s">
        <v>19</v>
      </c>
      <c r="Y21" s="8"/>
      <c r="Z21" s="8"/>
      <c r="AA21" s="9"/>
      <c r="AB21" s="1"/>
      <c r="AC21" s="1"/>
      <c r="AD21" s="1"/>
      <c r="AE21" s="1"/>
      <c r="AF21" s="1"/>
      <c r="AG21" s="1"/>
      <c r="AH21" s="1"/>
      <c r="AI21" s="1"/>
      <c r="AJ21" s="1"/>
      <c r="AK21" s="1"/>
      <c r="AL21" s="1"/>
      <c r="AM21" s="1"/>
      <c r="AN21" s="1"/>
      <c r="AO21" s="1"/>
      <c r="AP21" s="1"/>
    </row>
    <row r="22" spans="1:42">
      <c r="A22" s="1"/>
      <c r="B22" s="1"/>
      <c r="C22" s="1"/>
      <c r="D22" s="1"/>
      <c r="E22" s="1"/>
      <c r="F22" s="1"/>
      <c r="G22" s="1"/>
      <c r="H22" s="1"/>
      <c r="I22" s="1"/>
      <c r="J22" s="1"/>
      <c r="K22" s="1"/>
      <c r="L22" s="1"/>
      <c r="M22" s="1"/>
      <c r="N22" s="1"/>
      <c r="O22" s="1"/>
      <c r="P22" s="7"/>
      <c r="Q22" s="8"/>
      <c r="R22" s="326" t="s">
        <v>22</v>
      </c>
      <c r="S22" s="326"/>
      <c r="T22" s="326"/>
      <c r="U22" s="327"/>
      <c r="V22" s="229">
        <v>3.7</v>
      </c>
      <c r="W22" s="8" t="s">
        <v>23</v>
      </c>
      <c r="X22" s="8" t="s">
        <v>19</v>
      </c>
      <c r="Y22" s="8"/>
      <c r="Z22" s="8"/>
      <c r="AA22" s="9"/>
      <c r="AB22" s="1"/>
      <c r="AC22" s="1"/>
      <c r="AD22" s="1"/>
      <c r="AE22" s="1"/>
      <c r="AF22" s="1"/>
      <c r="AG22" s="1"/>
      <c r="AH22" s="1"/>
      <c r="AI22" s="1"/>
      <c r="AJ22" s="1"/>
      <c r="AK22" s="1"/>
      <c r="AL22" s="1"/>
      <c r="AM22" s="1"/>
      <c r="AN22" s="1"/>
      <c r="AO22" s="1"/>
      <c r="AP22" s="1"/>
    </row>
    <row r="23" spans="1:42">
      <c r="A23" s="1"/>
      <c r="B23" s="1"/>
      <c r="C23" s="1"/>
      <c r="D23" s="1"/>
      <c r="E23" s="1"/>
      <c r="F23" s="1"/>
      <c r="G23" s="1"/>
      <c r="H23" s="1"/>
      <c r="I23" s="1"/>
      <c r="J23" s="1"/>
      <c r="K23" s="1"/>
      <c r="L23" s="1"/>
      <c r="M23" s="1"/>
      <c r="N23" s="1"/>
      <c r="O23" s="1"/>
      <c r="P23" s="7"/>
      <c r="Q23" s="8"/>
      <c r="R23" s="326" t="s">
        <v>24</v>
      </c>
      <c r="S23" s="326"/>
      <c r="T23" s="326"/>
      <c r="U23" s="326"/>
      <c r="V23" s="288">
        <v>0</v>
      </c>
      <c r="W23" s="8" t="s">
        <v>25</v>
      </c>
      <c r="X23" s="8"/>
      <c r="Y23" s="8"/>
      <c r="Z23" s="8"/>
      <c r="AA23" s="9"/>
      <c r="AB23" s="1"/>
      <c r="AC23" s="1"/>
      <c r="AD23" s="1"/>
      <c r="AE23" s="1"/>
      <c r="AF23" s="1"/>
      <c r="AG23" s="1"/>
      <c r="AH23" s="1"/>
      <c r="AI23" s="1"/>
      <c r="AJ23" s="1"/>
      <c r="AK23" s="1"/>
      <c r="AL23" s="1"/>
      <c r="AM23" s="1"/>
      <c r="AN23" s="1"/>
      <c r="AO23" s="1"/>
      <c r="AP23" s="1"/>
    </row>
    <row r="24" spans="1:42">
      <c r="A24" s="1"/>
      <c r="B24" s="1"/>
      <c r="C24" s="1"/>
      <c r="D24" s="1"/>
      <c r="E24" s="1"/>
      <c r="F24" s="1"/>
      <c r="G24" s="1"/>
      <c r="H24" s="1"/>
      <c r="I24" s="1"/>
      <c r="J24" s="1"/>
      <c r="K24" s="1"/>
      <c r="L24" s="1"/>
      <c r="M24" s="1"/>
      <c r="N24" s="1"/>
      <c r="O24" s="1"/>
      <c r="P24" s="7"/>
      <c r="Q24" s="8"/>
      <c r="R24" s="8"/>
      <c r="S24" s="8"/>
      <c r="T24" s="8"/>
      <c r="U24" s="196"/>
      <c r="V24" s="8"/>
      <c r="W24" s="8"/>
      <c r="X24" s="8"/>
      <c r="Y24" s="8"/>
      <c r="Z24" s="8"/>
      <c r="AA24" s="9"/>
      <c r="AB24" s="1"/>
      <c r="AC24" s="1"/>
      <c r="AD24" s="1"/>
      <c r="AE24" s="1"/>
      <c r="AF24" s="1"/>
      <c r="AG24" s="1"/>
      <c r="AH24" s="1"/>
      <c r="AI24" s="1"/>
      <c r="AJ24" s="1"/>
      <c r="AK24" s="1"/>
      <c r="AL24" s="1"/>
      <c r="AM24" s="1"/>
      <c r="AN24" s="1"/>
      <c r="AO24" s="1"/>
      <c r="AP24" s="1"/>
    </row>
    <row r="25" spans="1:42" ht="30">
      <c r="A25" s="1"/>
      <c r="B25" s="1"/>
      <c r="C25" s="1"/>
      <c r="D25" s="1"/>
      <c r="E25" s="1"/>
      <c r="F25" s="1"/>
      <c r="G25" s="1"/>
      <c r="H25" s="1"/>
      <c r="I25" s="1"/>
      <c r="J25" s="1"/>
      <c r="K25" s="1"/>
      <c r="L25" s="1"/>
      <c r="M25" s="1"/>
      <c r="N25" s="1"/>
      <c r="O25" s="1"/>
      <c r="P25" s="7"/>
      <c r="Q25" s="8"/>
      <c r="R25" s="328" t="s">
        <v>26</v>
      </c>
      <c r="S25" s="329"/>
      <c r="T25" s="329"/>
      <c r="U25" s="329"/>
      <c r="V25" s="329"/>
      <c r="W25" s="329"/>
      <c r="X25" s="330"/>
      <c r="Y25" s="8"/>
      <c r="Z25" s="8"/>
      <c r="AA25" s="9"/>
      <c r="AB25" s="1"/>
      <c r="AC25" s="1"/>
      <c r="AD25" s="1"/>
      <c r="AE25" s="1"/>
      <c r="AF25" s="1"/>
      <c r="AG25" s="1"/>
      <c r="AH25" s="1"/>
      <c r="AI25" s="1"/>
      <c r="AJ25" s="1"/>
      <c r="AK25" s="1"/>
      <c r="AL25" s="1"/>
      <c r="AM25" s="1"/>
      <c r="AN25" s="1"/>
      <c r="AO25" s="1"/>
      <c r="AP25" s="1"/>
    </row>
    <row r="26" spans="1:42">
      <c r="A26" s="1"/>
      <c r="B26" s="1"/>
      <c r="C26" s="1"/>
      <c r="D26" s="1"/>
      <c r="E26" s="1"/>
      <c r="F26" s="1"/>
      <c r="G26" s="1"/>
      <c r="H26" s="1"/>
      <c r="I26" s="1"/>
      <c r="J26" s="1"/>
      <c r="K26" s="1"/>
      <c r="L26" s="1"/>
      <c r="M26" s="1"/>
      <c r="N26" s="1"/>
      <c r="O26" s="1"/>
      <c r="P26" s="7"/>
      <c r="Q26" s="8"/>
      <c r="R26" s="8"/>
      <c r="S26" s="8"/>
      <c r="T26" s="8"/>
      <c r="U26" s="196"/>
      <c r="V26" s="8"/>
      <c r="W26" s="8"/>
      <c r="X26" s="8"/>
      <c r="Y26" s="8"/>
      <c r="Z26" s="8"/>
      <c r="AA26" s="9"/>
      <c r="AB26" s="1"/>
      <c r="AC26" s="1"/>
      <c r="AD26" s="1"/>
      <c r="AE26" s="1"/>
      <c r="AF26" s="1"/>
      <c r="AG26" s="1"/>
      <c r="AH26" s="1"/>
      <c r="AI26" s="1"/>
      <c r="AJ26" s="1"/>
      <c r="AK26" s="1"/>
      <c r="AL26" s="1"/>
      <c r="AM26" s="1"/>
      <c r="AN26" s="1"/>
      <c r="AO26" s="1"/>
      <c r="AP26" s="1"/>
    </row>
    <row r="27" spans="1:42" ht="15" customHeight="1">
      <c r="A27" s="1"/>
      <c r="B27" s="1"/>
      <c r="C27" s="1"/>
      <c r="D27" s="1"/>
      <c r="E27" s="1"/>
      <c r="F27" s="1"/>
      <c r="G27" s="1"/>
      <c r="H27" s="1"/>
      <c r="I27" s="1"/>
      <c r="J27" s="1"/>
      <c r="K27" s="1"/>
      <c r="L27" s="1"/>
      <c r="M27" s="1"/>
      <c r="N27" s="1"/>
      <c r="O27" s="1"/>
      <c r="P27" s="7"/>
      <c r="Q27" s="8"/>
      <c r="R27" s="326" t="s">
        <v>27</v>
      </c>
      <c r="S27" s="326"/>
      <c r="T27" s="326"/>
      <c r="U27" s="327"/>
      <c r="V27" s="109">
        <v>10</v>
      </c>
      <c r="W27" s="10" t="s">
        <v>28</v>
      </c>
      <c r="X27" s="8" t="s">
        <v>29</v>
      </c>
      <c r="Y27" s="8"/>
      <c r="Z27" s="8"/>
      <c r="AA27" s="9"/>
      <c r="AB27" s="1"/>
      <c r="AC27" s="324" t="s">
        <v>30</v>
      </c>
      <c r="AD27" s="324"/>
      <c r="AE27" s="324"/>
      <c r="AF27" s="324"/>
      <c r="AG27" s="324"/>
      <c r="AH27" s="324"/>
      <c r="AI27" s="324"/>
      <c r="AJ27" s="324"/>
      <c r="AK27" s="324"/>
      <c r="AL27" s="324"/>
      <c r="AM27" s="324"/>
      <c r="AN27" s="324"/>
      <c r="AO27" s="324"/>
      <c r="AP27" s="1"/>
    </row>
    <row r="28" spans="1:42">
      <c r="A28" s="1"/>
      <c r="B28" s="1"/>
      <c r="C28" s="1"/>
      <c r="D28" s="1"/>
      <c r="E28" s="1"/>
      <c r="F28" s="1"/>
      <c r="G28" s="1"/>
      <c r="H28" s="1"/>
      <c r="I28" s="1"/>
      <c r="J28" s="1"/>
      <c r="K28" s="1"/>
      <c r="L28" s="1"/>
      <c r="M28" s="1"/>
      <c r="N28" s="1"/>
      <c r="O28" s="1"/>
      <c r="P28" s="7"/>
      <c r="Q28" s="8"/>
      <c r="R28" s="326" t="s">
        <v>31</v>
      </c>
      <c r="S28" s="326"/>
      <c r="T28" s="326"/>
      <c r="U28" s="327"/>
      <c r="V28" s="109">
        <v>25</v>
      </c>
      <c r="W28" s="10" t="s">
        <v>32</v>
      </c>
      <c r="X28" s="8"/>
      <c r="Y28" s="8"/>
      <c r="Z28" s="8"/>
      <c r="AA28" s="9"/>
      <c r="AB28" s="1"/>
      <c r="AC28" s="324"/>
      <c r="AD28" s="324"/>
      <c r="AE28" s="324"/>
      <c r="AF28" s="324"/>
      <c r="AG28" s="324"/>
      <c r="AH28" s="324"/>
      <c r="AI28" s="324"/>
      <c r="AJ28" s="324"/>
      <c r="AK28" s="324"/>
      <c r="AL28" s="324"/>
      <c r="AM28" s="324"/>
      <c r="AN28" s="324"/>
      <c r="AO28" s="324"/>
      <c r="AP28" s="1"/>
    </row>
    <row r="29" spans="1:42">
      <c r="A29" s="1"/>
      <c r="B29" s="1"/>
      <c r="C29" s="1"/>
      <c r="D29" s="1"/>
      <c r="E29" s="1"/>
      <c r="F29" s="1"/>
      <c r="G29" s="1"/>
      <c r="H29" s="1"/>
      <c r="I29" s="1"/>
      <c r="J29" s="1"/>
      <c r="K29" s="1"/>
      <c r="L29" s="1"/>
      <c r="M29" s="1"/>
      <c r="N29" s="1"/>
      <c r="O29" s="1"/>
      <c r="P29" s="7"/>
      <c r="Q29" s="8"/>
      <c r="R29" s="8"/>
      <c r="S29" s="8"/>
      <c r="T29" s="8"/>
      <c r="U29" s="196"/>
      <c r="V29" s="8"/>
      <c r="W29" s="8"/>
      <c r="X29" s="8"/>
      <c r="Y29" s="8"/>
      <c r="Z29" s="8"/>
      <c r="AA29" s="9"/>
      <c r="AB29" s="1"/>
      <c r="AC29" s="1"/>
      <c r="AD29" s="1"/>
      <c r="AE29" s="1"/>
      <c r="AF29" s="1"/>
      <c r="AG29" s="1"/>
      <c r="AH29" s="1"/>
      <c r="AI29" s="1"/>
      <c r="AJ29" s="1"/>
      <c r="AK29" s="1"/>
      <c r="AL29" s="1"/>
      <c r="AM29" s="1"/>
      <c r="AN29" s="1"/>
      <c r="AO29" s="1"/>
      <c r="AP29" s="1"/>
    </row>
    <row r="30" spans="1:42" ht="30">
      <c r="A30" s="1"/>
      <c r="B30" s="1"/>
      <c r="C30" s="1"/>
      <c r="D30" s="1"/>
      <c r="E30" s="1"/>
      <c r="F30" s="1"/>
      <c r="G30" s="1"/>
      <c r="H30" s="1"/>
      <c r="I30" s="1"/>
      <c r="J30" s="1"/>
      <c r="K30" s="1"/>
      <c r="L30" s="1"/>
      <c r="M30" s="1"/>
      <c r="N30" s="1"/>
      <c r="O30" s="1"/>
      <c r="P30" s="7"/>
      <c r="Q30" s="8"/>
      <c r="R30" s="328" t="s">
        <v>33</v>
      </c>
      <c r="S30" s="329"/>
      <c r="T30" s="329"/>
      <c r="U30" s="329"/>
      <c r="V30" s="329"/>
      <c r="W30" s="329"/>
      <c r="X30" s="330"/>
      <c r="Y30" s="8"/>
      <c r="Z30" s="8"/>
      <c r="AA30" s="9"/>
      <c r="AB30" s="1"/>
      <c r="AC30" s="1"/>
      <c r="AD30" s="325" t="s">
        <v>34</v>
      </c>
      <c r="AE30" s="325"/>
      <c r="AF30" s="325"/>
      <c r="AG30" s="325"/>
      <c r="AH30" s="325"/>
      <c r="AI30" s="325"/>
      <c r="AJ30" s="325"/>
      <c r="AK30" s="325"/>
      <c r="AL30" s="325"/>
      <c r="AM30" s="325"/>
      <c r="AN30" s="325"/>
      <c r="AO30" s="1"/>
      <c r="AP30" s="1"/>
    </row>
    <row r="31" spans="1:42">
      <c r="A31" s="1"/>
      <c r="B31" s="1"/>
      <c r="C31" s="1"/>
      <c r="D31" s="1"/>
      <c r="E31" s="1"/>
      <c r="F31" s="1"/>
      <c r="G31" s="1"/>
      <c r="H31" s="1"/>
      <c r="I31" s="1"/>
      <c r="J31" s="1"/>
      <c r="K31" s="1"/>
      <c r="L31" s="1"/>
      <c r="M31" s="1"/>
      <c r="N31" s="1"/>
      <c r="O31" s="1"/>
      <c r="P31" s="7"/>
      <c r="Q31" s="8"/>
      <c r="R31" s="8"/>
      <c r="S31" s="8"/>
      <c r="T31" s="8"/>
      <c r="U31" s="196"/>
      <c r="V31" s="8"/>
      <c r="W31" s="8"/>
      <c r="X31" s="8"/>
      <c r="Y31" s="8"/>
      <c r="Z31" s="8"/>
      <c r="AA31" s="9"/>
      <c r="AB31" s="1"/>
      <c r="AC31" s="1"/>
      <c r="AD31" s="1"/>
      <c r="AE31" s="1"/>
      <c r="AF31" s="1"/>
      <c r="AG31" s="1"/>
      <c r="AH31" s="1"/>
      <c r="AI31" s="1"/>
      <c r="AJ31" s="1"/>
      <c r="AK31" s="1"/>
      <c r="AL31" s="1"/>
      <c r="AM31" s="1"/>
      <c r="AN31" s="1"/>
      <c r="AO31" s="1"/>
      <c r="AP31" s="1"/>
    </row>
    <row r="32" spans="1:42">
      <c r="A32" s="1"/>
      <c r="B32" s="1"/>
      <c r="C32" s="1"/>
      <c r="D32" s="1"/>
      <c r="E32" s="1"/>
      <c r="F32" s="1"/>
      <c r="G32" s="1"/>
      <c r="H32" s="1"/>
      <c r="I32" s="1"/>
      <c r="J32" s="1"/>
      <c r="K32" s="1"/>
      <c r="L32" s="1"/>
      <c r="M32" s="1"/>
      <c r="N32" s="1"/>
      <c r="O32" s="1"/>
      <c r="P32" s="7"/>
      <c r="Q32" s="8"/>
      <c r="R32" s="326" t="s">
        <v>27</v>
      </c>
      <c r="S32" s="326"/>
      <c r="T32" s="326"/>
      <c r="U32" s="327"/>
      <c r="V32" s="109">
        <v>60</v>
      </c>
      <c r="W32" s="10" t="s">
        <v>28</v>
      </c>
      <c r="X32" s="8" t="s">
        <v>35</v>
      </c>
      <c r="Y32" s="8"/>
      <c r="Z32" s="8"/>
      <c r="AA32" s="9"/>
      <c r="AB32" s="1"/>
      <c r="AC32" s="1"/>
      <c r="AD32" s="1"/>
      <c r="AE32" s="1"/>
      <c r="AF32" s="1"/>
      <c r="AG32" s="1"/>
      <c r="AH32" s="1"/>
      <c r="AI32" s="1"/>
      <c r="AJ32" s="1"/>
      <c r="AK32" s="1"/>
      <c r="AL32" s="1"/>
      <c r="AM32" s="1"/>
      <c r="AN32" s="1"/>
      <c r="AO32" s="1"/>
      <c r="AP32" s="1"/>
    </row>
    <row r="33" spans="1:42">
      <c r="A33" s="1"/>
      <c r="B33" s="1"/>
      <c r="C33" s="1"/>
      <c r="D33" s="1"/>
      <c r="E33" s="1"/>
      <c r="F33" s="1"/>
      <c r="G33" s="1"/>
      <c r="H33" s="1"/>
      <c r="I33" s="1"/>
      <c r="J33" s="1"/>
      <c r="K33" s="1"/>
      <c r="L33" s="1"/>
      <c r="M33" s="1"/>
      <c r="N33" s="1"/>
      <c r="O33" s="1"/>
      <c r="P33" s="7"/>
      <c r="Q33" s="8"/>
      <c r="R33" s="326" t="s">
        <v>31</v>
      </c>
      <c r="S33" s="326"/>
      <c r="T33" s="326"/>
      <c r="U33" s="327"/>
      <c r="V33" s="109">
        <v>25</v>
      </c>
      <c r="W33" s="10" t="s">
        <v>32</v>
      </c>
      <c r="X33" s="8"/>
      <c r="Y33" s="8"/>
      <c r="Z33" s="8"/>
      <c r="AA33" s="9"/>
      <c r="AB33" s="1"/>
      <c r="AC33" s="1"/>
      <c r="AD33" s="1"/>
      <c r="AE33" s="1"/>
      <c r="AF33" s="1"/>
      <c r="AG33" s="1"/>
      <c r="AH33" s="1"/>
      <c r="AI33" s="1"/>
      <c r="AJ33" s="1"/>
      <c r="AK33" s="1"/>
      <c r="AL33" s="1"/>
      <c r="AM33" s="1"/>
      <c r="AN33" s="1"/>
      <c r="AO33" s="1"/>
      <c r="AP33" s="1"/>
    </row>
    <row r="34" spans="1:42">
      <c r="A34" s="1"/>
      <c r="B34" s="1"/>
      <c r="C34" s="1"/>
      <c r="D34" s="1"/>
      <c r="E34" s="1"/>
      <c r="F34" s="1"/>
      <c r="G34" s="1"/>
      <c r="H34" s="1"/>
      <c r="I34" s="1"/>
      <c r="J34" s="1"/>
      <c r="K34" s="1"/>
      <c r="L34" s="1"/>
      <c r="M34" s="1"/>
      <c r="N34" s="1"/>
      <c r="O34" s="1"/>
      <c r="P34" s="7"/>
      <c r="Q34" s="8"/>
      <c r="R34" s="8"/>
      <c r="S34" s="8"/>
      <c r="T34" s="8"/>
      <c r="U34" s="196"/>
      <c r="V34" s="8"/>
      <c r="W34" s="8"/>
      <c r="X34" s="8"/>
      <c r="Y34" s="8"/>
      <c r="Z34" s="8"/>
      <c r="AA34" s="9"/>
      <c r="AB34" s="1"/>
      <c r="AC34" s="1"/>
      <c r="AD34" s="1"/>
      <c r="AE34" s="1"/>
      <c r="AF34" s="1"/>
      <c r="AG34" s="1"/>
      <c r="AH34" s="1"/>
      <c r="AI34" s="1"/>
      <c r="AJ34" s="1"/>
      <c r="AK34" s="1"/>
      <c r="AL34" s="1"/>
      <c r="AM34" s="1"/>
      <c r="AN34" s="1"/>
      <c r="AO34" s="1"/>
      <c r="AP34" s="1"/>
    </row>
    <row r="35" spans="1:42" ht="30">
      <c r="A35" s="1"/>
      <c r="B35" s="1"/>
      <c r="C35" s="1"/>
      <c r="D35" s="1"/>
      <c r="E35" s="1"/>
      <c r="F35" s="1"/>
      <c r="G35" s="1"/>
      <c r="H35" s="1"/>
      <c r="I35" s="1"/>
      <c r="J35" s="1"/>
      <c r="K35" s="1"/>
      <c r="L35" s="1"/>
      <c r="M35" s="1"/>
      <c r="N35" s="1"/>
      <c r="O35" s="1"/>
      <c r="P35" s="7"/>
      <c r="Q35" s="8"/>
      <c r="R35" s="331" t="s">
        <v>36</v>
      </c>
      <c r="S35" s="332"/>
      <c r="T35" s="332"/>
      <c r="U35" s="332"/>
      <c r="V35" s="332"/>
      <c r="W35" s="332"/>
      <c r="X35" s="333"/>
      <c r="Y35" s="8"/>
      <c r="Z35" s="8"/>
      <c r="AA35" s="9"/>
      <c r="AB35" s="1"/>
      <c r="AC35" s="1"/>
      <c r="AD35" s="1"/>
      <c r="AE35" s="1"/>
      <c r="AF35" s="1"/>
      <c r="AG35" s="1"/>
      <c r="AH35" s="1"/>
      <c r="AI35" s="1"/>
      <c r="AJ35" s="1"/>
      <c r="AK35" s="1"/>
      <c r="AL35" s="1"/>
      <c r="AM35" s="1"/>
      <c r="AN35" s="1"/>
      <c r="AO35" s="1"/>
      <c r="AP35" s="1"/>
    </row>
    <row r="36" spans="1:42">
      <c r="A36" s="1"/>
      <c r="B36" s="1"/>
      <c r="C36" s="1"/>
      <c r="D36" s="1"/>
      <c r="E36" s="1"/>
      <c r="F36" s="1"/>
      <c r="G36" s="1"/>
      <c r="H36" s="1"/>
      <c r="I36" s="1"/>
      <c r="J36" s="1"/>
      <c r="K36" s="1"/>
      <c r="L36" s="1"/>
      <c r="M36" s="1"/>
      <c r="N36" s="1"/>
      <c r="O36" s="1"/>
      <c r="P36" s="7"/>
      <c r="Q36" s="8"/>
      <c r="R36" s="8"/>
      <c r="S36" s="8"/>
      <c r="T36" s="8"/>
      <c r="U36" s="196"/>
      <c r="V36" s="8"/>
      <c r="W36" s="8"/>
      <c r="X36" s="8"/>
      <c r="Y36" s="8"/>
      <c r="Z36" s="8"/>
      <c r="AA36" s="9"/>
      <c r="AB36" s="1"/>
      <c r="AC36" s="1"/>
      <c r="AD36" s="1"/>
      <c r="AE36" s="1"/>
      <c r="AF36" s="1"/>
      <c r="AG36" s="1"/>
      <c r="AH36" s="1"/>
      <c r="AI36" s="1"/>
      <c r="AJ36" s="1"/>
      <c r="AK36" s="1"/>
      <c r="AL36" s="1"/>
      <c r="AM36" s="1"/>
      <c r="AN36" s="1"/>
      <c r="AO36" s="1"/>
      <c r="AP36" s="1"/>
    </row>
    <row r="37" spans="1:42">
      <c r="A37" s="1"/>
      <c r="B37" s="1"/>
      <c r="C37" s="1"/>
      <c r="D37" s="1"/>
      <c r="E37" s="1"/>
      <c r="F37" s="1"/>
      <c r="G37" s="1"/>
      <c r="H37" s="1"/>
      <c r="I37" s="1"/>
      <c r="J37" s="1"/>
      <c r="K37" s="1"/>
      <c r="L37" s="1"/>
      <c r="M37" s="1"/>
      <c r="N37" s="1"/>
      <c r="O37" s="1"/>
      <c r="P37" s="7"/>
      <c r="Q37" s="8"/>
      <c r="R37" s="326" t="s">
        <v>37</v>
      </c>
      <c r="S37" s="326"/>
      <c r="T37" s="326"/>
      <c r="U37" s="326"/>
      <c r="V37" s="288">
        <v>15</v>
      </c>
      <c r="W37" s="10" t="s">
        <v>28</v>
      </c>
      <c r="X37" s="8" t="s">
        <v>38</v>
      </c>
      <c r="Y37" s="8"/>
      <c r="Z37" s="8"/>
      <c r="AA37" s="9"/>
      <c r="AB37" s="1"/>
      <c r="AC37" s="1"/>
      <c r="AD37" s="1"/>
      <c r="AE37" s="1"/>
      <c r="AF37" s="1"/>
      <c r="AG37" s="1"/>
      <c r="AH37" s="1"/>
      <c r="AI37" s="1"/>
      <c r="AJ37" s="1"/>
      <c r="AK37" s="1"/>
      <c r="AL37" s="1"/>
      <c r="AM37" s="1"/>
      <c r="AN37" s="1"/>
      <c r="AO37" s="1"/>
      <c r="AP37" s="1"/>
    </row>
    <row r="38" spans="1:42">
      <c r="A38" s="1"/>
      <c r="B38" s="1"/>
      <c r="C38" s="1"/>
      <c r="D38" s="1"/>
      <c r="E38" s="1"/>
      <c r="F38" s="1"/>
      <c r="G38" s="1"/>
      <c r="H38" s="1"/>
      <c r="I38" s="1"/>
      <c r="J38" s="1"/>
      <c r="K38" s="1"/>
      <c r="L38" s="1"/>
      <c r="M38" s="1"/>
      <c r="N38" s="1"/>
      <c r="O38" s="1"/>
      <c r="P38" s="7"/>
      <c r="Q38" s="8"/>
      <c r="R38" s="326" t="s">
        <v>39</v>
      </c>
      <c r="S38" s="326"/>
      <c r="T38" s="326"/>
      <c r="U38" s="327"/>
      <c r="V38" s="227">
        <v>5</v>
      </c>
      <c r="W38" s="10" t="s">
        <v>28</v>
      </c>
      <c r="X38" s="8" t="s">
        <v>29</v>
      </c>
      <c r="Y38" s="8"/>
      <c r="Z38" s="8"/>
      <c r="AA38" s="9"/>
      <c r="AB38" s="1"/>
      <c r="AC38" s="1"/>
      <c r="AD38" s="1"/>
      <c r="AE38" s="1"/>
      <c r="AF38" s="1"/>
      <c r="AG38" s="1"/>
      <c r="AH38" s="1"/>
      <c r="AI38" s="1"/>
      <c r="AJ38" s="1"/>
      <c r="AK38" s="1"/>
      <c r="AL38" s="1"/>
      <c r="AM38" s="1"/>
      <c r="AN38" s="1"/>
      <c r="AO38" s="1"/>
      <c r="AP38" s="1"/>
    </row>
    <row r="39" spans="1:42">
      <c r="A39" s="1"/>
      <c r="B39" s="1"/>
      <c r="C39" s="1"/>
      <c r="D39" s="1"/>
      <c r="E39" s="1"/>
      <c r="F39" s="1"/>
      <c r="G39" s="1"/>
      <c r="H39" s="1"/>
      <c r="I39" s="1"/>
      <c r="J39" s="1"/>
      <c r="K39" s="1"/>
      <c r="L39" s="1"/>
      <c r="M39" s="1"/>
      <c r="N39" s="1"/>
      <c r="O39" s="1"/>
      <c r="P39" s="7"/>
      <c r="Q39" s="8"/>
      <c r="R39" s="326" t="s">
        <v>40</v>
      </c>
      <c r="S39" s="326"/>
      <c r="T39" s="326"/>
      <c r="U39" s="327"/>
      <c r="V39" s="293">
        <f>90-V32</f>
        <v>30</v>
      </c>
      <c r="W39" s="10" t="s">
        <v>28</v>
      </c>
      <c r="X39" s="8"/>
      <c r="Y39" s="8"/>
      <c r="Z39" s="8"/>
      <c r="AA39" s="9"/>
      <c r="AB39" s="1"/>
      <c r="AC39" s="1"/>
      <c r="AD39" s="1"/>
      <c r="AE39" s="1"/>
      <c r="AF39" s="1"/>
      <c r="AG39" s="1"/>
      <c r="AH39" s="1"/>
      <c r="AI39" s="1"/>
      <c r="AJ39" s="1"/>
      <c r="AK39" s="1"/>
      <c r="AL39" s="1"/>
      <c r="AM39" s="1"/>
      <c r="AN39" s="1"/>
      <c r="AO39" s="1"/>
      <c r="AP39" s="1"/>
    </row>
    <row r="40" spans="1:42">
      <c r="A40" s="1"/>
      <c r="B40" s="1"/>
      <c r="C40" s="1"/>
      <c r="D40" s="1"/>
      <c r="E40" s="1"/>
      <c r="F40" s="1"/>
      <c r="G40" s="1"/>
      <c r="H40" s="1"/>
      <c r="I40" s="1"/>
      <c r="J40" s="1"/>
      <c r="K40" s="1"/>
      <c r="L40" s="1"/>
      <c r="M40" s="1"/>
      <c r="N40" s="1"/>
      <c r="O40" s="1"/>
      <c r="P40" s="11"/>
      <c r="Q40" s="12"/>
      <c r="R40" s="12"/>
      <c r="S40" s="12"/>
      <c r="T40" s="12"/>
      <c r="U40" s="13"/>
      <c r="V40" s="12"/>
      <c r="W40" s="12"/>
      <c r="X40" s="12"/>
      <c r="Y40" s="12"/>
      <c r="Z40" s="12"/>
      <c r="AA40" s="14"/>
      <c r="AB40" s="1"/>
      <c r="AC40" s="1"/>
      <c r="AD40" s="1"/>
      <c r="AE40" s="1"/>
      <c r="AF40" s="1"/>
      <c r="AG40" s="1"/>
      <c r="AH40" s="1"/>
      <c r="AI40" s="1"/>
      <c r="AJ40" s="1"/>
      <c r="AK40" s="1"/>
      <c r="AL40" s="1"/>
      <c r="AM40" s="1"/>
      <c r="AN40" s="1"/>
      <c r="AO40" s="1"/>
      <c r="AP40" s="1"/>
    </row>
    <row r="41" spans="1:4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row r="44" spans="1:42"/>
    <row r="45" spans="1:42"/>
    <row r="46" spans="1:42"/>
    <row r="47" spans="1:42"/>
    <row r="48" spans="1:42"/>
    <row r="49"/>
    <row r="50"/>
  </sheetData>
  <mergeCells count="27">
    <mergeCell ref="AE5:AM8"/>
    <mergeCell ref="AE10:AM17"/>
    <mergeCell ref="R39:U39"/>
    <mergeCell ref="R2:X2"/>
    <mergeCell ref="R6:X6"/>
    <mergeCell ref="R10:U10"/>
    <mergeCell ref="R9:U9"/>
    <mergeCell ref="R21:U21"/>
    <mergeCell ref="R11:U11"/>
    <mergeCell ref="S15:U15"/>
    <mergeCell ref="S16:U16"/>
    <mergeCell ref="R18:X18"/>
    <mergeCell ref="R20:U20"/>
    <mergeCell ref="R13:X13"/>
    <mergeCell ref="R28:U28"/>
    <mergeCell ref="R27:U27"/>
    <mergeCell ref="R37:U37"/>
    <mergeCell ref="R38:U38"/>
    <mergeCell ref="R35:X35"/>
    <mergeCell ref="R23:U23"/>
    <mergeCell ref="R22:U22"/>
    <mergeCell ref="R25:X25"/>
    <mergeCell ref="AC27:AO28"/>
    <mergeCell ref="AD30:AN30"/>
    <mergeCell ref="R33:U33"/>
    <mergeCell ref="R32:U32"/>
    <mergeCell ref="R30:X30"/>
  </mergeCells>
  <hyperlinks>
    <hyperlink ref="AD30:AN30" r:id="rId1" display="https://ised-isde.canada.ca/site/spectrum-management-telecommunications/en/learn-more/key-documents/procedures/client-procedures-circulars-cpc/cpc-2-6-02-licensing-space-stations" xr:uid="{8E228295-658B-43FE-B5AF-B48BEABEDCE0}"/>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35"/>
  <sheetViews>
    <sheetView zoomScale="82" zoomScaleNormal="60" workbookViewId="0">
      <selection activeCell="X26" sqref="X26"/>
    </sheetView>
  </sheetViews>
  <sheetFormatPr defaultColWidth="0" defaultRowHeight="14.45" zeroHeight="1"/>
  <cols>
    <col min="1" max="17" width="3.28515625" customWidth="1"/>
    <col min="18" max="19" width="8.7109375" customWidth="1"/>
    <col min="20" max="20" width="6.140625" customWidth="1"/>
    <col min="21" max="22" width="8.7109375" customWidth="1"/>
    <col min="23" max="23" width="16" customWidth="1"/>
    <col min="24" max="26" width="8.7109375" customWidth="1"/>
    <col min="27" max="43" width="3.28515625" customWidth="1"/>
    <col min="44" max="16384" width="8.7109375" hidden="1"/>
  </cols>
  <sheetData>
    <row r="1" spans="1:4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5.6">
      <c r="A2" s="1"/>
      <c r="B2" s="1"/>
      <c r="C2" s="1"/>
      <c r="D2" s="1"/>
      <c r="E2" s="1"/>
      <c r="F2" s="1"/>
      <c r="G2" s="1"/>
      <c r="H2" s="1"/>
      <c r="I2" s="1"/>
      <c r="J2" s="1"/>
      <c r="K2" s="1"/>
      <c r="L2" s="1"/>
      <c r="M2" s="1"/>
      <c r="N2" s="1"/>
      <c r="O2" s="1"/>
      <c r="P2" s="1"/>
      <c r="Q2" s="1"/>
      <c r="R2" s="335" t="s">
        <v>0</v>
      </c>
      <c r="S2" s="336"/>
      <c r="T2" s="336"/>
      <c r="U2" s="336"/>
      <c r="V2" s="336"/>
      <c r="W2" s="336"/>
      <c r="X2" s="336"/>
      <c r="Y2" s="336"/>
      <c r="Z2" s="337"/>
      <c r="AA2" s="1"/>
      <c r="AB2" s="1"/>
      <c r="AC2" s="1"/>
      <c r="AD2" s="1"/>
      <c r="AE2" s="1"/>
      <c r="AF2" s="1"/>
      <c r="AG2" s="1"/>
      <c r="AH2" s="1"/>
      <c r="AI2" s="1"/>
      <c r="AJ2" s="1"/>
      <c r="AK2" s="1"/>
      <c r="AL2" s="1"/>
      <c r="AM2" s="1"/>
      <c r="AN2" s="1"/>
      <c r="AO2" s="1"/>
      <c r="AP2" s="1"/>
      <c r="AQ2" s="1"/>
    </row>
    <row r="3" spans="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c r="A4" s="1"/>
      <c r="B4" s="1"/>
      <c r="C4" s="1"/>
      <c r="D4" s="1"/>
      <c r="E4" s="1"/>
      <c r="F4" s="1"/>
      <c r="G4" s="1"/>
      <c r="H4" s="1"/>
      <c r="I4" s="1"/>
      <c r="J4" s="1"/>
      <c r="K4" s="1"/>
      <c r="L4" s="1"/>
      <c r="M4" s="1"/>
      <c r="N4" s="1"/>
      <c r="O4" s="1"/>
      <c r="P4" s="112"/>
      <c r="Q4" s="113"/>
      <c r="R4" s="113"/>
      <c r="S4" s="113"/>
      <c r="T4" s="113"/>
      <c r="U4" s="113"/>
      <c r="V4" s="113"/>
      <c r="W4" s="113"/>
      <c r="X4" s="113"/>
      <c r="Y4" s="113"/>
      <c r="Z4" s="113"/>
      <c r="AA4" s="113"/>
      <c r="AB4" s="114"/>
      <c r="AC4" s="1"/>
      <c r="AD4" s="1"/>
      <c r="AE4" s="1"/>
      <c r="AF4" s="1"/>
      <c r="AG4" s="1"/>
      <c r="AH4" s="1"/>
      <c r="AI4" s="1"/>
      <c r="AJ4" s="1"/>
      <c r="AK4" s="1"/>
      <c r="AL4" s="1"/>
      <c r="AM4" s="1"/>
      <c r="AN4" s="1"/>
      <c r="AO4" s="1"/>
      <c r="AP4" s="1"/>
      <c r="AQ4" s="1"/>
    </row>
    <row r="5" spans="1:43">
      <c r="A5" s="1"/>
      <c r="B5" s="1"/>
      <c r="C5" s="1"/>
      <c r="D5" s="1"/>
      <c r="E5" s="1"/>
      <c r="F5" s="1"/>
      <c r="G5" s="1"/>
      <c r="H5" s="1"/>
      <c r="I5" s="1"/>
      <c r="J5" s="1"/>
      <c r="K5" s="1"/>
      <c r="L5" s="1"/>
      <c r="M5" s="1"/>
      <c r="N5" s="1"/>
      <c r="O5" s="1"/>
      <c r="P5" s="111"/>
      <c r="Q5" s="115"/>
      <c r="R5" s="115"/>
      <c r="S5" s="115"/>
      <c r="T5" s="115"/>
      <c r="U5" s="115"/>
      <c r="V5" s="115"/>
      <c r="W5" s="115"/>
      <c r="X5" s="115"/>
      <c r="Y5" s="115"/>
      <c r="Z5" s="115"/>
      <c r="AA5" s="115"/>
      <c r="AB5" s="116"/>
      <c r="AC5" s="1"/>
      <c r="AD5" s="1"/>
      <c r="AE5" s="1"/>
      <c r="AF5" s="1"/>
      <c r="AG5" s="1"/>
      <c r="AH5" s="1"/>
      <c r="AI5" s="1"/>
      <c r="AJ5" s="1"/>
      <c r="AK5" s="1"/>
      <c r="AL5" s="1"/>
      <c r="AM5" s="1"/>
      <c r="AN5" s="1"/>
      <c r="AO5" s="1"/>
      <c r="AP5" s="1"/>
      <c r="AQ5" s="1"/>
    </row>
    <row r="6" spans="1:43" ht="30">
      <c r="A6" s="1"/>
      <c r="B6" s="1"/>
      <c r="C6" s="1"/>
      <c r="D6" s="1"/>
      <c r="E6" s="1"/>
      <c r="F6" s="1"/>
      <c r="G6" s="1"/>
      <c r="H6" s="1"/>
      <c r="I6" s="1"/>
      <c r="J6" s="1"/>
      <c r="K6" s="1"/>
      <c r="L6" s="1"/>
      <c r="M6" s="1"/>
      <c r="N6" s="1"/>
      <c r="O6" s="1"/>
      <c r="P6" s="111"/>
      <c r="Q6" s="115"/>
      <c r="R6" s="328" t="s">
        <v>321</v>
      </c>
      <c r="S6" s="329"/>
      <c r="T6" s="329"/>
      <c r="U6" s="329"/>
      <c r="V6" s="329"/>
      <c r="W6" s="329"/>
      <c r="X6" s="329"/>
      <c r="Y6" s="329"/>
      <c r="Z6" s="330"/>
      <c r="AA6" s="115"/>
      <c r="AB6" s="116"/>
      <c r="AC6" s="1"/>
      <c r="AD6" s="1"/>
      <c r="AE6" s="1"/>
      <c r="AF6" s="1"/>
      <c r="AG6" s="1"/>
      <c r="AH6" s="1"/>
      <c r="AI6" s="1"/>
      <c r="AJ6" s="1"/>
      <c r="AK6" s="1"/>
      <c r="AL6" s="1"/>
      <c r="AM6" s="1"/>
      <c r="AN6" s="1"/>
      <c r="AO6" s="1"/>
      <c r="AP6" s="1"/>
      <c r="AQ6" s="1"/>
    </row>
    <row r="7" spans="1:43">
      <c r="A7" s="141"/>
      <c r="B7" s="141"/>
      <c r="C7" s="141"/>
      <c r="D7" s="141"/>
      <c r="E7" s="141"/>
      <c r="F7" s="141"/>
      <c r="G7" s="141"/>
      <c r="H7" s="141"/>
      <c r="I7" s="141"/>
      <c r="J7" s="141"/>
      <c r="K7" s="141"/>
      <c r="L7" s="141"/>
      <c r="M7" s="141"/>
      <c r="N7" s="141"/>
      <c r="O7" s="141"/>
      <c r="P7" s="111"/>
      <c r="Q7" s="115"/>
      <c r="R7" s="115"/>
      <c r="S7" s="115"/>
      <c r="T7" s="115"/>
      <c r="U7" s="115"/>
      <c r="V7" s="115"/>
      <c r="W7" s="115"/>
      <c r="X7" s="115"/>
      <c r="Y7" s="115"/>
      <c r="Z7" s="115"/>
      <c r="AA7" s="115"/>
      <c r="AB7" s="116"/>
      <c r="AC7" s="141"/>
      <c r="AD7" s="141"/>
      <c r="AE7" s="141"/>
      <c r="AF7" s="141"/>
      <c r="AG7" s="141"/>
      <c r="AH7" s="141"/>
      <c r="AI7" s="141"/>
      <c r="AJ7" s="141"/>
      <c r="AK7" s="141"/>
      <c r="AL7" s="141"/>
      <c r="AM7" s="141"/>
      <c r="AN7" s="141"/>
      <c r="AO7" s="141"/>
      <c r="AP7" s="141"/>
      <c r="AQ7" s="141"/>
    </row>
    <row r="8" spans="1:43">
      <c r="A8" s="141"/>
      <c r="B8" s="141"/>
      <c r="C8" s="141"/>
      <c r="D8" s="141"/>
      <c r="E8" s="141"/>
      <c r="F8" s="141"/>
      <c r="G8" s="141"/>
      <c r="H8" s="141"/>
      <c r="I8" s="141"/>
      <c r="J8" s="141"/>
      <c r="K8" s="141"/>
      <c r="L8" s="141"/>
      <c r="M8" s="141"/>
      <c r="N8" s="141"/>
      <c r="O8" s="141"/>
      <c r="P8" s="111"/>
      <c r="Q8" s="115"/>
      <c r="R8" s="115"/>
      <c r="S8" s="115"/>
      <c r="T8" s="115"/>
      <c r="U8" s="341" t="s">
        <v>322</v>
      </c>
      <c r="V8" s="341"/>
      <c r="W8" s="341"/>
      <c r="X8" s="142">
        <v>1.0000000000000001E-5</v>
      </c>
      <c r="Y8" s="115"/>
      <c r="Z8" s="115"/>
      <c r="AA8" s="115"/>
      <c r="AB8" s="116"/>
      <c r="AC8" s="141"/>
      <c r="AD8" s="141"/>
      <c r="AE8" s="141"/>
      <c r="AF8" s="141"/>
      <c r="AG8" s="141"/>
      <c r="AH8" s="141"/>
      <c r="AI8" s="141"/>
      <c r="AJ8" s="141"/>
      <c r="AK8" s="141"/>
      <c r="AL8" s="141"/>
      <c r="AM8" s="141"/>
      <c r="AN8" s="141"/>
      <c r="AO8" s="141"/>
      <c r="AP8" s="141"/>
      <c r="AQ8" s="141"/>
    </row>
    <row r="9" spans="1:43">
      <c r="A9" s="141"/>
      <c r="B9" s="141"/>
      <c r="C9" s="141"/>
      <c r="D9" s="141"/>
      <c r="E9" s="141"/>
      <c r="F9" s="141"/>
      <c r="G9" s="141"/>
      <c r="H9" s="141"/>
      <c r="I9" s="141"/>
      <c r="J9" s="141"/>
      <c r="K9" s="141"/>
      <c r="L9" s="141"/>
      <c r="M9" s="141"/>
      <c r="N9" s="141"/>
      <c r="O9" s="141"/>
      <c r="P9" s="111"/>
      <c r="Q9" s="115"/>
      <c r="R9" s="115"/>
      <c r="S9" s="115"/>
      <c r="T9" s="115"/>
      <c r="U9" s="341" t="s">
        <v>323</v>
      </c>
      <c r="V9" s="341"/>
      <c r="W9" s="346"/>
      <c r="X9" s="142">
        <v>9.9999999999999995E-7</v>
      </c>
      <c r="Y9" s="115"/>
      <c r="Z9" s="115"/>
      <c r="AA9" s="115"/>
      <c r="AB9" s="116"/>
      <c r="AC9" s="141"/>
      <c r="AD9" s="141"/>
      <c r="AE9" s="141"/>
      <c r="AF9" s="141"/>
      <c r="AG9" s="141"/>
      <c r="AH9" s="141"/>
      <c r="AI9" s="141"/>
      <c r="AJ9" s="141"/>
      <c r="AK9" s="141"/>
      <c r="AL9" s="141"/>
      <c r="AM9" s="141"/>
      <c r="AN9" s="141"/>
      <c r="AO9" s="141"/>
      <c r="AP9" s="141"/>
      <c r="AQ9" s="141"/>
    </row>
    <row r="10" spans="1:43">
      <c r="A10" s="141"/>
      <c r="B10" s="141"/>
      <c r="C10" s="141"/>
      <c r="D10" s="141"/>
      <c r="E10" s="141"/>
      <c r="F10" s="141"/>
      <c r="G10" s="141"/>
      <c r="H10" s="141"/>
      <c r="I10" s="141"/>
      <c r="J10" s="141"/>
      <c r="K10" s="141"/>
      <c r="L10" s="141"/>
      <c r="M10" s="141"/>
      <c r="N10" s="141"/>
      <c r="O10" s="141"/>
      <c r="P10" s="111"/>
      <c r="Q10" s="115"/>
      <c r="R10" s="115"/>
      <c r="S10" s="115"/>
      <c r="T10" s="115"/>
      <c r="U10" s="341" t="s">
        <v>324</v>
      </c>
      <c r="V10" s="341"/>
      <c r="W10" s="341"/>
      <c r="X10" s="123">
        <v>9.6</v>
      </c>
      <c r="Y10" s="115" t="s">
        <v>325</v>
      </c>
      <c r="Z10" s="115"/>
      <c r="AA10" s="115"/>
      <c r="AB10" s="116"/>
      <c r="AC10" s="141"/>
      <c r="AD10" s="141"/>
      <c r="AE10" s="141"/>
      <c r="AF10" s="141"/>
      <c r="AG10" s="141"/>
      <c r="AH10" s="141"/>
      <c r="AI10" s="141"/>
      <c r="AJ10" s="141"/>
      <c r="AK10" s="141"/>
      <c r="AL10" s="141"/>
      <c r="AM10" s="141"/>
      <c r="AN10" s="141"/>
      <c r="AO10" s="141"/>
      <c r="AP10" s="141"/>
      <c r="AQ10" s="141"/>
    </row>
    <row r="11" spans="1:43">
      <c r="A11" s="1"/>
      <c r="B11" s="1"/>
      <c r="C11" s="1"/>
      <c r="D11" s="1"/>
      <c r="E11" s="1"/>
      <c r="F11" s="1"/>
      <c r="G11" s="1"/>
      <c r="H11" s="1"/>
      <c r="I11" s="1"/>
      <c r="J11" s="1"/>
      <c r="K11" s="1"/>
      <c r="L11" s="1"/>
      <c r="M11" s="1"/>
      <c r="N11" s="1"/>
      <c r="O11" s="1"/>
      <c r="P11" s="111"/>
      <c r="Q11" s="115"/>
      <c r="R11" s="115"/>
      <c r="S11" s="115"/>
      <c r="T11" s="115"/>
      <c r="U11" s="341" t="s">
        <v>326</v>
      </c>
      <c r="V11" s="341"/>
      <c r="W11" s="341"/>
      <c r="X11" s="123">
        <v>9.6</v>
      </c>
      <c r="Y11" s="115" t="s">
        <v>325</v>
      </c>
      <c r="Z11" s="115"/>
      <c r="AA11" s="115"/>
      <c r="AB11" s="116"/>
      <c r="AC11" s="1"/>
      <c r="AD11" s="1"/>
      <c r="AE11" s="1"/>
      <c r="AF11" s="1"/>
      <c r="AG11" s="1"/>
      <c r="AH11" s="1"/>
      <c r="AI11" s="1"/>
      <c r="AJ11" s="1"/>
      <c r="AK11" s="1"/>
      <c r="AL11" s="1"/>
      <c r="AM11" s="1"/>
      <c r="AN11" s="1"/>
      <c r="AO11" s="1"/>
      <c r="AP11" s="1"/>
      <c r="AQ11" s="1"/>
    </row>
    <row r="12" spans="1:43">
      <c r="A12" s="141"/>
      <c r="B12" s="141"/>
      <c r="C12" s="141"/>
      <c r="D12" s="141"/>
      <c r="E12" s="141"/>
      <c r="F12" s="141"/>
      <c r="G12" s="141"/>
      <c r="H12" s="141"/>
      <c r="I12" s="141"/>
      <c r="J12" s="141"/>
      <c r="K12" s="141"/>
      <c r="L12" s="141"/>
      <c r="M12" s="141"/>
      <c r="N12" s="141"/>
      <c r="O12" s="141"/>
      <c r="P12" s="111"/>
      <c r="Q12" s="115"/>
      <c r="R12" s="115"/>
      <c r="S12" s="115"/>
      <c r="T12" s="115"/>
      <c r="U12" s="341" t="s">
        <v>327</v>
      </c>
      <c r="V12" s="341"/>
      <c r="W12" s="341"/>
      <c r="X12" s="123">
        <v>2</v>
      </c>
      <c r="Y12" s="115"/>
      <c r="Z12" s="115"/>
      <c r="AA12" s="115"/>
      <c r="AB12" s="116"/>
      <c r="AC12" s="141"/>
      <c r="AD12" s="141"/>
      <c r="AE12" s="141"/>
      <c r="AF12" s="141"/>
      <c r="AG12" s="141"/>
      <c r="AH12" s="141"/>
      <c r="AI12" s="141"/>
      <c r="AJ12" s="141"/>
      <c r="AK12" s="141"/>
      <c r="AL12" s="141"/>
      <c r="AM12" s="141"/>
      <c r="AN12" s="141"/>
      <c r="AO12" s="141"/>
      <c r="AP12" s="141"/>
      <c r="AQ12" s="141"/>
    </row>
    <row r="13" spans="1:43">
      <c r="A13" s="141"/>
      <c r="B13" s="141"/>
      <c r="C13" s="141"/>
      <c r="D13" s="141"/>
      <c r="E13" s="141"/>
      <c r="F13" s="141"/>
      <c r="G13" s="141"/>
      <c r="H13" s="141"/>
      <c r="I13" s="141"/>
      <c r="J13" s="141"/>
      <c r="K13" s="141"/>
      <c r="L13" s="141"/>
      <c r="M13" s="141"/>
      <c r="N13" s="141"/>
      <c r="O13" s="141"/>
      <c r="P13" s="111"/>
      <c r="Q13" s="115"/>
      <c r="R13" s="115"/>
      <c r="S13" s="115"/>
      <c r="T13" s="115"/>
      <c r="U13" s="341" t="s">
        <v>124</v>
      </c>
      <c r="V13" s="341"/>
      <c r="W13" s="341"/>
      <c r="X13" s="123" t="s">
        <v>125</v>
      </c>
      <c r="Y13" s="115"/>
      <c r="Z13" s="115"/>
      <c r="AA13" s="115"/>
      <c r="AB13" s="116"/>
      <c r="AC13" s="141"/>
      <c r="AD13" s="141"/>
      <c r="AE13" s="141"/>
      <c r="AF13" s="141"/>
      <c r="AG13" s="141"/>
      <c r="AH13" s="141"/>
      <c r="AI13" s="141"/>
      <c r="AJ13" s="141"/>
      <c r="AK13" s="141"/>
      <c r="AL13" s="141"/>
      <c r="AM13" s="141"/>
      <c r="AN13" s="141"/>
      <c r="AO13" s="141"/>
      <c r="AP13" s="141"/>
      <c r="AQ13" s="141"/>
    </row>
    <row r="14" spans="1:43">
      <c r="A14" s="141"/>
      <c r="B14" s="141"/>
      <c r="C14" s="141"/>
      <c r="D14" s="141"/>
      <c r="E14" s="141"/>
      <c r="F14" s="141"/>
      <c r="G14" s="141"/>
      <c r="H14" s="141"/>
      <c r="I14" s="141"/>
      <c r="J14" s="141"/>
      <c r="K14" s="141"/>
      <c r="L14" s="141"/>
      <c r="M14" s="141"/>
      <c r="N14" s="141"/>
      <c r="O14" s="141"/>
      <c r="P14" s="111"/>
      <c r="Q14" s="115"/>
      <c r="R14" s="115"/>
      <c r="S14" s="115"/>
      <c r="T14" s="115"/>
      <c r="U14" s="115"/>
      <c r="V14" s="115"/>
      <c r="W14" s="115"/>
      <c r="X14" s="115"/>
      <c r="Y14" s="115"/>
      <c r="Z14" s="115"/>
      <c r="AA14" s="115"/>
      <c r="AB14" s="116"/>
      <c r="AC14" s="141"/>
      <c r="AD14" s="141"/>
      <c r="AE14" s="141"/>
      <c r="AF14" s="141"/>
      <c r="AG14" s="141"/>
      <c r="AH14" s="141"/>
      <c r="AI14" s="141"/>
      <c r="AJ14" s="141"/>
      <c r="AK14" s="141"/>
      <c r="AL14" s="141"/>
      <c r="AM14" s="141"/>
      <c r="AN14" s="141"/>
      <c r="AO14" s="141"/>
      <c r="AP14" s="141"/>
      <c r="AQ14" s="141"/>
    </row>
    <row r="15" spans="1:43">
      <c r="A15" s="141"/>
      <c r="B15" s="141"/>
      <c r="C15" s="141"/>
      <c r="D15" s="141"/>
      <c r="E15" s="141"/>
      <c r="F15" s="141"/>
      <c r="G15" s="141"/>
      <c r="H15" s="141"/>
      <c r="I15" s="141"/>
      <c r="J15" s="141"/>
      <c r="K15" s="141"/>
      <c r="L15" s="141"/>
      <c r="M15" s="141"/>
      <c r="N15" s="141"/>
      <c r="O15" s="141"/>
      <c r="P15" s="111"/>
      <c r="Q15" s="115"/>
      <c r="R15" s="115"/>
      <c r="S15" s="115"/>
      <c r="T15" s="341" t="s">
        <v>328</v>
      </c>
      <c r="U15" s="341"/>
      <c r="V15" s="341"/>
      <c r="W15" s="341"/>
      <c r="X15" s="143">
        <f>'Backend Data'!$X$43</f>
        <v>13.9</v>
      </c>
      <c r="Y15" s="115" t="s">
        <v>25</v>
      </c>
      <c r="Z15" s="115"/>
      <c r="AA15" s="115"/>
      <c r="AB15" s="116"/>
      <c r="AC15" s="141"/>
      <c r="AD15" s="141"/>
      <c r="AE15" s="141"/>
      <c r="AF15" s="141"/>
      <c r="AG15" s="141"/>
      <c r="AH15" s="141"/>
      <c r="AI15" s="141"/>
      <c r="AJ15" s="141"/>
      <c r="AK15" s="141"/>
      <c r="AL15" s="141"/>
      <c r="AM15" s="141"/>
      <c r="AN15" s="141"/>
      <c r="AO15" s="141"/>
      <c r="AP15" s="141"/>
      <c r="AQ15" s="141"/>
    </row>
    <row r="16" spans="1:43">
      <c r="A16" s="141"/>
      <c r="B16" s="141"/>
      <c r="C16" s="141"/>
      <c r="D16" s="141"/>
      <c r="E16" s="141"/>
      <c r="F16" s="141"/>
      <c r="G16" s="141"/>
      <c r="H16" s="141"/>
      <c r="I16" s="141"/>
      <c r="J16" s="141"/>
      <c r="K16" s="141"/>
      <c r="L16" s="141"/>
      <c r="M16" s="141"/>
      <c r="N16" s="141"/>
      <c r="O16" s="141"/>
      <c r="P16" s="111"/>
      <c r="Q16" s="115"/>
      <c r="R16" s="115"/>
      <c r="S16" s="115"/>
      <c r="T16" s="341" t="s">
        <v>329</v>
      </c>
      <c r="U16" s="341"/>
      <c r="V16" s="341"/>
      <c r="W16" s="341"/>
      <c r="X16" s="143">
        <f>'Backend Data'!$X$49</f>
        <v>13.15</v>
      </c>
      <c r="Y16" s="115" t="s">
        <v>25</v>
      </c>
      <c r="Z16" s="115"/>
      <c r="AA16" s="115"/>
      <c r="AB16" s="116"/>
      <c r="AC16" s="141"/>
      <c r="AD16" s="141"/>
      <c r="AE16" s="141"/>
      <c r="AF16" s="141"/>
      <c r="AG16" s="141"/>
      <c r="AH16" s="141"/>
      <c r="AI16" s="141"/>
      <c r="AJ16" s="141"/>
      <c r="AK16" s="141"/>
      <c r="AL16" s="141"/>
      <c r="AM16" s="141"/>
      <c r="AN16" s="141"/>
      <c r="AO16" s="141"/>
      <c r="AP16" s="141"/>
      <c r="AQ16" s="141"/>
    </row>
    <row r="17" spans="1:43">
      <c r="A17" s="141"/>
      <c r="B17" s="141"/>
      <c r="C17" s="141"/>
      <c r="D17" s="141"/>
      <c r="E17" s="141"/>
      <c r="F17" s="141"/>
      <c r="G17" s="141"/>
      <c r="H17" s="141"/>
      <c r="I17" s="141"/>
      <c r="J17" s="141"/>
      <c r="K17" s="141"/>
      <c r="L17" s="141"/>
      <c r="M17" s="141"/>
      <c r="N17" s="141"/>
      <c r="O17" s="141"/>
      <c r="P17" s="117"/>
      <c r="Q17" s="118"/>
      <c r="R17" s="118"/>
      <c r="S17" s="118"/>
      <c r="T17" s="118"/>
      <c r="U17" s="118"/>
      <c r="V17" s="118"/>
      <c r="W17" s="118"/>
      <c r="X17" s="118"/>
      <c r="Y17" s="118"/>
      <c r="Z17" s="118"/>
      <c r="AA17" s="118"/>
      <c r="AB17" s="120"/>
      <c r="AC17" s="141"/>
      <c r="AD17" s="141"/>
      <c r="AE17" s="141"/>
      <c r="AF17" s="141"/>
      <c r="AG17" s="141"/>
      <c r="AH17" s="141"/>
      <c r="AI17" s="141"/>
      <c r="AJ17" s="141"/>
      <c r="AK17" s="141"/>
      <c r="AL17" s="141"/>
      <c r="AM17" s="141"/>
      <c r="AN17" s="141"/>
      <c r="AO17" s="141"/>
      <c r="AP17" s="141"/>
      <c r="AQ17" s="141"/>
    </row>
    <row r="18" spans="1:43">
      <c r="A18" s="141"/>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row>
    <row r="19" spans="1:43">
      <c r="A19" s="141"/>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row>
    <row r="20" spans="1:43">
      <c r="A20" s="141"/>
      <c r="B20" s="141"/>
      <c r="C20" s="141"/>
      <c r="D20" s="141"/>
      <c r="E20" s="141"/>
      <c r="F20" s="141"/>
      <c r="G20" s="141"/>
      <c r="H20" s="141"/>
      <c r="I20" s="141"/>
      <c r="J20" s="141"/>
      <c r="K20" s="141"/>
      <c r="L20" s="141"/>
      <c r="M20" s="141"/>
      <c r="N20" s="141"/>
      <c r="O20" s="141"/>
      <c r="P20" s="112"/>
      <c r="Q20" s="113"/>
      <c r="R20" s="113"/>
      <c r="S20" s="113"/>
      <c r="T20" s="113"/>
      <c r="U20" s="113"/>
      <c r="V20" s="113"/>
      <c r="W20" s="113"/>
      <c r="X20" s="113"/>
      <c r="Y20" s="113"/>
      <c r="Z20" s="113"/>
      <c r="AA20" s="113"/>
      <c r="AB20" s="114"/>
      <c r="AC20" s="141"/>
      <c r="AD20" s="141"/>
      <c r="AE20" s="141"/>
      <c r="AF20" s="141"/>
      <c r="AG20" s="141"/>
      <c r="AH20" s="141"/>
      <c r="AI20" s="141"/>
      <c r="AJ20" s="141"/>
      <c r="AK20" s="141"/>
      <c r="AL20" s="141"/>
      <c r="AM20" s="141"/>
      <c r="AN20" s="141"/>
      <c r="AO20" s="141"/>
      <c r="AP20" s="141"/>
      <c r="AQ20" s="141"/>
    </row>
    <row r="21" spans="1:43">
      <c r="A21" s="141"/>
      <c r="B21" s="141"/>
      <c r="C21" s="141"/>
      <c r="D21" s="141"/>
      <c r="E21" s="141"/>
      <c r="F21" s="141"/>
      <c r="G21" s="141"/>
      <c r="H21" s="141"/>
      <c r="I21" s="141"/>
      <c r="J21" s="141"/>
      <c r="K21" s="141"/>
      <c r="L21" s="141"/>
      <c r="M21" s="141"/>
      <c r="N21" s="141"/>
      <c r="O21" s="141"/>
      <c r="P21" s="111"/>
      <c r="Q21" s="115"/>
      <c r="R21" s="115"/>
      <c r="S21" s="115"/>
      <c r="T21" s="115"/>
      <c r="U21" s="115"/>
      <c r="V21" s="115"/>
      <c r="W21" s="115"/>
      <c r="X21" s="115"/>
      <c r="Y21" s="115"/>
      <c r="Z21" s="115"/>
      <c r="AA21" s="115"/>
      <c r="AB21" s="116"/>
      <c r="AC21" s="141"/>
      <c r="AD21" s="141"/>
      <c r="AE21" s="141"/>
      <c r="AF21" s="141"/>
      <c r="AG21" s="141"/>
      <c r="AH21" s="141"/>
      <c r="AI21" s="141"/>
      <c r="AJ21" s="141"/>
      <c r="AK21" s="141"/>
      <c r="AL21" s="141"/>
      <c r="AM21" s="141"/>
      <c r="AN21" s="141"/>
      <c r="AO21" s="141"/>
      <c r="AP21" s="141"/>
      <c r="AQ21" s="141"/>
    </row>
    <row r="22" spans="1:43" ht="30">
      <c r="A22" s="141"/>
      <c r="B22" s="141"/>
      <c r="C22" s="141"/>
      <c r="D22" s="141"/>
      <c r="E22" s="141"/>
      <c r="F22" s="141"/>
      <c r="G22" s="141"/>
      <c r="H22" s="141"/>
      <c r="I22" s="141"/>
      <c r="J22" s="141"/>
      <c r="K22" s="141"/>
      <c r="L22" s="141"/>
      <c r="M22" s="141"/>
      <c r="N22" s="141"/>
      <c r="O22" s="141"/>
      <c r="P22" s="111"/>
      <c r="Q22" s="115"/>
      <c r="R22" s="328" t="s">
        <v>330</v>
      </c>
      <c r="S22" s="329"/>
      <c r="T22" s="329"/>
      <c r="U22" s="329"/>
      <c r="V22" s="329"/>
      <c r="W22" s="329"/>
      <c r="X22" s="329"/>
      <c r="Y22" s="329"/>
      <c r="Z22" s="330"/>
      <c r="AA22" s="115"/>
      <c r="AB22" s="116"/>
      <c r="AC22" s="141"/>
      <c r="AD22" s="141"/>
      <c r="AE22" s="141"/>
      <c r="AF22" s="141"/>
      <c r="AG22" s="141"/>
      <c r="AH22" s="141"/>
      <c r="AI22" s="141"/>
      <c r="AJ22" s="141"/>
      <c r="AK22" s="141"/>
      <c r="AL22" s="141"/>
      <c r="AM22" s="141"/>
      <c r="AN22" s="141"/>
      <c r="AO22" s="141"/>
      <c r="AP22" s="141"/>
      <c r="AQ22" s="141"/>
    </row>
    <row r="23" spans="1:43">
      <c r="A23" s="141"/>
      <c r="B23" s="141"/>
      <c r="C23" s="141"/>
      <c r="D23" s="141"/>
      <c r="E23" s="141"/>
      <c r="F23" s="141"/>
      <c r="G23" s="141"/>
      <c r="H23" s="141"/>
      <c r="I23" s="141"/>
      <c r="J23" s="141"/>
      <c r="K23" s="141"/>
      <c r="L23" s="141"/>
      <c r="M23" s="141"/>
      <c r="N23" s="141"/>
      <c r="O23" s="141"/>
      <c r="P23" s="111"/>
      <c r="Q23" s="115"/>
      <c r="R23" s="115"/>
      <c r="S23" s="115"/>
      <c r="T23" s="115"/>
      <c r="U23" s="115"/>
      <c r="V23" s="115"/>
      <c r="W23" s="115"/>
      <c r="X23" s="115"/>
      <c r="Y23" s="115"/>
      <c r="Z23" s="115"/>
      <c r="AA23" s="115"/>
      <c r="AB23" s="116"/>
      <c r="AC23" s="141"/>
      <c r="AD23" s="141"/>
      <c r="AE23" s="141"/>
      <c r="AF23" s="141"/>
      <c r="AG23" s="141"/>
      <c r="AH23" s="141"/>
      <c r="AI23" s="141"/>
      <c r="AJ23" s="141"/>
      <c r="AK23" s="141"/>
      <c r="AL23" s="141"/>
      <c r="AM23" s="141"/>
      <c r="AN23" s="141"/>
      <c r="AO23" s="141"/>
      <c r="AP23" s="141"/>
      <c r="AQ23" s="141"/>
    </row>
    <row r="24" spans="1:43">
      <c r="A24" s="141"/>
      <c r="B24" s="141"/>
      <c r="C24" s="141"/>
      <c r="D24" s="141"/>
      <c r="E24" s="141"/>
      <c r="F24" s="141"/>
      <c r="G24" s="141"/>
      <c r="H24" s="141"/>
      <c r="I24" s="141"/>
      <c r="J24" s="141"/>
      <c r="K24" s="141"/>
      <c r="L24" s="141"/>
      <c r="M24" s="141"/>
      <c r="N24" s="141"/>
      <c r="O24" s="141"/>
      <c r="P24" s="111"/>
      <c r="Q24" s="115"/>
      <c r="R24" s="115"/>
      <c r="S24" s="115"/>
      <c r="T24" s="115"/>
      <c r="U24" s="341" t="s">
        <v>322</v>
      </c>
      <c r="V24" s="341"/>
      <c r="W24" s="341"/>
      <c r="X24" s="142">
        <v>1.0000000000000001E-5</v>
      </c>
      <c r="Y24" s="115"/>
      <c r="Z24" s="115"/>
      <c r="AA24" s="115"/>
      <c r="AB24" s="116"/>
      <c r="AC24" s="141"/>
      <c r="AD24" s="141"/>
      <c r="AE24" s="141"/>
      <c r="AF24" s="141"/>
      <c r="AG24" s="141"/>
      <c r="AH24" s="141"/>
      <c r="AI24" s="141"/>
      <c r="AJ24" s="141"/>
      <c r="AK24" s="141"/>
      <c r="AL24" s="141"/>
      <c r="AM24" s="141"/>
      <c r="AN24" s="141"/>
      <c r="AO24" s="141"/>
      <c r="AP24" s="141"/>
      <c r="AQ24" s="141"/>
    </row>
    <row r="25" spans="1:43">
      <c r="A25" s="141"/>
      <c r="B25" s="141"/>
      <c r="C25" s="141"/>
      <c r="D25" s="141"/>
      <c r="E25" s="141"/>
      <c r="F25" s="141"/>
      <c r="G25" s="141"/>
      <c r="H25" s="141"/>
      <c r="I25" s="141"/>
      <c r="J25" s="141"/>
      <c r="K25" s="141"/>
      <c r="L25" s="141"/>
      <c r="M25" s="141"/>
      <c r="N25" s="141"/>
      <c r="O25" s="141"/>
      <c r="P25" s="111"/>
      <c r="Q25" s="115"/>
      <c r="R25" s="115"/>
      <c r="S25" s="115"/>
      <c r="T25" s="115"/>
      <c r="U25" s="341" t="s">
        <v>323</v>
      </c>
      <c r="V25" s="341"/>
      <c r="W25" s="346"/>
      <c r="X25" s="142">
        <v>9.9999999999999995E-7</v>
      </c>
      <c r="Y25" s="115"/>
      <c r="Z25" s="115"/>
      <c r="AA25" s="115"/>
      <c r="AB25" s="116"/>
      <c r="AC25" s="141"/>
      <c r="AD25" s="141"/>
      <c r="AE25" s="141"/>
      <c r="AF25" s="141"/>
      <c r="AG25" s="141"/>
      <c r="AH25" s="141"/>
      <c r="AI25" s="141"/>
      <c r="AJ25" s="141"/>
      <c r="AK25" s="141"/>
      <c r="AL25" s="141"/>
      <c r="AM25" s="141"/>
      <c r="AN25" s="141"/>
      <c r="AO25" s="141"/>
      <c r="AP25" s="141"/>
      <c r="AQ25" s="141"/>
    </row>
    <row r="26" spans="1:43">
      <c r="A26" s="141"/>
      <c r="B26" s="141"/>
      <c r="C26" s="141"/>
      <c r="D26" s="141"/>
      <c r="E26" s="141"/>
      <c r="F26" s="141"/>
      <c r="G26" s="141"/>
      <c r="H26" s="141"/>
      <c r="I26" s="141"/>
      <c r="J26" s="141"/>
      <c r="K26" s="141"/>
      <c r="L26" s="141"/>
      <c r="M26" s="141"/>
      <c r="N26" s="141"/>
      <c r="O26" s="141"/>
      <c r="P26" s="111"/>
      <c r="Q26" s="115"/>
      <c r="R26" s="115"/>
      <c r="S26" s="115"/>
      <c r="T26" s="115"/>
      <c r="U26" s="341" t="s">
        <v>324</v>
      </c>
      <c r="V26" s="341"/>
      <c r="W26" s="341"/>
      <c r="X26" s="123">
        <v>1.2</v>
      </c>
      <c r="Y26" s="115" t="s">
        <v>325</v>
      </c>
      <c r="Z26" s="115"/>
      <c r="AA26" s="115"/>
      <c r="AB26" s="116"/>
      <c r="AC26" s="141"/>
      <c r="AD26" s="141"/>
      <c r="AE26" s="141"/>
      <c r="AF26" s="141"/>
      <c r="AG26" s="141"/>
      <c r="AH26" s="141"/>
      <c r="AI26" s="141"/>
      <c r="AJ26" s="141"/>
      <c r="AK26" s="141"/>
      <c r="AL26" s="141"/>
      <c r="AM26" s="141"/>
      <c r="AN26" s="141"/>
      <c r="AO26" s="141"/>
      <c r="AP26" s="141"/>
      <c r="AQ26" s="141"/>
    </row>
    <row r="27" spans="1:43">
      <c r="A27" s="141"/>
      <c r="B27" s="141"/>
      <c r="C27" s="141"/>
      <c r="D27" s="141"/>
      <c r="E27" s="141"/>
      <c r="F27" s="141"/>
      <c r="G27" s="141"/>
      <c r="H27" s="141"/>
      <c r="I27" s="141"/>
      <c r="J27" s="141"/>
      <c r="K27" s="141"/>
      <c r="L27" s="141"/>
      <c r="M27" s="141"/>
      <c r="N27" s="141"/>
      <c r="O27" s="141"/>
      <c r="P27" s="111"/>
      <c r="Q27" s="115"/>
      <c r="R27" s="115"/>
      <c r="S27" s="115"/>
      <c r="T27" s="115"/>
      <c r="U27" s="341" t="s">
        <v>326</v>
      </c>
      <c r="V27" s="341"/>
      <c r="W27" s="341"/>
      <c r="X27" s="123">
        <v>1.2</v>
      </c>
      <c r="Y27" s="115" t="s">
        <v>325</v>
      </c>
      <c r="Z27" s="115"/>
      <c r="AA27" s="115"/>
      <c r="AB27" s="116"/>
      <c r="AC27" s="141"/>
      <c r="AD27" s="141"/>
      <c r="AE27" s="141"/>
      <c r="AF27" s="141"/>
      <c r="AG27" s="141"/>
      <c r="AH27" s="141"/>
      <c r="AI27" s="141"/>
      <c r="AJ27" s="141"/>
      <c r="AK27" s="141"/>
      <c r="AL27" s="141"/>
      <c r="AM27" s="141"/>
      <c r="AN27" s="141"/>
      <c r="AO27" s="141"/>
      <c r="AP27" s="141"/>
      <c r="AQ27" s="141"/>
    </row>
    <row r="28" spans="1:43">
      <c r="A28" s="141"/>
      <c r="B28" s="141"/>
      <c r="C28" s="141"/>
      <c r="D28" s="141"/>
      <c r="E28" s="141"/>
      <c r="F28" s="141"/>
      <c r="G28" s="141"/>
      <c r="H28" s="141"/>
      <c r="I28" s="141"/>
      <c r="J28" s="141"/>
      <c r="K28" s="141"/>
      <c r="L28" s="141"/>
      <c r="M28" s="141"/>
      <c r="N28" s="141"/>
      <c r="O28" s="141"/>
      <c r="P28" s="111"/>
      <c r="Q28" s="115"/>
      <c r="R28" s="115"/>
      <c r="S28" s="115"/>
      <c r="T28" s="115"/>
      <c r="U28" s="341" t="s">
        <v>327</v>
      </c>
      <c r="V28" s="341"/>
      <c r="W28" s="341"/>
      <c r="X28" s="123">
        <v>2</v>
      </c>
      <c r="Y28" s="115"/>
      <c r="Z28" s="115"/>
      <c r="AA28" s="115"/>
      <c r="AB28" s="116"/>
      <c r="AC28" s="141"/>
      <c r="AD28" s="141"/>
      <c r="AE28" s="141"/>
      <c r="AF28" s="141"/>
      <c r="AG28" s="141"/>
      <c r="AH28" s="141"/>
      <c r="AI28" s="141"/>
      <c r="AJ28" s="141"/>
      <c r="AK28" s="141"/>
      <c r="AL28" s="141"/>
      <c r="AM28" s="141"/>
      <c r="AN28" s="141"/>
      <c r="AO28" s="141"/>
      <c r="AP28" s="141"/>
      <c r="AQ28" s="141"/>
    </row>
    <row r="29" spans="1:43">
      <c r="A29" s="141"/>
      <c r="B29" s="141"/>
      <c r="C29" s="141"/>
      <c r="D29" s="141"/>
      <c r="E29" s="141"/>
      <c r="F29" s="141"/>
      <c r="G29" s="141"/>
      <c r="H29" s="141"/>
      <c r="I29" s="141"/>
      <c r="J29" s="141"/>
      <c r="K29" s="141"/>
      <c r="L29" s="141"/>
      <c r="M29" s="141"/>
      <c r="N29" s="141"/>
      <c r="O29" s="141"/>
      <c r="P29" s="111"/>
      <c r="Q29" s="115"/>
      <c r="R29" s="115"/>
      <c r="S29" s="115"/>
      <c r="T29" s="115"/>
      <c r="U29" s="341" t="s">
        <v>124</v>
      </c>
      <c r="V29" s="341"/>
      <c r="W29" s="341"/>
      <c r="X29" s="123" t="s">
        <v>125</v>
      </c>
      <c r="Y29" s="115"/>
      <c r="Z29" s="115"/>
      <c r="AA29" s="115"/>
      <c r="AB29" s="116"/>
      <c r="AC29" s="141"/>
      <c r="AD29" s="141"/>
      <c r="AE29" s="141"/>
      <c r="AF29" s="141"/>
      <c r="AG29" s="141"/>
      <c r="AH29" s="141"/>
      <c r="AI29" s="141"/>
      <c r="AJ29" s="141"/>
      <c r="AK29" s="141"/>
      <c r="AL29" s="141"/>
      <c r="AM29" s="141"/>
      <c r="AN29" s="141"/>
      <c r="AO29" s="141"/>
      <c r="AP29" s="141"/>
      <c r="AQ29" s="141"/>
    </row>
    <row r="30" spans="1:43">
      <c r="A30" s="141"/>
      <c r="B30" s="141"/>
      <c r="C30" s="141"/>
      <c r="D30" s="141"/>
      <c r="E30" s="141"/>
      <c r="F30" s="141"/>
      <c r="G30" s="141"/>
      <c r="H30" s="141"/>
      <c r="I30" s="141"/>
      <c r="J30" s="141"/>
      <c r="K30" s="141"/>
      <c r="L30" s="141"/>
      <c r="M30" s="141"/>
      <c r="N30" s="141"/>
      <c r="O30" s="141"/>
      <c r="P30" s="111"/>
      <c r="Q30" s="115"/>
      <c r="R30" s="115"/>
      <c r="S30" s="115"/>
      <c r="T30" s="115"/>
      <c r="U30" s="115"/>
      <c r="V30" s="115"/>
      <c r="W30" s="115"/>
      <c r="X30" s="115"/>
      <c r="Y30" s="115"/>
      <c r="Z30" s="115"/>
      <c r="AA30" s="115"/>
      <c r="AB30" s="116"/>
      <c r="AC30" s="141"/>
      <c r="AD30" s="141"/>
      <c r="AE30" s="141"/>
      <c r="AF30" s="141"/>
      <c r="AG30" s="141"/>
      <c r="AH30" s="141"/>
      <c r="AI30" s="141"/>
      <c r="AJ30" s="141"/>
      <c r="AK30" s="141"/>
      <c r="AL30" s="141"/>
      <c r="AM30" s="141"/>
      <c r="AN30" s="141"/>
      <c r="AO30" s="141"/>
      <c r="AP30" s="141"/>
      <c r="AQ30" s="141"/>
    </row>
    <row r="31" spans="1:43">
      <c r="A31" s="141"/>
      <c r="B31" s="141"/>
      <c r="C31" s="141"/>
      <c r="D31" s="141"/>
      <c r="E31" s="141"/>
      <c r="F31" s="141"/>
      <c r="G31" s="141"/>
      <c r="H31" s="141"/>
      <c r="I31" s="141"/>
      <c r="J31" s="141"/>
      <c r="K31" s="141"/>
      <c r="L31" s="141"/>
      <c r="M31" s="141"/>
      <c r="N31" s="141"/>
      <c r="O31" s="141"/>
      <c r="P31" s="111"/>
      <c r="Q31" s="115"/>
      <c r="R31" s="115"/>
      <c r="S31" s="115"/>
      <c r="T31" s="341" t="s">
        <v>328</v>
      </c>
      <c r="U31" s="341"/>
      <c r="V31" s="341"/>
      <c r="W31" s="341"/>
      <c r="X31" s="143">
        <f>'Backend Data'!$X$45</f>
        <v>4.870000000000001</v>
      </c>
      <c r="Y31" s="115" t="s">
        <v>25</v>
      </c>
      <c r="Z31" s="115"/>
      <c r="AA31" s="115"/>
      <c r="AB31" s="116"/>
      <c r="AC31" s="141"/>
      <c r="AD31" s="141"/>
      <c r="AE31" s="141"/>
      <c r="AF31" s="141"/>
      <c r="AG31" s="141"/>
      <c r="AH31" s="141"/>
      <c r="AI31" s="141"/>
      <c r="AJ31" s="141"/>
      <c r="AK31" s="141"/>
      <c r="AL31" s="141"/>
      <c r="AM31" s="141"/>
      <c r="AN31" s="141"/>
      <c r="AO31" s="141"/>
      <c r="AP31" s="141"/>
      <c r="AQ31" s="141"/>
    </row>
    <row r="32" spans="1:43">
      <c r="A32" s="141"/>
      <c r="B32" s="141"/>
      <c r="C32" s="141"/>
      <c r="D32" s="141"/>
      <c r="E32" s="141"/>
      <c r="F32" s="141"/>
      <c r="G32" s="141"/>
      <c r="H32" s="141"/>
      <c r="I32" s="141"/>
      <c r="J32" s="141"/>
      <c r="K32" s="141"/>
      <c r="L32" s="141"/>
      <c r="M32" s="141"/>
      <c r="N32" s="141"/>
      <c r="O32" s="141"/>
      <c r="P32" s="111"/>
      <c r="Q32" s="115"/>
      <c r="R32" s="115"/>
      <c r="S32" s="115"/>
      <c r="T32" s="341" t="s">
        <v>329</v>
      </c>
      <c r="U32" s="341"/>
      <c r="V32" s="341"/>
      <c r="W32" s="341"/>
      <c r="X32" s="143">
        <f>'Backend Data'!$X$51</f>
        <v>4.120000000000001</v>
      </c>
      <c r="Y32" s="115" t="s">
        <v>25</v>
      </c>
      <c r="Z32" s="115"/>
      <c r="AA32" s="115"/>
      <c r="AB32" s="116"/>
      <c r="AC32" s="141"/>
      <c r="AD32" s="141"/>
      <c r="AE32" s="141"/>
      <c r="AF32" s="141"/>
      <c r="AG32" s="141"/>
      <c r="AH32" s="141"/>
      <c r="AI32" s="141"/>
      <c r="AJ32" s="141"/>
      <c r="AK32" s="141"/>
      <c r="AL32" s="141"/>
      <c r="AM32" s="141"/>
      <c r="AN32" s="141"/>
      <c r="AO32" s="141"/>
      <c r="AP32" s="141"/>
      <c r="AQ32" s="141"/>
    </row>
    <row r="33" spans="1:43">
      <c r="A33" s="141"/>
      <c r="B33" s="141"/>
      <c r="C33" s="141"/>
      <c r="D33" s="141"/>
      <c r="E33" s="141"/>
      <c r="F33" s="141"/>
      <c r="G33" s="141"/>
      <c r="H33" s="141"/>
      <c r="I33" s="141"/>
      <c r="J33" s="141"/>
      <c r="K33" s="141"/>
      <c r="L33" s="141"/>
      <c r="M33" s="141"/>
      <c r="N33" s="141"/>
      <c r="O33" s="141"/>
      <c r="P33" s="117"/>
      <c r="Q33" s="118"/>
      <c r="R33" s="118"/>
      <c r="S33" s="118"/>
      <c r="T33" s="118"/>
      <c r="U33" s="118"/>
      <c r="V33" s="118"/>
      <c r="W33" s="118"/>
      <c r="X33" s="118"/>
      <c r="Y33" s="118"/>
      <c r="Z33" s="118"/>
      <c r="AA33" s="118"/>
      <c r="AB33" s="120"/>
      <c r="AC33" s="141"/>
      <c r="AD33" s="141"/>
      <c r="AE33" s="141"/>
      <c r="AF33" s="141"/>
      <c r="AG33" s="141"/>
      <c r="AH33" s="141"/>
      <c r="AI33" s="141"/>
      <c r="AJ33" s="141"/>
      <c r="AK33" s="141"/>
      <c r="AL33" s="141"/>
      <c r="AM33" s="141"/>
      <c r="AN33" s="141"/>
      <c r="AO33" s="141"/>
      <c r="AP33" s="141"/>
      <c r="AQ33" s="141"/>
    </row>
    <row r="34" spans="1:43">
      <c r="A34" s="141"/>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row>
    <row r="35" spans="1:43">
      <c r="A35" s="141"/>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row>
  </sheetData>
  <mergeCells count="19">
    <mergeCell ref="R2:Z2"/>
    <mergeCell ref="R6:Z6"/>
    <mergeCell ref="U8:W8"/>
    <mergeCell ref="U10:W10"/>
    <mergeCell ref="U12:W12"/>
    <mergeCell ref="U11:W11"/>
    <mergeCell ref="R22:Z22"/>
    <mergeCell ref="U24:W24"/>
    <mergeCell ref="U25:W25"/>
    <mergeCell ref="T16:W16"/>
    <mergeCell ref="U9:W9"/>
    <mergeCell ref="T15:W15"/>
    <mergeCell ref="U13:W13"/>
    <mergeCell ref="T32:W32"/>
    <mergeCell ref="U26:W26"/>
    <mergeCell ref="U27:W27"/>
    <mergeCell ref="U28:W28"/>
    <mergeCell ref="U29:W29"/>
    <mergeCell ref="T31:W3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 X24:X25</xm:sqref>
        </x14:dataValidation>
        <x14:dataValidation type="list" allowBlank="1" showInputMessage="1" showErrorMessage="1" xr:uid="{FB6534B0-263F-497D-A10F-382F6E401C92}">
          <x14:formula1>
            <xm:f>'Backend Data'!$J$24:$J$25</xm:f>
          </x14:formula1>
          <xm:sqref>X10 X26</xm:sqref>
        </x14:dataValidation>
        <x14:dataValidation type="list" allowBlank="1" showInputMessage="1" showErrorMessage="1" xr:uid="{EA981151-7FA7-4341-80DC-C16AB0D6A8C7}">
          <x14:formula1>
            <xm:f>'Backend Data'!$J$28:$J$29</xm:f>
          </x14:formula1>
          <xm:sqref>X11 X27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A24" zoomScale="115" zoomScaleNormal="115" workbookViewId="0">
      <selection activeCell="Y38" sqref="Y38"/>
    </sheetView>
  </sheetViews>
  <sheetFormatPr defaultColWidth="0" defaultRowHeight="14.45" zeroHeight="1"/>
  <cols>
    <col min="1" max="17" width="3.28515625" customWidth="1"/>
    <col min="18" max="18" width="10.28515625" customWidth="1"/>
    <col min="19" max="19" width="8.85546875" customWidth="1"/>
    <col min="20" max="20" width="13.28515625" customWidth="1"/>
    <col min="21" max="21" width="11.7109375" customWidth="1"/>
    <col min="22" max="24" width="10.28515625" customWidth="1"/>
    <col min="25" max="26" width="8.7109375" customWidth="1"/>
    <col min="27" max="43" width="3.28515625" customWidth="1"/>
    <col min="44" max="16384" width="8.7109375" hidden="1"/>
  </cols>
  <sheetData>
    <row r="1" spans="1:43" ht="1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149999999999999" thickBot="1">
      <c r="A2" s="1"/>
      <c r="B2" s="1"/>
      <c r="C2" s="1"/>
      <c r="D2" s="1"/>
      <c r="E2" s="1"/>
      <c r="F2" s="1"/>
      <c r="G2" s="1"/>
      <c r="H2" s="1"/>
      <c r="I2" s="1"/>
      <c r="J2" s="1"/>
      <c r="K2" s="1"/>
      <c r="L2" s="1"/>
      <c r="M2" s="1"/>
      <c r="N2" s="1"/>
      <c r="O2" s="1"/>
      <c r="P2" s="1"/>
      <c r="Q2" s="1"/>
      <c r="R2" s="335" t="s">
        <v>0</v>
      </c>
      <c r="S2" s="336"/>
      <c r="T2" s="336"/>
      <c r="U2" s="336"/>
      <c r="V2" s="336"/>
      <c r="W2" s="336"/>
      <c r="X2" s="336"/>
      <c r="Y2" s="336"/>
      <c r="Z2" s="337"/>
      <c r="AA2" s="1"/>
      <c r="AB2" s="1"/>
      <c r="AC2" s="1"/>
      <c r="AD2" s="1"/>
      <c r="AE2" s="1"/>
      <c r="AF2" s="1"/>
      <c r="AG2" s="1"/>
      <c r="AH2" s="1"/>
      <c r="AI2" s="1"/>
      <c r="AJ2" s="1"/>
      <c r="AK2" s="1"/>
      <c r="AL2" s="1"/>
      <c r="AM2" s="1"/>
      <c r="AN2" s="1"/>
      <c r="AO2" s="1"/>
      <c r="AP2" s="1"/>
      <c r="AQ2" s="1"/>
    </row>
    <row r="3" spans="1:43"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c r="A4" s="1"/>
      <c r="B4" s="1"/>
      <c r="C4" s="1"/>
      <c r="D4" s="1"/>
      <c r="E4" s="1"/>
      <c r="F4" s="1"/>
      <c r="G4" s="1"/>
      <c r="H4" s="1"/>
      <c r="I4" s="1"/>
      <c r="J4" s="1"/>
      <c r="K4" s="1"/>
      <c r="L4" s="1"/>
      <c r="M4" s="1"/>
      <c r="N4" s="1"/>
      <c r="O4" s="1"/>
      <c r="P4" s="15"/>
      <c r="Q4" s="16"/>
      <c r="R4" s="16"/>
      <c r="S4" s="16"/>
      <c r="T4" s="16"/>
      <c r="U4" s="16"/>
      <c r="V4" s="16"/>
      <c r="W4" s="16"/>
      <c r="X4" s="16"/>
      <c r="Y4" s="16"/>
      <c r="Z4" s="16"/>
      <c r="AA4" s="16"/>
      <c r="AB4" s="17"/>
      <c r="AC4" s="29"/>
      <c r="AD4" s="1"/>
      <c r="AE4" s="1"/>
      <c r="AF4" s="1"/>
      <c r="AG4" s="1"/>
      <c r="AH4" s="1"/>
      <c r="AI4" s="1"/>
      <c r="AJ4" s="1"/>
      <c r="AK4" s="1"/>
      <c r="AL4" s="1"/>
      <c r="AM4" s="1"/>
      <c r="AN4" s="1"/>
      <c r="AO4" s="1"/>
      <c r="AP4" s="1"/>
      <c r="AQ4" s="1"/>
    </row>
    <row r="5" spans="1:43" ht="15" thickBot="1">
      <c r="A5" s="1"/>
      <c r="B5" s="1"/>
      <c r="C5" s="1"/>
      <c r="D5" s="1"/>
      <c r="E5" s="1"/>
      <c r="F5" s="1"/>
      <c r="G5" s="1"/>
      <c r="H5" s="1"/>
      <c r="I5" s="1"/>
      <c r="J5" s="1"/>
      <c r="K5" s="1"/>
      <c r="L5" s="1"/>
      <c r="M5" s="1"/>
      <c r="N5" s="1"/>
      <c r="O5" s="1"/>
      <c r="P5" s="18"/>
      <c r="Q5" s="19"/>
      <c r="R5" s="19"/>
      <c r="S5" s="19"/>
      <c r="T5" s="19"/>
      <c r="U5" s="19"/>
      <c r="V5" s="19"/>
      <c r="W5" s="19"/>
      <c r="X5" s="19"/>
      <c r="Y5" s="19"/>
      <c r="Z5" s="19"/>
      <c r="AA5" s="19"/>
      <c r="AB5" s="20"/>
      <c r="AC5" s="29"/>
      <c r="AD5" s="1"/>
      <c r="AE5" s="1"/>
      <c r="AF5" s="1"/>
      <c r="AG5" s="1"/>
      <c r="AH5" s="1"/>
      <c r="AI5" s="1"/>
      <c r="AJ5" s="1"/>
      <c r="AK5" s="1"/>
      <c r="AL5" s="1"/>
      <c r="AM5" s="1"/>
      <c r="AN5" s="1"/>
      <c r="AO5" s="1"/>
      <c r="AP5" s="1"/>
      <c r="AQ5" s="1"/>
    </row>
    <row r="6" spans="1:43" ht="30.6" thickBot="1">
      <c r="A6" s="1"/>
      <c r="B6" s="1"/>
      <c r="C6" s="1"/>
      <c r="D6" s="1"/>
      <c r="E6" s="1"/>
      <c r="F6" s="1"/>
      <c r="G6" s="1"/>
      <c r="H6" s="1"/>
      <c r="I6" s="1"/>
      <c r="J6" s="1"/>
      <c r="K6" s="1"/>
      <c r="L6" s="1"/>
      <c r="M6" s="1"/>
      <c r="N6" s="1"/>
      <c r="O6" s="1"/>
      <c r="P6" s="18"/>
      <c r="Q6" s="19"/>
      <c r="R6" s="328" t="s">
        <v>331</v>
      </c>
      <c r="S6" s="329"/>
      <c r="T6" s="329"/>
      <c r="U6" s="329"/>
      <c r="V6" s="329"/>
      <c r="W6" s="329"/>
      <c r="X6" s="329"/>
      <c r="Y6" s="329"/>
      <c r="Z6" s="330"/>
      <c r="AA6" s="19"/>
      <c r="AB6" s="20"/>
      <c r="AC6" s="29"/>
      <c r="AD6" s="1"/>
      <c r="AE6" s="1"/>
      <c r="AF6" s="1"/>
      <c r="AG6" s="1"/>
      <c r="AH6" s="1"/>
      <c r="AI6" s="1"/>
      <c r="AJ6" s="1"/>
      <c r="AK6" s="1"/>
      <c r="AL6" s="1"/>
      <c r="AM6" s="1"/>
      <c r="AN6" s="1"/>
      <c r="AO6" s="1"/>
      <c r="AP6" s="1"/>
      <c r="AQ6" s="1"/>
    </row>
    <row r="7" spans="1:43">
      <c r="A7" s="1"/>
      <c r="B7" s="1"/>
      <c r="C7" s="1"/>
      <c r="D7" s="1"/>
      <c r="E7" s="1"/>
      <c r="F7" s="1"/>
      <c r="G7" s="1"/>
      <c r="H7" s="1"/>
      <c r="I7" s="1"/>
      <c r="J7" s="1"/>
      <c r="K7" s="1"/>
      <c r="L7" s="1"/>
      <c r="M7" s="1"/>
      <c r="N7" s="1"/>
      <c r="O7" s="1"/>
      <c r="P7" s="18"/>
      <c r="Q7" s="19"/>
      <c r="R7" s="19"/>
      <c r="S7" s="19"/>
      <c r="T7" s="19"/>
      <c r="U7" s="19"/>
      <c r="V7" s="19"/>
      <c r="W7" s="19"/>
      <c r="X7" s="19"/>
      <c r="Y7" s="19"/>
      <c r="Z7" s="19"/>
      <c r="AA7" s="19"/>
      <c r="AB7" s="20"/>
      <c r="AC7" s="29"/>
      <c r="AD7" s="1"/>
      <c r="AE7" s="1"/>
      <c r="AF7" s="1"/>
      <c r="AG7" s="1"/>
      <c r="AH7" s="1"/>
      <c r="AI7" s="1"/>
      <c r="AJ7" s="1"/>
      <c r="AK7" s="1"/>
      <c r="AL7" s="1"/>
      <c r="AM7" s="1"/>
      <c r="AN7" s="1"/>
      <c r="AO7" s="1"/>
      <c r="AP7" s="1"/>
      <c r="AQ7" s="1"/>
    </row>
    <row r="8" spans="1:43">
      <c r="A8" s="1"/>
      <c r="B8" s="1"/>
      <c r="C8" s="1"/>
      <c r="D8" s="1"/>
      <c r="E8" s="1"/>
      <c r="F8" s="1"/>
      <c r="G8" s="1"/>
      <c r="H8" s="1"/>
      <c r="I8" s="1"/>
      <c r="J8" s="1"/>
      <c r="K8" s="1"/>
      <c r="L8" s="1"/>
      <c r="M8" s="1"/>
      <c r="N8" s="1"/>
      <c r="O8" s="1"/>
      <c r="P8" s="18"/>
      <c r="Q8" s="19"/>
      <c r="R8" s="19"/>
      <c r="S8" s="19"/>
      <c r="T8" s="428" t="s">
        <v>332</v>
      </c>
      <c r="U8" s="428"/>
      <c r="V8" s="428"/>
      <c r="W8" s="428"/>
      <c r="X8" s="49"/>
      <c r="Y8" s="19"/>
      <c r="Z8" s="19"/>
      <c r="AA8" s="19"/>
      <c r="AB8" s="20"/>
      <c r="AC8" s="29"/>
      <c r="AD8" s="1"/>
      <c r="AE8" s="1"/>
      <c r="AF8" s="1"/>
      <c r="AG8" s="1"/>
      <c r="AH8" s="1"/>
      <c r="AI8" s="1"/>
      <c r="AJ8" s="1"/>
      <c r="AK8" s="1"/>
      <c r="AL8" s="1"/>
      <c r="AM8" s="1"/>
      <c r="AN8" s="1"/>
      <c r="AO8" s="1"/>
      <c r="AP8" s="1"/>
      <c r="AQ8" s="1"/>
    </row>
    <row r="9" spans="1:43">
      <c r="A9" s="1"/>
      <c r="B9" s="1"/>
      <c r="C9" s="1"/>
      <c r="D9" s="1"/>
      <c r="E9" s="1"/>
      <c r="F9" s="1"/>
      <c r="G9" s="1"/>
      <c r="H9" s="1"/>
      <c r="I9" s="1"/>
      <c r="J9" s="1"/>
      <c r="K9" s="1"/>
      <c r="L9" s="1"/>
      <c r="M9" s="1"/>
      <c r="N9" s="1"/>
      <c r="O9" s="1"/>
      <c r="P9" s="18"/>
      <c r="Q9" s="19"/>
      <c r="R9" s="19"/>
      <c r="S9" s="19"/>
      <c r="T9" s="426" t="s">
        <v>333</v>
      </c>
      <c r="U9" s="426"/>
      <c r="V9" s="131" t="s">
        <v>334</v>
      </c>
      <c r="W9" s="132">
        <f>Inputs!V27</f>
        <v>10</v>
      </c>
      <c r="X9" s="19" t="s">
        <v>28</v>
      </c>
      <c r="Y9" s="19"/>
      <c r="Z9" s="19"/>
      <c r="AA9" s="19"/>
      <c r="AB9" s="20"/>
      <c r="AC9" s="29"/>
      <c r="AD9" s="1"/>
      <c r="AE9" s="1"/>
      <c r="AF9" s="1"/>
      <c r="AG9" s="1"/>
      <c r="AH9" s="1"/>
      <c r="AI9" s="1"/>
      <c r="AJ9" s="1"/>
      <c r="AK9" s="1"/>
      <c r="AL9" s="1"/>
      <c r="AM9" s="1"/>
      <c r="AN9" s="1"/>
      <c r="AO9" s="1"/>
      <c r="AP9" s="1"/>
      <c r="AQ9" s="1"/>
    </row>
    <row r="10" spans="1:43" ht="15.6">
      <c r="A10" s="1"/>
      <c r="B10" s="1"/>
      <c r="C10" s="1"/>
      <c r="D10" s="1"/>
      <c r="E10" s="1"/>
      <c r="F10" s="1"/>
      <c r="G10" s="1"/>
      <c r="H10" s="1"/>
      <c r="I10" s="1"/>
      <c r="J10" s="1"/>
      <c r="K10" s="1"/>
      <c r="L10" s="1"/>
      <c r="M10" s="1"/>
      <c r="N10" s="1"/>
      <c r="O10" s="1"/>
      <c r="P10" s="18"/>
      <c r="Q10" s="19"/>
      <c r="R10" s="19"/>
      <c r="S10" s="19"/>
      <c r="T10" s="426" t="s">
        <v>335</v>
      </c>
      <c r="U10" s="426"/>
      <c r="V10" s="201" t="s">
        <v>336</v>
      </c>
      <c r="W10" s="211">
        <f>INDEX('Backend Data'!G73:G98,MATCH('Groundstation Losses'!W9,'Backend Data'!F73:F98,0))</f>
        <v>0.93478387305049937</v>
      </c>
      <c r="X10" s="19" t="s">
        <v>25</v>
      </c>
      <c r="Y10" s="19"/>
      <c r="Z10" s="19"/>
      <c r="AA10" s="19"/>
      <c r="AB10" s="20"/>
      <c r="AC10" s="29"/>
      <c r="AD10" s="1"/>
      <c r="AE10" s="1"/>
      <c r="AF10" s="1"/>
      <c r="AG10" s="1"/>
      <c r="AH10" s="1"/>
      <c r="AI10" s="1"/>
      <c r="AJ10" s="1"/>
      <c r="AK10" s="1"/>
      <c r="AL10" s="1"/>
      <c r="AM10" s="1"/>
      <c r="AN10" s="1"/>
      <c r="AO10" s="1"/>
      <c r="AP10" s="1"/>
      <c r="AQ10" s="1"/>
    </row>
    <row r="11" spans="1:43" ht="14.45" customHeight="1">
      <c r="A11" s="1"/>
      <c r="B11" s="1"/>
      <c r="C11" s="1"/>
      <c r="D11" s="1"/>
      <c r="E11" s="1"/>
      <c r="F11" s="1"/>
      <c r="G11" s="1"/>
      <c r="H11" s="1"/>
      <c r="I11" s="1"/>
      <c r="J11" s="1"/>
      <c r="K11" s="1"/>
      <c r="L11" s="1"/>
      <c r="M11" s="1"/>
      <c r="N11" s="1"/>
      <c r="O11" s="1"/>
      <c r="P11" s="18"/>
      <c r="Q11" s="19"/>
      <c r="R11" s="19"/>
      <c r="S11" s="19"/>
      <c r="T11" s="426" t="s">
        <v>337</v>
      </c>
      <c r="U11" s="426"/>
      <c r="V11" s="19" t="s">
        <v>338</v>
      </c>
      <c r="W11" s="292">
        <f>Inputs!$V$23</f>
        <v>0</v>
      </c>
      <c r="X11" s="19" t="s">
        <v>25</v>
      </c>
      <c r="Y11" s="19"/>
      <c r="Z11" s="19"/>
      <c r="AA11" s="19"/>
      <c r="AB11" s="20"/>
      <c r="AC11" s="29"/>
      <c r="AD11" s="1"/>
      <c r="AE11" s="1"/>
      <c r="AF11" s="1"/>
      <c r="AG11" s="1"/>
      <c r="AH11" s="1"/>
      <c r="AI11" s="1"/>
      <c r="AJ11" s="1"/>
      <c r="AK11" s="1"/>
      <c r="AL11" s="1"/>
      <c r="AM11" s="1"/>
      <c r="AN11" s="1"/>
      <c r="AO11" s="1"/>
      <c r="AP11" s="1"/>
      <c r="AQ11" s="1"/>
    </row>
    <row r="12" spans="1:43">
      <c r="A12" s="1"/>
      <c r="B12" s="1"/>
      <c r="C12" s="1"/>
      <c r="D12" s="1"/>
      <c r="E12" s="1"/>
      <c r="F12" s="1"/>
      <c r="G12" s="1"/>
      <c r="H12" s="1"/>
      <c r="I12" s="1"/>
      <c r="J12" s="1"/>
      <c r="K12" s="1"/>
      <c r="L12" s="1"/>
      <c r="M12" s="1"/>
      <c r="N12" s="1"/>
      <c r="O12" s="1"/>
      <c r="P12" s="18"/>
      <c r="Q12" s="19"/>
      <c r="R12" s="19"/>
      <c r="S12" s="19"/>
      <c r="T12" s="426"/>
      <c r="U12" s="426"/>
      <c r="V12" s="19"/>
      <c r="W12" s="225"/>
      <c r="X12" s="19"/>
      <c r="Y12" s="19"/>
      <c r="Z12" s="19"/>
      <c r="AA12" s="19"/>
      <c r="AB12" s="20"/>
      <c r="AC12" s="29"/>
      <c r="AD12" s="1"/>
      <c r="AE12" s="1"/>
      <c r="AF12" s="1"/>
      <c r="AG12" s="1"/>
      <c r="AH12" s="1"/>
      <c r="AI12" s="1"/>
      <c r="AJ12" s="1"/>
      <c r="AK12" s="1"/>
      <c r="AL12" s="1"/>
      <c r="AM12" s="1"/>
      <c r="AN12" s="1"/>
      <c r="AO12" s="1"/>
      <c r="AP12" s="1"/>
      <c r="AQ12" s="1"/>
    </row>
    <row r="13" spans="1:43" ht="30">
      <c r="A13" s="1"/>
      <c r="B13" s="1"/>
      <c r="C13" s="1"/>
      <c r="D13" s="1"/>
      <c r="E13" s="1"/>
      <c r="F13" s="1"/>
      <c r="G13" s="1"/>
      <c r="H13" s="1"/>
      <c r="I13" s="1"/>
      <c r="J13" s="1"/>
      <c r="K13" s="1"/>
      <c r="L13" s="1"/>
      <c r="M13" s="1"/>
      <c r="N13" s="1"/>
      <c r="O13" s="1"/>
      <c r="P13" s="18"/>
      <c r="Q13" s="19"/>
      <c r="R13" s="331" t="s">
        <v>339</v>
      </c>
      <c r="S13" s="332"/>
      <c r="T13" s="332"/>
      <c r="U13" s="332"/>
      <c r="V13" s="332"/>
      <c r="W13" s="332"/>
      <c r="X13" s="332"/>
      <c r="Y13" s="332"/>
      <c r="Z13" s="333"/>
      <c r="AA13" s="19"/>
      <c r="AB13" s="20"/>
      <c r="AC13" s="29"/>
      <c r="AD13" s="1"/>
      <c r="AE13" s="1"/>
      <c r="AF13" s="1"/>
      <c r="AG13" s="1"/>
      <c r="AH13" s="1"/>
      <c r="AI13" s="1"/>
      <c r="AJ13" s="1"/>
      <c r="AK13" s="1"/>
      <c r="AL13" s="1"/>
      <c r="AM13" s="1"/>
      <c r="AN13" s="1"/>
      <c r="AO13" s="1"/>
      <c r="AP13" s="1"/>
      <c r="AQ13" s="1"/>
    </row>
    <row r="14" spans="1:43">
      <c r="A14" s="1"/>
      <c r="B14" s="1"/>
      <c r="C14" s="1"/>
      <c r="D14" s="1"/>
      <c r="E14" s="1"/>
      <c r="F14" s="1"/>
      <c r="G14" s="1"/>
      <c r="H14" s="1"/>
      <c r="I14" s="1"/>
      <c r="J14" s="1"/>
      <c r="K14" s="1"/>
      <c r="L14" s="1"/>
      <c r="M14" s="1"/>
      <c r="N14" s="1"/>
      <c r="O14" s="1"/>
      <c r="P14" s="18"/>
      <c r="Q14" s="19"/>
      <c r="R14" s="49"/>
      <c r="S14" s="49"/>
      <c r="T14" s="49"/>
      <c r="U14" s="49"/>
      <c r="V14" s="19"/>
      <c r="W14" s="19"/>
      <c r="X14" s="19"/>
      <c r="Y14" s="19"/>
      <c r="Z14" s="19"/>
      <c r="AA14" s="19"/>
      <c r="AB14" s="20"/>
      <c r="AC14" s="29"/>
      <c r="AD14" s="1"/>
      <c r="AE14" s="1"/>
      <c r="AF14" s="1"/>
      <c r="AG14" s="1"/>
      <c r="AH14" s="1"/>
      <c r="AI14" s="1"/>
      <c r="AJ14" s="1"/>
      <c r="AK14" s="1"/>
      <c r="AL14" s="1"/>
      <c r="AM14" s="1"/>
      <c r="AN14" s="1"/>
      <c r="AO14" s="1"/>
      <c r="AP14" s="1"/>
      <c r="AQ14" s="1"/>
    </row>
    <row r="15" spans="1:43">
      <c r="A15" s="1"/>
      <c r="B15" s="1"/>
      <c r="C15" s="1"/>
      <c r="D15" s="1"/>
      <c r="E15" s="1"/>
      <c r="F15" s="1"/>
      <c r="G15" s="1"/>
      <c r="H15" s="1"/>
      <c r="I15" s="1"/>
      <c r="J15" s="1"/>
      <c r="K15" s="1"/>
      <c r="L15" s="1"/>
      <c r="M15" s="1"/>
      <c r="N15" s="1"/>
      <c r="O15" s="1"/>
      <c r="P15" s="18"/>
      <c r="Q15" s="19"/>
      <c r="R15" s="50"/>
      <c r="S15" s="50"/>
      <c r="T15" s="428" t="s">
        <v>332</v>
      </c>
      <c r="U15" s="428"/>
      <c r="V15" s="428"/>
      <c r="W15" s="428"/>
      <c r="X15" s="49"/>
      <c r="Y15" s="19"/>
      <c r="Z15" s="19"/>
      <c r="AA15" s="19"/>
      <c r="AB15" s="20"/>
      <c r="AC15" s="29"/>
      <c r="AD15" s="1"/>
      <c r="AE15" s="1"/>
      <c r="AF15" s="1"/>
      <c r="AG15" s="1"/>
      <c r="AH15" s="1"/>
      <c r="AI15" s="1"/>
      <c r="AJ15" s="1"/>
      <c r="AK15" s="1"/>
      <c r="AL15" s="1"/>
      <c r="AM15" s="1"/>
      <c r="AN15" s="1"/>
      <c r="AO15" s="1"/>
      <c r="AP15" s="1"/>
      <c r="AQ15" s="1"/>
    </row>
    <row r="16" spans="1:43" ht="15.6">
      <c r="A16" s="1"/>
      <c r="B16" s="1"/>
      <c r="C16" s="1"/>
      <c r="D16" s="1"/>
      <c r="E16" s="1"/>
      <c r="F16" s="1"/>
      <c r="G16" s="1"/>
      <c r="H16" s="1"/>
      <c r="I16" s="1"/>
      <c r="J16" s="1"/>
      <c r="K16" s="1"/>
      <c r="L16" s="1"/>
      <c r="M16" s="1"/>
      <c r="N16" s="1"/>
      <c r="O16" s="1"/>
      <c r="P16" s="18"/>
      <c r="Q16" s="19"/>
      <c r="R16" s="19"/>
      <c r="S16" s="19"/>
      <c r="T16" s="426" t="s">
        <v>340</v>
      </c>
      <c r="U16" s="426"/>
      <c r="V16" s="201" t="s">
        <v>341</v>
      </c>
      <c r="W16" s="283">
        <v>0.5</v>
      </c>
      <c r="X16" s="19" t="s">
        <v>25</v>
      </c>
      <c r="Y16" s="49"/>
      <c r="Z16" s="49"/>
      <c r="AA16" s="19"/>
      <c r="AB16" s="20"/>
      <c r="AC16" s="29"/>
      <c r="AD16" s="1"/>
      <c r="AE16" s="1"/>
      <c r="AF16" s="1"/>
      <c r="AG16" s="1"/>
      <c r="AH16" s="1"/>
      <c r="AI16" s="1"/>
      <c r="AJ16" s="1"/>
      <c r="AK16" s="1"/>
      <c r="AL16" s="1"/>
      <c r="AM16" s="1"/>
      <c r="AN16" s="1"/>
      <c r="AO16" s="1"/>
      <c r="AP16" s="1"/>
      <c r="AQ16" s="1"/>
    </row>
    <row r="17" spans="1:43" ht="15.6">
      <c r="A17" s="1"/>
      <c r="B17" s="1"/>
      <c r="C17" s="1"/>
      <c r="D17" s="1"/>
      <c r="E17" s="1"/>
      <c r="F17" s="1"/>
      <c r="G17" s="1"/>
      <c r="H17" s="1"/>
      <c r="I17" s="1"/>
      <c r="J17" s="1"/>
      <c r="K17" s="1"/>
      <c r="L17" s="1"/>
      <c r="M17" s="1"/>
      <c r="N17" s="1"/>
      <c r="O17" s="1"/>
      <c r="P17" s="18"/>
      <c r="Q17" s="19"/>
      <c r="R17" s="19"/>
      <c r="S17" s="19"/>
      <c r="T17" s="426" t="s">
        <v>342</v>
      </c>
      <c r="U17" s="426"/>
      <c r="V17" s="201" t="s">
        <v>341</v>
      </c>
      <c r="W17" s="284">
        <v>0.5</v>
      </c>
      <c r="X17" s="19" t="s">
        <v>25</v>
      </c>
      <c r="Y17" s="19"/>
      <c r="Z17" s="19"/>
      <c r="AA17" s="19"/>
      <c r="AB17" s="20"/>
      <c r="AC17" s="29"/>
      <c r="AD17" s="1"/>
      <c r="AE17" s="1"/>
      <c r="AF17" s="1"/>
      <c r="AG17" s="1"/>
      <c r="AH17" s="1"/>
      <c r="AI17" s="1"/>
      <c r="AJ17" s="1"/>
      <c r="AK17" s="1"/>
      <c r="AL17" s="1"/>
      <c r="AM17" s="1"/>
      <c r="AN17" s="1"/>
      <c r="AO17" s="1"/>
      <c r="AP17" s="1"/>
      <c r="AQ17" s="1"/>
    </row>
    <row r="18" spans="1:43">
      <c r="A18" s="1"/>
      <c r="B18" s="1"/>
      <c r="C18" s="1"/>
      <c r="D18" s="1"/>
      <c r="E18" s="1"/>
      <c r="F18" s="1"/>
      <c r="G18" s="1"/>
      <c r="H18" s="1"/>
      <c r="I18" s="1"/>
      <c r="J18" s="1"/>
      <c r="K18" s="1"/>
      <c r="L18" s="1"/>
      <c r="M18" s="1"/>
      <c r="N18" s="1"/>
      <c r="O18" s="1"/>
      <c r="P18" s="18"/>
      <c r="Q18" s="19"/>
      <c r="R18" s="19"/>
      <c r="S18" s="19"/>
      <c r="T18" s="19"/>
      <c r="U18" s="19"/>
      <c r="V18" s="19"/>
      <c r="W18" s="19"/>
      <c r="X18" s="19"/>
      <c r="Y18" s="19"/>
      <c r="Z18" s="19"/>
      <c r="AA18" s="19"/>
      <c r="AB18" s="20"/>
      <c r="AC18" s="29"/>
      <c r="AD18" s="1"/>
      <c r="AE18" s="1"/>
      <c r="AF18" s="1"/>
      <c r="AG18" s="1"/>
      <c r="AH18" s="1"/>
      <c r="AI18" s="1"/>
      <c r="AJ18" s="1"/>
      <c r="AK18" s="1"/>
      <c r="AL18" s="1"/>
      <c r="AM18" s="1"/>
      <c r="AN18" s="1"/>
      <c r="AO18" s="1"/>
      <c r="AP18" s="1"/>
      <c r="AQ18" s="1"/>
    </row>
    <row r="19" spans="1:43" ht="15" thickBot="1">
      <c r="A19" s="1"/>
      <c r="B19" s="1"/>
      <c r="C19" s="1"/>
      <c r="D19" s="1"/>
      <c r="E19" s="1"/>
      <c r="F19" s="1"/>
      <c r="G19" s="1"/>
      <c r="H19" s="1"/>
      <c r="I19" s="1"/>
      <c r="J19" s="1"/>
      <c r="K19" s="1"/>
      <c r="L19" s="1"/>
      <c r="M19" s="1"/>
      <c r="N19" s="1"/>
      <c r="O19" s="1"/>
      <c r="P19" s="23"/>
      <c r="Q19" s="24"/>
      <c r="R19" s="51"/>
      <c r="S19" s="51"/>
      <c r="T19" s="51"/>
      <c r="U19" s="51"/>
      <c r="V19" s="24"/>
      <c r="W19" s="24"/>
      <c r="X19" s="24"/>
      <c r="Y19" s="24"/>
      <c r="Z19" s="24"/>
      <c r="AA19" s="24"/>
      <c r="AB19" s="25"/>
      <c r="AC19" s="29"/>
      <c r="AD19" s="1"/>
      <c r="AE19" s="1"/>
      <c r="AF19" s="1"/>
      <c r="AG19" s="1"/>
      <c r="AH19" s="1"/>
      <c r="AI19" s="1"/>
      <c r="AJ19" s="1"/>
      <c r="AK19" s="1"/>
      <c r="AL19" s="1"/>
      <c r="AM19" s="1"/>
      <c r="AN19" s="1"/>
      <c r="AO19" s="1"/>
      <c r="AP19" s="1"/>
      <c r="AQ19" s="1"/>
    </row>
    <row r="20" spans="1:43">
      <c r="A20" s="1" t="s">
        <v>274</v>
      </c>
      <c r="B20" s="1"/>
      <c r="C20" s="1"/>
      <c r="D20" s="1"/>
      <c r="E20" s="1"/>
      <c r="F20" s="1"/>
      <c r="G20" s="1"/>
      <c r="H20" s="1"/>
      <c r="I20" s="1"/>
      <c r="J20" s="1"/>
      <c r="K20" s="1"/>
      <c r="L20" s="1"/>
      <c r="M20" s="1"/>
      <c r="N20" s="1"/>
      <c r="O20" s="1"/>
      <c r="P20" s="52"/>
      <c r="Q20" s="52"/>
      <c r="R20" s="53"/>
      <c r="S20" s="53"/>
      <c r="T20" s="53"/>
      <c r="U20" s="53"/>
      <c r="V20" s="53"/>
      <c r="W20" s="53"/>
      <c r="X20" s="53"/>
      <c r="Y20" s="53"/>
      <c r="Z20" s="53"/>
      <c r="AA20" s="52"/>
      <c r="AB20" s="52"/>
      <c r="AC20" s="1"/>
      <c r="AD20" s="1"/>
      <c r="AE20" s="1"/>
      <c r="AF20" s="1"/>
      <c r="AG20" s="1"/>
      <c r="AH20" s="1"/>
      <c r="AI20" s="1"/>
      <c r="AJ20" s="1"/>
      <c r="AK20" s="1"/>
      <c r="AL20" s="1"/>
      <c r="AM20" s="1"/>
      <c r="AN20" s="1"/>
      <c r="AO20" s="1"/>
      <c r="AP20" s="1"/>
      <c r="AQ20" s="1"/>
    </row>
    <row r="21" spans="1:43" ht="15" thickBot="1">
      <c r="A21" s="1"/>
      <c r="B21" s="1"/>
      <c r="C21" s="1"/>
      <c r="D21" s="1"/>
      <c r="E21" s="1"/>
      <c r="F21" s="1"/>
      <c r="G21" s="1"/>
      <c r="H21" s="1"/>
      <c r="I21" s="1"/>
      <c r="J21" s="1"/>
      <c r="K21" s="1"/>
      <c r="L21" s="1"/>
      <c r="M21" s="1"/>
      <c r="N21" s="1"/>
      <c r="O21" s="1"/>
      <c r="P21" s="54"/>
      <c r="Q21" s="54"/>
      <c r="R21" s="55"/>
      <c r="S21" s="55"/>
      <c r="T21" s="55"/>
      <c r="U21" s="55"/>
      <c r="V21" s="55"/>
      <c r="W21" s="55"/>
      <c r="X21" s="55"/>
      <c r="Y21" s="55"/>
      <c r="Z21" s="55"/>
      <c r="AA21" s="54"/>
      <c r="AB21" s="54"/>
      <c r="AC21" s="1"/>
      <c r="AD21" s="1"/>
      <c r="AE21" s="1"/>
      <c r="AF21" s="1"/>
      <c r="AG21" s="1"/>
      <c r="AH21" s="1"/>
      <c r="AI21" s="1"/>
      <c r="AJ21" s="1"/>
      <c r="AK21" s="1"/>
      <c r="AL21" s="1"/>
      <c r="AM21" s="1"/>
      <c r="AN21" s="1"/>
      <c r="AO21" s="1"/>
      <c r="AP21" s="1"/>
      <c r="AQ21" s="1"/>
    </row>
    <row r="22" spans="1:43">
      <c r="A22" s="1"/>
      <c r="B22" s="1"/>
      <c r="C22" s="1"/>
      <c r="D22" s="1"/>
      <c r="E22" s="1"/>
      <c r="F22" s="1"/>
      <c r="G22" s="1"/>
      <c r="H22" s="1"/>
      <c r="I22" s="1"/>
      <c r="J22" s="1"/>
      <c r="K22" s="1"/>
      <c r="L22" s="1"/>
      <c r="M22" s="1"/>
      <c r="N22" s="1"/>
      <c r="O22" s="1"/>
      <c r="P22" s="26"/>
      <c r="Q22" s="27"/>
      <c r="R22" s="27"/>
      <c r="S22" s="27"/>
      <c r="T22" s="27"/>
      <c r="U22" s="27"/>
      <c r="V22" s="27"/>
      <c r="W22" s="27"/>
      <c r="X22" s="27"/>
      <c r="Y22" s="27"/>
      <c r="Z22" s="27"/>
      <c r="AA22" s="27"/>
      <c r="AB22" s="28"/>
      <c r="AC22" s="1"/>
      <c r="AD22" s="1"/>
      <c r="AE22" s="1"/>
      <c r="AF22" s="1"/>
      <c r="AG22" s="1"/>
      <c r="AH22" s="1"/>
      <c r="AI22" s="1"/>
      <c r="AJ22" s="1"/>
      <c r="AK22" s="1"/>
      <c r="AL22" s="1"/>
      <c r="AM22" s="1"/>
      <c r="AN22" s="1"/>
      <c r="AO22" s="1"/>
      <c r="AP22" s="1"/>
      <c r="AQ22" s="1"/>
    </row>
    <row r="23" spans="1:43" ht="15" thickBot="1">
      <c r="A23" s="1"/>
      <c r="B23" s="1"/>
      <c r="C23" s="1"/>
      <c r="D23" s="1"/>
      <c r="E23" s="1"/>
      <c r="F23" s="1"/>
      <c r="G23" s="1"/>
      <c r="H23" s="1"/>
      <c r="I23" s="1"/>
      <c r="J23" s="1"/>
      <c r="K23" s="1"/>
      <c r="L23" s="1"/>
      <c r="M23" s="1"/>
      <c r="N23" s="1"/>
      <c r="O23" s="1"/>
      <c r="P23" s="30"/>
      <c r="Q23" s="31"/>
      <c r="R23" s="31"/>
      <c r="S23" s="31"/>
      <c r="T23" s="31"/>
      <c r="U23" s="31"/>
      <c r="V23" s="31"/>
      <c r="W23" s="31"/>
      <c r="X23" s="31"/>
      <c r="Y23" s="31"/>
      <c r="Z23" s="31"/>
      <c r="AA23" s="31"/>
      <c r="AB23" s="32"/>
      <c r="AC23" s="1"/>
      <c r="AD23" s="1"/>
      <c r="AE23" s="1"/>
      <c r="AF23" s="1"/>
      <c r="AG23" s="1"/>
      <c r="AH23" s="1"/>
      <c r="AI23" s="1"/>
      <c r="AJ23" s="1"/>
      <c r="AK23" s="1"/>
      <c r="AL23" s="1"/>
      <c r="AM23" s="1"/>
      <c r="AN23" s="1"/>
      <c r="AO23" s="1"/>
      <c r="AP23" s="1"/>
      <c r="AQ23" s="1"/>
    </row>
    <row r="24" spans="1:43" ht="30.6" thickBot="1">
      <c r="A24" s="1"/>
      <c r="B24" s="1"/>
      <c r="C24" s="1"/>
      <c r="D24" s="1"/>
      <c r="E24" s="1"/>
      <c r="F24" s="1"/>
      <c r="G24" s="1"/>
      <c r="H24" s="1"/>
      <c r="I24" s="1"/>
      <c r="J24" s="1"/>
      <c r="K24" s="1"/>
      <c r="L24" s="1"/>
      <c r="M24" s="1"/>
      <c r="N24" s="1"/>
      <c r="O24" s="1"/>
      <c r="P24" s="30"/>
      <c r="Q24" s="31"/>
      <c r="R24" s="328" t="s">
        <v>343</v>
      </c>
      <c r="S24" s="329"/>
      <c r="T24" s="329"/>
      <c r="U24" s="329"/>
      <c r="V24" s="329"/>
      <c r="W24" s="329"/>
      <c r="X24" s="329"/>
      <c r="Y24" s="329"/>
      <c r="Z24" s="330"/>
      <c r="AA24" s="31"/>
      <c r="AB24" s="32"/>
      <c r="AC24" s="1"/>
      <c r="AD24" s="1"/>
      <c r="AE24" s="1"/>
      <c r="AF24" s="1"/>
      <c r="AG24" s="1"/>
      <c r="AH24" s="1"/>
      <c r="AI24" s="1"/>
      <c r="AJ24" s="1"/>
      <c r="AK24" s="1"/>
      <c r="AL24" s="1"/>
      <c r="AM24" s="1"/>
      <c r="AN24" s="1"/>
      <c r="AO24" s="1"/>
      <c r="AP24" s="1"/>
      <c r="AQ24" s="1"/>
    </row>
    <row r="25" spans="1:43" ht="15.4" customHeight="1">
      <c r="A25" s="1"/>
      <c r="B25" s="1"/>
      <c r="C25" s="1"/>
      <c r="D25" s="1"/>
      <c r="E25" s="1"/>
      <c r="F25" s="1"/>
      <c r="G25" s="1"/>
      <c r="H25" s="1"/>
      <c r="I25" s="1"/>
      <c r="J25" s="1"/>
      <c r="K25" s="1"/>
      <c r="L25" s="1"/>
      <c r="M25" s="1"/>
      <c r="N25" s="1"/>
      <c r="O25" s="1"/>
      <c r="P25" s="30"/>
      <c r="Q25" s="31"/>
      <c r="R25" s="56"/>
      <c r="S25" s="56"/>
      <c r="T25" s="56"/>
      <c r="U25" s="56"/>
      <c r="V25" s="56"/>
      <c r="W25" s="56"/>
      <c r="X25" s="56"/>
      <c r="Y25" s="56"/>
      <c r="Z25" s="56"/>
      <c r="AA25" s="31"/>
      <c r="AB25" s="32"/>
      <c r="AC25" s="1"/>
      <c r="AD25" s="1"/>
      <c r="AE25" s="1"/>
      <c r="AF25" s="1"/>
      <c r="AG25" s="1"/>
      <c r="AH25" s="1"/>
      <c r="AI25" s="1"/>
      <c r="AJ25" s="1"/>
      <c r="AK25" s="1"/>
      <c r="AL25" s="1"/>
      <c r="AM25" s="1"/>
      <c r="AN25" s="1"/>
      <c r="AO25" s="1"/>
      <c r="AP25" s="1"/>
      <c r="AQ25" s="1"/>
    </row>
    <row r="26" spans="1:43" ht="15.4" customHeight="1">
      <c r="A26" s="1"/>
      <c r="B26" s="1"/>
      <c r="C26" s="1"/>
      <c r="D26" s="1"/>
      <c r="E26" s="1"/>
      <c r="F26" s="1"/>
      <c r="G26" s="1"/>
      <c r="H26" s="1"/>
      <c r="I26" s="1"/>
      <c r="J26" s="1"/>
      <c r="K26" s="1"/>
      <c r="L26" s="1"/>
      <c r="M26" s="1"/>
      <c r="N26" s="1"/>
      <c r="O26" s="1"/>
      <c r="P26" s="30"/>
      <c r="Q26" s="31"/>
      <c r="R26" s="56"/>
      <c r="S26" s="56"/>
      <c r="T26" s="56"/>
      <c r="U26" s="56"/>
      <c r="V26" s="56"/>
      <c r="W26" s="56"/>
      <c r="X26" s="56"/>
      <c r="Y26" s="56"/>
      <c r="Z26" s="56"/>
      <c r="AA26" s="31"/>
      <c r="AB26" s="32"/>
      <c r="AC26" s="1"/>
      <c r="AD26" s="1"/>
      <c r="AE26" s="1"/>
      <c r="AF26" s="1"/>
      <c r="AG26" s="1"/>
      <c r="AH26" s="1"/>
      <c r="AI26" s="1"/>
      <c r="AJ26" s="1"/>
      <c r="AK26" s="1"/>
      <c r="AL26" s="1"/>
      <c r="AM26" s="1"/>
      <c r="AN26" s="1"/>
      <c r="AO26" s="1"/>
      <c r="AP26" s="1"/>
      <c r="AQ26" s="1"/>
    </row>
    <row r="27" spans="1:43" ht="15.4" customHeight="1">
      <c r="A27" s="1"/>
      <c r="B27" s="1"/>
      <c r="C27" s="1"/>
      <c r="D27" s="1"/>
      <c r="E27" s="1"/>
      <c r="F27" s="1"/>
      <c r="G27" s="1"/>
      <c r="H27" s="1"/>
      <c r="I27" s="1"/>
      <c r="J27" s="1"/>
      <c r="K27" s="1"/>
      <c r="L27" s="1"/>
      <c r="M27" s="1"/>
      <c r="N27" s="1"/>
      <c r="O27" s="1"/>
      <c r="P27" s="30"/>
      <c r="Q27" s="31"/>
      <c r="R27" s="56"/>
      <c r="S27" s="45"/>
      <c r="T27" s="31"/>
      <c r="U27" s="31"/>
      <c r="V27" s="56"/>
      <c r="W27" s="56"/>
      <c r="X27" s="56"/>
      <c r="Y27" s="56"/>
      <c r="Z27" s="56"/>
      <c r="AA27" s="31"/>
      <c r="AB27" s="32"/>
      <c r="AC27" s="1"/>
      <c r="AD27" s="1"/>
      <c r="AE27" s="1"/>
      <c r="AF27" s="1"/>
      <c r="AG27" s="1"/>
      <c r="AH27" s="1"/>
      <c r="AI27" s="1"/>
      <c r="AJ27" s="1"/>
      <c r="AK27" s="1"/>
      <c r="AL27" s="1"/>
      <c r="AM27" s="1"/>
      <c r="AN27" s="1"/>
      <c r="AO27" s="1"/>
      <c r="AP27" s="1"/>
      <c r="AQ27" s="1"/>
    </row>
    <row r="28" spans="1:43" ht="15.4" customHeight="1">
      <c r="A28" s="1"/>
      <c r="B28" s="1"/>
      <c r="C28" s="1"/>
      <c r="D28" s="1"/>
      <c r="E28" s="1"/>
      <c r="F28" s="1"/>
      <c r="G28" s="1"/>
      <c r="H28" s="1"/>
      <c r="I28" s="1"/>
      <c r="J28" s="1"/>
      <c r="K28" s="1"/>
      <c r="L28" s="1"/>
      <c r="M28" s="1"/>
      <c r="N28" s="1"/>
      <c r="O28" s="1"/>
      <c r="P28" s="30"/>
      <c r="Q28" s="31"/>
      <c r="R28" s="56"/>
      <c r="S28" s="31"/>
      <c r="T28" s="31"/>
      <c r="U28" s="31"/>
      <c r="V28" s="31"/>
      <c r="W28" s="31"/>
      <c r="X28" s="31"/>
      <c r="Y28" s="31"/>
      <c r="Z28" s="31"/>
      <c r="AA28" s="31"/>
      <c r="AB28" s="32"/>
      <c r="AC28" s="1"/>
      <c r="AD28" s="1"/>
      <c r="AE28" s="1"/>
      <c r="AF28" s="1"/>
      <c r="AG28" s="1"/>
      <c r="AH28" s="1"/>
      <c r="AI28" s="1"/>
      <c r="AJ28" s="1"/>
      <c r="AK28" s="1"/>
      <c r="AL28" s="1"/>
      <c r="AM28" s="1"/>
      <c r="AN28" s="1"/>
      <c r="AO28" s="1"/>
      <c r="AP28" s="1"/>
      <c r="AQ28" s="1"/>
    </row>
    <row r="29" spans="1:43" ht="15.4" customHeight="1">
      <c r="A29" s="1"/>
      <c r="B29" s="1"/>
      <c r="C29" s="1"/>
      <c r="D29" s="1"/>
      <c r="E29" s="1"/>
      <c r="F29" s="1"/>
      <c r="G29" s="1"/>
      <c r="H29" s="1"/>
      <c r="I29" s="1"/>
      <c r="J29" s="1"/>
      <c r="K29" s="1"/>
      <c r="L29" s="1"/>
      <c r="M29" s="1"/>
      <c r="N29" s="1"/>
      <c r="O29" s="1"/>
      <c r="P29" s="30"/>
      <c r="Q29" s="31"/>
      <c r="R29" s="56"/>
      <c r="S29" s="31"/>
      <c r="T29" s="31"/>
      <c r="U29" s="31"/>
      <c r="V29" s="31"/>
      <c r="W29" s="31"/>
      <c r="X29" s="31"/>
      <c r="Y29" s="31"/>
      <c r="Z29" s="31"/>
      <c r="AA29" s="31"/>
      <c r="AB29" s="32"/>
      <c r="AC29" s="1"/>
      <c r="AD29" s="1"/>
      <c r="AE29" s="1"/>
      <c r="AF29" s="1"/>
      <c r="AG29" s="1"/>
      <c r="AH29" s="1"/>
      <c r="AI29" s="1"/>
      <c r="AJ29" s="1"/>
      <c r="AK29" s="1"/>
      <c r="AL29" s="1"/>
      <c r="AM29" s="1"/>
      <c r="AN29" s="1"/>
      <c r="AO29" s="1"/>
      <c r="AP29" s="1"/>
      <c r="AQ29" s="1"/>
    </row>
    <row r="30" spans="1:43" ht="15.4" customHeight="1">
      <c r="A30" s="1"/>
      <c r="B30" s="1"/>
      <c r="C30" s="1"/>
      <c r="D30" s="1"/>
      <c r="E30" s="1"/>
      <c r="F30" s="1"/>
      <c r="G30" s="1"/>
      <c r="H30" s="1"/>
      <c r="I30" s="1"/>
      <c r="J30" s="1"/>
      <c r="K30" s="1"/>
      <c r="L30" s="1"/>
      <c r="M30" s="1"/>
      <c r="N30" s="1"/>
      <c r="O30" s="1"/>
      <c r="P30" s="30"/>
      <c r="Q30" s="31"/>
      <c r="R30" s="56"/>
      <c r="S30" s="31"/>
      <c r="T30" s="57" t="s">
        <v>344</v>
      </c>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4" customHeight="1">
      <c r="A31" s="1"/>
      <c r="B31" s="1"/>
      <c r="C31" s="1"/>
      <c r="D31" s="1"/>
      <c r="E31" s="1"/>
      <c r="F31" s="1"/>
      <c r="G31" s="1"/>
      <c r="H31" s="1"/>
      <c r="I31" s="1"/>
      <c r="J31" s="1"/>
      <c r="K31" s="1"/>
      <c r="L31" s="1"/>
      <c r="M31" s="1"/>
      <c r="N31" s="1"/>
      <c r="O31" s="1"/>
      <c r="P31" s="30"/>
      <c r="Q31" s="31"/>
      <c r="R31" s="56"/>
      <c r="S31" s="31"/>
      <c r="T31" s="57" t="s">
        <v>228</v>
      </c>
      <c r="U31" s="45"/>
      <c r="V31" s="31"/>
      <c r="W31" s="31"/>
      <c r="X31" s="31"/>
      <c r="Y31" s="31"/>
      <c r="Z31" s="31"/>
      <c r="AA31" s="31"/>
      <c r="AB31" s="32"/>
      <c r="AC31" s="1"/>
      <c r="AD31" s="1"/>
      <c r="AE31" s="1"/>
      <c r="AF31" s="1"/>
      <c r="AG31" s="1"/>
      <c r="AH31" s="1"/>
      <c r="AI31" s="1"/>
      <c r="AJ31" s="1"/>
      <c r="AK31" s="1"/>
      <c r="AL31" s="1"/>
      <c r="AM31" s="1"/>
      <c r="AN31" s="1"/>
      <c r="AO31" s="1"/>
      <c r="AP31" s="1"/>
      <c r="AQ31" s="1"/>
    </row>
    <row r="32" spans="1:43" ht="15.4" customHeight="1">
      <c r="A32" s="1"/>
      <c r="B32" s="1"/>
      <c r="C32" s="1"/>
      <c r="D32" s="1"/>
      <c r="E32" s="1"/>
      <c r="F32" s="1"/>
      <c r="G32" s="1"/>
      <c r="H32" s="1"/>
      <c r="I32" s="1"/>
      <c r="J32" s="1"/>
      <c r="K32" s="1"/>
      <c r="L32" s="1"/>
      <c r="M32" s="1"/>
      <c r="N32" s="1"/>
      <c r="O32" s="1"/>
      <c r="P32" s="30"/>
      <c r="Q32" s="31"/>
      <c r="R32" s="56"/>
      <c r="S32" s="31"/>
      <c r="T32" s="31"/>
      <c r="U32" s="45"/>
      <c r="V32" s="31"/>
      <c r="W32" s="31"/>
      <c r="X32" s="31"/>
      <c r="Y32" s="31"/>
      <c r="Z32" s="31"/>
      <c r="AA32" s="31"/>
      <c r="AB32" s="32"/>
      <c r="AC32" s="1"/>
      <c r="AD32" s="1"/>
      <c r="AE32" s="1"/>
      <c r="AF32" s="1"/>
      <c r="AG32" s="1"/>
      <c r="AH32" s="1"/>
      <c r="AI32" s="1"/>
      <c r="AJ32" s="1"/>
      <c r="AK32" s="1"/>
      <c r="AL32" s="1"/>
      <c r="AM32" s="1"/>
      <c r="AN32" s="1"/>
      <c r="AO32" s="1"/>
      <c r="AP32" s="1"/>
      <c r="AQ32" s="1"/>
    </row>
    <row r="33" spans="1:43" ht="15.4" customHeight="1">
      <c r="A33" s="1"/>
      <c r="B33" s="1"/>
      <c r="C33" s="1"/>
      <c r="D33" s="1"/>
      <c r="E33" s="1"/>
      <c r="F33" s="1"/>
      <c r="G33" s="1"/>
      <c r="H33" s="1"/>
      <c r="I33" s="1"/>
      <c r="J33" s="1"/>
      <c r="K33" s="1"/>
      <c r="L33" s="1"/>
      <c r="M33" s="1"/>
      <c r="N33" s="1"/>
      <c r="O33" s="1"/>
      <c r="P33" s="30"/>
      <c r="Q33" s="31"/>
      <c r="R33" s="56"/>
      <c r="S33" s="31"/>
      <c r="T33" s="31"/>
      <c r="U33" s="31"/>
      <c r="V33" s="58"/>
      <c r="W33" s="58"/>
      <c r="X33" s="58"/>
      <c r="Y33" s="58"/>
      <c r="Z33" s="58"/>
      <c r="AA33" s="31"/>
      <c r="AB33" s="32"/>
      <c r="AC33" s="1"/>
      <c r="AD33" s="1"/>
      <c r="AE33" s="1"/>
      <c r="AF33" s="1"/>
      <c r="AG33" s="1"/>
      <c r="AH33" s="1"/>
      <c r="AI33" s="1"/>
      <c r="AJ33" s="1"/>
      <c r="AK33" s="1"/>
      <c r="AL33" s="1"/>
      <c r="AM33" s="1"/>
      <c r="AN33" s="1"/>
      <c r="AO33" s="1"/>
      <c r="AP33" s="1"/>
      <c r="AQ33" s="1"/>
    </row>
    <row r="34" spans="1:43" ht="15.4" customHeight="1">
      <c r="A34" s="1"/>
      <c r="B34" s="1"/>
      <c r="C34" s="1"/>
      <c r="D34" s="1"/>
      <c r="E34" s="1"/>
      <c r="F34" s="1"/>
      <c r="G34" s="1"/>
      <c r="H34" s="1"/>
      <c r="I34" s="1"/>
      <c r="J34" s="1"/>
      <c r="K34" s="1"/>
      <c r="L34" s="1"/>
      <c r="M34" s="1"/>
      <c r="N34" s="1"/>
      <c r="O34" s="1"/>
      <c r="P34" s="30"/>
      <c r="Q34" s="31"/>
      <c r="R34" s="56"/>
      <c r="S34" s="31"/>
      <c r="T34" s="31"/>
      <c r="U34" s="31"/>
      <c r="V34" s="31"/>
      <c r="W34" s="31"/>
      <c r="X34" s="31"/>
      <c r="Y34" s="31"/>
      <c r="Z34" s="31"/>
      <c r="AA34" s="31"/>
      <c r="AB34" s="32"/>
      <c r="AC34" s="1"/>
      <c r="AD34" s="1"/>
      <c r="AE34" s="1"/>
      <c r="AF34" s="1"/>
      <c r="AG34" s="1"/>
      <c r="AH34" s="1"/>
      <c r="AI34" s="1"/>
      <c r="AJ34" s="1"/>
      <c r="AK34" s="1"/>
      <c r="AL34" s="1"/>
      <c r="AM34" s="1"/>
      <c r="AN34" s="1"/>
      <c r="AO34" s="1"/>
      <c r="AP34" s="1"/>
      <c r="AQ34" s="1"/>
    </row>
    <row r="35" spans="1:43" ht="15.4" customHeight="1">
      <c r="A35" s="1"/>
      <c r="B35" s="1"/>
      <c r="C35" s="1"/>
      <c r="D35" s="1"/>
      <c r="E35" s="1"/>
      <c r="F35" s="1"/>
      <c r="G35" s="1"/>
      <c r="H35" s="1"/>
      <c r="I35" s="1"/>
      <c r="J35" s="1"/>
      <c r="K35" s="1"/>
      <c r="L35" s="1"/>
      <c r="M35" s="1"/>
      <c r="N35" s="1"/>
      <c r="O35" s="1"/>
      <c r="P35" s="30"/>
      <c r="Q35" s="31"/>
      <c r="R35" s="56"/>
      <c r="S35" s="31"/>
      <c r="T35" s="31"/>
      <c r="U35" s="31"/>
      <c r="V35" s="388" t="s">
        <v>345</v>
      </c>
      <c r="W35" s="388"/>
      <c r="X35" s="388"/>
      <c r="Y35" s="221">
        <f>Inputs!$V$38</f>
        <v>5</v>
      </c>
      <c r="Z35" s="31" t="s">
        <v>28</v>
      </c>
      <c r="AA35" s="31"/>
      <c r="AB35" s="32"/>
      <c r="AC35" s="1"/>
      <c r="AD35" s="1"/>
      <c r="AE35" s="1"/>
      <c r="AF35" s="1"/>
      <c r="AG35" s="1"/>
      <c r="AH35" s="1"/>
      <c r="AI35" s="1"/>
      <c r="AJ35" s="1"/>
      <c r="AK35" s="1"/>
      <c r="AL35" s="1"/>
      <c r="AM35" s="1"/>
      <c r="AN35" s="1"/>
      <c r="AO35" s="1"/>
      <c r="AP35" s="1"/>
      <c r="AQ35" s="1"/>
    </row>
    <row r="36" spans="1:43" ht="15.4" customHeight="1">
      <c r="A36" s="1"/>
      <c r="B36" s="1"/>
      <c r="C36" s="1"/>
      <c r="D36" s="1"/>
      <c r="E36" s="1"/>
      <c r="F36" s="1"/>
      <c r="G36" s="1"/>
      <c r="H36" s="1"/>
      <c r="I36" s="1"/>
      <c r="J36" s="1"/>
      <c r="K36" s="1"/>
      <c r="L36" s="1"/>
      <c r="M36" s="1"/>
      <c r="N36" s="1"/>
      <c r="O36" s="1"/>
      <c r="P36" s="30"/>
      <c r="Q36" s="31"/>
      <c r="R36" s="56"/>
      <c r="S36" s="31"/>
      <c r="T36" s="31"/>
      <c r="U36" s="31"/>
      <c r="V36" s="388" t="s">
        <v>346</v>
      </c>
      <c r="W36" s="388"/>
      <c r="X36" s="388"/>
      <c r="Y36" s="223">
        <f>12*((Y35/42)^2)</f>
        <v>0.17006802721088435</v>
      </c>
      <c r="Z36" s="48" t="s">
        <v>25</v>
      </c>
      <c r="AA36" s="31"/>
      <c r="AB36" s="32"/>
      <c r="AC36" s="1"/>
      <c r="AD36" s="1"/>
      <c r="AE36" s="1"/>
      <c r="AF36" s="1"/>
      <c r="AG36" s="1"/>
      <c r="AH36" s="1"/>
      <c r="AI36" s="1"/>
      <c r="AJ36" s="1"/>
      <c r="AK36" s="1"/>
      <c r="AL36" s="1"/>
      <c r="AM36" s="1"/>
      <c r="AN36" s="1"/>
      <c r="AO36" s="1"/>
      <c r="AP36" s="1"/>
      <c r="AQ36" s="1"/>
    </row>
    <row r="37" spans="1:43" ht="15.4" customHeight="1">
      <c r="A37" s="1"/>
      <c r="B37" s="1"/>
      <c r="C37" s="1"/>
      <c r="D37" s="1"/>
      <c r="E37" s="1"/>
      <c r="F37" s="1"/>
      <c r="G37" s="1"/>
      <c r="H37" s="1"/>
      <c r="I37" s="1"/>
      <c r="J37" s="1"/>
      <c r="K37" s="1"/>
      <c r="L37" s="1"/>
      <c r="M37" s="1"/>
      <c r="N37" s="1"/>
      <c r="O37" s="1"/>
      <c r="P37" s="30"/>
      <c r="Q37" s="31"/>
      <c r="R37" s="56"/>
      <c r="S37" s="31"/>
      <c r="T37" s="31"/>
      <c r="U37" s="31"/>
      <c r="V37" s="388" t="s">
        <v>347</v>
      </c>
      <c r="W37" s="388"/>
      <c r="X37" s="401"/>
      <c r="Y37" s="221">
        <f>Inputs!$V$37</f>
        <v>15</v>
      </c>
      <c r="Z37" s="31" t="s">
        <v>28</v>
      </c>
      <c r="AA37" s="31"/>
      <c r="AB37" s="32"/>
      <c r="AC37" s="1"/>
      <c r="AD37" s="1"/>
      <c r="AE37" s="1"/>
      <c r="AF37" s="1"/>
      <c r="AG37" s="1"/>
      <c r="AH37" s="1"/>
      <c r="AI37" s="1"/>
      <c r="AJ37" s="1"/>
      <c r="AK37" s="1"/>
      <c r="AL37" s="1"/>
      <c r="AM37" s="1"/>
      <c r="AN37" s="1"/>
      <c r="AO37" s="1"/>
      <c r="AP37" s="1"/>
      <c r="AQ37" s="1"/>
    </row>
    <row r="38" spans="1:43" ht="15.4" customHeight="1">
      <c r="A38" s="1"/>
      <c r="B38" s="1"/>
      <c r="C38" s="1"/>
      <c r="D38" s="1"/>
      <c r="E38" s="1"/>
      <c r="F38" s="1"/>
      <c r="G38" s="1"/>
      <c r="H38" s="1"/>
      <c r="I38" s="1"/>
      <c r="J38" s="1"/>
      <c r="K38" s="1"/>
      <c r="L38" s="1"/>
      <c r="M38" s="1"/>
      <c r="N38" s="1"/>
      <c r="O38" s="1"/>
      <c r="P38" s="30"/>
      <c r="Q38" s="31"/>
      <c r="R38" s="56"/>
      <c r="S38" s="31"/>
      <c r="T38" s="31"/>
      <c r="U38" s="31"/>
      <c r="V38" s="388" t="s">
        <v>348</v>
      </c>
      <c r="W38" s="388"/>
      <c r="X38" s="388"/>
      <c r="Y38" s="222">
        <f>(Y37/('CubeSat hardware'!$B$5/2))*3</f>
        <v>1</v>
      </c>
      <c r="Z38" s="48" t="s">
        <v>25</v>
      </c>
      <c r="AA38" s="31"/>
      <c r="AB38" s="32"/>
      <c r="AC38" s="1"/>
      <c r="AD38" s="1"/>
      <c r="AE38" s="1"/>
      <c r="AF38" s="1"/>
      <c r="AG38" s="1"/>
      <c r="AH38" s="1"/>
      <c r="AI38" s="1"/>
      <c r="AJ38" s="1"/>
      <c r="AK38" s="1"/>
      <c r="AL38" s="1"/>
      <c r="AM38" s="1"/>
      <c r="AN38" s="1"/>
      <c r="AO38" s="1"/>
      <c r="AP38" s="1"/>
      <c r="AQ38" s="1"/>
    </row>
    <row r="39" spans="1:43" ht="15.4" customHeight="1">
      <c r="A39" s="1"/>
      <c r="B39" s="1"/>
      <c r="C39" s="1"/>
      <c r="D39" s="1"/>
      <c r="E39" s="1"/>
      <c r="F39" s="1"/>
      <c r="G39" s="1"/>
      <c r="H39" s="1"/>
      <c r="I39" s="1"/>
      <c r="J39" s="1"/>
      <c r="K39" s="1"/>
      <c r="L39" s="1"/>
      <c r="M39" s="1"/>
      <c r="N39" s="1"/>
      <c r="O39" s="1"/>
      <c r="P39" s="30"/>
      <c r="Q39" s="31"/>
      <c r="R39" s="56"/>
      <c r="S39" s="31"/>
      <c r="T39" s="31"/>
      <c r="U39" s="31"/>
      <c r="V39" s="388"/>
      <c r="W39" s="388"/>
      <c r="X39" s="388"/>
      <c r="Y39" s="60"/>
      <c r="Z39" s="48"/>
      <c r="AA39" s="31"/>
      <c r="AB39" s="32"/>
      <c r="AC39" s="1"/>
      <c r="AD39" s="1"/>
      <c r="AE39" s="1"/>
      <c r="AF39" s="1"/>
      <c r="AG39" s="1"/>
      <c r="AH39" s="1"/>
      <c r="AI39" s="1"/>
      <c r="AJ39" s="1"/>
      <c r="AK39" s="1"/>
      <c r="AL39" s="1"/>
      <c r="AM39" s="1"/>
      <c r="AN39" s="1"/>
      <c r="AO39" s="1"/>
      <c r="AP39" s="1"/>
      <c r="AQ39" s="1"/>
    </row>
    <row r="40" spans="1:43" ht="15.4" customHeight="1">
      <c r="A40" s="1"/>
      <c r="B40" s="1"/>
      <c r="C40" s="1"/>
      <c r="D40" s="1"/>
      <c r="E40" s="1"/>
      <c r="F40" s="1"/>
      <c r="G40" s="1"/>
      <c r="H40" s="1"/>
      <c r="I40" s="1"/>
      <c r="J40" s="1"/>
      <c r="K40" s="1"/>
      <c r="L40" s="1"/>
      <c r="M40" s="1"/>
      <c r="N40" s="1"/>
      <c r="O40" s="1"/>
      <c r="P40" s="30"/>
      <c r="Q40" s="31"/>
      <c r="R40" s="56"/>
      <c r="S40" s="31"/>
      <c r="T40" s="31"/>
      <c r="U40" s="31"/>
      <c r="V40" s="31"/>
      <c r="W40" s="31"/>
      <c r="X40" s="31"/>
      <c r="Y40" s="31"/>
      <c r="Z40" s="31"/>
      <c r="AA40" s="31"/>
      <c r="AB40" s="32"/>
      <c r="AC40" s="1"/>
      <c r="AD40" s="1"/>
      <c r="AE40" s="1"/>
      <c r="AF40" s="1"/>
      <c r="AG40" s="1"/>
      <c r="AH40" s="1"/>
      <c r="AI40" s="1"/>
      <c r="AJ40" s="1"/>
      <c r="AK40" s="1"/>
      <c r="AL40" s="1"/>
      <c r="AM40" s="1"/>
      <c r="AN40" s="1"/>
      <c r="AO40" s="1"/>
      <c r="AP40" s="1"/>
      <c r="AQ40" s="1"/>
    </row>
    <row r="41" spans="1:43" ht="15.4" customHeight="1">
      <c r="A41" s="1"/>
      <c r="B41" s="1"/>
      <c r="C41" s="1"/>
      <c r="D41" s="1"/>
      <c r="E41" s="1"/>
      <c r="F41" s="1"/>
      <c r="G41" s="1"/>
      <c r="H41" s="1"/>
      <c r="I41" s="1"/>
      <c r="J41" s="1"/>
      <c r="K41" s="1"/>
      <c r="L41" s="1"/>
      <c r="M41" s="1"/>
      <c r="N41" s="1"/>
      <c r="O41" s="1"/>
      <c r="P41" s="30"/>
      <c r="Q41" s="31"/>
      <c r="R41" s="56"/>
      <c r="S41" s="31"/>
      <c r="T41" s="31"/>
      <c r="U41" s="31"/>
      <c r="V41" s="31"/>
      <c r="W41" s="31"/>
      <c r="X41" s="31"/>
      <c r="Y41" s="31"/>
      <c r="Z41" s="31"/>
      <c r="AA41" s="31"/>
      <c r="AB41" s="32"/>
      <c r="AC41" s="1"/>
      <c r="AD41" s="1"/>
      <c r="AE41" s="1"/>
      <c r="AF41" s="1"/>
      <c r="AG41" s="1"/>
      <c r="AH41" s="1"/>
      <c r="AI41" s="1"/>
      <c r="AJ41" s="1"/>
      <c r="AK41" s="1"/>
      <c r="AL41" s="1"/>
      <c r="AM41" s="1"/>
      <c r="AN41" s="1"/>
      <c r="AO41" s="1"/>
      <c r="AP41" s="1"/>
      <c r="AQ41" s="1"/>
    </row>
    <row r="42" spans="1:43" ht="15.4" customHeight="1">
      <c r="A42" s="1"/>
      <c r="B42" s="1"/>
      <c r="C42" s="1"/>
      <c r="D42" s="1"/>
      <c r="E42" s="1"/>
      <c r="F42" s="1"/>
      <c r="G42" s="1"/>
      <c r="H42" s="1"/>
      <c r="I42" s="1"/>
      <c r="J42" s="1"/>
      <c r="K42" s="1"/>
      <c r="L42" s="1"/>
      <c r="M42" s="1"/>
      <c r="N42" s="1"/>
      <c r="O42" s="1"/>
      <c r="P42" s="30"/>
      <c r="Q42" s="31"/>
      <c r="R42" s="56"/>
      <c r="S42" s="31"/>
      <c r="T42" s="31"/>
      <c r="U42" s="31"/>
      <c r="V42" s="31"/>
      <c r="W42" s="31"/>
      <c r="X42" s="31"/>
      <c r="Y42" s="31"/>
      <c r="Z42" s="31"/>
      <c r="AA42" s="31"/>
      <c r="AB42" s="32"/>
      <c r="AC42" s="1"/>
      <c r="AD42" s="1"/>
      <c r="AE42" s="1"/>
      <c r="AF42" s="1"/>
      <c r="AG42" s="1"/>
      <c r="AH42" s="1"/>
      <c r="AI42" s="1"/>
      <c r="AJ42" s="1"/>
      <c r="AK42" s="1"/>
      <c r="AL42" s="1"/>
      <c r="AM42" s="1"/>
      <c r="AN42" s="1"/>
      <c r="AO42" s="1"/>
      <c r="AP42" s="1"/>
      <c r="AQ42" s="1"/>
    </row>
    <row r="43" spans="1:43" ht="15.4" customHeight="1">
      <c r="A43" s="1"/>
      <c r="B43" s="1"/>
      <c r="C43" s="1"/>
      <c r="D43" s="1"/>
      <c r="E43" s="1"/>
      <c r="F43" s="1"/>
      <c r="G43" s="1"/>
      <c r="H43" s="1"/>
      <c r="I43" s="1"/>
      <c r="J43" s="1"/>
      <c r="K43" s="1"/>
      <c r="L43" s="1"/>
      <c r="M43" s="1"/>
      <c r="N43" s="1"/>
      <c r="O43" s="1"/>
      <c r="P43" s="30"/>
      <c r="Q43" s="31"/>
      <c r="R43" s="56"/>
      <c r="S43" s="31"/>
      <c r="T43" s="31"/>
      <c r="U43" s="31"/>
      <c r="V43" s="31"/>
      <c r="W43" s="31"/>
      <c r="X43" s="31"/>
      <c r="Y43" s="31"/>
      <c r="Z43" s="31"/>
      <c r="AA43" s="31"/>
      <c r="AB43" s="32"/>
      <c r="AC43" s="1"/>
      <c r="AD43" s="1"/>
      <c r="AE43" s="1"/>
      <c r="AF43" s="1"/>
      <c r="AG43" s="1"/>
      <c r="AH43" s="1"/>
      <c r="AI43" s="1"/>
      <c r="AJ43" s="1"/>
      <c r="AK43" s="1"/>
      <c r="AL43" s="1"/>
      <c r="AM43" s="1"/>
      <c r="AN43" s="1"/>
      <c r="AO43" s="1"/>
      <c r="AP43" s="1"/>
      <c r="AQ43" s="1"/>
    </row>
    <row r="44" spans="1:43" ht="15.4" customHeight="1">
      <c r="A44" s="1"/>
      <c r="B44" s="1"/>
      <c r="C44" s="1"/>
      <c r="D44" s="1"/>
      <c r="E44" s="1"/>
      <c r="F44" s="1"/>
      <c r="G44" s="1"/>
      <c r="H44" s="1"/>
      <c r="I44" s="1"/>
      <c r="J44" s="1"/>
      <c r="K44" s="1"/>
      <c r="L44" s="1"/>
      <c r="M44" s="1"/>
      <c r="N44" s="1"/>
      <c r="O44" s="1"/>
      <c r="P44" s="30"/>
      <c r="Q44" s="31"/>
      <c r="R44" s="56"/>
      <c r="S44" s="31"/>
      <c r="T44" s="31"/>
      <c r="U44" s="31"/>
      <c r="V44" s="31"/>
      <c r="W44" s="31"/>
      <c r="X44" s="31"/>
      <c r="Y44" s="31"/>
      <c r="Z44" s="31"/>
      <c r="AA44" s="31"/>
      <c r="AB44" s="32"/>
      <c r="AC44" s="1"/>
      <c r="AD44" s="1"/>
      <c r="AE44" s="1"/>
      <c r="AF44" s="1"/>
      <c r="AG44" s="1"/>
      <c r="AH44" s="1"/>
      <c r="AI44" s="1"/>
      <c r="AJ44" s="1"/>
      <c r="AK44" s="1"/>
      <c r="AL44" s="1"/>
      <c r="AM44" s="1"/>
      <c r="AN44" s="1"/>
      <c r="AO44" s="1"/>
      <c r="AP44" s="1"/>
      <c r="AQ44" s="1"/>
    </row>
    <row r="45" spans="1:43" ht="15.4" customHeight="1">
      <c r="A45" s="1"/>
      <c r="B45" s="1"/>
      <c r="C45" s="1"/>
      <c r="D45" s="1"/>
      <c r="E45" s="1"/>
      <c r="F45" s="1"/>
      <c r="G45" s="1"/>
      <c r="H45" s="1"/>
      <c r="I45" s="1"/>
      <c r="J45" s="1"/>
      <c r="K45" s="1"/>
      <c r="L45" s="1"/>
      <c r="M45" s="1"/>
      <c r="N45" s="1"/>
      <c r="O45" s="1"/>
      <c r="P45" s="30"/>
      <c r="Q45" s="31"/>
      <c r="R45" s="56"/>
      <c r="S45" s="31"/>
      <c r="T45" s="59" t="s">
        <v>349</v>
      </c>
      <c r="U45" s="45"/>
      <c r="V45" s="31"/>
      <c r="W45" s="31"/>
      <c r="X45" s="31"/>
      <c r="Y45" s="31"/>
      <c r="Z45" s="31"/>
      <c r="AA45" s="31"/>
      <c r="AB45" s="32"/>
      <c r="AC45" s="1"/>
      <c r="AD45" s="1"/>
      <c r="AE45" s="1"/>
      <c r="AF45" s="1"/>
      <c r="AG45" s="1"/>
      <c r="AH45" s="1"/>
      <c r="AI45" s="1"/>
      <c r="AJ45" s="1"/>
      <c r="AK45" s="1"/>
      <c r="AL45" s="1"/>
      <c r="AM45" s="1"/>
      <c r="AN45" s="1"/>
      <c r="AO45" s="1"/>
      <c r="AP45" s="1"/>
      <c r="AQ45" s="1"/>
    </row>
    <row r="46" spans="1:43" ht="15.4" customHeight="1">
      <c r="A46" s="1"/>
      <c r="B46" s="1"/>
      <c r="C46" s="1"/>
      <c r="D46" s="1"/>
      <c r="E46" s="1"/>
      <c r="F46" s="1"/>
      <c r="G46" s="1"/>
      <c r="H46" s="1"/>
      <c r="I46" s="1"/>
      <c r="J46" s="1"/>
      <c r="K46" s="1"/>
      <c r="L46" s="1"/>
      <c r="M46" s="1"/>
      <c r="N46" s="1"/>
      <c r="O46" s="1"/>
      <c r="P46" s="30"/>
      <c r="Q46" s="31"/>
      <c r="R46" s="56"/>
      <c r="S46" s="31"/>
      <c r="T46" s="45" t="s">
        <v>228</v>
      </c>
      <c r="U46" s="31"/>
      <c r="V46" s="31"/>
      <c r="W46" s="31"/>
      <c r="X46" s="31"/>
      <c r="Y46" s="31"/>
      <c r="Z46" s="31"/>
      <c r="AA46" s="31"/>
      <c r="AB46" s="32"/>
      <c r="AC46" s="1"/>
      <c r="AD46" s="1"/>
      <c r="AE46" s="1"/>
      <c r="AF46" s="1"/>
      <c r="AG46" s="1"/>
      <c r="AH46" s="1"/>
      <c r="AI46" s="1"/>
      <c r="AJ46" s="1"/>
      <c r="AK46" s="1"/>
      <c r="AL46" s="1"/>
      <c r="AM46" s="1"/>
      <c r="AN46" s="1"/>
      <c r="AO46" s="1"/>
      <c r="AP46" s="1"/>
      <c r="AQ46" s="1"/>
    </row>
    <row r="47" spans="1:43" ht="15.4" customHeight="1">
      <c r="A47" s="1"/>
      <c r="B47" s="1"/>
      <c r="C47" s="1"/>
      <c r="D47" s="1"/>
      <c r="E47" s="1"/>
      <c r="F47" s="1"/>
      <c r="G47" s="1"/>
      <c r="H47" s="1"/>
      <c r="I47" s="1"/>
      <c r="J47" s="1"/>
      <c r="K47" s="1"/>
      <c r="L47" s="1"/>
      <c r="M47" s="1"/>
      <c r="N47" s="1"/>
      <c r="O47" s="1"/>
      <c r="P47" s="30"/>
      <c r="Q47" s="31"/>
      <c r="R47" s="56"/>
      <c r="S47" s="31"/>
      <c r="T47" s="31"/>
      <c r="U47" s="45"/>
      <c r="V47" s="31"/>
      <c r="W47" s="31"/>
      <c r="X47" s="31"/>
      <c r="Y47" s="31"/>
      <c r="Z47" s="31"/>
      <c r="AA47" s="31"/>
      <c r="AB47" s="32"/>
      <c r="AC47" s="1"/>
      <c r="AD47" s="1"/>
      <c r="AE47" s="1"/>
      <c r="AF47" s="1"/>
      <c r="AG47" s="1"/>
      <c r="AH47" s="1"/>
      <c r="AI47" s="1"/>
      <c r="AJ47" s="1"/>
      <c r="AK47" s="1"/>
      <c r="AL47" s="1"/>
      <c r="AM47" s="1"/>
      <c r="AN47" s="1"/>
      <c r="AO47" s="1"/>
      <c r="AP47" s="1"/>
      <c r="AQ47" s="1"/>
    </row>
    <row r="48" spans="1:43" ht="15.4" customHeight="1">
      <c r="A48" s="1"/>
      <c r="B48" s="1"/>
      <c r="C48" s="1"/>
      <c r="D48" s="1"/>
      <c r="E48" s="1"/>
      <c r="F48" s="1"/>
      <c r="G48" s="1"/>
      <c r="H48" s="1"/>
      <c r="I48" s="1"/>
      <c r="J48" s="1"/>
      <c r="K48" s="1"/>
      <c r="L48" s="1"/>
      <c r="M48" s="1"/>
      <c r="N48" s="1"/>
      <c r="O48" s="1"/>
      <c r="P48" s="30"/>
      <c r="Q48" s="31"/>
      <c r="R48" s="56"/>
      <c r="S48" s="56"/>
      <c r="T48" s="56"/>
      <c r="U48" s="56"/>
      <c r="V48" s="58"/>
      <c r="W48" s="58"/>
      <c r="X48" s="58"/>
      <c r="Y48" s="58"/>
      <c r="Z48" s="58"/>
      <c r="AA48" s="31"/>
      <c r="AB48" s="32"/>
      <c r="AC48" s="1"/>
      <c r="AD48" s="1"/>
      <c r="AE48" s="1"/>
      <c r="AF48" s="1"/>
      <c r="AG48" s="1"/>
      <c r="AH48" s="1"/>
      <c r="AI48" s="1"/>
      <c r="AJ48" s="1"/>
      <c r="AK48" s="1"/>
      <c r="AL48" s="1"/>
      <c r="AM48" s="1"/>
      <c r="AN48" s="1"/>
      <c r="AO48" s="1"/>
      <c r="AP48" s="1"/>
      <c r="AQ48" s="1"/>
    </row>
    <row r="49" spans="1:43" ht="15.4" customHeight="1" thickBot="1">
      <c r="A49" s="1"/>
      <c r="B49" s="1"/>
      <c r="C49" s="1"/>
      <c r="D49" s="1"/>
      <c r="E49" s="1"/>
      <c r="F49" s="1"/>
      <c r="G49" s="1"/>
      <c r="H49" s="1"/>
      <c r="I49" s="1"/>
      <c r="J49" s="1"/>
      <c r="K49" s="1"/>
      <c r="L49" s="1"/>
      <c r="M49" s="1"/>
      <c r="N49" s="1"/>
      <c r="O49" s="1"/>
      <c r="P49" s="30"/>
      <c r="Q49" s="31"/>
      <c r="R49" s="56"/>
      <c r="S49" s="56"/>
      <c r="T49" s="56"/>
      <c r="U49" s="56"/>
      <c r="V49" s="56"/>
      <c r="W49" s="56"/>
      <c r="X49" s="56"/>
      <c r="Y49" s="56"/>
      <c r="Z49" s="56"/>
      <c r="AA49" s="31"/>
      <c r="AB49" s="32"/>
      <c r="AC49" s="1"/>
      <c r="AD49" s="1"/>
      <c r="AE49" s="1"/>
      <c r="AF49" s="1"/>
      <c r="AG49" s="1"/>
      <c r="AH49" s="1"/>
      <c r="AI49" s="1"/>
      <c r="AJ49" s="1"/>
      <c r="AK49" s="1"/>
      <c r="AL49" s="1"/>
      <c r="AM49" s="1"/>
      <c r="AN49" s="1"/>
      <c r="AO49" s="1"/>
      <c r="AP49" s="1"/>
      <c r="AQ49" s="1"/>
    </row>
    <row r="50" spans="1:43" ht="30.6" thickBot="1">
      <c r="A50" s="1"/>
      <c r="B50" s="1"/>
      <c r="C50" s="1"/>
      <c r="D50" s="1"/>
      <c r="E50" s="1"/>
      <c r="F50" s="1"/>
      <c r="G50" s="1"/>
      <c r="H50" s="1"/>
      <c r="I50" s="1"/>
      <c r="J50" s="1"/>
      <c r="K50" s="1"/>
      <c r="L50" s="1"/>
      <c r="M50" s="1"/>
      <c r="N50" s="1"/>
      <c r="O50" s="1"/>
      <c r="P50" s="30"/>
      <c r="Q50" s="31"/>
      <c r="R50" s="328" t="s">
        <v>350</v>
      </c>
      <c r="S50" s="329"/>
      <c r="T50" s="329"/>
      <c r="U50" s="329"/>
      <c r="V50" s="329"/>
      <c r="W50" s="329"/>
      <c r="X50" s="329"/>
      <c r="Y50" s="329"/>
      <c r="Z50" s="330"/>
      <c r="AA50" s="31"/>
      <c r="AB50" s="32"/>
      <c r="AC50" s="1"/>
      <c r="AD50" s="1"/>
      <c r="AE50" s="1"/>
      <c r="AF50" s="1"/>
      <c r="AG50" s="1"/>
      <c r="AH50" s="1"/>
      <c r="AI50" s="1"/>
      <c r="AJ50" s="1"/>
      <c r="AK50" s="1"/>
      <c r="AL50" s="1"/>
      <c r="AM50" s="1"/>
      <c r="AN50" s="1"/>
      <c r="AO50" s="1"/>
      <c r="AP50" s="1"/>
      <c r="AQ50" s="1"/>
    </row>
    <row r="51" spans="1:43" ht="15.4" customHeight="1">
      <c r="A51" s="1"/>
      <c r="B51" s="1"/>
      <c r="C51" s="1"/>
      <c r="D51" s="1"/>
      <c r="E51" s="1"/>
      <c r="F51" s="1"/>
      <c r="G51" s="1"/>
      <c r="H51" s="1"/>
      <c r="I51" s="1"/>
      <c r="J51" s="1"/>
      <c r="K51" s="1"/>
      <c r="L51" s="1"/>
      <c r="M51" s="1"/>
      <c r="N51" s="1"/>
      <c r="O51" s="1"/>
      <c r="P51" s="30"/>
      <c r="Q51" s="31"/>
      <c r="R51" s="56"/>
      <c r="S51" s="56"/>
      <c r="T51" s="56"/>
      <c r="U51" s="56"/>
      <c r="V51" s="56"/>
      <c r="W51" s="56"/>
      <c r="X51" s="56"/>
      <c r="Y51" s="56"/>
      <c r="Z51" s="56"/>
      <c r="AA51" s="31"/>
      <c r="AB51" s="32"/>
      <c r="AC51" s="1"/>
      <c r="AD51" s="1"/>
      <c r="AE51" s="1"/>
      <c r="AF51" s="1"/>
      <c r="AG51" s="1"/>
      <c r="AH51" s="1"/>
      <c r="AI51" s="1"/>
      <c r="AJ51" s="1"/>
      <c r="AK51" s="1"/>
      <c r="AL51" s="1"/>
      <c r="AM51" s="1"/>
      <c r="AN51" s="1"/>
      <c r="AO51" s="1"/>
      <c r="AP51" s="1"/>
      <c r="AQ51" s="1"/>
    </row>
    <row r="52" spans="1:43" ht="15.4" customHeight="1">
      <c r="A52" s="1"/>
      <c r="B52" s="1"/>
      <c r="C52" s="1"/>
      <c r="D52" s="1"/>
      <c r="E52" s="1"/>
      <c r="F52" s="1"/>
      <c r="G52" s="1"/>
      <c r="H52" s="1"/>
      <c r="I52" s="1"/>
      <c r="J52" s="1"/>
      <c r="K52" s="1"/>
      <c r="L52" s="1"/>
      <c r="M52" s="1"/>
      <c r="N52" s="1"/>
      <c r="O52" s="1"/>
      <c r="P52" s="30"/>
      <c r="Q52" s="31"/>
      <c r="R52" s="31"/>
      <c r="S52" s="31"/>
      <c r="T52" s="31"/>
      <c r="U52" s="31"/>
      <c r="V52" s="31"/>
      <c r="W52" s="31"/>
      <c r="X52" s="56"/>
      <c r="Y52" s="56"/>
      <c r="Z52" s="56"/>
      <c r="AA52" s="31"/>
      <c r="AB52" s="32"/>
      <c r="AC52" s="1"/>
      <c r="AD52" s="1"/>
      <c r="AE52" s="1"/>
      <c r="AF52" s="1"/>
      <c r="AG52" s="1"/>
      <c r="AH52" s="1"/>
      <c r="AI52" s="1"/>
      <c r="AJ52" s="1"/>
      <c r="AK52" s="1"/>
      <c r="AL52" s="1"/>
      <c r="AM52" s="1"/>
      <c r="AN52" s="1"/>
      <c r="AO52" s="1"/>
      <c r="AP52" s="1"/>
      <c r="AQ52" s="1"/>
    </row>
    <row r="53" spans="1:43">
      <c r="A53" s="1"/>
      <c r="B53" s="1"/>
      <c r="C53" s="1"/>
      <c r="D53" s="1"/>
      <c r="E53" s="1"/>
      <c r="F53" s="1"/>
      <c r="G53" s="1"/>
      <c r="H53" s="1"/>
      <c r="I53" s="1"/>
      <c r="J53" s="1"/>
      <c r="K53" s="1"/>
      <c r="L53" s="1"/>
      <c r="M53" s="1"/>
      <c r="N53" s="1"/>
      <c r="O53" s="1"/>
      <c r="P53" s="30"/>
      <c r="Q53" s="31"/>
      <c r="R53" s="427" t="s">
        <v>351</v>
      </c>
      <c r="S53" s="427"/>
      <c r="T53" s="427"/>
      <c r="U53" s="427"/>
      <c r="V53" s="427"/>
      <c r="W53" s="200"/>
      <c r="X53" s="48"/>
      <c r="Y53" s="48"/>
      <c r="Z53" s="48"/>
      <c r="AA53" s="31"/>
      <c r="AB53" s="32"/>
      <c r="AC53" s="1"/>
      <c r="AD53" s="1"/>
      <c r="AE53" s="1"/>
      <c r="AF53" s="1"/>
      <c r="AG53" s="1"/>
      <c r="AH53" s="1"/>
      <c r="AI53" s="1"/>
      <c r="AJ53" s="1"/>
      <c r="AK53" s="1"/>
      <c r="AL53" s="1"/>
      <c r="AM53" s="1"/>
      <c r="AN53" s="1"/>
      <c r="AO53" s="1"/>
      <c r="AP53" s="1"/>
      <c r="AQ53" s="1"/>
    </row>
    <row r="54" spans="1:43">
      <c r="A54" s="1"/>
      <c r="B54" s="1"/>
      <c r="C54" s="1"/>
      <c r="D54" s="1"/>
      <c r="E54" s="1"/>
      <c r="F54" s="1"/>
      <c r="G54" s="1"/>
      <c r="H54" s="1"/>
      <c r="I54" s="1"/>
      <c r="J54" s="1"/>
      <c r="K54" s="1"/>
      <c r="L54" s="1"/>
      <c r="M54" s="1"/>
      <c r="N54" s="1"/>
      <c r="O54" s="1"/>
      <c r="P54" s="30"/>
      <c r="Q54" s="31"/>
      <c r="R54" s="387" t="s">
        <v>352</v>
      </c>
      <c r="S54" s="387"/>
      <c r="T54" s="387"/>
      <c r="U54" s="123">
        <v>1</v>
      </c>
      <c r="V54" s="48" t="s">
        <v>25</v>
      </c>
      <c r="W54" s="60"/>
      <c r="X54" s="48"/>
      <c r="Y54" s="48"/>
      <c r="Z54" s="48"/>
      <c r="AA54" s="31"/>
      <c r="AB54" s="32"/>
      <c r="AC54" s="1"/>
      <c r="AD54" s="1"/>
      <c r="AE54" s="1"/>
      <c r="AF54" s="1"/>
      <c r="AG54" s="1"/>
      <c r="AH54" s="1"/>
      <c r="AI54" s="1"/>
      <c r="AJ54" s="1"/>
      <c r="AK54" s="1"/>
      <c r="AL54" s="1"/>
      <c r="AM54" s="1"/>
      <c r="AN54" s="1"/>
      <c r="AO54" s="1"/>
      <c r="AP54" s="1"/>
      <c r="AQ54" s="1"/>
    </row>
    <row r="55" spans="1:43">
      <c r="A55" s="1"/>
      <c r="B55" s="1"/>
      <c r="C55" s="1"/>
      <c r="D55" s="1"/>
      <c r="E55" s="1"/>
      <c r="F55" s="1"/>
      <c r="G55" s="1"/>
      <c r="H55" s="1"/>
      <c r="I55" s="1"/>
      <c r="J55" s="1"/>
      <c r="K55" s="1"/>
      <c r="L55" s="1"/>
      <c r="M55" s="1"/>
      <c r="N55" s="1"/>
      <c r="O55" s="1"/>
      <c r="P55" s="30"/>
      <c r="Q55" s="31"/>
      <c r="R55" s="387" t="s">
        <v>353</v>
      </c>
      <c r="S55" s="387"/>
      <c r="T55" s="387"/>
      <c r="U55" s="123">
        <v>1</v>
      </c>
      <c r="V55" s="48" t="s">
        <v>25</v>
      </c>
      <c r="W55" s="60"/>
      <c r="X55" s="48"/>
      <c r="Y55" s="48"/>
      <c r="Z55" s="48"/>
      <c r="AA55" s="31"/>
      <c r="AB55" s="32"/>
      <c r="AC55" s="1"/>
      <c r="AD55" s="1"/>
      <c r="AE55" s="1"/>
      <c r="AF55" s="1"/>
      <c r="AG55" s="1"/>
      <c r="AH55" s="1"/>
      <c r="AI55" s="1"/>
      <c r="AJ55" s="1"/>
      <c r="AK55" s="1"/>
      <c r="AL55" s="1"/>
      <c r="AM55" s="1"/>
      <c r="AN55" s="1"/>
      <c r="AO55" s="1"/>
      <c r="AP55" s="1"/>
      <c r="AQ55" s="1"/>
    </row>
    <row r="56" spans="1:43">
      <c r="A56" s="1"/>
      <c r="B56" s="1"/>
      <c r="C56" s="1"/>
      <c r="D56" s="1"/>
      <c r="E56" s="1"/>
      <c r="F56" s="1"/>
      <c r="G56" s="1"/>
      <c r="H56" s="1"/>
      <c r="I56" s="1"/>
      <c r="J56" s="1"/>
      <c r="K56" s="1"/>
      <c r="L56" s="1"/>
      <c r="M56" s="1"/>
      <c r="N56" s="1"/>
      <c r="O56" s="1"/>
      <c r="P56" s="30"/>
      <c r="Q56" s="31"/>
      <c r="R56" s="387" t="s">
        <v>354</v>
      </c>
      <c r="S56" s="387"/>
      <c r="T56" s="387"/>
      <c r="U56" s="123">
        <v>90</v>
      </c>
      <c r="V56" s="48" t="s">
        <v>28</v>
      </c>
      <c r="W56" s="60"/>
      <c r="X56" s="48"/>
      <c r="Y56" s="48"/>
      <c r="Z56" s="48"/>
      <c r="AA56" s="31"/>
      <c r="AB56" s="32"/>
      <c r="AC56" s="1"/>
      <c r="AD56" s="1"/>
      <c r="AE56" s="1"/>
      <c r="AF56" s="1"/>
      <c r="AG56" s="1"/>
      <c r="AH56" s="1"/>
      <c r="AI56" s="1"/>
      <c r="AJ56" s="1"/>
      <c r="AK56" s="1"/>
      <c r="AL56" s="1"/>
      <c r="AM56" s="1"/>
      <c r="AN56" s="1"/>
      <c r="AO56" s="1"/>
      <c r="AP56" s="1"/>
      <c r="AQ56" s="1"/>
    </row>
    <row r="57" spans="1:43">
      <c r="A57" s="1"/>
      <c r="B57" s="1"/>
      <c r="C57" s="1"/>
      <c r="D57" s="1"/>
      <c r="E57" s="1"/>
      <c r="F57" s="1"/>
      <c r="G57" s="1"/>
      <c r="H57" s="1"/>
      <c r="I57" s="1"/>
      <c r="J57" s="1"/>
      <c r="K57" s="1"/>
      <c r="L57" s="1"/>
      <c r="M57" s="1"/>
      <c r="N57" s="1"/>
      <c r="O57" s="1"/>
      <c r="P57" s="30"/>
      <c r="Q57" s="31"/>
      <c r="R57" s="387" t="s">
        <v>355</v>
      </c>
      <c r="S57" s="387"/>
      <c r="T57" s="387"/>
      <c r="U57" s="133">
        <f>-10*LOG('Backend Data'!D34)</f>
        <v>0.22825214260717014</v>
      </c>
      <c r="V57" s="61" t="s">
        <v>25</v>
      </c>
      <c r="W57" s="61"/>
      <c r="X57" s="48"/>
      <c r="Y57" s="48"/>
      <c r="Z57" s="48"/>
      <c r="AA57" s="31"/>
      <c r="AB57" s="32"/>
      <c r="AC57" s="1"/>
      <c r="AD57" s="1"/>
      <c r="AE57" s="1"/>
      <c r="AF57" s="1"/>
      <c r="AG57" s="1"/>
      <c r="AH57" s="1"/>
      <c r="AI57" s="1"/>
      <c r="AJ57" s="1"/>
      <c r="AK57" s="1"/>
      <c r="AL57" s="1"/>
      <c r="AM57" s="1"/>
      <c r="AN57" s="1"/>
      <c r="AO57" s="1"/>
      <c r="AP57" s="1"/>
      <c r="AQ57" s="1"/>
    </row>
    <row r="58" spans="1:43">
      <c r="A58" s="1"/>
      <c r="B58" s="1"/>
      <c r="C58" s="1"/>
      <c r="D58" s="1"/>
      <c r="E58" s="1"/>
      <c r="F58" s="1"/>
      <c r="G58" s="1"/>
      <c r="H58" s="1"/>
      <c r="I58" s="1"/>
      <c r="J58" s="1"/>
      <c r="K58" s="1"/>
      <c r="L58" s="1"/>
      <c r="M58" s="1"/>
      <c r="N58" s="1"/>
      <c r="O58" s="1"/>
      <c r="P58" s="30"/>
      <c r="Q58" s="31"/>
      <c r="R58" s="31"/>
      <c r="S58" s="31"/>
      <c r="T58" s="31"/>
      <c r="U58" s="31"/>
      <c r="V58" s="31"/>
      <c r="W58" s="31"/>
      <c r="X58" s="48"/>
      <c r="Y58" s="48"/>
      <c r="Z58" s="48"/>
      <c r="AA58" s="31"/>
      <c r="AB58" s="32"/>
      <c r="AC58" s="1"/>
      <c r="AD58" s="1"/>
      <c r="AE58" s="1"/>
      <c r="AF58" s="1"/>
      <c r="AG58" s="1"/>
      <c r="AH58" s="1"/>
      <c r="AI58" s="1"/>
      <c r="AJ58" s="1"/>
      <c r="AK58" s="1"/>
      <c r="AL58" s="1"/>
      <c r="AM58" s="1"/>
      <c r="AN58" s="1"/>
      <c r="AO58" s="1"/>
      <c r="AP58" s="1"/>
      <c r="AQ58" s="1"/>
    </row>
    <row r="59" spans="1:43">
      <c r="A59" s="1"/>
      <c r="B59" s="1"/>
      <c r="C59" s="1"/>
      <c r="D59" s="1"/>
      <c r="E59" s="1"/>
      <c r="F59" s="1"/>
      <c r="G59" s="1"/>
      <c r="H59" s="1"/>
      <c r="I59" s="1"/>
      <c r="J59" s="1"/>
      <c r="K59" s="1"/>
      <c r="L59" s="1"/>
      <c r="M59" s="1"/>
      <c r="N59" s="1"/>
      <c r="O59" s="1"/>
      <c r="P59" s="30"/>
      <c r="Q59" s="31"/>
      <c r="R59" s="386" t="s">
        <v>356</v>
      </c>
      <c r="S59" s="386"/>
      <c r="T59" s="386"/>
      <c r="U59" s="386"/>
      <c r="V59" s="31"/>
      <c r="W59" s="31"/>
      <c r="X59" s="48"/>
      <c r="Y59" s="48"/>
      <c r="Z59" s="48"/>
      <c r="AA59" s="31"/>
      <c r="AB59" s="32"/>
      <c r="AC59" s="1"/>
      <c r="AD59" s="1"/>
      <c r="AE59" s="1"/>
      <c r="AF59" s="1"/>
      <c r="AG59" s="1"/>
      <c r="AH59" s="1"/>
      <c r="AI59" s="1"/>
      <c r="AJ59" s="1"/>
      <c r="AK59" s="1"/>
      <c r="AL59" s="1"/>
      <c r="AM59" s="1"/>
      <c r="AN59" s="1"/>
      <c r="AO59" s="1"/>
      <c r="AP59" s="1"/>
      <c r="AQ59" s="1"/>
    </row>
    <row r="60" spans="1:43">
      <c r="A60" s="1"/>
      <c r="B60" s="1"/>
      <c r="C60" s="1"/>
      <c r="D60" s="1"/>
      <c r="E60" s="1"/>
      <c r="F60" s="1"/>
      <c r="G60" s="1"/>
      <c r="H60" s="1"/>
      <c r="I60" s="1"/>
      <c r="J60" s="1"/>
      <c r="K60" s="1"/>
      <c r="L60" s="1"/>
      <c r="M60" s="1"/>
      <c r="N60" s="1"/>
      <c r="O60" s="1"/>
      <c r="P60" s="30"/>
      <c r="Q60" s="31"/>
      <c r="R60" s="388" t="s">
        <v>357</v>
      </c>
      <c r="S60" s="388"/>
      <c r="T60" s="388"/>
      <c r="U60" s="143">
        <f>10*LOG10(1-'Backend Data'!D34)</f>
        <v>-12.907320722611759</v>
      </c>
      <c r="V60" s="31" t="s">
        <v>25</v>
      </c>
      <c r="W60" s="31"/>
      <c r="X60" s="48"/>
      <c r="Y60" s="48"/>
      <c r="Z60" s="48"/>
      <c r="AA60" s="31"/>
      <c r="AB60" s="32"/>
      <c r="AC60" s="1"/>
      <c r="AD60" s="1"/>
      <c r="AE60" s="1"/>
      <c r="AF60" s="1"/>
      <c r="AG60" s="1"/>
      <c r="AH60" s="1"/>
      <c r="AI60" s="1"/>
      <c r="AJ60" s="1"/>
      <c r="AK60" s="1"/>
      <c r="AL60" s="1"/>
      <c r="AM60" s="1"/>
      <c r="AN60" s="1"/>
      <c r="AO60" s="1"/>
      <c r="AP60" s="1"/>
      <c r="AQ60" s="1"/>
    </row>
    <row r="61" spans="1:43">
      <c r="A61" s="1"/>
      <c r="B61" s="1"/>
      <c r="C61" s="1"/>
      <c r="D61" s="1"/>
      <c r="E61" s="1"/>
      <c r="F61" s="1"/>
      <c r="G61" s="1"/>
      <c r="H61" s="1"/>
      <c r="I61" s="1"/>
      <c r="J61" s="1"/>
      <c r="K61" s="1"/>
      <c r="L61" s="1"/>
      <c r="M61" s="1"/>
      <c r="N61" s="1"/>
      <c r="O61" s="1"/>
      <c r="P61" s="30"/>
      <c r="Q61" s="31"/>
      <c r="R61" s="388" t="s">
        <v>358</v>
      </c>
      <c r="S61" s="388"/>
      <c r="T61" s="388"/>
      <c r="U61" s="133">
        <f>U57-U60</f>
        <v>13.135572865218929</v>
      </c>
      <c r="V61" s="31" t="s">
        <v>25</v>
      </c>
      <c r="W61" s="31"/>
      <c r="X61" s="48"/>
      <c r="Y61" s="48"/>
      <c r="Z61" s="48"/>
      <c r="AA61" s="31"/>
      <c r="AB61" s="32"/>
      <c r="AC61" s="1"/>
      <c r="AD61" s="1"/>
      <c r="AE61" s="1"/>
      <c r="AF61" s="1"/>
      <c r="AG61" s="1"/>
      <c r="AH61" s="1"/>
      <c r="AI61" s="1"/>
      <c r="AJ61" s="1"/>
      <c r="AK61" s="1"/>
      <c r="AL61" s="1"/>
      <c r="AM61" s="1"/>
      <c r="AN61" s="1"/>
      <c r="AO61" s="1"/>
      <c r="AP61" s="1"/>
      <c r="AQ61" s="1"/>
    </row>
    <row r="62" spans="1:43">
      <c r="A62" s="1"/>
      <c r="B62" s="1"/>
      <c r="C62" s="1"/>
      <c r="D62" s="1"/>
      <c r="E62" s="1"/>
      <c r="F62" s="1"/>
      <c r="G62" s="1"/>
      <c r="H62" s="1"/>
      <c r="I62" s="1"/>
      <c r="J62" s="1"/>
      <c r="K62" s="1"/>
      <c r="L62" s="1"/>
      <c r="M62" s="1"/>
      <c r="N62" s="1"/>
      <c r="O62" s="1"/>
      <c r="P62" s="30"/>
      <c r="Q62" s="31"/>
      <c r="R62" s="31"/>
      <c r="S62" s="31"/>
      <c r="T62" s="31"/>
      <c r="U62" s="31"/>
      <c r="V62" s="31"/>
      <c r="W62" s="31"/>
      <c r="X62" s="31"/>
      <c r="Y62" s="31"/>
      <c r="Z62" s="31"/>
      <c r="AA62" s="31"/>
      <c r="AB62" s="32"/>
      <c r="AC62" s="1"/>
      <c r="AD62" s="1"/>
      <c r="AE62" s="1"/>
      <c r="AF62" s="1"/>
      <c r="AG62" s="1"/>
      <c r="AH62" s="1"/>
      <c r="AI62" s="1"/>
      <c r="AJ62" s="1"/>
      <c r="AK62" s="1"/>
      <c r="AL62" s="1"/>
      <c r="AM62" s="1"/>
      <c r="AN62" s="1"/>
      <c r="AO62" s="1"/>
      <c r="AP62" s="1"/>
      <c r="AQ62" s="1"/>
    </row>
    <row r="63" spans="1:43" ht="15" thickBot="1">
      <c r="A63" s="1"/>
      <c r="B63" s="1"/>
      <c r="C63" s="1"/>
      <c r="D63" s="1"/>
      <c r="E63" s="1"/>
      <c r="F63" s="1"/>
      <c r="G63" s="1"/>
      <c r="H63" s="1"/>
      <c r="I63" s="1"/>
      <c r="J63" s="1"/>
      <c r="K63" s="1"/>
      <c r="L63" s="1"/>
      <c r="M63" s="1"/>
      <c r="N63" s="1"/>
      <c r="O63" s="1"/>
      <c r="P63" s="33"/>
      <c r="Q63" s="34"/>
      <c r="R63" s="62"/>
      <c r="S63" s="62"/>
      <c r="T63" s="62"/>
      <c r="U63" s="62"/>
      <c r="V63" s="34"/>
      <c r="W63" s="34"/>
      <c r="X63" s="34"/>
      <c r="Y63" s="34"/>
      <c r="Z63" s="34"/>
      <c r="AA63" s="34"/>
      <c r="AB63" s="35"/>
      <c r="AC63" s="29"/>
      <c r="AD63" s="1"/>
      <c r="AE63" s="1"/>
      <c r="AF63" s="1"/>
      <c r="AG63" s="1"/>
      <c r="AH63" s="1"/>
      <c r="AI63" s="1"/>
      <c r="AJ63" s="1"/>
      <c r="AK63" s="1"/>
      <c r="AL63" s="1"/>
      <c r="AM63" s="1"/>
      <c r="AN63" s="1"/>
      <c r="AO63" s="1"/>
      <c r="AP63" s="1"/>
      <c r="AQ63" s="1"/>
    </row>
    <row r="64" spans="1:43" ht="30.6" thickBot="1">
      <c r="A64" s="1"/>
      <c r="B64" s="1"/>
      <c r="C64" s="1"/>
      <c r="D64" s="1"/>
      <c r="E64" s="1"/>
      <c r="F64" s="1"/>
      <c r="G64" s="1"/>
      <c r="H64" s="1"/>
      <c r="I64" s="1"/>
      <c r="J64" s="1"/>
      <c r="K64" s="1"/>
      <c r="L64" s="1"/>
      <c r="M64" s="1"/>
      <c r="N64" s="1"/>
      <c r="O64" s="1"/>
      <c r="P64" s="63"/>
      <c r="Q64" s="63"/>
      <c r="R64" s="63"/>
      <c r="S64" s="63"/>
      <c r="T64" s="63"/>
      <c r="U64" s="63"/>
      <c r="V64" s="63"/>
      <c r="W64" s="63"/>
      <c r="X64" s="63"/>
      <c r="Y64" s="63"/>
      <c r="Z64" s="63"/>
      <c r="AA64" s="63"/>
      <c r="AB64" s="63"/>
      <c r="AC64" s="1"/>
      <c r="AD64" s="1"/>
      <c r="AE64" s="1"/>
      <c r="AF64" s="1"/>
      <c r="AG64" s="1"/>
      <c r="AH64" s="1"/>
      <c r="AI64" s="1"/>
      <c r="AJ64" s="1"/>
      <c r="AK64" s="1"/>
      <c r="AL64" s="1"/>
      <c r="AM64" s="1"/>
      <c r="AN64" s="1"/>
      <c r="AO64" s="1"/>
      <c r="AP64" s="1"/>
      <c r="AQ64" s="1"/>
    </row>
    <row r="65" spans="1:43">
      <c r="A65" s="1"/>
      <c r="B65" s="1"/>
      <c r="C65" s="1"/>
      <c r="D65" s="1"/>
      <c r="E65" s="1"/>
      <c r="F65" s="1"/>
      <c r="G65" s="1"/>
      <c r="H65" s="1"/>
      <c r="I65" s="1"/>
      <c r="J65" s="1"/>
      <c r="K65" s="1"/>
      <c r="L65" s="1"/>
      <c r="M65" s="1"/>
      <c r="N65" s="1"/>
      <c r="O65" s="1"/>
      <c r="P65" s="36"/>
      <c r="Q65" s="37"/>
      <c r="R65" s="37"/>
      <c r="S65" s="37"/>
      <c r="T65" s="37"/>
      <c r="U65" s="37"/>
      <c r="V65" s="37"/>
      <c r="W65" s="37"/>
      <c r="X65" s="37"/>
      <c r="Y65" s="37"/>
      <c r="Z65" s="37"/>
      <c r="AA65" s="37"/>
      <c r="AB65" s="38"/>
      <c r="AC65" s="1"/>
      <c r="AD65" s="1"/>
      <c r="AE65" s="1"/>
      <c r="AF65" s="1"/>
      <c r="AG65" s="1"/>
      <c r="AH65" s="1"/>
      <c r="AI65" s="1"/>
      <c r="AJ65" s="1"/>
      <c r="AK65" s="1"/>
      <c r="AL65" s="1"/>
      <c r="AM65" s="1"/>
      <c r="AN65" s="1"/>
      <c r="AO65" s="1"/>
      <c r="AP65" s="1"/>
      <c r="AQ65" s="1"/>
    </row>
    <row r="66" spans="1:43" ht="15" thickBot="1">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1"/>
      <c r="AD66" s="1"/>
      <c r="AE66" s="1"/>
      <c r="AF66" s="1"/>
      <c r="AG66" s="1"/>
      <c r="AH66" s="1"/>
      <c r="AI66" s="1"/>
      <c r="AJ66" s="1"/>
      <c r="AK66" s="1"/>
      <c r="AL66" s="1"/>
      <c r="AM66" s="1"/>
      <c r="AN66" s="1"/>
      <c r="AO66" s="1"/>
      <c r="AP66" s="1"/>
      <c r="AQ66" s="1"/>
    </row>
    <row r="67" spans="1:43" ht="30.6" thickBot="1">
      <c r="A67" s="1"/>
      <c r="B67" s="1"/>
      <c r="C67" s="1"/>
      <c r="D67" s="1"/>
      <c r="E67" s="1"/>
      <c r="F67" s="1"/>
      <c r="G67" s="1"/>
      <c r="H67" s="1"/>
      <c r="I67" s="1"/>
      <c r="J67" s="1"/>
      <c r="K67" s="1"/>
      <c r="L67" s="1"/>
      <c r="M67" s="1"/>
      <c r="N67" s="1"/>
      <c r="O67" s="1"/>
      <c r="P67" s="39"/>
      <c r="Q67" s="40"/>
      <c r="R67" s="328" t="s">
        <v>359</v>
      </c>
      <c r="S67" s="329"/>
      <c r="T67" s="329"/>
      <c r="U67" s="329"/>
      <c r="V67" s="329"/>
      <c r="W67" s="329"/>
      <c r="X67" s="329"/>
      <c r="Y67" s="329"/>
      <c r="Z67" s="330"/>
      <c r="AA67" s="40"/>
      <c r="AB67" s="41"/>
      <c r="AC67" s="1"/>
      <c r="AD67" s="1"/>
      <c r="AE67" s="1"/>
      <c r="AF67" s="1"/>
      <c r="AG67" s="1"/>
      <c r="AH67" s="1"/>
      <c r="AI67" s="1"/>
      <c r="AJ67" s="1"/>
      <c r="AK67" s="1"/>
      <c r="AL67" s="1"/>
      <c r="AM67" s="1"/>
      <c r="AN67" s="1"/>
      <c r="AO67" s="1"/>
      <c r="AP67" s="1"/>
      <c r="AQ67" s="1"/>
    </row>
    <row r="68" spans="1:43" ht="15.4" customHeight="1">
      <c r="A68" s="1"/>
      <c r="B68" s="1"/>
      <c r="C68" s="1"/>
      <c r="D68" s="1"/>
      <c r="E68" s="1"/>
      <c r="F68" s="1"/>
      <c r="G68" s="1"/>
      <c r="H68" s="1"/>
      <c r="I68" s="1"/>
      <c r="J68" s="1"/>
      <c r="K68" s="1"/>
      <c r="L68" s="1"/>
      <c r="M68" s="1"/>
      <c r="N68" s="1"/>
      <c r="O68" s="1"/>
      <c r="P68" s="39"/>
      <c r="Q68" s="40"/>
      <c r="R68" s="64"/>
      <c r="S68" s="64"/>
      <c r="T68" s="64"/>
      <c r="U68" s="64"/>
      <c r="V68" s="64"/>
      <c r="W68" s="64"/>
      <c r="X68" s="64"/>
      <c r="Y68" s="64"/>
      <c r="Z68" s="64"/>
      <c r="AA68" s="40"/>
      <c r="AB68" s="41"/>
      <c r="AC68" s="1"/>
      <c r="AD68" s="1"/>
      <c r="AE68" s="1"/>
      <c r="AF68" s="1"/>
      <c r="AG68" s="1"/>
      <c r="AH68" s="1"/>
      <c r="AI68" s="1"/>
      <c r="AJ68" s="1"/>
      <c r="AK68" s="1"/>
      <c r="AL68" s="1"/>
      <c r="AM68" s="1"/>
      <c r="AN68" s="1"/>
      <c r="AO68" s="1"/>
      <c r="AP68" s="1"/>
      <c r="AQ68" s="1"/>
    </row>
    <row r="69" spans="1:43" ht="15.4" customHeight="1">
      <c r="A69" s="1"/>
      <c r="B69" s="1"/>
      <c r="C69" s="1"/>
      <c r="D69" s="1"/>
      <c r="E69" s="1"/>
      <c r="F69" s="1"/>
      <c r="G69" s="1"/>
      <c r="H69" s="1"/>
      <c r="I69" s="1"/>
      <c r="J69" s="1"/>
      <c r="K69" s="1"/>
      <c r="L69" s="1"/>
      <c r="M69" s="1"/>
      <c r="N69" s="1"/>
      <c r="O69" s="1"/>
      <c r="P69" s="39"/>
      <c r="Q69" s="40"/>
      <c r="R69" s="40"/>
      <c r="S69" s="40"/>
      <c r="T69" s="40"/>
      <c r="U69" s="40"/>
      <c r="V69" s="64"/>
      <c r="W69" s="64"/>
      <c r="X69" s="64"/>
      <c r="Y69" s="64"/>
      <c r="Z69" s="64"/>
      <c r="AA69" s="40"/>
      <c r="AB69" s="41"/>
      <c r="AC69" s="1"/>
      <c r="AD69" s="1"/>
      <c r="AE69" s="1"/>
      <c r="AF69" s="1"/>
      <c r="AG69" s="1"/>
      <c r="AH69" s="1"/>
      <c r="AI69" s="1"/>
      <c r="AJ69" s="1"/>
      <c r="AK69" s="1"/>
      <c r="AL69" s="1"/>
      <c r="AM69" s="1"/>
      <c r="AN69" s="1"/>
      <c r="AO69" s="1"/>
      <c r="AP69" s="1"/>
      <c r="AQ69" s="1"/>
    </row>
    <row r="70" spans="1:43" ht="15.4" customHeight="1">
      <c r="A70" s="1"/>
      <c r="B70" s="1"/>
      <c r="C70" s="1"/>
      <c r="D70" s="1"/>
      <c r="E70" s="1"/>
      <c r="F70" s="1"/>
      <c r="G70" s="1"/>
      <c r="H70" s="1"/>
      <c r="I70" s="1"/>
      <c r="J70" s="1"/>
      <c r="K70" s="1"/>
      <c r="L70" s="1"/>
      <c r="M70" s="1"/>
      <c r="N70" s="1"/>
      <c r="O70" s="1"/>
      <c r="P70" s="39"/>
      <c r="Q70" s="40"/>
      <c r="R70" s="40"/>
      <c r="S70" s="40"/>
      <c r="T70" s="198"/>
      <c r="U70" s="40"/>
      <c r="V70" s="64"/>
      <c r="W70" s="64"/>
      <c r="X70" s="64"/>
      <c r="Y70" s="64"/>
      <c r="Z70" s="64"/>
      <c r="AA70" s="40"/>
      <c r="AB70" s="41"/>
      <c r="AC70" s="1"/>
      <c r="AD70" s="1"/>
      <c r="AE70" s="1"/>
      <c r="AF70" s="1"/>
      <c r="AG70" s="1"/>
      <c r="AH70" s="1"/>
      <c r="AI70" s="1"/>
      <c r="AJ70" s="1"/>
      <c r="AK70" s="1"/>
      <c r="AL70" s="1"/>
      <c r="AM70" s="1"/>
      <c r="AN70" s="1"/>
      <c r="AO70" s="1"/>
      <c r="AP70" s="1"/>
      <c r="AQ70" s="1"/>
    </row>
    <row r="71" spans="1:43">
      <c r="A71" s="1"/>
      <c r="B71" s="1"/>
      <c r="C71" s="1"/>
      <c r="D71" s="1"/>
      <c r="E71" s="1"/>
      <c r="F71" s="1"/>
      <c r="G71" s="1"/>
      <c r="H71" s="1"/>
      <c r="I71" s="1"/>
      <c r="J71" s="1"/>
      <c r="K71" s="1"/>
      <c r="L71" s="1"/>
      <c r="M71" s="1"/>
      <c r="N71" s="1"/>
      <c r="O71" s="1"/>
      <c r="P71" s="39"/>
      <c r="Q71" s="40"/>
      <c r="R71" s="40"/>
      <c r="S71" s="40"/>
      <c r="T71" s="40"/>
      <c r="U71" s="40"/>
      <c r="V71" s="40"/>
      <c r="W71" s="40"/>
      <c r="X71" s="40"/>
      <c r="Y71" s="40"/>
      <c r="Z71" s="40"/>
      <c r="AA71" s="40"/>
      <c r="AB71" s="41"/>
      <c r="AC71" s="1"/>
      <c r="AD71" s="1"/>
      <c r="AE71" s="1"/>
      <c r="AF71" s="1"/>
      <c r="AG71" s="1"/>
      <c r="AH71" s="1"/>
      <c r="AI71" s="1"/>
      <c r="AJ71" s="1"/>
      <c r="AK71" s="1"/>
      <c r="AL71" s="1"/>
      <c r="AM71" s="1"/>
      <c r="AN71" s="1"/>
      <c r="AO71" s="1"/>
      <c r="AP71" s="1"/>
      <c r="AQ71" s="1"/>
    </row>
    <row r="72" spans="1:43">
      <c r="A72" s="1"/>
      <c r="B72" s="1"/>
      <c r="C72" s="1"/>
      <c r="D72" s="1"/>
      <c r="E72" s="1"/>
      <c r="F72" s="1"/>
      <c r="G72" s="1"/>
      <c r="H72" s="1"/>
      <c r="I72" s="1"/>
      <c r="J72" s="1"/>
      <c r="K72" s="1"/>
      <c r="L72" s="1"/>
      <c r="M72" s="1"/>
      <c r="N72" s="1"/>
      <c r="O72" s="1"/>
      <c r="P72" s="39"/>
      <c r="Q72" s="40"/>
      <c r="R72" s="40"/>
      <c r="S72" s="40"/>
      <c r="T72" s="40"/>
      <c r="U72" s="40"/>
      <c r="V72" s="40"/>
      <c r="W72" s="40"/>
      <c r="X72" s="40"/>
      <c r="Y72" s="40"/>
      <c r="Z72" s="40"/>
      <c r="AA72" s="40"/>
      <c r="AB72" s="41"/>
      <c r="AC72" s="1"/>
      <c r="AD72" s="1"/>
      <c r="AE72" s="1"/>
      <c r="AF72" s="1"/>
      <c r="AG72" s="1"/>
      <c r="AH72" s="1"/>
      <c r="AI72" s="1"/>
      <c r="AJ72" s="1"/>
      <c r="AK72" s="1"/>
      <c r="AL72" s="1"/>
      <c r="AM72" s="1"/>
      <c r="AN72" s="1"/>
      <c r="AO72" s="1"/>
      <c r="AP72" s="1"/>
      <c r="AQ72" s="1"/>
    </row>
    <row r="73" spans="1:43">
      <c r="A73" s="1"/>
      <c r="B73" s="1"/>
      <c r="C73" s="1"/>
      <c r="D73" s="1"/>
      <c r="E73" s="1"/>
      <c r="F73" s="1"/>
      <c r="G73" s="1"/>
      <c r="H73" s="1"/>
      <c r="I73" s="1"/>
      <c r="J73" s="1"/>
      <c r="K73" s="1"/>
      <c r="L73" s="1"/>
      <c r="M73" s="1"/>
      <c r="N73" s="1"/>
      <c r="O73" s="1"/>
      <c r="P73" s="39"/>
      <c r="Q73" s="40"/>
      <c r="R73" s="40" t="s">
        <v>344</v>
      </c>
      <c r="S73" s="40"/>
      <c r="T73" s="40"/>
      <c r="U73" s="40"/>
      <c r="V73" s="40"/>
      <c r="W73" s="40"/>
      <c r="X73" s="40"/>
      <c r="Y73" s="40"/>
      <c r="Z73" s="40"/>
      <c r="AA73" s="40"/>
      <c r="AB73" s="41"/>
      <c r="AC73" s="1"/>
      <c r="AD73" s="1"/>
      <c r="AE73" s="1"/>
      <c r="AF73" s="1"/>
      <c r="AG73" s="1"/>
      <c r="AH73" s="1"/>
      <c r="AI73" s="1"/>
      <c r="AJ73" s="1"/>
      <c r="AK73" s="1"/>
      <c r="AL73" s="1"/>
      <c r="AM73" s="1"/>
      <c r="AN73" s="1"/>
      <c r="AO73" s="1"/>
      <c r="AP73" s="1"/>
      <c r="AQ73" s="1"/>
    </row>
    <row r="74" spans="1:43">
      <c r="A74" s="1"/>
      <c r="B74" s="1"/>
      <c r="C74" s="1"/>
      <c r="D74" s="1"/>
      <c r="E74" s="1"/>
      <c r="F74" s="1"/>
      <c r="G74" s="1"/>
      <c r="H74" s="1"/>
      <c r="I74" s="1"/>
      <c r="J74" s="1"/>
      <c r="K74" s="1"/>
      <c r="L74" s="1"/>
      <c r="M74" s="1"/>
      <c r="N74" s="1"/>
      <c r="O74" s="1"/>
      <c r="P74" s="39"/>
      <c r="Q74" s="40"/>
      <c r="R74" s="198" t="s">
        <v>228</v>
      </c>
      <c r="S74" s="40"/>
      <c r="T74" s="40"/>
      <c r="U74" s="40"/>
      <c r="V74" s="40"/>
      <c r="W74" s="40"/>
      <c r="X74" s="40"/>
      <c r="Y74" s="40"/>
      <c r="Z74" s="40"/>
      <c r="AA74" s="40"/>
      <c r="AB74" s="41"/>
      <c r="AC74" s="1"/>
      <c r="AD74" s="1"/>
      <c r="AE74" s="1"/>
      <c r="AF74" s="1"/>
      <c r="AG74" s="1"/>
      <c r="AH74" s="1"/>
      <c r="AI74" s="1"/>
      <c r="AJ74" s="1"/>
      <c r="AK74" s="1"/>
      <c r="AL74" s="1"/>
      <c r="AM74" s="1"/>
      <c r="AN74" s="1"/>
      <c r="AO74" s="1"/>
      <c r="AP74" s="1"/>
      <c r="AQ74" s="1"/>
    </row>
    <row r="75" spans="1:43">
      <c r="A75" s="1"/>
      <c r="B75" s="1"/>
      <c r="C75" s="1"/>
      <c r="D75" s="1"/>
      <c r="E75" s="1"/>
      <c r="F75" s="1"/>
      <c r="G75" s="1"/>
      <c r="H75" s="1"/>
      <c r="I75" s="1"/>
      <c r="J75" s="1"/>
      <c r="K75" s="1"/>
      <c r="L75" s="1"/>
      <c r="M75" s="1"/>
      <c r="N75" s="1"/>
      <c r="O75" s="1"/>
      <c r="P75" s="39"/>
      <c r="Q75" s="40"/>
      <c r="R75" s="198"/>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c r="A76" s="1"/>
      <c r="B76" s="1"/>
      <c r="C76" s="1"/>
      <c r="D76" s="1"/>
      <c r="E76" s="1"/>
      <c r="F76" s="1"/>
      <c r="G76" s="1"/>
      <c r="H76" s="1"/>
      <c r="I76" s="1"/>
      <c r="J76" s="1"/>
      <c r="K76" s="1"/>
      <c r="L76" s="1"/>
      <c r="M76" s="1"/>
      <c r="N76" s="1"/>
      <c r="O76" s="1"/>
      <c r="P76" s="39"/>
      <c r="Q76" s="40"/>
      <c r="R76" s="40"/>
      <c r="S76" s="40"/>
      <c r="T76" s="40"/>
      <c r="U76" s="40"/>
      <c r="V76" s="65"/>
      <c r="W76" s="65"/>
      <c r="X76" s="65"/>
      <c r="Y76" s="65"/>
      <c r="Z76" s="65"/>
      <c r="AA76" s="40"/>
      <c r="AB76" s="41"/>
      <c r="AC76" s="1"/>
      <c r="AD76" s="1"/>
      <c r="AE76" s="1"/>
      <c r="AF76" s="1"/>
      <c r="AG76" s="1"/>
      <c r="AH76" s="1"/>
      <c r="AI76" s="1"/>
      <c r="AJ76" s="1"/>
      <c r="AK76" s="1"/>
      <c r="AL76" s="1"/>
      <c r="AM76" s="1"/>
      <c r="AN76" s="1"/>
      <c r="AO76" s="1"/>
      <c r="AP76" s="1"/>
      <c r="AQ76" s="1"/>
    </row>
    <row r="77" spans="1:43">
      <c r="A77" s="1" t="s">
        <v>274</v>
      </c>
      <c r="B77" s="1"/>
      <c r="C77" s="1"/>
      <c r="D77" s="1"/>
      <c r="E77" s="1"/>
      <c r="F77" s="1"/>
      <c r="G77" s="1"/>
      <c r="H77" s="1"/>
      <c r="I77" s="1"/>
      <c r="J77" s="1"/>
      <c r="K77" s="1"/>
      <c r="L77" s="1"/>
      <c r="M77" s="1"/>
      <c r="N77" s="1"/>
      <c r="O77" s="1"/>
      <c r="P77" s="39"/>
      <c r="Q77" s="40"/>
      <c r="R77" s="40"/>
      <c r="S77" s="40"/>
      <c r="T77" s="40"/>
      <c r="U77" s="40"/>
      <c r="V77" s="40"/>
      <c r="W77" s="40"/>
      <c r="X77" s="40"/>
      <c r="Y77" s="40"/>
      <c r="Z77" s="40"/>
      <c r="AA77" s="40"/>
      <c r="AB77" s="41"/>
      <c r="AC77" s="1"/>
      <c r="AD77" s="1"/>
      <c r="AE77" s="1"/>
      <c r="AF77" s="1"/>
      <c r="AG77" s="1"/>
      <c r="AH77" s="1"/>
      <c r="AI77" s="1"/>
      <c r="AJ77" s="1"/>
      <c r="AK77" s="1"/>
      <c r="AL77" s="1"/>
      <c r="AM77" s="1"/>
      <c r="AN77" s="1"/>
      <c r="AO77" s="1"/>
      <c r="AP77" s="1"/>
      <c r="AQ77" s="1"/>
    </row>
    <row r="78" spans="1:43">
      <c r="A78" s="1"/>
      <c r="B78" s="1"/>
      <c r="C78" s="1"/>
      <c r="D78" s="1"/>
      <c r="E78" s="1"/>
      <c r="F78" s="1"/>
      <c r="G78" s="1"/>
      <c r="H78" s="1"/>
      <c r="I78" s="1"/>
      <c r="J78" s="1"/>
      <c r="K78" s="1"/>
      <c r="L78" s="1"/>
      <c r="M78" s="1"/>
      <c r="N78" s="1"/>
      <c r="O78" s="1"/>
      <c r="P78" s="39"/>
      <c r="Q78" s="40"/>
      <c r="R78" s="40"/>
      <c r="S78" s="40"/>
      <c r="T78" s="40"/>
      <c r="U78" s="40"/>
      <c r="V78" s="395" t="s">
        <v>360</v>
      </c>
      <c r="W78" s="395"/>
      <c r="X78" s="395"/>
      <c r="Y78" s="221">
        <f>Inputs!$V$37</f>
        <v>15</v>
      </c>
      <c r="Z78" s="40" t="s">
        <v>28</v>
      </c>
      <c r="AA78" s="40"/>
      <c r="AB78" s="41"/>
      <c r="AC78" s="1"/>
      <c r="AD78" s="1"/>
      <c r="AE78" s="1"/>
      <c r="AF78" s="1"/>
      <c r="AG78" s="1"/>
      <c r="AH78" s="1"/>
      <c r="AI78" s="1"/>
      <c r="AJ78" s="1"/>
      <c r="AK78" s="1"/>
      <c r="AL78" s="1"/>
      <c r="AM78" s="1"/>
      <c r="AN78" s="1"/>
      <c r="AO78" s="1"/>
      <c r="AP78" s="1"/>
      <c r="AQ78" s="1"/>
    </row>
    <row r="79" spans="1:43">
      <c r="A79" s="1"/>
      <c r="B79" s="1"/>
      <c r="C79" s="1"/>
      <c r="D79" s="1"/>
      <c r="E79" s="1"/>
      <c r="F79" s="1"/>
      <c r="G79" s="1"/>
      <c r="H79" s="1"/>
      <c r="I79" s="1"/>
      <c r="J79" s="1"/>
      <c r="K79" s="1"/>
      <c r="L79" s="1"/>
      <c r="M79" s="1"/>
      <c r="N79" s="1"/>
      <c r="O79" s="1"/>
      <c r="P79" s="39"/>
      <c r="Q79" s="40"/>
      <c r="R79" s="40"/>
      <c r="S79" s="40"/>
      <c r="T79" s="40"/>
      <c r="U79" s="40"/>
      <c r="V79" s="395" t="s">
        <v>348</v>
      </c>
      <c r="W79" s="395"/>
      <c r="X79" s="395"/>
      <c r="Y79" s="222">
        <f>(Y78/('CubeSat hardware'!$B$5/2))*3</f>
        <v>1</v>
      </c>
      <c r="Z79" s="66" t="s">
        <v>25</v>
      </c>
      <c r="AA79" s="40"/>
      <c r="AB79" s="41"/>
      <c r="AC79" s="1"/>
      <c r="AD79" s="1"/>
      <c r="AE79" s="1"/>
      <c r="AF79" s="1"/>
      <c r="AG79" s="1"/>
      <c r="AH79" s="1"/>
      <c r="AI79" s="1"/>
      <c r="AJ79" s="1"/>
      <c r="AK79" s="1"/>
      <c r="AL79" s="1"/>
      <c r="AM79" s="1"/>
      <c r="AN79" s="1"/>
      <c r="AO79" s="1"/>
      <c r="AP79" s="1"/>
      <c r="AQ79" s="1"/>
    </row>
    <row r="80" spans="1:43">
      <c r="A80" s="1"/>
      <c r="B80" s="1"/>
      <c r="C80" s="1"/>
      <c r="D80" s="1"/>
      <c r="E80" s="1"/>
      <c r="F80" s="1"/>
      <c r="G80" s="1"/>
      <c r="H80" s="1"/>
      <c r="I80" s="1"/>
      <c r="J80" s="1"/>
      <c r="K80" s="1"/>
      <c r="L80" s="1"/>
      <c r="M80" s="1"/>
      <c r="N80" s="1"/>
      <c r="O80" s="1"/>
      <c r="P80" s="39"/>
      <c r="Q80" s="40"/>
      <c r="R80" s="40"/>
      <c r="S80" s="40"/>
      <c r="T80" s="40"/>
      <c r="U80" s="40"/>
      <c r="V80" s="395" t="s">
        <v>361</v>
      </c>
      <c r="W80" s="395"/>
      <c r="X80" s="395"/>
      <c r="Y80" s="221">
        <f>Inputs!$V$38</f>
        <v>5</v>
      </c>
      <c r="Z80" s="40" t="s">
        <v>28</v>
      </c>
      <c r="AA80" s="40"/>
      <c r="AB80" s="41"/>
      <c r="AC80" s="1"/>
      <c r="AD80" s="1"/>
      <c r="AE80" s="1"/>
      <c r="AF80" s="1"/>
      <c r="AG80" s="1"/>
      <c r="AH80" s="1"/>
      <c r="AI80" s="1"/>
      <c r="AJ80" s="1"/>
      <c r="AK80" s="1"/>
      <c r="AL80" s="1"/>
      <c r="AM80" s="1"/>
      <c r="AN80" s="1"/>
      <c r="AO80" s="1"/>
      <c r="AP80" s="1"/>
      <c r="AQ80" s="1"/>
    </row>
    <row r="81" spans="1:43">
      <c r="A81" s="1"/>
      <c r="B81" s="1"/>
      <c r="C81" s="1"/>
      <c r="D81" s="1"/>
      <c r="E81" s="1"/>
      <c r="F81" s="1"/>
      <c r="G81" s="1"/>
      <c r="H81" s="1"/>
      <c r="I81" s="1"/>
      <c r="J81" s="1"/>
      <c r="K81" s="1"/>
      <c r="L81" s="1"/>
      <c r="M81" s="1"/>
      <c r="N81" s="1"/>
      <c r="O81" s="1"/>
      <c r="P81" s="39"/>
      <c r="Q81" s="40"/>
      <c r="R81" s="40"/>
      <c r="S81" s="40"/>
      <c r="T81" s="40"/>
      <c r="U81" s="40"/>
      <c r="V81" s="395" t="s">
        <v>346</v>
      </c>
      <c r="W81" s="395"/>
      <c r="X81" s="395"/>
      <c r="Y81" s="224">
        <f>12*((Y80/42)^2)</f>
        <v>0.17006802721088435</v>
      </c>
      <c r="Z81" s="66" t="s">
        <v>25</v>
      </c>
      <c r="AA81" s="40"/>
      <c r="AB81" s="41"/>
      <c r="AC81" s="1"/>
      <c r="AD81" s="1"/>
      <c r="AE81" s="1"/>
      <c r="AF81" s="1"/>
      <c r="AG81" s="1"/>
      <c r="AH81" s="1"/>
      <c r="AI81" s="1"/>
      <c r="AJ81" s="1"/>
      <c r="AK81" s="1"/>
      <c r="AL81" s="1"/>
      <c r="AM81" s="1"/>
      <c r="AN81" s="1"/>
      <c r="AO81" s="1"/>
      <c r="AP81" s="1"/>
      <c r="AQ81" s="1"/>
    </row>
    <row r="82" spans="1:43">
      <c r="A82" s="1"/>
      <c r="B82" s="1"/>
      <c r="C82" s="1"/>
      <c r="D82" s="1"/>
      <c r="E82" s="1"/>
      <c r="F82" s="1"/>
      <c r="G82" s="1"/>
      <c r="H82" s="1"/>
      <c r="I82" s="1"/>
      <c r="J82" s="1"/>
      <c r="K82" s="1"/>
      <c r="L82" s="1"/>
      <c r="M82" s="1"/>
      <c r="N82" s="1"/>
      <c r="O82" s="1"/>
      <c r="P82" s="39"/>
      <c r="Q82" s="40"/>
      <c r="R82" s="40"/>
      <c r="S82" s="40"/>
      <c r="T82" s="40"/>
      <c r="U82" s="40"/>
      <c r="V82" s="395"/>
      <c r="W82" s="395"/>
      <c r="X82" s="395"/>
      <c r="Y82" s="40"/>
      <c r="Z82" s="66"/>
      <c r="AA82" s="40"/>
      <c r="AB82" s="41"/>
      <c r="AC82" s="1"/>
      <c r="AD82" s="1"/>
      <c r="AE82" s="1"/>
      <c r="AF82" s="1"/>
      <c r="AG82" s="1"/>
      <c r="AH82" s="1"/>
      <c r="AI82" s="1"/>
      <c r="AJ82" s="1"/>
      <c r="AK82" s="1"/>
      <c r="AL82" s="1"/>
      <c r="AM82" s="1"/>
      <c r="AN82" s="1"/>
      <c r="AO82" s="1"/>
      <c r="AP82" s="1"/>
      <c r="AQ82" s="1"/>
    </row>
    <row r="83" spans="1:43">
      <c r="A83" s="1"/>
      <c r="B83" s="1"/>
      <c r="C83" s="1"/>
      <c r="D83" s="1"/>
      <c r="E83" s="1"/>
      <c r="F83" s="1"/>
      <c r="G83" s="1"/>
      <c r="H83" s="1"/>
      <c r="I83" s="1"/>
      <c r="J83" s="1"/>
      <c r="K83" s="1"/>
      <c r="L83" s="1"/>
      <c r="M83" s="1"/>
      <c r="N83" s="1"/>
      <c r="O83" s="1"/>
      <c r="P83" s="39"/>
      <c r="Q83" s="40"/>
      <c r="R83" s="40"/>
      <c r="S83" s="40"/>
      <c r="T83" s="40"/>
      <c r="U83" s="40"/>
      <c r="V83" s="40"/>
      <c r="W83" s="40"/>
      <c r="X83" s="40"/>
      <c r="Y83" s="40"/>
      <c r="Z83" s="40"/>
      <c r="AA83" s="40"/>
      <c r="AB83" s="41"/>
      <c r="AC83" s="1"/>
      <c r="AD83" s="1"/>
      <c r="AE83" s="1"/>
      <c r="AF83" s="1"/>
      <c r="AG83" s="1"/>
      <c r="AH83" s="1"/>
      <c r="AI83" s="1"/>
      <c r="AJ83" s="1"/>
      <c r="AK83" s="1"/>
      <c r="AL83" s="1"/>
      <c r="AM83" s="1"/>
      <c r="AN83" s="1"/>
      <c r="AO83" s="1"/>
      <c r="AP83" s="1"/>
      <c r="AQ83" s="1"/>
    </row>
    <row r="84" spans="1:43">
      <c r="A84" s="1"/>
      <c r="B84" s="1"/>
      <c r="C84" s="1"/>
      <c r="D84" s="1"/>
      <c r="E84" s="1"/>
      <c r="F84" s="1"/>
      <c r="G84" s="1"/>
      <c r="H84" s="1"/>
      <c r="I84" s="1"/>
      <c r="J84" s="1"/>
      <c r="K84" s="1"/>
      <c r="L84" s="1"/>
      <c r="M84" s="1"/>
      <c r="N84" s="1"/>
      <c r="O84" s="1"/>
      <c r="P84" s="39"/>
      <c r="Q84" s="40"/>
      <c r="R84" s="40"/>
      <c r="S84" s="40"/>
      <c r="T84" s="40"/>
      <c r="U84" s="40"/>
      <c r="V84" s="40"/>
      <c r="W84" s="40"/>
      <c r="X84" s="40"/>
      <c r="Y84" s="40"/>
      <c r="Z84" s="40"/>
      <c r="AA84" s="40"/>
      <c r="AB84" s="41"/>
      <c r="AC84" s="1"/>
      <c r="AD84" s="1"/>
      <c r="AE84" s="1"/>
      <c r="AF84" s="1"/>
      <c r="AG84" s="1"/>
      <c r="AH84" s="1"/>
      <c r="AI84" s="1"/>
      <c r="AJ84" s="1"/>
      <c r="AK84" s="1"/>
      <c r="AL84" s="1"/>
      <c r="AM84" s="1"/>
      <c r="AN84" s="1"/>
      <c r="AO84" s="1"/>
      <c r="AP84" s="1"/>
      <c r="AQ84" s="1"/>
    </row>
    <row r="85" spans="1:43">
      <c r="A85" s="1"/>
      <c r="B85" s="1"/>
      <c r="C85" s="1"/>
      <c r="D85" s="1"/>
      <c r="E85" s="1"/>
      <c r="F85" s="1"/>
      <c r="G85" s="1"/>
      <c r="H85" s="1"/>
      <c r="I85" s="1"/>
      <c r="J85" s="1"/>
      <c r="K85" s="1"/>
      <c r="L85" s="1"/>
      <c r="M85" s="1"/>
      <c r="N85" s="1"/>
      <c r="O85" s="1"/>
      <c r="P85" s="39"/>
      <c r="Q85" s="40"/>
      <c r="R85" s="40"/>
      <c r="S85" s="40"/>
      <c r="T85" s="40"/>
      <c r="U85" s="40"/>
      <c r="V85" s="40"/>
      <c r="W85" s="40"/>
      <c r="X85" s="40"/>
      <c r="Y85" s="40"/>
      <c r="Z85" s="40"/>
      <c r="AA85" s="40"/>
      <c r="AB85" s="41"/>
      <c r="AC85" s="1"/>
      <c r="AD85" s="1"/>
      <c r="AE85" s="1"/>
      <c r="AF85" s="1"/>
      <c r="AG85" s="1"/>
      <c r="AH85" s="1"/>
      <c r="AI85" s="1"/>
      <c r="AJ85" s="1"/>
      <c r="AK85" s="1"/>
      <c r="AL85" s="1"/>
      <c r="AM85" s="1"/>
      <c r="AN85" s="1"/>
      <c r="AO85" s="1"/>
      <c r="AP85" s="1"/>
      <c r="AQ85" s="1"/>
    </row>
    <row r="86" spans="1:43">
      <c r="A86" s="1"/>
      <c r="B86" s="1"/>
      <c r="C86" s="1"/>
      <c r="D86" s="1"/>
      <c r="E86" s="1"/>
      <c r="F86" s="1"/>
      <c r="G86" s="1"/>
      <c r="H86" s="1"/>
      <c r="I86" s="1"/>
      <c r="J86" s="1"/>
      <c r="K86" s="1"/>
      <c r="L86" s="1"/>
      <c r="M86" s="1"/>
      <c r="N86" s="1"/>
      <c r="O86" s="1"/>
      <c r="P86" s="39"/>
      <c r="Q86" s="40"/>
      <c r="R86" s="40"/>
      <c r="S86" s="40"/>
      <c r="T86" s="40"/>
      <c r="U86" s="40"/>
      <c r="V86" s="40"/>
      <c r="W86" s="40"/>
      <c r="X86" s="40"/>
      <c r="Y86" s="40"/>
      <c r="Z86" s="40"/>
      <c r="AA86" s="40"/>
      <c r="AB86" s="41"/>
      <c r="AC86" s="1"/>
      <c r="AD86" s="1"/>
      <c r="AE86" s="1"/>
      <c r="AF86" s="1"/>
      <c r="AG86" s="1"/>
      <c r="AH86" s="1"/>
      <c r="AI86" s="1"/>
      <c r="AJ86" s="1"/>
      <c r="AK86" s="1"/>
      <c r="AL86" s="1"/>
      <c r="AM86" s="1"/>
      <c r="AN86" s="1"/>
      <c r="AO86" s="1"/>
      <c r="AP86" s="1"/>
      <c r="AQ86" s="1"/>
    </row>
    <row r="87" spans="1:43">
      <c r="A87" s="1"/>
      <c r="B87" s="1"/>
      <c r="C87" s="1"/>
      <c r="D87" s="1"/>
      <c r="E87" s="1"/>
      <c r="F87" s="1"/>
      <c r="G87" s="1"/>
      <c r="H87" s="1"/>
      <c r="I87" s="1"/>
      <c r="J87" s="1"/>
      <c r="K87" s="1"/>
      <c r="L87" s="1"/>
      <c r="M87" s="1"/>
      <c r="N87" s="1"/>
      <c r="O87" s="1"/>
      <c r="P87" s="39"/>
      <c r="Q87" s="40"/>
      <c r="R87" s="40"/>
      <c r="S87" s="40"/>
      <c r="T87" s="40"/>
      <c r="U87" s="40"/>
      <c r="V87" s="40"/>
      <c r="W87" s="40"/>
      <c r="X87" s="40"/>
      <c r="Y87" s="40"/>
      <c r="Z87" s="40"/>
      <c r="AA87" s="40"/>
      <c r="AB87" s="41"/>
      <c r="AC87" s="1"/>
      <c r="AD87" s="1"/>
      <c r="AE87" s="1"/>
      <c r="AF87" s="1"/>
      <c r="AG87" s="1"/>
      <c r="AH87" s="1"/>
      <c r="AI87" s="1"/>
      <c r="AJ87" s="1"/>
      <c r="AK87" s="1"/>
      <c r="AL87" s="1"/>
      <c r="AM87" s="1"/>
      <c r="AN87" s="1"/>
      <c r="AO87" s="1"/>
      <c r="AP87" s="1"/>
      <c r="AQ87" s="1"/>
    </row>
    <row r="88" spans="1:43">
      <c r="A88" s="1"/>
      <c r="B88" s="1"/>
      <c r="C88" s="1"/>
      <c r="D88" s="1"/>
      <c r="E88" s="1"/>
      <c r="F88" s="1"/>
      <c r="G88" s="1"/>
      <c r="H88" s="1"/>
      <c r="I88" s="1"/>
      <c r="J88" s="1"/>
      <c r="K88" s="1"/>
      <c r="L88" s="1"/>
      <c r="M88" s="1"/>
      <c r="N88" s="1"/>
      <c r="O88" s="1"/>
      <c r="P88" s="39"/>
      <c r="Q88" s="40"/>
      <c r="R88" s="198" t="s">
        <v>349</v>
      </c>
      <c r="S88" s="40"/>
      <c r="T88" s="40"/>
      <c r="U88" s="40"/>
      <c r="V88" s="40"/>
      <c r="W88" s="40"/>
      <c r="X88" s="40"/>
      <c r="Y88" s="40"/>
      <c r="Z88" s="40"/>
      <c r="AA88" s="40"/>
      <c r="AB88" s="41"/>
      <c r="AC88" s="1"/>
      <c r="AD88" s="1"/>
      <c r="AE88" s="1"/>
      <c r="AF88" s="1"/>
      <c r="AG88" s="1"/>
      <c r="AH88" s="1"/>
      <c r="AI88" s="1"/>
      <c r="AJ88" s="1"/>
      <c r="AK88" s="1"/>
      <c r="AL88" s="1"/>
      <c r="AM88" s="1"/>
      <c r="AN88" s="1"/>
      <c r="AO88" s="1"/>
      <c r="AP88" s="1"/>
      <c r="AQ88" s="1"/>
    </row>
    <row r="89" spans="1:43">
      <c r="A89" s="1"/>
      <c r="B89" s="1"/>
      <c r="C89" s="1"/>
      <c r="D89" s="1"/>
      <c r="E89" s="1"/>
      <c r="F89" s="1"/>
      <c r="G89" s="1"/>
      <c r="H89" s="1"/>
      <c r="I89" s="1"/>
      <c r="J89" s="1"/>
      <c r="K89" s="1"/>
      <c r="L89" s="1"/>
      <c r="M89" s="1"/>
      <c r="N89" s="1"/>
      <c r="O89" s="1"/>
      <c r="P89" s="39"/>
      <c r="Q89" s="40"/>
      <c r="R89" s="40" t="s">
        <v>228</v>
      </c>
      <c r="S89" s="40"/>
      <c r="T89" s="40"/>
      <c r="U89" s="40"/>
      <c r="V89" s="40"/>
      <c r="W89" s="40"/>
      <c r="X89" s="40"/>
      <c r="Y89" s="40"/>
      <c r="Z89" s="40"/>
      <c r="AA89" s="40"/>
      <c r="AB89" s="41"/>
      <c r="AC89" s="1"/>
      <c r="AD89" s="1"/>
      <c r="AE89" s="1"/>
      <c r="AF89" s="1"/>
      <c r="AG89" s="1"/>
      <c r="AH89" s="1"/>
      <c r="AI89" s="1"/>
      <c r="AJ89" s="1"/>
      <c r="AK89" s="1"/>
      <c r="AL89" s="1"/>
      <c r="AM89" s="1"/>
      <c r="AN89" s="1"/>
      <c r="AO89" s="1"/>
      <c r="AP89" s="1"/>
      <c r="AQ89" s="1"/>
    </row>
    <row r="90" spans="1:43">
      <c r="A90" s="1"/>
      <c r="B90" s="1"/>
      <c r="C90" s="1"/>
      <c r="D90" s="1"/>
      <c r="E90" s="1"/>
      <c r="F90" s="1"/>
      <c r="G90" s="1"/>
      <c r="H90" s="1"/>
      <c r="I90" s="1"/>
      <c r="J90" s="1"/>
      <c r="K90" s="1"/>
      <c r="L90" s="1"/>
      <c r="M90" s="1"/>
      <c r="N90" s="1"/>
      <c r="O90" s="1"/>
      <c r="P90" s="39"/>
      <c r="Q90" s="40"/>
      <c r="R90" s="198"/>
      <c r="S90" s="40"/>
      <c r="T90" s="40"/>
      <c r="U90" s="40"/>
      <c r="V90" s="65"/>
      <c r="W90" s="65"/>
      <c r="X90" s="65"/>
      <c r="Y90" s="65"/>
      <c r="Z90" s="65"/>
      <c r="AA90" s="40"/>
      <c r="AB90" s="41"/>
      <c r="AC90" s="1"/>
      <c r="AD90" s="1"/>
      <c r="AE90" s="1"/>
      <c r="AF90" s="1"/>
      <c r="AG90" s="1"/>
      <c r="AH90" s="1"/>
      <c r="AI90" s="1"/>
      <c r="AJ90" s="1"/>
      <c r="AK90" s="1"/>
      <c r="AL90" s="1"/>
      <c r="AM90" s="1"/>
      <c r="AN90" s="1"/>
      <c r="AO90" s="1"/>
      <c r="AP90" s="1"/>
      <c r="AQ90" s="1"/>
    </row>
    <row r="91" spans="1:43" ht="15.4" customHeight="1">
      <c r="A91" s="1"/>
      <c r="B91" s="1"/>
      <c r="C91" s="1"/>
      <c r="D91" s="1"/>
      <c r="E91" s="1"/>
      <c r="F91" s="1"/>
      <c r="G91" s="1"/>
      <c r="H91" s="1"/>
      <c r="I91" s="1"/>
      <c r="J91" s="1"/>
      <c r="K91" s="1"/>
      <c r="L91" s="1"/>
      <c r="M91" s="1"/>
      <c r="N91" s="1"/>
      <c r="O91" s="1"/>
      <c r="P91" s="39"/>
      <c r="Q91" s="40"/>
      <c r="R91" s="64"/>
      <c r="S91" s="64"/>
      <c r="T91" s="64"/>
      <c r="U91" s="64"/>
      <c r="V91" s="64"/>
      <c r="W91" s="64"/>
      <c r="X91" s="64"/>
      <c r="Y91" s="64"/>
      <c r="Z91" s="64"/>
      <c r="AA91" s="40"/>
      <c r="AB91" s="41"/>
      <c r="AC91" s="1"/>
      <c r="AD91" s="1"/>
      <c r="AE91" s="1"/>
      <c r="AF91" s="1"/>
      <c r="AG91" s="1"/>
      <c r="AH91" s="1"/>
      <c r="AI91" s="1"/>
      <c r="AJ91" s="1"/>
      <c r="AK91" s="1"/>
      <c r="AL91" s="1"/>
      <c r="AM91" s="1"/>
      <c r="AN91" s="1"/>
      <c r="AO91" s="1"/>
      <c r="AP91" s="1"/>
      <c r="AQ91" s="1"/>
    </row>
    <row r="92" spans="1:43" ht="15.4" customHeight="1" thickBot="1">
      <c r="A92" s="1"/>
      <c r="B92" s="1"/>
      <c r="C92" s="1"/>
      <c r="D92" s="1"/>
      <c r="E92" s="1"/>
      <c r="F92" s="1"/>
      <c r="G92" s="1"/>
      <c r="H92" s="1"/>
      <c r="I92" s="1"/>
      <c r="J92" s="1"/>
      <c r="K92" s="1"/>
      <c r="L92" s="1"/>
      <c r="M92" s="1"/>
      <c r="N92" s="1"/>
      <c r="O92" s="1"/>
      <c r="P92" s="39"/>
      <c r="Q92" s="40"/>
      <c r="R92" s="64"/>
      <c r="S92" s="64"/>
      <c r="T92" s="64"/>
      <c r="U92" s="64"/>
      <c r="V92" s="64"/>
      <c r="W92" s="64"/>
      <c r="X92" s="64"/>
      <c r="Y92" s="64"/>
      <c r="Z92" s="64"/>
      <c r="AA92" s="40"/>
      <c r="AB92" s="41"/>
      <c r="AC92" s="1"/>
      <c r="AD92" s="1"/>
      <c r="AE92" s="1"/>
      <c r="AF92" s="1"/>
      <c r="AG92" s="1"/>
      <c r="AH92" s="1"/>
      <c r="AI92" s="1"/>
      <c r="AJ92" s="1"/>
      <c r="AK92" s="1"/>
      <c r="AL92" s="1"/>
      <c r="AM92" s="1"/>
      <c r="AN92" s="1"/>
      <c r="AO92" s="1"/>
      <c r="AP92" s="1"/>
      <c r="AQ92" s="1"/>
    </row>
    <row r="93" spans="1:43" ht="30.6" thickBot="1">
      <c r="A93" s="1"/>
      <c r="B93" s="1"/>
      <c r="C93" s="1"/>
      <c r="D93" s="1"/>
      <c r="E93" s="1"/>
      <c r="F93" s="1"/>
      <c r="G93" s="1"/>
      <c r="H93" s="1"/>
      <c r="I93" s="1"/>
      <c r="J93" s="1"/>
      <c r="K93" s="1"/>
      <c r="L93" s="1"/>
      <c r="M93" s="1"/>
      <c r="N93" s="1"/>
      <c r="O93" s="1"/>
      <c r="P93" s="39"/>
      <c r="Q93" s="40"/>
      <c r="R93" s="328" t="s">
        <v>362</v>
      </c>
      <c r="S93" s="329"/>
      <c r="T93" s="329"/>
      <c r="U93" s="329"/>
      <c r="V93" s="329"/>
      <c r="W93" s="329"/>
      <c r="X93" s="329"/>
      <c r="Y93" s="329"/>
      <c r="Z93" s="330"/>
      <c r="AA93" s="40"/>
      <c r="AB93" s="41"/>
      <c r="AC93" s="1"/>
      <c r="AD93" s="1"/>
      <c r="AE93" s="1"/>
      <c r="AF93" s="1"/>
      <c r="AG93" s="1"/>
      <c r="AH93" s="1"/>
      <c r="AI93" s="1"/>
      <c r="AJ93" s="1"/>
      <c r="AK93" s="1"/>
      <c r="AL93" s="1"/>
      <c r="AM93" s="1"/>
      <c r="AN93" s="1"/>
      <c r="AO93" s="1"/>
      <c r="AP93" s="1"/>
      <c r="AQ93" s="1"/>
    </row>
    <row r="94" spans="1:43" ht="15.4" customHeight="1">
      <c r="A94" s="1"/>
      <c r="B94" s="1"/>
      <c r="C94" s="1"/>
      <c r="D94" s="1"/>
      <c r="E94" s="1"/>
      <c r="F94" s="1"/>
      <c r="G94" s="1"/>
      <c r="H94" s="1"/>
      <c r="I94" s="1"/>
      <c r="J94" s="1"/>
      <c r="K94" s="1"/>
      <c r="L94" s="1"/>
      <c r="M94" s="1"/>
      <c r="N94" s="1"/>
      <c r="O94" s="1"/>
      <c r="P94" s="39"/>
      <c r="Q94" s="40"/>
      <c r="R94" s="64"/>
      <c r="S94" s="64"/>
      <c r="T94" s="64"/>
      <c r="U94" s="64"/>
      <c r="V94" s="64"/>
      <c r="W94" s="64"/>
      <c r="X94" s="64"/>
      <c r="Y94" s="64"/>
      <c r="Z94" s="64"/>
      <c r="AA94" s="40"/>
      <c r="AB94" s="41"/>
      <c r="AC94" s="1"/>
      <c r="AD94" s="1"/>
      <c r="AE94" s="1"/>
      <c r="AF94" s="1"/>
      <c r="AG94" s="1"/>
      <c r="AH94" s="1"/>
      <c r="AI94" s="1"/>
      <c r="AJ94" s="1"/>
      <c r="AK94" s="1"/>
      <c r="AL94" s="1"/>
      <c r="AM94" s="1"/>
      <c r="AN94" s="1"/>
      <c r="AO94" s="1"/>
      <c r="AP94" s="1"/>
      <c r="AQ94" s="1"/>
    </row>
    <row r="95" spans="1:43" ht="15.4" customHeight="1">
      <c r="A95" s="1"/>
      <c r="B95" s="1"/>
      <c r="C95" s="1"/>
      <c r="D95" s="1"/>
      <c r="E95" s="1"/>
      <c r="F95" s="1"/>
      <c r="G95" s="1"/>
      <c r="H95" s="1"/>
      <c r="I95" s="1"/>
      <c r="J95" s="1"/>
      <c r="K95" s="1"/>
      <c r="L95" s="1"/>
      <c r="M95" s="1"/>
      <c r="N95" s="1"/>
      <c r="O95" s="1"/>
      <c r="P95" s="39"/>
      <c r="Q95" s="40"/>
      <c r="R95" s="40"/>
      <c r="S95" s="40"/>
      <c r="T95" s="40"/>
      <c r="U95" s="40"/>
      <c r="V95" s="40"/>
      <c r="W95" s="40"/>
      <c r="X95" s="64"/>
      <c r="Y95" s="64"/>
      <c r="Z95" s="64"/>
      <c r="AA95" s="40"/>
      <c r="AB95" s="41"/>
      <c r="AC95" s="1"/>
      <c r="AD95" s="1"/>
      <c r="AE95" s="1"/>
      <c r="AF95" s="1"/>
      <c r="AG95" s="1"/>
      <c r="AH95" s="1"/>
      <c r="AI95" s="1"/>
      <c r="AJ95" s="1"/>
      <c r="AK95" s="1"/>
      <c r="AL95" s="1"/>
      <c r="AM95" s="1"/>
      <c r="AN95" s="1"/>
      <c r="AO95" s="1"/>
      <c r="AP95" s="1"/>
      <c r="AQ95" s="1"/>
    </row>
    <row r="96" spans="1:43">
      <c r="A96" s="1"/>
      <c r="B96" s="1"/>
      <c r="C96" s="1"/>
      <c r="D96" s="1"/>
      <c r="E96" s="1"/>
      <c r="F96" s="1"/>
      <c r="G96" s="1"/>
      <c r="H96" s="1"/>
      <c r="I96" s="1"/>
      <c r="J96" s="1"/>
      <c r="K96" s="1"/>
      <c r="L96" s="1"/>
      <c r="M96" s="1"/>
      <c r="N96" s="1"/>
      <c r="O96" s="1"/>
      <c r="P96" s="39"/>
      <c r="Q96" s="40"/>
      <c r="R96" s="425" t="s">
        <v>351</v>
      </c>
      <c r="S96" s="425"/>
      <c r="T96" s="425"/>
      <c r="U96" s="425"/>
      <c r="V96" s="425"/>
      <c r="W96" s="199"/>
      <c r="X96" s="66"/>
      <c r="Y96" s="66"/>
      <c r="Z96" s="66"/>
      <c r="AA96" s="40"/>
      <c r="AB96" s="41"/>
      <c r="AC96" s="1"/>
      <c r="AD96" s="1"/>
      <c r="AE96" s="1"/>
      <c r="AF96" s="1"/>
      <c r="AG96" s="1"/>
      <c r="AH96" s="1"/>
      <c r="AI96" s="1"/>
      <c r="AJ96" s="1"/>
      <c r="AK96" s="1"/>
      <c r="AL96" s="1"/>
      <c r="AM96" s="1"/>
      <c r="AN96" s="1"/>
      <c r="AO96" s="1"/>
      <c r="AP96" s="1"/>
      <c r="AQ96" s="1"/>
    </row>
    <row r="97" spans="1:43">
      <c r="A97" s="1"/>
      <c r="B97" s="1"/>
      <c r="C97" s="1"/>
      <c r="D97" s="1"/>
      <c r="E97" s="1"/>
      <c r="F97" s="1"/>
      <c r="G97" s="1"/>
      <c r="H97" s="1"/>
      <c r="I97" s="1"/>
      <c r="J97" s="1"/>
      <c r="K97" s="1"/>
      <c r="L97" s="1"/>
      <c r="M97" s="1"/>
      <c r="N97" s="1"/>
      <c r="O97" s="1"/>
      <c r="P97" s="39"/>
      <c r="Q97" s="40"/>
      <c r="R97" s="399" t="s">
        <v>363</v>
      </c>
      <c r="S97" s="399"/>
      <c r="T97" s="399"/>
      <c r="U97" s="123">
        <v>1</v>
      </c>
      <c r="V97" s="66" t="s">
        <v>25</v>
      </c>
      <c r="W97" s="67"/>
      <c r="X97" s="66"/>
      <c r="Y97" s="66"/>
      <c r="Z97" s="66"/>
      <c r="AA97" s="40"/>
      <c r="AB97" s="41"/>
      <c r="AC97" s="1"/>
      <c r="AD97" s="1"/>
      <c r="AE97" s="1"/>
      <c r="AF97" s="1"/>
      <c r="AG97" s="1"/>
      <c r="AH97" s="1"/>
      <c r="AI97" s="1"/>
      <c r="AJ97" s="1"/>
      <c r="AK97" s="1"/>
      <c r="AL97" s="1"/>
      <c r="AM97" s="1"/>
      <c r="AN97" s="1"/>
      <c r="AO97" s="1"/>
      <c r="AP97" s="1"/>
      <c r="AQ97" s="1"/>
    </row>
    <row r="98" spans="1:43">
      <c r="A98" s="1"/>
      <c r="B98" s="1"/>
      <c r="C98" s="1"/>
      <c r="D98" s="1"/>
      <c r="E98" s="1"/>
      <c r="F98" s="1"/>
      <c r="G98" s="1"/>
      <c r="H98" s="1"/>
      <c r="I98" s="1"/>
      <c r="J98" s="1"/>
      <c r="K98" s="1"/>
      <c r="L98" s="1"/>
      <c r="M98" s="1"/>
      <c r="N98" s="1"/>
      <c r="O98" s="1"/>
      <c r="P98" s="39"/>
      <c r="Q98" s="40"/>
      <c r="R98" s="399" t="s">
        <v>364</v>
      </c>
      <c r="S98" s="399"/>
      <c r="T98" s="399"/>
      <c r="U98" s="123">
        <v>1</v>
      </c>
      <c r="V98" s="66" t="s">
        <v>25</v>
      </c>
      <c r="W98" s="67"/>
      <c r="X98" s="66"/>
      <c r="Y98" s="66"/>
      <c r="Z98" s="66"/>
      <c r="AA98" s="40"/>
      <c r="AB98" s="41"/>
      <c r="AC98" s="1"/>
      <c r="AD98" s="1"/>
      <c r="AE98" s="1"/>
      <c r="AF98" s="1"/>
      <c r="AG98" s="1"/>
      <c r="AH98" s="1"/>
      <c r="AI98" s="1"/>
      <c r="AJ98" s="1"/>
      <c r="AK98" s="1"/>
      <c r="AL98" s="1"/>
      <c r="AM98" s="1"/>
      <c r="AN98" s="1"/>
      <c r="AO98" s="1"/>
      <c r="AP98" s="1"/>
      <c r="AQ98" s="1"/>
    </row>
    <row r="99" spans="1:43">
      <c r="A99" s="1"/>
      <c r="B99" s="1"/>
      <c r="C99" s="1"/>
      <c r="D99" s="1"/>
      <c r="E99" s="1"/>
      <c r="F99" s="1"/>
      <c r="G99" s="1"/>
      <c r="H99" s="1"/>
      <c r="I99" s="1"/>
      <c r="J99" s="1"/>
      <c r="K99" s="1"/>
      <c r="L99" s="1"/>
      <c r="M99" s="1"/>
      <c r="N99" s="1"/>
      <c r="O99" s="1"/>
      <c r="P99" s="39"/>
      <c r="Q99" s="40"/>
      <c r="R99" s="399" t="s">
        <v>354</v>
      </c>
      <c r="S99" s="399"/>
      <c r="T99" s="399"/>
      <c r="U99" s="123">
        <v>90</v>
      </c>
      <c r="V99" s="66" t="s">
        <v>28</v>
      </c>
      <c r="W99" s="67"/>
      <c r="X99" s="66"/>
      <c r="Y99" s="66"/>
      <c r="Z99" s="66"/>
      <c r="AA99" s="40"/>
      <c r="AB99" s="41"/>
      <c r="AC99" s="1"/>
      <c r="AD99" s="1"/>
      <c r="AE99" s="1"/>
      <c r="AF99" s="1"/>
      <c r="AG99" s="1"/>
      <c r="AH99" s="1"/>
      <c r="AI99" s="1"/>
      <c r="AJ99" s="1"/>
      <c r="AK99" s="1"/>
      <c r="AL99" s="1"/>
      <c r="AM99" s="1"/>
      <c r="AN99" s="1"/>
      <c r="AO99" s="1"/>
      <c r="AP99" s="1"/>
      <c r="AQ99" s="1"/>
    </row>
    <row r="100" spans="1:43">
      <c r="A100" s="1"/>
      <c r="B100" s="1"/>
      <c r="C100" s="1"/>
      <c r="D100" s="1"/>
      <c r="E100" s="1"/>
      <c r="F100" s="1"/>
      <c r="G100" s="1"/>
      <c r="H100" s="1"/>
      <c r="I100" s="1"/>
      <c r="J100" s="1"/>
      <c r="K100" s="1"/>
      <c r="L100" s="1"/>
      <c r="M100" s="1"/>
      <c r="N100" s="1"/>
      <c r="O100" s="1"/>
      <c r="P100" s="39"/>
      <c r="Q100" s="40"/>
      <c r="R100" s="399" t="s">
        <v>355</v>
      </c>
      <c r="S100" s="399"/>
      <c r="T100" s="399"/>
      <c r="U100" s="143">
        <f>-10*LOG('Backend Data'!D41)</f>
        <v>0.22825214260717014</v>
      </c>
      <c r="V100" s="68" t="s">
        <v>25</v>
      </c>
      <c r="W100" s="68"/>
      <c r="X100" s="66"/>
      <c r="Y100" s="66"/>
      <c r="Z100" s="66"/>
      <c r="AA100" s="40"/>
      <c r="AB100" s="41"/>
      <c r="AC100" s="1"/>
      <c r="AD100" s="1"/>
      <c r="AE100" s="1"/>
      <c r="AF100" s="1"/>
      <c r="AG100" s="1"/>
      <c r="AH100" s="1"/>
      <c r="AI100" s="1"/>
      <c r="AJ100" s="1"/>
      <c r="AK100" s="1"/>
      <c r="AL100" s="1"/>
      <c r="AM100" s="1"/>
      <c r="AN100" s="1"/>
      <c r="AO100" s="1"/>
      <c r="AP100" s="1"/>
      <c r="AQ100" s="1"/>
    </row>
    <row r="101" spans="1:43">
      <c r="A101" s="1"/>
      <c r="B101" s="1"/>
      <c r="C101" s="1"/>
      <c r="D101" s="1"/>
      <c r="E101" s="1"/>
      <c r="F101" s="1"/>
      <c r="G101" s="1"/>
      <c r="H101" s="1"/>
      <c r="I101" s="1"/>
      <c r="J101" s="1"/>
      <c r="K101" s="1"/>
      <c r="L101" s="1"/>
      <c r="M101" s="1"/>
      <c r="N101" s="1"/>
      <c r="O101" s="1"/>
      <c r="P101" s="39"/>
      <c r="Q101" s="40"/>
      <c r="R101" s="40"/>
      <c r="S101" s="40"/>
      <c r="T101" s="40"/>
      <c r="U101" s="40"/>
      <c r="V101" s="40"/>
      <c r="W101" s="40"/>
      <c r="X101" s="66"/>
      <c r="Y101" s="66"/>
      <c r="Z101" s="66"/>
      <c r="AA101" s="40"/>
      <c r="AB101" s="41"/>
      <c r="AC101" s="1"/>
      <c r="AD101" s="1"/>
      <c r="AE101" s="1"/>
      <c r="AF101" s="1"/>
      <c r="AG101" s="1"/>
      <c r="AH101" s="1"/>
      <c r="AI101" s="1"/>
      <c r="AJ101" s="1"/>
      <c r="AK101" s="1"/>
      <c r="AL101" s="1"/>
      <c r="AM101" s="1"/>
      <c r="AN101" s="1"/>
      <c r="AO101" s="1"/>
      <c r="AP101" s="1"/>
      <c r="AQ101" s="1"/>
    </row>
    <row r="102" spans="1:43">
      <c r="A102" s="1"/>
      <c r="B102" s="1"/>
      <c r="C102" s="1"/>
      <c r="D102" s="1"/>
      <c r="E102" s="1"/>
      <c r="F102" s="1"/>
      <c r="G102" s="1"/>
      <c r="H102" s="1"/>
      <c r="I102" s="1"/>
      <c r="J102" s="1"/>
      <c r="K102" s="1"/>
      <c r="L102" s="1"/>
      <c r="M102" s="1"/>
      <c r="N102" s="1"/>
      <c r="O102" s="1"/>
      <c r="P102" s="39"/>
      <c r="Q102" s="40"/>
      <c r="R102" s="394" t="s">
        <v>356</v>
      </c>
      <c r="S102" s="394"/>
      <c r="T102" s="394"/>
      <c r="U102" s="394"/>
      <c r="V102" s="40"/>
      <c r="W102" s="40"/>
      <c r="X102" s="66"/>
      <c r="Y102" s="66"/>
      <c r="Z102" s="66"/>
      <c r="AA102" s="40"/>
      <c r="AB102" s="41"/>
      <c r="AC102" s="1"/>
      <c r="AD102" s="1"/>
      <c r="AE102" s="1"/>
      <c r="AF102" s="1"/>
      <c r="AG102" s="1"/>
      <c r="AH102" s="1"/>
      <c r="AI102" s="1"/>
      <c r="AJ102" s="1"/>
      <c r="AK102" s="1"/>
      <c r="AL102" s="1"/>
      <c r="AM102" s="1"/>
      <c r="AN102" s="1"/>
      <c r="AO102" s="1"/>
      <c r="AP102" s="1"/>
      <c r="AQ102" s="1"/>
    </row>
    <row r="103" spans="1:43">
      <c r="A103" s="1"/>
      <c r="B103" s="1"/>
      <c r="C103" s="1"/>
      <c r="D103" s="1"/>
      <c r="E103" s="1"/>
      <c r="F103" s="1"/>
      <c r="G103" s="1"/>
      <c r="H103" s="1"/>
      <c r="I103" s="1"/>
      <c r="J103" s="1"/>
      <c r="K103" s="1"/>
      <c r="L103" s="1"/>
      <c r="M103" s="1"/>
      <c r="N103" s="1"/>
      <c r="O103" s="1"/>
      <c r="P103" s="39"/>
      <c r="Q103" s="40"/>
      <c r="R103" s="395" t="s">
        <v>357</v>
      </c>
      <c r="S103" s="395"/>
      <c r="T103" s="395"/>
      <c r="U103" s="143">
        <f>10*LOG10(1-'Backend Data'!D41)</f>
        <v>-12.907320722611759</v>
      </c>
      <c r="V103" s="40" t="s">
        <v>25</v>
      </c>
      <c r="W103" s="40"/>
      <c r="X103" s="66"/>
      <c r="Y103" s="66"/>
      <c r="Z103" s="66"/>
      <c r="AA103" s="40"/>
      <c r="AB103" s="41"/>
      <c r="AC103" s="1"/>
      <c r="AD103" s="1"/>
      <c r="AE103" s="1"/>
      <c r="AF103" s="1"/>
      <c r="AG103" s="1"/>
      <c r="AH103" s="1"/>
      <c r="AI103" s="1"/>
      <c r="AJ103" s="1"/>
      <c r="AK103" s="1"/>
      <c r="AL103" s="1"/>
      <c r="AM103" s="1"/>
      <c r="AN103" s="1"/>
      <c r="AO103" s="1"/>
      <c r="AP103" s="1"/>
      <c r="AQ103" s="1"/>
    </row>
    <row r="104" spans="1:43">
      <c r="A104" s="1"/>
      <c r="B104" s="1"/>
      <c r="C104" s="1"/>
      <c r="D104" s="1"/>
      <c r="E104" s="1"/>
      <c r="F104" s="1"/>
      <c r="G104" s="1"/>
      <c r="H104" s="1"/>
      <c r="I104" s="1"/>
      <c r="J104" s="1"/>
      <c r="K104" s="1"/>
      <c r="L104" s="1"/>
      <c r="M104" s="1"/>
      <c r="N104" s="1"/>
      <c r="O104" s="1"/>
      <c r="P104" s="39"/>
      <c r="Q104" s="40"/>
      <c r="R104" s="395" t="s">
        <v>358</v>
      </c>
      <c r="S104" s="395"/>
      <c r="T104" s="395"/>
      <c r="U104" s="143">
        <f>U100-U103</f>
        <v>13.135572865218929</v>
      </c>
      <c r="V104" s="40" t="s">
        <v>25</v>
      </c>
      <c r="W104" s="40"/>
      <c r="X104" s="66"/>
      <c r="Y104" s="66"/>
      <c r="Z104" s="66"/>
      <c r="AA104" s="40"/>
      <c r="AB104" s="41"/>
      <c r="AC104" s="1"/>
      <c r="AD104" s="1"/>
      <c r="AE104" s="1"/>
      <c r="AF104" s="1"/>
      <c r="AG104" s="1"/>
      <c r="AH104" s="1"/>
      <c r="AI104" s="1"/>
      <c r="AJ104" s="1"/>
      <c r="AK104" s="1"/>
      <c r="AL104" s="1"/>
      <c r="AM104" s="1"/>
      <c r="AN104" s="1"/>
      <c r="AO104" s="1"/>
      <c r="AP104" s="1"/>
      <c r="AQ104" s="1"/>
    </row>
    <row r="105" spans="1:43">
      <c r="A105" s="1"/>
      <c r="B105" s="1"/>
      <c r="C105" s="1"/>
      <c r="D105" s="1"/>
      <c r="E105" s="1"/>
      <c r="F105" s="1"/>
      <c r="G105" s="1"/>
      <c r="H105" s="1"/>
      <c r="I105" s="1"/>
      <c r="J105" s="1"/>
      <c r="K105" s="1"/>
      <c r="L105" s="1"/>
      <c r="M105" s="1"/>
      <c r="N105" s="1"/>
      <c r="O105" s="1"/>
      <c r="P105" s="39"/>
      <c r="Q105" s="40"/>
      <c r="R105" s="40"/>
      <c r="S105" s="40"/>
      <c r="T105" s="40"/>
      <c r="U105" s="40"/>
      <c r="V105" s="40"/>
      <c r="W105" s="40"/>
      <c r="X105" s="40"/>
      <c r="Y105" s="40"/>
      <c r="Z105" s="40"/>
      <c r="AA105" s="40"/>
      <c r="AB105" s="41"/>
      <c r="AC105" s="1"/>
      <c r="AD105" s="1"/>
      <c r="AE105" s="1"/>
      <c r="AF105" s="1"/>
      <c r="AG105" s="1"/>
      <c r="AH105" s="1"/>
      <c r="AI105" s="1"/>
      <c r="AJ105" s="1"/>
      <c r="AK105" s="1"/>
      <c r="AL105" s="1"/>
      <c r="AM105" s="1"/>
      <c r="AN105" s="1"/>
      <c r="AO105" s="1"/>
      <c r="AP105" s="1"/>
      <c r="AQ105" s="1"/>
    </row>
    <row r="106" spans="1:43" ht="15" thickBot="1">
      <c r="A106" s="1"/>
      <c r="B106" s="1"/>
      <c r="C106" s="1"/>
      <c r="D106" s="1"/>
      <c r="E106" s="1"/>
      <c r="F106" s="1"/>
      <c r="G106" s="1"/>
      <c r="H106" s="1"/>
      <c r="I106" s="1"/>
      <c r="J106" s="1"/>
      <c r="K106" s="1"/>
      <c r="L106" s="1"/>
      <c r="M106" s="1"/>
      <c r="N106" s="1"/>
      <c r="O106" s="1"/>
      <c r="P106" s="42"/>
      <c r="Q106" s="43"/>
      <c r="R106" s="69"/>
      <c r="S106" s="69"/>
      <c r="T106" s="69"/>
      <c r="U106" s="69"/>
      <c r="V106" s="43"/>
      <c r="W106" s="43"/>
      <c r="X106" s="43"/>
      <c r="Y106" s="43"/>
      <c r="Z106" s="43"/>
      <c r="AA106" s="43"/>
      <c r="AB106" s="44"/>
      <c r="AC106" s="1"/>
      <c r="AD106" s="1"/>
      <c r="AE106" s="1"/>
      <c r="AF106" s="1"/>
      <c r="AG106" s="1"/>
      <c r="AH106" s="1"/>
      <c r="AI106" s="1"/>
      <c r="AJ106" s="1"/>
      <c r="AK106" s="1"/>
      <c r="AL106" s="1"/>
      <c r="AM106" s="1"/>
      <c r="AN106" s="1"/>
      <c r="AO106" s="1"/>
      <c r="AP106" s="1"/>
      <c r="AQ106" s="1"/>
    </row>
    <row r="107" spans="1:4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T15:W15"/>
    <mergeCell ref="R2:Z2"/>
    <mergeCell ref="R6:Z6"/>
    <mergeCell ref="T9:U9"/>
    <mergeCell ref="T10:U10"/>
    <mergeCell ref="R13:Z13"/>
    <mergeCell ref="T8:W8"/>
    <mergeCell ref="T11:U11"/>
    <mergeCell ref="T12:U12"/>
    <mergeCell ref="R55:T55"/>
    <mergeCell ref="T16:U16"/>
    <mergeCell ref="T17:U17"/>
    <mergeCell ref="R24:Z24"/>
    <mergeCell ref="V35:X35"/>
    <mergeCell ref="V36:X36"/>
    <mergeCell ref="V37:X37"/>
    <mergeCell ref="V38:X38"/>
    <mergeCell ref="V39:X39"/>
    <mergeCell ref="R53:V53"/>
    <mergeCell ref="R50:Z50"/>
    <mergeCell ref="R54:T54"/>
    <mergeCell ref="V78:X78"/>
    <mergeCell ref="R56:T56"/>
    <mergeCell ref="R57:T57"/>
    <mergeCell ref="R59:U59"/>
    <mergeCell ref="R60:T60"/>
    <mergeCell ref="R61:T61"/>
    <mergeCell ref="R67:Z67"/>
    <mergeCell ref="R93:Z93"/>
    <mergeCell ref="V82:X82"/>
    <mergeCell ref="V79:X79"/>
    <mergeCell ref="V80:X80"/>
    <mergeCell ref="V81:X81"/>
    <mergeCell ref="R102:U102"/>
    <mergeCell ref="R103:T103"/>
    <mergeCell ref="R104:T104"/>
    <mergeCell ref="R96:V96"/>
    <mergeCell ref="R97:T97"/>
    <mergeCell ref="R98:T98"/>
    <mergeCell ref="R99:T99"/>
    <mergeCell ref="R100:T100"/>
  </mergeCells>
  <conditionalFormatting sqref="U54:U56">
    <cfRule type="expression" dxfId="53" priority="55">
      <formula>$AA$9=4</formula>
    </cfRule>
    <cfRule type="expression" dxfId="52" priority="56">
      <formula>$AA$9=3</formula>
    </cfRule>
    <cfRule type="expression" dxfId="51" priority="57">
      <formula>$AA$9=1</formula>
    </cfRule>
  </conditionalFormatting>
  <conditionalFormatting sqref="U97:U99">
    <cfRule type="expression" dxfId="50" priority="19">
      <formula>$AA$9=4</formula>
    </cfRule>
    <cfRule type="expression" dxfId="49" priority="20">
      <formula>$AA$9=3</formula>
    </cfRule>
    <cfRule type="expression" dxfId="48" priority="21">
      <formula>$AA$9=1</formula>
    </cfRule>
  </conditionalFormatting>
  <conditionalFormatting sqref="Y35">
    <cfRule type="expression" dxfId="47" priority="67">
      <formula>$AA$9=4</formula>
    </cfRule>
    <cfRule type="expression" dxfId="46" priority="68">
      <formula>$AA$9=3</formula>
    </cfRule>
    <cfRule type="expression" dxfId="45" priority="69">
      <formula>$AA$9=1</formula>
    </cfRule>
  </conditionalFormatting>
  <conditionalFormatting sqref="Y37:Y38">
    <cfRule type="expression" dxfId="44" priority="10">
      <formula>$AA$9=4</formula>
    </cfRule>
    <cfRule type="expression" dxfId="43" priority="11">
      <formula>$AA$9=3</formula>
    </cfRule>
    <cfRule type="expression" dxfId="42" priority="12">
      <formula>$AA$9=1</formula>
    </cfRule>
  </conditionalFormatting>
  <conditionalFormatting sqref="Y78:Y80">
    <cfRule type="expression" dxfId="41" priority="1">
      <formula>$AA$9=4</formula>
    </cfRule>
    <cfRule type="expression" dxfId="40" priority="2">
      <formula>$AA$9=3</formula>
    </cfRule>
    <cfRule type="expression" dxfId="39" priority="3">
      <formula>$AA$9=1</formula>
    </cfRule>
  </conditionalFormatting>
  <pageMargins left="0.7" right="0.7" top="0.75" bottom="0.75" header="0.3" footer="0.3"/>
  <pageSetup orientation="portrait"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7FF38-870C-4A41-848D-5F5D5FEE0AE2}">
  <sheetPr>
    <tabColor rgb="FFE1CDFF"/>
  </sheetPr>
  <dimension ref="A1:AQ108"/>
  <sheetViews>
    <sheetView topLeftCell="A24" zoomScale="115" zoomScaleNormal="115" workbookViewId="0">
      <selection activeCell="Y35" sqref="Y35"/>
    </sheetView>
  </sheetViews>
  <sheetFormatPr defaultColWidth="0" defaultRowHeight="14.45" customHeight="1" zeroHeight="1"/>
  <cols>
    <col min="1" max="17" width="3.28515625" customWidth="1"/>
    <col min="18" max="18" width="10.28515625" customWidth="1"/>
    <col min="19" max="19" width="8.85546875" customWidth="1"/>
    <col min="20" max="20" width="13.28515625" customWidth="1"/>
    <col min="21" max="21" width="11.7109375" customWidth="1"/>
    <col min="22" max="24" width="10.28515625" customWidth="1"/>
    <col min="25" max="26" width="8.7109375" customWidth="1"/>
    <col min="27" max="43" width="3.28515625" customWidth="1"/>
    <col min="44" max="16384" width="8.7109375" hidden="1"/>
  </cols>
  <sheetData>
    <row r="1" spans="1:4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5.6">
      <c r="A2" s="1"/>
      <c r="B2" s="1"/>
      <c r="C2" s="1"/>
      <c r="D2" s="1"/>
      <c r="E2" s="1"/>
      <c r="F2" s="1"/>
      <c r="G2" s="1"/>
      <c r="H2" s="1"/>
      <c r="I2" s="1"/>
      <c r="J2" s="1"/>
      <c r="K2" s="1"/>
      <c r="L2" s="1"/>
      <c r="M2" s="1"/>
      <c r="N2" s="1"/>
      <c r="O2" s="1"/>
      <c r="P2" s="1"/>
      <c r="Q2" s="1"/>
      <c r="R2" s="335" t="s">
        <v>0</v>
      </c>
      <c r="S2" s="336"/>
      <c r="T2" s="336"/>
      <c r="U2" s="336"/>
      <c r="V2" s="336"/>
      <c r="W2" s="336"/>
      <c r="X2" s="336"/>
      <c r="Y2" s="336"/>
      <c r="Z2" s="337"/>
      <c r="AA2" s="1"/>
      <c r="AB2" s="1"/>
      <c r="AC2" s="1"/>
      <c r="AD2" s="1"/>
      <c r="AE2" s="1"/>
      <c r="AF2" s="1"/>
      <c r="AG2" s="1"/>
      <c r="AH2" s="1"/>
      <c r="AI2" s="1"/>
      <c r="AJ2" s="1"/>
      <c r="AK2" s="1"/>
      <c r="AL2" s="1"/>
      <c r="AM2" s="1"/>
      <c r="AN2" s="1"/>
      <c r="AO2" s="1"/>
      <c r="AP2" s="1"/>
      <c r="AQ2" s="1"/>
    </row>
    <row r="3" spans="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c r="A4" s="1"/>
      <c r="B4" s="1"/>
      <c r="C4" s="1"/>
      <c r="D4" s="1"/>
      <c r="E4" s="1"/>
      <c r="F4" s="1"/>
      <c r="G4" s="1"/>
      <c r="H4" s="1"/>
      <c r="I4" s="1"/>
      <c r="J4" s="1"/>
      <c r="K4" s="1"/>
      <c r="L4" s="1"/>
      <c r="M4" s="1"/>
      <c r="N4" s="1"/>
      <c r="O4" s="1"/>
      <c r="P4" s="15"/>
      <c r="Q4" s="16"/>
      <c r="R4" s="16"/>
      <c r="S4" s="16"/>
      <c r="T4" s="16"/>
      <c r="U4" s="16"/>
      <c r="V4" s="16"/>
      <c r="W4" s="16"/>
      <c r="X4" s="16"/>
      <c r="Y4" s="16"/>
      <c r="Z4" s="16"/>
      <c r="AA4" s="16"/>
      <c r="AB4" s="17"/>
      <c r="AC4" s="29"/>
      <c r="AD4" s="1"/>
      <c r="AE4" s="1"/>
      <c r="AF4" s="1"/>
      <c r="AG4" s="1"/>
      <c r="AH4" s="1"/>
      <c r="AI4" s="1"/>
      <c r="AJ4" s="1"/>
      <c r="AK4" s="1"/>
      <c r="AL4" s="1"/>
      <c r="AM4" s="1"/>
      <c r="AN4" s="1"/>
      <c r="AO4" s="1"/>
      <c r="AP4" s="1"/>
      <c r="AQ4" s="1"/>
    </row>
    <row r="5" spans="1:43">
      <c r="A5" s="1"/>
      <c r="B5" s="1"/>
      <c r="C5" s="1"/>
      <c r="D5" s="1"/>
      <c r="E5" s="1"/>
      <c r="F5" s="1"/>
      <c r="G5" s="1"/>
      <c r="H5" s="1"/>
      <c r="I5" s="1"/>
      <c r="J5" s="1"/>
      <c r="K5" s="1"/>
      <c r="L5" s="1"/>
      <c r="M5" s="1"/>
      <c r="N5" s="1"/>
      <c r="O5" s="1"/>
      <c r="P5" s="18"/>
      <c r="Q5" s="19"/>
      <c r="R5" s="19"/>
      <c r="S5" s="19"/>
      <c r="T5" s="19"/>
      <c r="U5" s="19"/>
      <c r="V5" s="19"/>
      <c r="W5" s="19"/>
      <c r="X5" s="19"/>
      <c r="Y5" s="19"/>
      <c r="Z5" s="19"/>
      <c r="AA5" s="19"/>
      <c r="AB5" s="20"/>
      <c r="AC5" s="29"/>
      <c r="AD5" s="1"/>
      <c r="AE5" s="1"/>
      <c r="AF5" s="1"/>
      <c r="AG5" s="1"/>
      <c r="AH5" s="1"/>
      <c r="AI5" s="1"/>
      <c r="AJ5" s="1"/>
      <c r="AK5" s="1"/>
      <c r="AL5" s="1"/>
      <c r="AM5" s="1"/>
      <c r="AN5" s="1"/>
      <c r="AO5" s="1"/>
      <c r="AP5" s="1"/>
      <c r="AQ5" s="1"/>
    </row>
    <row r="6" spans="1:43" ht="30">
      <c r="A6" s="1"/>
      <c r="B6" s="1"/>
      <c r="C6" s="1"/>
      <c r="D6" s="1"/>
      <c r="E6" s="1"/>
      <c r="F6" s="1"/>
      <c r="G6" s="1"/>
      <c r="H6" s="1"/>
      <c r="I6" s="1"/>
      <c r="J6" s="1"/>
      <c r="K6" s="1"/>
      <c r="L6" s="1"/>
      <c r="M6" s="1"/>
      <c r="N6" s="1"/>
      <c r="O6" s="1"/>
      <c r="P6" s="18"/>
      <c r="Q6" s="19"/>
      <c r="R6" s="328" t="s">
        <v>331</v>
      </c>
      <c r="S6" s="329"/>
      <c r="T6" s="329"/>
      <c r="U6" s="329"/>
      <c r="V6" s="329"/>
      <c r="W6" s="329"/>
      <c r="X6" s="329"/>
      <c r="Y6" s="329"/>
      <c r="Z6" s="330"/>
      <c r="AA6" s="19"/>
      <c r="AB6" s="20"/>
      <c r="AC6" s="29"/>
      <c r="AD6" s="1"/>
      <c r="AE6" s="1"/>
      <c r="AF6" s="1"/>
      <c r="AG6" s="1"/>
      <c r="AH6" s="1"/>
      <c r="AI6" s="1"/>
      <c r="AJ6" s="1"/>
      <c r="AK6" s="1"/>
      <c r="AL6" s="1"/>
      <c r="AM6" s="1"/>
      <c r="AN6" s="1"/>
      <c r="AO6" s="1"/>
      <c r="AP6" s="1"/>
      <c r="AQ6" s="1"/>
    </row>
    <row r="7" spans="1:43">
      <c r="A7" s="1"/>
      <c r="B7" s="1"/>
      <c r="C7" s="1"/>
      <c r="D7" s="1"/>
      <c r="E7" s="1"/>
      <c r="F7" s="1"/>
      <c r="G7" s="1"/>
      <c r="H7" s="1"/>
      <c r="I7" s="1"/>
      <c r="J7" s="1"/>
      <c r="K7" s="1"/>
      <c r="L7" s="1"/>
      <c r="M7" s="1"/>
      <c r="N7" s="1"/>
      <c r="O7" s="1"/>
      <c r="P7" s="18"/>
      <c r="Q7" s="19"/>
      <c r="R7" s="19"/>
      <c r="S7" s="19"/>
      <c r="T7" s="19"/>
      <c r="U7" s="19"/>
      <c r="V7" s="19"/>
      <c r="W7" s="19"/>
      <c r="X7" s="19"/>
      <c r="Y7" s="19"/>
      <c r="Z7" s="19"/>
      <c r="AA7" s="19"/>
      <c r="AB7" s="20"/>
      <c r="AC7" s="29"/>
      <c r="AD7" s="1"/>
      <c r="AE7" s="1"/>
      <c r="AF7" s="1"/>
      <c r="AG7" s="1"/>
      <c r="AH7" s="1"/>
      <c r="AI7" s="1"/>
      <c r="AJ7" s="1"/>
      <c r="AK7" s="1"/>
      <c r="AL7" s="1"/>
      <c r="AM7" s="1"/>
      <c r="AN7" s="1"/>
      <c r="AO7" s="1"/>
      <c r="AP7" s="1"/>
      <c r="AQ7" s="1"/>
    </row>
    <row r="8" spans="1:43">
      <c r="A8" s="1"/>
      <c r="B8" s="1"/>
      <c r="C8" s="1"/>
      <c r="D8" s="1"/>
      <c r="E8" s="1"/>
      <c r="F8" s="1"/>
      <c r="G8" s="1"/>
      <c r="H8" s="1"/>
      <c r="I8" s="1"/>
      <c r="J8" s="1"/>
      <c r="K8" s="1"/>
      <c r="L8" s="1"/>
      <c r="M8" s="1"/>
      <c r="N8" s="1"/>
      <c r="O8" s="1"/>
      <c r="P8" s="18"/>
      <c r="Q8" s="19"/>
      <c r="R8" s="19"/>
      <c r="S8" s="19"/>
      <c r="T8" s="428" t="s">
        <v>332</v>
      </c>
      <c r="U8" s="428"/>
      <c r="V8" s="428"/>
      <c r="W8" s="428"/>
      <c r="X8" s="49"/>
      <c r="Y8" s="19"/>
      <c r="Z8" s="19"/>
      <c r="AA8" s="19"/>
      <c r="AB8" s="20"/>
      <c r="AC8" s="29"/>
      <c r="AD8" s="1"/>
      <c r="AE8" s="1"/>
      <c r="AF8" s="1"/>
      <c r="AG8" s="1"/>
      <c r="AH8" s="1"/>
      <c r="AI8" s="1"/>
      <c r="AJ8" s="1"/>
      <c r="AK8" s="1"/>
      <c r="AL8" s="1"/>
      <c r="AM8" s="1"/>
      <c r="AN8" s="1"/>
      <c r="AO8" s="1"/>
      <c r="AP8" s="1"/>
      <c r="AQ8" s="1"/>
    </row>
    <row r="9" spans="1:43">
      <c r="A9" s="1"/>
      <c r="B9" s="1"/>
      <c r="C9" s="1"/>
      <c r="D9" s="1"/>
      <c r="E9" s="1"/>
      <c r="F9" s="1"/>
      <c r="G9" s="1"/>
      <c r="H9" s="1"/>
      <c r="I9" s="1"/>
      <c r="J9" s="1"/>
      <c r="K9" s="1"/>
      <c r="L9" s="1"/>
      <c r="M9" s="1"/>
      <c r="N9" s="1"/>
      <c r="O9" s="1"/>
      <c r="P9" s="18"/>
      <c r="Q9" s="19"/>
      <c r="R9" s="19"/>
      <c r="S9" s="19"/>
      <c r="T9" s="426" t="s">
        <v>333</v>
      </c>
      <c r="U9" s="426"/>
      <c r="V9" s="131" t="s">
        <v>334</v>
      </c>
      <c r="W9" s="132">
        <f>Inputs!V32</f>
        <v>60</v>
      </c>
      <c r="X9" s="19" t="s">
        <v>28</v>
      </c>
      <c r="Y9" s="19"/>
      <c r="Z9" s="19"/>
      <c r="AA9" s="19"/>
      <c r="AB9" s="20"/>
      <c r="AC9" s="29"/>
      <c r="AD9" s="1"/>
      <c r="AE9" s="1"/>
      <c r="AF9" s="1"/>
      <c r="AG9" s="1"/>
      <c r="AH9" s="1"/>
      <c r="AI9" s="1"/>
      <c r="AJ9" s="1"/>
      <c r="AK9" s="1"/>
      <c r="AL9" s="1"/>
      <c r="AM9" s="1"/>
      <c r="AN9" s="1"/>
      <c r="AO9" s="1"/>
      <c r="AP9" s="1"/>
      <c r="AQ9" s="1"/>
    </row>
    <row r="10" spans="1:43" ht="15.6">
      <c r="A10" s="1"/>
      <c r="B10" s="1"/>
      <c r="C10" s="1"/>
      <c r="D10" s="1"/>
      <c r="E10" s="1"/>
      <c r="F10" s="1"/>
      <c r="G10" s="1"/>
      <c r="H10" s="1"/>
      <c r="I10" s="1"/>
      <c r="J10" s="1"/>
      <c r="K10" s="1"/>
      <c r="L10" s="1"/>
      <c r="M10" s="1"/>
      <c r="N10" s="1"/>
      <c r="O10" s="1"/>
      <c r="P10" s="18"/>
      <c r="Q10" s="19"/>
      <c r="R10" s="19"/>
      <c r="S10" s="19"/>
      <c r="T10" s="426" t="s">
        <v>335</v>
      </c>
      <c r="U10" s="426"/>
      <c r="V10" s="201" t="s">
        <v>336</v>
      </c>
      <c r="W10" s="226">
        <f>INDEX('Backend Data'!G73:G98,MATCH('MTU Losses'!W9,'Backend Data'!F73:F98,0))</f>
        <v>0.18743505139493363</v>
      </c>
      <c r="X10" s="19" t="s">
        <v>25</v>
      </c>
      <c r="Y10" s="19"/>
      <c r="Z10" s="19"/>
      <c r="AA10" s="19"/>
      <c r="AB10" s="20"/>
      <c r="AC10" s="29"/>
      <c r="AD10" s="1"/>
      <c r="AE10" s="1"/>
      <c r="AF10" s="1"/>
      <c r="AG10" s="1"/>
      <c r="AH10" s="1"/>
      <c r="AI10" s="1"/>
      <c r="AJ10" s="1"/>
      <c r="AK10" s="1"/>
      <c r="AL10" s="1"/>
      <c r="AM10" s="1"/>
      <c r="AN10" s="1"/>
      <c r="AO10" s="1"/>
      <c r="AP10" s="1"/>
      <c r="AQ10" s="1"/>
    </row>
    <row r="11" spans="1:43" ht="14.45" customHeight="1">
      <c r="A11" s="1"/>
      <c r="B11" s="1"/>
      <c r="C11" s="1"/>
      <c r="D11" s="1"/>
      <c r="E11" s="1"/>
      <c r="F11" s="1"/>
      <c r="G11" s="1"/>
      <c r="H11" s="1"/>
      <c r="I11" s="1"/>
      <c r="J11" s="1"/>
      <c r="K11" s="1"/>
      <c r="L11" s="1"/>
      <c r="M11" s="1"/>
      <c r="N11" s="1"/>
      <c r="O11" s="1"/>
      <c r="P11" s="18"/>
      <c r="Q11" s="19"/>
      <c r="R11" s="19"/>
      <c r="S11" s="19"/>
      <c r="T11" s="426" t="s">
        <v>337</v>
      </c>
      <c r="U11" s="426"/>
      <c r="V11" s="19" t="s">
        <v>338</v>
      </c>
      <c r="W11" s="292">
        <f>Inputs!$V$23</f>
        <v>0</v>
      </c>
      <c r="X11" s="19" t="s">
        <v>25</v>
      </c>
      <c r="Y11" s="19"/>
      <c r="Z11" s="19"/>
      <c r="AA11" s="19"/>
      <c r="AB11" s="20"/>
      <c r="AC11" s="29"/>
      <c r="AD11" s="1"/>
      <c r="AE11" s="1"/>
      <c r="AF11" s="1"/>
      <c r="AG11" s="1"/>
      <c r="AH11" s="1"/>
      <c r="AI11" s="1"/>
      <c r="AJ11" s="1"/>
      <c r="AK11" s="1"/>
      <c r="AL11" s="1"/>
      <c r="AM11" s="1"/>
      <c r="AN11" s="1"/>
      <c r="AO11" s="1"/>
      <c r="AP11" s="1"/>
      <c r="AQ11" s="1"/>
    </row>
    <row r="12" spans="1:43">
      <c r="A12" s="1"/>
      <c r="B12" s="1"/>
      <c r="C12" s="1"/>
      <c r="D12" s="1"/>
      <c r="E12" s="1"/>
      <c r="F12" s="1"/>
      <c r="G12" s="1"/>
      <c r="H12" s="1"/>
      <c r="I12" s="1"/>
      <c r="J12" s="1"/>
      <c r="K12" s="1"/>
      <c r="L12" s="1"/>
      <c r="M12" s="1"/>
      <c r="N12" s="1"/>
      <c r="O12" s="1"/>
      <c r="P12" s="18"/>
      <c r="Q12" s="19"/>
      <c r="R12" s="19"/>
      <c r="S12" s="19"/>
      <c r="T12" s="426"/>
      <c r="U12" s="426"/>
      <c r="V12" s="19"/>
      <c r="W12" s="225"/>
      <c r="X12" s="19"/>
      <c r="Y12" s="19"/>
      <c r="Z12" s="19"/>
      <c r="AA12" s="19"/>
      <c r="AB12" s="20"/>
      <c r="AC12" s="29"/>
      <c r="AD12" s="1"/>
      <c r="AE12" s="1"/>
      <c r="AF12" s="1"/>
      <c r="AG12" s="1"/>
      <c r="AH12" s="1"/>
      <c r="AI12" s="1"/>
      <c r="AJ12" s="1"/>
      <c r="AK12" s="1"/>
      <c r="AL12" s="1"/>
      <c r="AM12" s="1"/>
      <c r="AN12" s="1"/>
      <c r="AO12" s="1"/>
      <c r="AP12" s="1"/>
      <c r="AQ12" s="1"/>
    </row>
    <row r="13" spans="1:43" ht="30">
      <c r="A13" s="1"/>
      <c r="B13" s="1"/>
      <c r="C13" s="1"/>
      <c r="D13" s="1"/>
      <c r="E13" s="1"/>
      <c r="F13" s="1"/>
      <c r="G13" s="1"/>
      <c r="H13" s="1"/>
      <c r="I13" s="1"/>
      <c r="J13" s="1"/>
      <c r="K13" s="1"/>
      <c r="L13" s="1"/>
      <c r="M13" s="1"/>
      <c r="N13" s="1"/>
      <c r="O13" s="1"/>
      <c r="P13" s="18"/>
      <c r="Q13" s="19"/>
      <c r="R13" s="331" t="s">
        <v>339</v>
      </c>
      <c r="S13" s="332"/>
      <c r="T13" s="332"/>
      <c r="U13" s="332"/>
      <c r="V13" s="332"/>
      <c r="W13" s="332"/>
      <c r="X13" s="332"/>
      <c r="Y13" s="332"/>
      <c r="Z13" s="333"/>
      <c r="AA13" s="19"/>
      <c r="AB13" s="20"/>
      <c r="AC13" s="29"/>
      <c r="AD13" s="1"/>
      <c r="AE13" s="1"/>
      <c r="AF13" s="1"/>
      <c r="AG13" s="1"/>
      <c r="AH13" s="1"/>
      <c r="AI13" s="1"/>
      <c r="AJ13" s="1"/>
      <c r="AK13" s="1"/>
      <c r="AL13" s="1"/>
      <c r="AM13" s="1"/>
      <c r="AN13" s="1"/>
      <c r="AO13" s="1"/>
      <c r="AP13" s="1"/>
      <c r="AQ13" s="1"/>
    </row>
    <row r="14" spans="1:43">
      <c r="A14" s="1"/>
      <c r="B14" s="1"/>
      <c r="C14" s="1"/>
      <c r="D14" s="1"/>
      <c r="E14" s="1"/>
      <c r="F14" s="1"/>
      <c r="G14" s="1"/>
      <c r="H14" s="1"/>
      <c r="I14" s="1"/>
      <c r="J14" s="1"/>
      <c r="K14" s="1"/>
      <c r="L14" s="1"/>
      <c r="M14" s="1"/>
      <c r="N14" s="1"/>
      <c r="O14" s="1"/>
      <c r="P14" s="18"/>
      <c r="Q14" s="19"/>
      <c r="R14" s="49"/>
      <c r="S14" s="49"/>
      <c r="T14" s="49"/>
      <c r="U14" s="49"/>
      <c r="V14" s="19"/>
      <c r="W14" s="19"/>
      <c r="X14" s="19"/>
      <c r="Y14" s="19"/>
      <c r="Z14" s="19"/>
      <c r="AA14" s="19"/>
      <c r="AB14" s="20"/>
      <c r="AC14" s="29"/>
      <c r="AD14" s="1"/>
      <c r="AE14" s="1"/>
      <c r="AF14" s="1"/>
      <c r="AG14" s="1"/>
      <c r="AH14" s="1"/>
      <c r="AI14" s="1"/>
      <c r="AJ14" s="1"/>
      <c r="AK14" s="1"/>
      <c r="AL14" s="1"/>
      <c r="AM14" s="1"/>
      <c r="AN14" s="1"/>
      <c r="AO14" s="1"/>
      <c r="AP14" s="1"/>
      <c r="AQ14" s="1"/>
    </row>
    <row r="15" spans="1:43">
      <c r="A15" s="1"/>
      <c r="B15" s="1"/>
      <c r="C15" s="1"/>
      <c r="D15" s="1"/>
      <c r="E15" s="1"/>
      <c r="F15" s="1"/>
      <c r="G15" s="1"/>
      <c r="H15" s="1"/>
      <c r="I15" s="1"/>
      <c r="J15" s="1"/>
      <c r="K15" s="1"/>
      <c r="L15" s="1"/>
      <c r="M15" s="1"/>
      <c r="N15" s="1"/>
      <c r="O15" s="1"/>
      <c r="P15" s="18"/>
      <c r="Q15" s="19"/>
      <c r="R15" s="50"/>
      <c r="S15" s="50"/>
      <c r="T15" s="428" t="s">
        <v>332</v>
      </c>
      <c r="U15" s="428"/>
      <c r="V15" s="428"/>
      <c r="W15" s="428"/>
      <c r="X15" s="49"/>
      <c r="Y15" s="19"/>
      <c r="Z15" s="19"/>
      <c r="AA15" s="19"/>
      <c r="AB15" s="20"/>
      <c r="AC15" s="29"/>
      <c r="AD15" s="1"/>
      <c r="AE15" s="1"/>
      <c r="AF15" s="1"/>
      <c r="AG15" s="1"/>
      <c r="AH15" s="1"/>
      <c r="AI15" s="1"/>
      <c r="AJ15" s="1"/>
      <c r="AK15" s="1"/>
      <c r="AL15" s="1"/>
      <c r="AM15" s="1"/>
      <c r="AN15" s="1"/>
      <c r="AO15" s="1"/>
      <c r="AP15" s="1"/>
      <c r="AQ15" s="1"/>
    </row>
    <row r="16" spans="1:43" ht="15.6">
      <c r="A16" s="1"/>
      <c r="B16" s="1"/>
      <c r="C16" s="1"/>
      <c r="D16" s="1"/>
      <c r="E16" s="1"/>
      <c r="F16" s="1"/>
      <c r="G16" s="1"/>
      <c r="H16" s="1"/>
      <c r="I16" s="1"/>
      <c r="J16" s="1"/>
      <c r="K16" s="1"/>
      <c r="L16" s="1"/>
      <c r="M16" s="1"/>
      <c r="N16" s="1"/>
      <c r="O16" s="1"/>
      <c r="P16" s="18"/>
      <c r="Q16" s="19"/>
      <c r="R16" s="19"/>
      <c r="S16" s="19"/>
      <c r="T16" s="426" t="s">
        <v>340</v>
      </c>
      <c r="U16" s="426"/>
      <c r="V16" s="201" t="s">
        <v>341</v>
      </c>
      <c r="W16" s="283">
        <v>0.5</v>
      </c>
      <c r="X16" s="19" t="s">
        <v>25</v>
      </c>
      <c r="Y16" s="49"/>
      <c r="Z16" s="49"/>
      <c r="AA16" s="19"/>
      <c r="AB16" s="20"/>
      <c r="AC16" s="29"/>
      <c r="AD16" s="1"/>
      <c r="AE16" s="1"/>
      <c r="AF16" s="1"/>
      <c r="AG16" s="1"/>
      <c r="AH16" s="1"/>
      <c r="AI16" s="1"/>
      <c r="AJ16" s="1"/>
      <c r="AK16" s="1"/>
      <c r="AL16" s="1"/>
      <c r="AM16" s="1"/>
      <c r="AN16" s="1"/>
      <c r="AO16" s="1"/>
      <c r="AP16" s="1"/>
      <c r="AQ16" s="1"/>
    </row>
    <row r="17" spans="1:43" ht="15.6">
      <c r="A17" s="1"/>
      <c r="B17" s="1"/>
      <c r="C17" s="1"/>
      <c r="D17" s="1"/>
      <c r="E17" s="1"/>
      <c r="F17" s="1"/>
      <c r="G17" s="1"/>
      <c r="H17" s="1"/>
      <c r="I17" s="1"/>
      <c r="J17" s="1"/>
      <c r="K17" s="1"/>
      <c r="L17" s="1"/>
      <c r="M17" s="1"/>
      <c r="N17" s="1"/>
      <c r="O17" s="1"/>
      <c r="P17" s="18"/>
      <c r="Q17" s="19"/>
      <c r="R17" s="19"/>
      <c r="S17" s="19"/>
      <c r="T17" s="426" t="s">
        <v>342</v>
      </c>
      <c r="U17" s="426"/>
      <c r="V17" s="201" t="s">
        <v>341</v>
      </c>
      <c r="W17" s="284">
        <v>0.5</v>
      </c>
      <c r="X17" s="19" t="s">
        <v>25</v>
      </c>
      <c r="Y17" s="19"/>
      <c r="Z17" s="19"/>
      <c r="AA17" s="19"/>
      <c r="AB17" s="20"/>
      <c r="AC17" s="29"/>
      <c r="AD17" s="1"/>
      <c r="AE17" s="1"/>
      <c r="AF17" s="1"/>
      <c r="AG17" s="1"/>
      <c r="AH17" s="1"/>
      <c r="AI17" s="1"/>
      <c r="AJ17" s="1"/>
      <c r="AK17" s="1"/>
      <c r="AL17" s="1"/>
      <c r="AM17" s="1"/>
      <c r="AN17" s="1"/>
      <c r="AO17" s="1"/>
      <c r="AP17" s="1"/>
      <c r="AQ17" s="1"/>
    </row>
    <row r="18" spans="1:43">
      <c r="A18" s="1"/>
      <c r="B18" s="1"/>
      <c r="C18" s="1"/>
      <c r="D18" s="1"/>
      <c r="E18" s="1"/>
      <c r="F18" s="1"/>
      <c r="G18" s="1"/>
      <c r="H18" s="1"/>
      <c r="I18" s="1"/>
      <c r="J18" s="1"/>
      <c r="K18" s="1"/>
      <c r="L18" s="1"/>
      <c r="M18" s="1"/>
      <c r="N18" s="1"/>
      <c r="O18" s="1"/>
      <c r="P18" s="18"/>
      <c r="Q18" s="19"/>
      <c r="R18" s="19"/>
      <c r="S18" s="19"/>
      <c r="T18" s="19"/>
      <c r="U18" s="19"/>
      <c r="V18" s="19"/>
      <c r="W18" s="19"/>
      <c r="X18" s="19"/>
      <c r="Y18" s="19"/>
      <c r="Z18" s="19"/>
      <c r="AA18" s="19"/>
      <c r="AB18" s="20"/>
      <c r="AC18" s="29"/>
      <c r="AD18" s="1"/>
      <c r="AE18" s="1"/>
      <c r="AF18" s="1"/>
      <c r="AG18" s="1"/>
      <c r="AH18" s="1"/>
      <c r="AI18" s="1"/>
      <c r="AJ18" s="1"/>
      <c r="AK18" s="1"/>
      <c r="AL18" s="1"/>
      <c r="AM18" s="1"/>
      <c r="AN18" s="1"/>
      <c r="AO18" s="1"/>
      <c r="AP18" s="1"/>
      <c r="AQ18" s="1"/>
    </row>
    <row r="19" spans="1:43">
      <c r="A19" s="1"/>
      <c r="B19" s="1"/>
      <c r="C19" s="1"/>
      <c r="D19" s="1"/>
      <c r="E19" s="1"/>
      <c r="F19" s="1"/>
      <c r="G19" s="1"/>
      <c r="H19" s="1"/>
      <c r="I19" s="1"/>
      <c r="J19" s="1"/>
      <c r="K19" s="1"/>
      <c r="L19" s="1"/>
      <c r="M19" s="1"/>
      <c r="N19" s="1"/>
      <c r="O19" s="1"/>
      <c r="P19" s="23"/>
      <c r="Q19" s="24"/>
      <c r="R19" s="51"/>
      <c r="S19" s="51"/>
      <c r="T19" s="51"/>
      <c r="U19" s="51"/>
      <c r="V19" s="24"/>
      <c r="W19" s="24"/>
      <c r="X19" s="24"/>
      <c r="Y19" s="24"/>
      <c r="Z19" s="24"/>
      <c r="AA19" s="24"/>
      <c r="AB19" s="25"/>
      <c r="AC19" s="29"/>
      <c r="AD19" s="1"/>
      <c r="AE19" s="1"/>
      <c r="AF19" s="1"/>
      <c r="AG19" s="1"/>
      <c r="AH19" s="1"/>
      <c r="AI19" s="1"/>
      <c r="AJ19" s="1"/>
      <c r="AK19" s="1"/>
      <c r="AL19" s="1"/>
      <c r="AM19" s="1"/>
      <c r="AN19" s="1"/>
      <c r="AO19" s="1"/>
      <c r="AP19" s="1"/>
      <c r="AQ19" s="1"/>
    </row>
    <row r="20" spans="1:43">
      <c r="A20" s="1" t="s">
        <v>274</v>
      </c>
      <c r="B20" s="1"/>
      <c r="C20" s="1"/>
      <c r="D20" s="1"/>
      <c r="E20" s="1"/>
      <c r="F20" s="1"/>
      <c r="G20" s="1"/>
      <c r="H20" s="1"/>
      <c r="I20" s="1"/>
      <c r="J20" s="1"/>
      <c r="K20" s="1"/>
      <c r="L20" s="1"/>
      <c r="M20" s="1"/>
      <c r="N20" s="1"/>
      <c r="O20" s="1"/>
      <c r="P20" s="52"/>
      <c r="Q20" s="52"/>
      <c r="R20" s="53"/>
      <c r="S20" s="53"/>
      <c r="T20" s="53"/>
      <c r="U20" s="53"/>
      <c r="V20" s="53"/>
      <c r="W20" s="53"/>
      <c r="X20" s="53"/>
      <c r="Y20" s="53"/>
      <c r="Z20" s="53"/>
      <c r="AA20" s="52"/>
      <c r="AB20" s="52"/>
      <c r="AC20" s="1"/>
      <c r="AD20" s="1"/>
      <c r="AE20" s="1"/>
      <c r="AF20" s="1"/>
      <c r="AG20" s="1"/>
      <c r="AH20" s="1"/>
      <c r="AI20" s="1"/>
      <c r="AJ20" s="1"/>
      <c r="AK20" s="1"/>
      <c r="AL20" s="1"/>
      <c r="AM20" s="1"/>
      <c r="AN20" s="1"/>
      <c r="AO20" s="1"/>
      <c r="AP20" s="1"/>
      <c r="AQ20" s="1"/>
    </row>
    <row r="21" spans="1:43">
      <c r="A21" s="1"/>
      <c r="B21" s="1"/>
      <c r="C21" s="1"/>
      <c r="D21" s="1"/>
      <c r="E21" s="1"/>
      <c r="F21" s="1"/>
      <c r="G21" s="1"/>
      <c r="H21" s="1"/>
      <c r="I21" s="1"/>
      <c r="J21" s="1"/>
      <c r="K21" s="1"/>
      <c r="L21" s="1"/>
      <c r="M21" s="1"/>
      <c r="N21" s="1"/>
      <c r="O21" s="1"/>
      <c r="P21" s="54"/>
      <c r="Q21" s="54"/>
      <c r="R21" s="55"/>
      <c r="S21" s="55"/>
      <c r="T21" s="55"/>
      <c r="U21" s="55"/>
      <c r="V21" s="55"/>
      <c r="W21" s="55"/>
      <c r="X21" s="55"/>
      <c r="Y21" s="55"/>
      <c r="Z21" s="55"/>
      <c r="AA21" s="54"/>
      <c r="AB21" s="54"/>
      <c r="AC21" s="1"/>
      <c r="AD21" s="1"/>
      <c r="AE21" s="1"/>
      <c r="AF21" s="1"/>
      <c r="AG21" s="1"/>
      <c r="AH21" s="1"/>
      <c r="AI21" s="1"/>
      <c r="AJ21" s="1"/>
      <c r="AK21" s="1"/>
      <c r="AL21" s="1"/>
      <c r="AM21" s="1"/>
      <c r="AN21" s="1"/>
      <c r="AO21" s="1"/>
      <c r="AP21" s="1"/>
      <c r="AQ21" s="1"/>
    </row>
    <row r="22" spans="1:43">
      <c r="A22" s="1"/>
      <c r="B22" s="1"/>
      <c r="C22" s="1"/>
      <c r="D22" s="1"/>
      <c r="E22" s="1"/>
      <c r="F22" s="1"/>
      <c r="G22" s="1"/>
      <c r="H22" s="1"/>
      <c r="I22" s="1"/>
      <c r="J22" s="1"/>
      <c r="K22" s="1"/>
      <c r="L22" s="1"/>
      <c r="M22" s="1"/>
      <c r="N22" s="1"/>
      <c r="O22" s="1"/>
      <c r="P22" s="26"/>
      <c r="Q22" s="27"/>
      <c r="R22" s="27"/>
      <c r="S22" s="27"/>
      <c r="T22" s="27"/>
      <c r="U22" s="27"/>
      <c r="V22" s="27"/>
      <c r="W22" s="27"/>
      <c r="X22" s="27"/>
      <c r="Y22" s="27"/>
      <c r="Z22" s="27"/>
      <c r="AA22" s="27"/>
      <c r="AB22" s="28"/>
      <c r="AC22" s="1"/>
      <c r="AD22" s="1"/>
      <c r="AE22" s="1"/>
      <c r="AF22" s="1"/>
      <c r="AG22" s="1"/>
      <c r="AH22" s="1"/>
      <c r="AI22" s="1"/>
      <c r="AJ22" s="1"/>
      <c r="AK22" s="1"/>
      <c r="AL22" s="1"/>
      <c r="AM22" s="1"/>
      <c r="AN22" s="1"/>
      <c r="AO22" s="1"/>
      <c r="AP22" s="1"/>
      <c r="AQ22" s="1"/>
    </row>
    <row r="23" spans="1:43">
      <c r="A23" s="1"/>
      <c r="B23" s="1"/>
      <c r="C23" s="1"/>
      <c r="D23" s="1"/>
      <c r="E23" s="1"/>
      <c r="F23" s="1"/>
      <c r="G23" s="1"/>
      <c r="H23" s="1"/>
      <c r="I23" s="1"/>
      <c r="J23" s="1"/>
      <c r="K23" s="1"/>
      <c r="L23" s="1"/>
      <c r="M23" s="1"/>
      <c r="N23" s="1"/>
      <c r="O23" s="1"/>
      <c r="P23" s="30"/>
      <c r="Q23" s="31"/>
      <c r="R23" s="31"/>
      <c r="S23" s="31"/>
      <c r="T23" s="31"/>
      <c r="U23" s="31"/>
      <c r="V23" s="31"/>
      <c r="W23" s="31"/>
      <c r="X23" s="31"/>
      <c r="Y23" s="31"/>
      <c r="Z23" s="31"/>
      <c r="AA23" s="31"/>
      <c r="AB23" s="32"/>
      <c r="AC23" s="1"/>
      <c r="AD23" s="1"/>
      <c r="AE23" s="1"/>
      <c r="AF23" s="1"/>
      <c r="AG23" s="1"/>
      <c r="AH23" s="1"/>
      <c r="AI23" s="1"/>
      <c r="AJ23" s="1"/>
      <c r="AK23" s="1"/>
      <c r="AL23" s="1"/>
      <c r="AM23" s="1"/>
      <c r="AN23" s="1"/>
      <c r="AO23" s="1"/>
      <c r="AP23" s="1"/>
      <c r="AQ23" s="1"/>
    </row>
    <row r="24" spans="1:43" ht="30">
      <c r="A24" s="1"/>
      <c r="B24" s="1"/>
      <c r="C24" s="1"/>
      <c r="D24" s="1"/>
      <c r="E24" s="1"/>
      <c r="F24" s="1"/>
      <c r="G24" s="1"/>
      <c r="H24" s="1"/>
      <c r="I24" s="1"/>
      <c r="J24" s="1"/>
      <c r="K24" s="1"/>
      <c r="L24" s="1"/>
      <c r="M24" s="1"/>
      <c r="N24" s="1"/>
      <c r="O24" s="1"/>
      <c r="P24" s="30"/>
      <c r="Q24" s="31"/>
      <c r="R24" s="328" t="s">
        <v>343</v>
      </c>
      <c r="S24" s="329"/>
      <c r="T24" s="329"/>
      <c r="U24" s="329"/>
      <c r="V24" s="329"/>
      <c r="W24" s="329"/>
      <c r="X24" s="329"/>
      <c r="Y24" s="329"/>
      <c r="Z24" s="330"/>
      <c r="AA24" s="31"/>
      <c r="AB24" s="32"/>
      <c r="AC24" s="1"/>
      <c r="AD24" s="1"/>
      <c r="AE24" s="1"/>
      <c r="AF24" s="1"/>
      <c r="AG24" s="1"/>
      <c r="AH24" s="1"/>
      <c r="AI24" s="1"/>
      <c r="AJ24" s="1"/>
      <c r="AK24" s="1"/>
      <c r="AL24" s="1"/>
      <c r="AM24" s="1"/>
      <c r="AN24" s="1"/>
      <c r="AO24" s="1"/>
      <c r="AP24" s="1"/>
      <c r="AQ24" s="1"/>
    </row>
    <row r="25" spans="1:43" ht="15.4" customHeight="1">
      <c r="A25" s="1"/>
      <c r="B25" s="1"/>
      <c r="C25" s="1"/>
      <c r="D25" s="1"/>
      <c r="E25" s="1"/>
      <c r="F25" s="1"/>
      <c r="G25" s="1"/>
      <c r="H25" s="1"/>
      <c r="I25" s="1"/>
      <c r="J25" s="1"/>
      <c r="K25" s="1"/>
      <c r="L25" s="1"/>
      <c r="M25" s="1"/>
      <c r="N25" s="1"/>
      <c r="O25" s="1"/>
      <c r="P25" s="30"/>
      <c r="Q25" s="31"/>
      <c r="R25" s="56"/>
      <c r="S25" s="56"/>
      <c r="T25" s="56"/>
      <c r="U25" s="56"/>
      <c r="V25" s="56"/>
      <c r="W25" s="56"/>
      <c r="X25" s="56"/>
      <c r="Y25" s="56"/>
      <c r="Z25" s="56"/>
      <c r="AA25" s="31"/>
      <c r="AB25" s="32"/>
      <c r="AC25" s="1"/>
      <c r="AD25" s="1"/>
      <c r="AE25" s="1"/>
      <c r="AF25" s="1"/>
      <c r="AG25" s="1"/>
      <c r="AH25" s="1"/>
      <c r="AI25" s="1"/>
      <c r="AJ25" s="1"/>
      <c r="AK25" s="1"/>
      <c r="AL25" s="1"/>
      <c r="AM25" s="1"/>
      <c r="AN25" s="1"/>
      <c r="AO25" s="1"/>
      <c r="AP25" s="1"/>
      <c r="AQ25" s="1"/>
    </row>
    <row r="26" spans="1:43" ht="15.4" customHeight="1">
      <c r="A26" s="1"/>
      <c r="B26" s="1"/>
      <c r="C26" s="1"/>
      <c r="D26" s="1"/>
      <c r="E26" s="1"/>
      <c r="F26" s="1"/>
      <c r="G26" s="1"/>
      <c r="H26" s="1"/>
      <c r="I26" s="1"/>
      <c r="J26" s="1"/>
      <c r="K26" s="1"/>
      <c r="L26" s="1"/>
      <c r="M26" s="1"/>
      <c r="N26" s="1"/>
      <c r="O26" s="1"/>
      <c r="P26" s="30"/>
      <c r="Q26" s="31"/>
      <c r="R26" s="56"/>
      <c r="S26" s="56"/>
      <c r="T26" s="56"/>
      <c r="U26" s="56"/>
      <c r="V26" s="56"/>
      <c r="W26" s="56"/>
      <c r="X26" s="56"/>
      <c r="Y26" s="56"/>
      <c r="Z26" s="56"/>
      <c r="AA26" s="31"/>
      <c r="AB26" s="32"/>
      <c r="AC26" s="1"/>
      <c r="AD26" s="1"/>
      <c r="AE26" s="1"/>
      <c r="AF26" s="1"/>
      <c r="AG26" s="1"/>
      <c r="AH26" s="1"/>
      <c r="AI26" s="1"/>
      <c r="AJ26" s="1"/>
      <c r="AK26" s="1"/>
      <c r="AL26" s="1"/>
      <c r="AM26" s="1"/>
      <c r="AN26" s="1"/>
      <c r="AO26" s="1"/>
      <c r="AP26" s="1"/>
      <c r="AQ26" s="1"/>
    </row>
    <row r="27" spans="1:43" ht="15.4" customHeight="1">
      <c r="A27" s="1"/>
      <c r="B27" s="1"/>
      <c r="C27" s="1"/>
      <c r="D27" s="1"/>
      <c r="E27" s="1"/>
      <c r="F27" s="1"/>
      <c r="G27" s="1"/>
      <c r="H27" s="1"/>
      <c r="I27" s="1"/>
      <c r="J27" s="1"/>
      <c r="K27" s="1"/>
      <c r="L27" s="1"/>
      <c r="M27" s="1"/>
      <c r="N27" s="1"/>
      <c r="O27" s="1"/>
      <c r="P27" s="30"/>
      <c r="Q27" s="31"/>
      <c r="R27" s="56"/>
      <c r="S27" s="45"/>
      <c r="T27" s="31"/>
      <c r="U27" s="31"/>
      <c r="V27" s="56"/>
      <c r="W27" s="56"/>
      <c r="X27" s="56"/>
      <c r="Y27" s="56"/>
      <c r="Z27" s="56"/>
      <c r="AA27" s="31"/>
      <c r="AB27" s="32"/>
      <c r="AC27" s="1"/>
      <c r="AD27" s="1"/>
      <c r="AE27" s="1"/>
      <c r="AF27" s="1"/>
      <c r="AG27" s="1"/>
      <c r="AH27" s="1"/>
      <c r="AI27" s="1"/>
      <c r="AJ27" s="1"/>
      <c r="AK27" s="1"/>
      <c r="AL27" s="1"/>
      <c r="AM27" s="1"/>
      <c r="AN27" s="1"/>
      <c r="AO27" s="1"/>
      <c r="AP27" s="1"/>
      <c r="AQ27" s="1"/>
    </row>
    <row r="28" spans="1:43" ht="15.4" customHeight="1">
      <c r="A28" s="1"/>
      <c r="B28" s="1"/>
      <c r="C28" s="1"/>
      <c r="D28" s="1"/>
      <c r="E28" s="1"/>
      <c r="F28" s="1"/>
      <c r="G28" s="1"/>
      <c r="H28" s="1"/>
      <c r="I28" s="1"/>
      <c r="J28" s="1"/>
      <c r="K28" s="1"/>
      <c r="L28" s="1"/>
      <c r="M28" s="1"/>
      <c r="N28" s="1"/>
      <c r="O28" s="1"/>
      <c r="P28" s="30"/>
      <c r="Q28" s="31"/>
      <c r="R28" s="56"/>
      <c r="S28" s="31"/>
      <c r="T28" s="31"/>
      <c r="U28" s="31"/>
      <c r="V28" s="31"/>
      <c r="W28" s="31"/>
      <c r="X28" s="31"/>
      <c r="Y28" s="31"/>
      <c r="Z28" s="31"/>
      <c r="AA28" s="31"/>
      <c r="AB28" s="32"/>
      <c r="AC28" s="1"/>
      <c r="AD28" s="1"/>
      <c r="AE28" s="1"/>
      <c r="AF28" s="1"/>
      <c r="AG28" s="1"/>
      <c r="AH28" s="1"/>
      <c r="AI28" s="1"/>
      <c r="AJ28" s="1"/>
      <c r="AK28" s="1"/>
      <c r="AL28" s="1"/>
      <c r="AM28" s="1"/>
      <c r="AN28" s="1"/>
      <c r="AO28" s="1"/>
      <c r="AP28" s="1"/>
      <c r="AQ28" s="1"/>
    </row>
    <row r="29" spans="1:43" ht="15.4" customHeight="1">
      <c r="A29" s="1"/>
      <c r="B29" s="1"/>
      <c r="C29" s="1"/>
      <c r="D29" s="1"/>
      <c r="E29" s="1"/>
      <c r="F29" s="1"/>
      <c r="G29" s="1"/>
      <c r="H29" s="1"/>
      <c r="I29" s="1"/>
      <c r="J29" s="1"/>
      <c r="K29" s="1"/>
      <c r="L29" s="1"/>
      <c r="M29" s="1"/>
      <c r="N29" s="1"/>
      <c r="O29" s="1"/>
      <c r="P29" s="30"/>
      <c r="Q29" s="31"/>
      <c r="R29" s="56"/>
      <c r="S29" s="31"/>
      <c r="T29" s="31"/>
      <c r="U29" s="31"/>
      <c r="V29" s="31"/>
      <c r="W29" s="31"/>
      <c r="X29" s="31"/>
      <c r="Y29" s="31"/>
      <c r="Z29" s="31"/>
      <c r="AA29" s="31"/>
      <c r="AB29" s="32"/>
      <c r="AC29" s="1"/>
      <c r="AD29" s="1"/>
      <c r="AE29" s="1"/>
      <c r="AF29" s="1"/>
      <c r="AG29" s="1"/>
      <c r="AH29" s="1"/>
      <c r="AI29" s="1"/>
      <c r="AJ29" s="1"/>
      <c r="AK29" s="1"/>
      <c r="AL29" s="1"/>
      <c r="AM29" s="1"/>
      <c r="AN29" s="1"/>
      <c r="AO29" s="1"/>
      <c r="AP29" s="1"/>
      <c r="AQ29" s="1"/>
    </row>
    <row r="30" spans="1:43" ht="15.4" customHeight="1">
      <c r="A30" s="1"/>
      <c r="B30" s="1"/>
      <c r="C30" s="1"/>
      <c r="D30" s="1"/>
      <c r="E30" s="1"/>
      <c r="F30" s="1"/>
      <c r="G30" s="1"/>
      <c r="H30" s="1"/>
      <c r="I30" s="1"/>
      <c r="J30" s="1"/>
      <c r="K30" s="1"/>
      <c r="L30" s="1"/>
      <c r="M30" s="1"/>
      <c r="N30" s="1"/>
      <c r="O30" s="1"/>
      <c r="P30" s="30"/>
      <c r="Q30" s="31"/>
      <c r="R30" s="56"/>
      <c r="S30" s="31"/>
      <c r="T30" s="57" t="s">
        <v>344</v>
      </c>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4" customHeight="1">
      <c r="A31" s="1"/>
      <c r="B31" s="1"/>
      <c r="C31" s="1"/>
      <c r="D31" s="1"/>
      <c r="E31" s="1"/>
      <c r="F31" s="1"/>
      <c r="G31" s="1"/>
      <c r="H31" s="1"/>
      <c r="I31" s="1"/>
      <c r="J31" s="1"/>
      <c r="K31" s="1"/>
      <c r="L31" s="1"/>
      <c r="M31" s="1"/>
      <c r="N31" s="1"/>
      <c r="O31" s="1"/>
      <c r="P31" s="30"/>
      <c r="Q31" s="31"/>
      <c r="R31" s="56"/>
      <c r="S31" s="31"/>
      <c r="T31" s="57" t="s">
        <v>228</v>
      </c>
      <c r="U31" s="45"/>
      <c r="V31" s="31"/>
      <c r="W31" s="31"/>
      <c r="X31" s="31"/>
      <c r="Y31" s="31"/>
      <c r="Z31" s="31"/>
      <c r="AA31" s="31"/>
      <c r="AB31" s="32"/>
      <c r="AC31" s="1"/>
      <c r="AD31" s="1"/>
      <c r="AE31" s="1"/>
      <c r="AF31" s="1"/>
      <c r="AG31" s="1"/>
      <c r="AH31" s="1"/>
      <c r="AI31" s="1"/>
      <c r="AJ31" s="1"/>
      <c r="AK31" s="1"/>
      <c r="AL31" s="1"/>
      <c r="AM31" s="1"/>
      <c r="AN31" s="1"/>
      <c r="AO31" s="1"/>
      <c r="AP31" s="1"/>
      <c r="AQ31" s="1"/>
    </row>
    <row r="32" spans="1:43" ht="15.4" customHeight="1">
      <c r="A32" s="1"/>
      <c r="B32" s="1"/>
      <c r="C32" s="1"/>
      <c r="D32" s="1"/>
      <c r="E32" s="1"/>
      <c r="F32" s="1"/>
      <c r="G32" s="1"/>
      <c r="H32" s="1"/>
      <c r="I32" s="1"/>
      <c r="J32" s="1"/>
      <c r="K32" s="1"/>
      <c r="L32" s="1"/>
      <c r="M32" s="1"/>
      <c r="N32" s="1"/>
      <c r="O32" s="1"/>
      <c r="P32" s="30"/>
      <c r="Q32" s="31"/>
      <c r="R32" s="56"/>
      <c r="S32" s="31"/>
      <c r="T32" s="31"/>
      <c r="U32" s="45"/>
      <c r="V32" s="31"/>
      <c r="W32" s="31"/>
      <c r="X32" s="31"/>
      <c r="Y32" s="31"/>
      <c r="Z32" s="31"/>
      <c r="AA32" s="31"/>
      <c r="AB32" s="32"/>
      <c r="AC32" s="1"/>
      <c r="AD32" s="1"/>
      <c r="AE32" s="1"/>
      <c r="AF32" s="1"/>
      <c r="AG32" s="1"/>
      <c r="AH32" s="1"/>
      <c r="AI32" s="1"/>
      <c r="AJ32" s="1"/>
      <c r="AK32" s="1"/>
      <c r="AL32" s="1"/>
      <c r="AM32" s="1"/>
      <c r="AN32" s="1"/>
      <c r="AO32" s="1"/>
      <c r="AP32" s="1"/>
      <c r="AQ32" s="1"/>
    </row>
    <row r="33" spans="1:43" ht="15.4" customHeight="1">
      <c r="A33" s="1"/>
      <c r="B33" s="1"/>
      <c r="C33" s="1"/>
      <c r="D33" s="1"/>
      <c r="E33" s="1"/>
      <c r="F33" s="1"/>
      <c r="G33" s="1"/>
      <c r="H33" s="1"/>
      <c r="I33" s="1"/>
      <c r="J33" s="1"/>
      <c r="K33" s="1"/>
      <c r="L33" s="1"/>
      <c r="M33" s="1"/>
      <c r="N33" s="1"/>
      <c r="O33" s="1"/>
      <c r="P33" s="30"/>
      <c r="Q33" s="31"/>
      <c r="R33" s="56"/>
      <c r="S33" s="31"/>
      <c r="T33" s="31"/>
      <c r="U33" s="31"/>
      <c r="V33" s="58"/>
      <c r="W33" s="58"/>
      <c r="X33" s="58"/>
      <c r="Y33" s="58"/>
      <c r="Z33" s="58"/>
      <c r="AA33" s="31"/>
      <c r="AB33" s="32"/>
      <c r="AC33" s="1"/>
      <c r="AD33" s="1"/>
      <c r="AE33" s="1"/>
      <c r="AF33" s="1"/>
      <c r="AG33" s="1"/>
      <c r="AH33" s="1"/>
      <c r="AI33" s="1"/>
      <c r="AJ33" s="1"/>
      <c r="AK33" s="1"/>
      <c r="AL33" s="1"/>
      <c r="AM33" s="1"/>
      <c r="AN33" s="1"/>
      <c r="AO33" s="1"/>
      <c r="AP33" s="1"/>
      <c r="AQ33" s="1"/>
    </row>
    <row r="34" spans="1:43" ht="15.4" customHeight="1">
      <c r="A34" s="1"/>
      <c r="B34" s="1"/>
      <c r="C34" s="1"/>
      <c r="D34" s="1"/>
      <c r="E34" s="1"/>
      <c r="F34" s="1"/>
      <c r="G34" s="1"/>
      <c r="H34" s="1"/>
      <c r="I34" s="1"/>
      <c r="J34" s="1"/>
      <c r="K34" s="1"/>
      <c r="L34" s="1"/>
      <c r="M34" s="1"/>
      <c r="N34" s="1"/>
      <c r="O34" s="1"/>
      <c r="P34" s="30"/>
      <c r="Q34" s="31"/>
      <c r="R34" s="56"/>
      <c r="S34" s="31"/>
      <c r="T34" s="31"/>
      <c r="U34" s="31"/>
      <c r="V34" s="31"/>
      <c r="W34" s="31"/>
      <c r="X34" s="31"/>
      <c r="Y34" s="31"/>
      <c r="Z34" s="31"/>
      <c r="AA34" s="31"/>
      <c r="AB34" s="32"/>
      <c r="AC34" s="1"/>
      <c r="AD34" s="1"/>
      <c r="AE34" s="1"/>
      <c r="AF34" s="1"/>
      <c r="AG34" s="1"/>
      <c r="AH34" s="1"/>
      <c r="AI34" s="1"/>
      <c r="AJ34" s="1"/>
      <c r="AK34" s="1"/>
      <c r="AL34" s="1"/>
      <c r="AM34" s="1"/>
      <c r="AN34" s="1"/>
      <c r="AO34" s="1"/>
      <c r="AP34" s="1"/>
      <c r="AQ34" s="1"/>
    </row>
    <row r="35" spans="1:43" ht="15.4" customHeight="1">
      <c r="A35" s="1"/>
      <c r="B35" s="1"/>
      <c r="C35" s="1"/>
      <c r="D35" s="1"/>
      <c r="E35" s="1"/>
      <c r="F35" s="1"/>
      <c r="G35" s="1"/>
      <c r="H35" s="1"/>
      <c r="I35" s="1"/>
      <c r="J35" s="1"/>
      <c r="K35" s="1"/>
      <c r="L35" s="1"/>
      <c r="M35" s="1"/>
      <c r="N35" s="1"/>
      <c r="O35" s="1"/>
      <c r="P35" s="30"/>
      <c r="Q35" s="31"/>
      <c r="R35" s="56"/>
      <c r="S35" s="31"/>
      <c r="T35" s="31"/>
      <c r="U35" s="31"/>
      <c r="V35" s="388" t="s">
        <v>345</v>
      </c>
      <c r="W35" s="388"/>
      <c r="X35" s="388"/>
      <c r="Y35" s="221">
        <f>Inputs!$V$39</f>
        <v>30</v>
      </c>
      <c r="Z35" s="31" t="s">
        <v>28</v>
      </c>
      <c r="AA35" s="31"/>
      <c r="AB35" s="32"/>
      <c r="AC35" s="1"/>
      <c r="AD35" s="1"/>
      <c r="AE35" s="1"/>
      <c r="AF35" s="1"/>
      <c r="AG35" s="1"/>
      <c r="AH35" s="1"/>
      <c r="AI35" s="1"/>
      <c r="AJ35" s="1"/>
      <c r="AK35" s="1"/>
      <c r="AL35" s="1"/>
      <c r="AM35" s="1"/>
      <c r="AN35" s="1"/>
      <c r="AO35" s="1"/>
      <c r="AP35" s="1"/>
      <c r="AQ35" s="1"/>
    </row>
    <row r="36" spans="1:43" ht="15.4" customHeight="1">
      <c r="A36" s="1"/>
      <c r="B36" s="1"/>
      <c r="C36" s="1"/>
      <c r="D36" s="1"/>
      <c r="E36" s="1"/>
      <c r="F36" s="1"/>
      <c r="G36" s="1"/>
      <c r="H36" s="1"/>
      <c r="I36" s="1"/>
      <c r="J36" s="1"/>
      <c r="K36" s="1"/>
      <c r="L36" s="1"/>
      <c r="M36" s="1"/>
      <c r="N36" s="1"/>
      <c r="O36" s="1"/>
      <c r="P36" s="30"/>
      <c r="Q36" s="31"/>
      <c r="R36" s="56"/>
      <c r="S36" s="31"/>
      <c r="T36" s="31"/>
      <c r="U36" s="31"/>
      <c r="V36" s="388" t="s">
        <v>365</v>
      </c>
      <c r="W36" s="388"/>
      <c r="X36" s="388"/>
      <c r="Y36" s="223">
        <f>12*((Y35/42)^2)</f>
        <v>6.1224489795918373</v>
      </c>
      <c r="Z36" s="48" t="s">
        <v>25</v>
      </c>
      <c r="AA36" s="31"/>
      <c r="AB36" s="32"/>
      <c r="AC36" s="1"/>
      <c r="AD36" s="1"/>
      <c r="AE36" s="1"/>
      <c r="AF36" s="1"/>
      <c r="AG36" s="1"/>
      <c r="AH36" s="1"/>
      <c r="AI36" s="1"/>
      <c r="AJ36" s="1"/>
      <c r="AK36" s="1"/>
      <c r="AL36" s="1"/>
      <c r="AM36" s="1"/>
      <c r="AN36" s="1"/>
      <c r="AO36" s="1"/>
      <c r="AP36" s="1"/>
      <c r="AQ36" s="1"/>
    </row>
    <row r="37" spans="1:43" ht="15.4" customHeight="1">
      <c r="A37" s="1"/>
      <c r="B37" s="1"/>
      <c r="C37" s="1"/>
      <c r="D37" s="1"/>
      <c r="E37" s="1"/>
      <c r="F37" s="1"/>
      <c r="G37" s="1"/>
      <c r="H37" s="1"/>
      <c r="I37" s="1"/>
      <c r="J37" s="1"/>
      <c r="K37" s="1"/>
      <c r="L37" s="1"/>
      <c r="M37" s="1"/>
      <c r="N37" s="1"/>
      <c r="O37" s="1"/>
      <c r="P37" s="30"/>
      <c r="Q37" s="31"/>
      <c r="R37" s="56"/>
      <c r="S37" s="31"/>
      <c r="T37" s="31"/>
      <c r="U37" s="31"/>
      <c r="V37" s="388" t="s">
        <v>347</v>
      </c>
      <c r="W37" s="388"/>
      <c r="X37" s="388"/>
      <c r="Y37" s="221">
        <f>Inputs!$V$37</f>
        <v>15</v>
      </c>
      <c r="Z37" s="31" t="s">
        <v>28</v>
      </c>
      <c r="AA37" s="31"/>
      <c r="AB37" s="32"/>
      <c r="AC37" s="1"/>
      <c r="AD37" s="1"/>
      <c r="AE37" s="1"/>
      <c r="AF37" s="1"/>
      <c r="AG37" s="1"/>
      <c r="AH37" s="1"/>
      <c r="AI37" s="1"/>
      <c r="AJ37" s="1"/>
      <c r="AK37" s="1"/>
      <c r="AL37" s="1"/>
      <c r="AM37" s="1"/>
      <c r="AN37" s="1"/>
      <c r="AO37" s="1"/>
      <c r="AP37" s="1"/>
      <c r="AQ37" s="1"/>
    </row>
    <row r="38" spans="1:43" ht="15.4" customHeight="1">
      <c r="A38" s="1"/>
      <c r="B38" s="1"/>
      <c r="C38" s="1"/>
      <c r="D38" s="1"/>
      <c r="E38" s="1"/>
      <c r="F38" s="1"/>
      <c r="G38" s="1"/>
      <c r="H38" s="1"/>
      <c r="I38" s="1"/>
      <c r="J38" s="1"/>
      <c r="K38" s="1"/>
      <c r="L38" s="1"/>
      <c r="M38" s="1"/>
      <c r="N38" s="1"/>
      <c r="O38" s="1"/>
      <c r="P38" s="30"/>
      <c r="Q38" s="31"/>
      <c r="R38" s="56"/>
      <c r="S38" s="31"/>
      <c r="T38" s="31"/>
      <c r="U38" s="31"/>
      <c r="V38" s="388" t="s">
        <v>348</v>
      </c>
      <c r="W38" s="388"/>
      <c r="X38" s="388"/>
      <c r="Y38" s="222">
        <f>(Y37/('CubeSat hardware'!$B$5/2))*3</f>
        <v>1</v>
      </c>
      <c r="Z38" s="48" t="s">
        <v>25</v>
      </c>
      <c r="AA38" s="31"/>
      <c r="AB38" s="32"/>
      <c r="AC38" s="1"/>
      <c r="AD38" s="1"/>
      <c r="AE38" s="1"/>
      <c r="AF38" s="1"/>
      <c r="AG38" s="1"/>
      <c r="AH38" s="1"/>
      <c r="AI38" s="1"/>
      <c r="AJ38" s="1"/>
      <c r="AK38" s="1"/>
      <c r="AL38" s="1"/>
      <c r="AM38" s="1"/>
      <c r="AN38" s="1"/>
      <c r="AO38" s="1"/>
      <c r="AP38" s="1"/>
      <c r="AQ38" s="1"/>
    </row>
    <row r="39" spans="1:43" ht="15.4" customHeight="1">
      <c r="A39" s="1"/>
      <c r="B39" s="1"/>
      <c r="C39" s="1"/>
      <c r="D39" s="1"/>
      <c r="E39" s="1"/>
      <c r="F39" s="1"/>
      <c r="G39" s="1"/>
      <c r="H39" s="1"/>
      <c r="I39" s="1"/>
      <c r="J39" s="1"/>
      <c r="K39" s="1"/>
      <c r="L39" s="1"/>
      <c r="M39" s="1"/>
      <c r="N39" s="1"/>
      <c r="O39" s="1"/>
      <c r="P39" s="30"/>
      <c r="Q39" s="31"/>
      <c r="R39" s="56"/>
      <c r="S39" s="31"/>
      <c r="T39" s="31"/>
      <c r="U39" s="31"/>
      <c r="V39" s="388"/>
      <c r="W39" s="388"/>
      <c r="X39" s="388"/>
      <c r="Y39" s="60"/>
      <c r="Z39" s="48"/>
      <c r="AA39" s="31"/>
      <c r="AB39" s="32"/>
      <c r="AC39" s="1"/>
      <c r="AD39" s="1"/>
      <c r="AE39" s="1"/>
      <c r="AF39" s="1"/>
      <c r="AG39" s="1"/>
      <c r="AH39" s="1"/>
      <c r="AI39" s="1"/>
      <c r="AJ39" s="1"/>
      <c r="AK39" s="1"/>
      <c r="AL39" s="1"/>
      <c r="AM39" s="1"/>
      <c r="AN39" s="1"/>
      <c r="AO39" s="1"/>
      <c r="AP39" s="1"/>
      <c r="AQ39" s="1"/>
    </row>
    <row r="40" spans="1:43" ht="15.4" customHeight="1">
      <c r="A40" s="1"/>
      <c r="B40" s="1"/>
      <c r="C40" s="1"/>
      <c r="D40" s="1"/>
      <c r="E40" s="1"/>
      <c r="F40" s="1"/>
      <c r="G40" s="1"/>
      <c r="H40" s="1"/>
      <c r="I40" s="1"/>
      <c r="J40" s="1"/>
      <c r="K40" s="1"/>
      <c r="L40" s="1"/>
      <c r="M40" s="1"/>
      <c r="N40" s="1"/>
      <c r="O40" s="1"/>
      <c r="P40" s="30"/>
      <c r="Q40" s="31"/>
      <c r="R40" s="56"/>
      <c r="S40" s="31"/>
      <c r="T40" s="31"/>
      <c r="U40" s="31"/>
      <c r="V40" s="31"/>
      <c r="W40" s="31"/>
      <c r="X40" s="31"/>
      <c r="Y40" s="31"/>
      <c r="Z40" s="31"/>
      <c r="AA40" s="31"/>
      <c r="AB40" s="32"/>
      <c r="AC40" s="1"/>
      <c r="AD40" s="1"/>
      <c r="AE40" s="1"/>
      <c r="AF40" s="1"/>
      <c r="AG40" s="1"/>
      <c r="AH40" s="1"/>
      <c r="AI40" s="1"/>
      <c r="AJ40" s="1"/>
      <c r="AK40" s="1"/>
      <c r="AL40" s="1"/>
      <c r="AM40" s="1"/>
      <c r="AN40" s="1"/>
      <c r="AO40" s="1"/>
      <c r="AP40" s="1"/>
      <c r="AQ40" s="1"/>
    </row>
    <row r="41" spans="1:43" ht="15.4" customHeight="1">
      <c r="A41" s="1"/>
      <c r="B41" s="1"/>
      <c r="C41" s="1"/>
      <c r="D41" s="1"/>
      <c r="E41" s="1"/>
      <c r="F41" s="1"/>
      <c r="G41" s="1"/>
      <c r="H41" s="1"/>
      <c r="I41" s="1"/>
      <c r="J41" s="1"/>
      <c r="K41" s="1"/>
      <c r="L41" s="1"/>
      <c r="M41" s="1"/>
      <c r="N41" s="1"/>
      <c r="O41" s="1"/>
      <c r="P41" s="30"/>
      <c r="Q41" s="31"/>
      <c r="R41" s="56"/>
      <c r="S41" s="31"/>
      <c r="T41" s="31"/>
      <c r="U41" s="31"/>
      <c r="V41" s="31"/>
      <c r="W41" s="31"/>
      <c r="X41" s="31"/>
      <c r="Y41" s="31"/>
      <c r="Z41" s="31"/>
      <c r="AA41" s="31"/>
      <c r="AB41" s="32"/>
      <c r="AC41" s="1"/>
      <c r="AD41" s="1"/>
      <c r="AE41" s="1"/>
      <c r="AF41" s="1"/>
      <c r="AG41" s="1"/>
      <c r="AH41" s="1"/>
      <c r="AI41" s="1"/>
      <c r="AJ41" s="1"/>
      <c r="AK41" s="1"/>
      <c r="AL41" s="1"/>
      <c r="AM41" s="1"/>
      <c r="AN41" s="1"/>
      <c r="AO41" s="1"/>
      <c r="AP41" s="1"/>
      <c r="AQ41" s="1"/>
    </row>
    <row r="42" spans="1:43" ht="15.4" customHeight="1">
      <c r="A42" s="1"/>
      <c r="B42" s="1"/>
      <c r="C42" s="1"/>
      <c r="D42" s="1"/>
      <c r="E42" s="1"/>
      <c r="F42" s="1"/>
      <c r="G42" s="1"/>
      <c r="H42" s="1"/>
      <c r="I42" s="1"/>
      <c r="J42" s="1"/>
      <c r="K42" s="1"/>
      <c r="L42" s="1"/>
      <c r="M42" s="1"/>
      <c r="N42" s="1"/>
      <c r="O42" s="1"/>
      <c r="P42" s="30"/>
      <c r="Q42" s="31"/>
      <c r="R42" s="56"/>
      <c r="S42" s="31"/>
      <c r="T42" s="31"/>
      <c r="U42" s="31"/>
      <c r="V42" s="31"/>
      <c r="W42" s="31"/>
      <c r="X42" s="31"/>
      <c r="Y42" s="31"/>
      <c r="Z42" s="31"/>
      <c r="AA42" s="31"/>
      <c r="AB42" s="32"/>
      <c r="AC42" s="1"/>
      <c r="AD42" s="1"/>
      <c r="AE42" s="1"/>
      <c r="AF42" s="1"/>
      <c r="AG42" s="1"/>
      <c r="AH42" s="1"/>
      <c r="AI42" s="1"/>
      <c r="AJ42" s="1"/>
      <c r="AK42" s="1"/>
      <c r="AL42" s="1"/>
      <c r="AM42" s="1"/>
      <c r="AN42" s="1"/>
      <c r="AO42" s="1"/>
      <c r="AP42" s="1"/>
      <c r="AQ42" s="1"/>
    </row>
    <row r="43" spans="1:43" ht="15.4" customHeight="1">
      <c r="A43" s="1"/>
      <c r="B43" s="1"/>
      <c r="C43" s="1"/>
      <c r="D43" s="1"/>
      <c r="E43" s="1"/>
      <c r="F43" s="1"/>
      <c r="G43" s="1"/>
      <c r="H43" s="1"/>
      <c r="I43" s="1"/>
      <c r="J43" s="1"/>
      <c r="K43" s="1"/>
      <c r="L43" s="1"/>
      <c r="M43" s="1"/>
      <c r="N43" s="1"/>
      <c r="O43" s="1"/>
      <c r="P43" s="30"/>
      <c r="Q43" s="31"/>
      <c r="R43" s="56"/>
      <c r="S43" s="31"/>
      <c r="T43" s="31"/>
      <c r="U43" s="31"/>
      <c r="V43" s="31"/>
      <c r="W43" s="31"/>
      <c r="X43" s="31"/>
      <c r="Y43" s="31"/>
      <c r="Z43" s="31"/>
      <c r="AA43" s="31"/>
      <c r="AB43" s="32"/>
      <c r="AC43" s="1"/>
      <c r="AD43" s="1"/>
      <c r="AE43" s="1"/>
      <c r="AF43" s="1"/>
      <c r="AG43" s="1"/>
      <c r="AH43" s="1"/>
      <c r="AI43" s="1"/>
      <c r="AJ43" s="1"/>
      <c r="AK43" s="1"/>
      <c r="AL43" s="1"/>
      <c r="AM43" s="1"/>
      <c r="AN43" s="1"/>
      <c r="AO43" s="1"/>
      <c r="AP43" s="1"/>
      <c r="AQ43" s="1"/>
    </row>
    <row r="44" spans="1:43" ht="15.4" customHeight="1">
      <c r="A44" s="1"/>
      <c r="B44" s="1"/>
      <c r="C44" s="1"/>
      <c r="D44" s="1"/>
      <c r="E44" s="1"/>
      <c r="F44" s="1"/>
      <c r="G44" s="1"/>
      <c r="H44" s="1"/>
      <c r="I44" s="1"/>
      <c r="J44" s="1"/>
      <c r="K44" s="1"/>
      <c r="L44" s="1"/>
      <c r="M44" s="1"/>
      <c r="N44" s="1"/>
      <c r="O44" s="1"/>
      <c r="P44" s="30"/>
      <c r="Q44" s="31"/>
      <c r="R44" s="56"/>
      <c r="S44" s="31"/>
      <c r="T44" s="31"/>
      <c r="U44" s="31"/>
      <c r="V44" s="31"/>
      <c r="W44" s="31"/>
      <c r="X44" s="31"/>
      <c r="Y44" s="31"/>
      <c r="Z44" s="31"/>
      <c r="AA44" s="31"/>
      <c r="AB44" s="32"/>
      <c r="AC44" s="1"/>
      <c r="AD44" s="1"/>
      <c r="AE44" s="1"/>
      <c r="AF44" s="1"/>
      <c r="AG44" s="1"/>
      <c r="AH44" s="1"/>
      <c r="AI44" s="1"/>
      <c r="AJ44" s="1"/>
      <c r="AK44" s="1"/>
      <c r="AL44" s="1"/>
      <c r="AM44" s="1"/>
      <c r="AN44" s="1"/>
      <c r="AO44" s="1"/>
      <c r="AP44" s="1"/>
      <c r="AQ44" s="1"/>
    </row>
    <row r="45" spans="1:43" ht="15.4" customHeight="1">
      <c r="A45" s="1"/>
      <c r="B45" s="1"/>
      <c r="C45" s="1"/>
      <c r="D45" s="1"/>
      <c r="E45" s="1"/>
      <c r="F45" s="1"/>
      <c r="G45" s="1"/>
      <c r="H45" s="1"/>
      <c r="I45" s="1"/>
      <c r="J45" s="1"/>
      <c r="K45" s="1"/>
      <c r="L45" s="1"/>
      <c r="M45" s="1"/>
      <c r="N45" s="1"/>
      <c r="O45" s="1"/>
      <c r="P45" s="30"/>
      <c r="Q45" s="31"/>
      <c r="R45" s="56"/>
      <c r="S45" s="31"/>
      <c r="T45" s="31" t="s">
        <v>366</v>
      </c>
      <c r="U45" s="45"/>
      <c r="V45" s="31"/>
      <c r="W45" s="31"/>
      <c r="X45" s="31"/>
      <c r="Y45" s="31"/>
      <c r="Z45" s="31"/>
      <c r="AA45" s="31"/>
      <c r="AB45" s="32"/>
      <c r="AC45" s="1"/>
      <c r="AD45" s="1"/>
      <c r="AE45" s="1"/>
      <c r="AF45" s="1"/>
      <c r="AG45" s="1"/>
      <c r="AH45" s="1"/>
      <c r="AI45" s="1"/>
      <c r="AJ45" s="1"/>
      <c r="AK45" s="1"/>
      <c r="AL45" s="1"/>
      <c r="AM45" s="1"/>
      <c r="AN45" s="1"/>
      <c r="AO45" s="1"/>
      <c r="AP45" s="1"/>
      <c r="AQ45" s="1"/>
    </row>
    <row r="46" spans="1:43" ht="15.4" customHeight="1">
      <c r="A46" s="1"/>
      <c r="B46" s="1"/>
      <c r="C46" s="1"/>
      <c r="D46" s="1"/>
      <c r="E46" s="1"/>
      <c r="F46" s="1"/>
      <c r="G46" s="1"/>
      <c r="H46" s="1"/>
      <c r="I46" s="1"/>
      <c r="J46" s="1"/>
      <c r="K46" s="1"/>
      <c r="L46" s="1"/>
      <c r="M46" s="1"/>
      <c r="N46" s="1"/>
      <c r="O46" s="1"/>
      <c r="P46" s="30"/>
      <c r="Q46" s="31"/>
      <c r="R46" s="56"/>
      <c r="S46" s="31"/>
      <c r="T46" s="31" t="s">
        <v>228</v>
      </c>
      <c r="U46" s="31"/>
      <c r="V46" s="31"/>
      <c r="W46" s="31"/>
      <c r="X46" s="31"/>
      <c r="Y46" s="31"/>
      <c r="Z46" s="31"/>
      <c r="AA46" s="31"/>
      <c r="AB46" s="32"/>
      <c r="AC46" s="1"/>
      <c r="AD46" s="1"/>
      <c r="AE46" s="1"/>
      <c r="AF46" s="1"/>
      <c r="AG46" s="1"/>
      <c r="AH46" s="1"/>
      <c r="AI46" s="1"/>
      <c r="AJ46" s="1"/>
      <c r="AK46" s="1"/>
      <c r="AL46" s="1"/>
      <c r="AM46" s="1"/>
      <c r="AN46" s="1"/>
      <c r="AO46" s="1"/>
      <c r="AP46" s="1"/>
      <c r="AQ46" s="1"/>
    </row>
    <row r="47" spans="1:43" ht="15.4" customHeight="1">
      <c r="A47" s="1"/>
      <c r="B47" s="1"/>
      <c r="C47" s="1"/>
      <c r="D47" s="1"/>
      <c r="E47" s="1"/>
      <c r="F47" s="1"/>
      <c r="G47" s="1"/>
      <c r="H47" s="1"/>
      <c r="I47" s="1"/>
      <c r="J47" s="1"/>
      <c r="K47" s="1"/>
      <c r="L47" s="1"/>
      <c r="M47" s="1"/>
      <c r="N47" s="1"/>
      <c r="O47" s="1"/>
      <c r="P47" s="30"/>
      <c r="Q47" s="31"/>
      <c r="R47" s="56"/>
      <c r="S47" s="31"/>
      <c r="T47" s="31"/>
      <c r="U47" s="45"/>
      <c r="V47" s="31"/>
      <c r="W47" s="31"/>
      <c r="X47" s="31"/>
      <c r="Y47" s="31"/>
      <c r="Z47" s="31"/>
      <c r="AA47" s="31"/>
      <c r="AB47" s="32"/>
      <c r="AC47" s="1"/>
      <c r="AD47" s="1"/>
      <c r="AE47" s="1"/>
      <c r="AF47" s="1"/>
      <c r="AG47" s="1"/>
      <c r="AH47" s="1"/>
      <c r="AI47" s="1"/>
      <c r="AJ47" s="1"/>
      <c r="AK47" s="1"/>
      <c r="AL47" s="1"/>
      <c r="AM47" s="1"/>
      <c r="AN47" s="1"/>
      <c r="AO47" s="1"/>
      <c r="AP47" s="1"/>
      <c r="AQ47" s="1"/>
    </row>
    <row r="48" spans="1:43" ht="15.4" customHeight="1">
      <c r="A48" s="1"/>
      <c r="B48" s="1"/>
      <c r="C48" s="1"/>
      <c r="D48" s="1"/>
      <c r="E48" s="1"/>
      <c r="F48" s="1"/>
      <c r="G48" s="1"/>
      <c r="H48" s="1"/>
      <c r="I48" s="1"/>
      <c r="J48" s="1"/>
      <c r="K48" s="1"/>
      <c r="L48" s="1"/>
      <c r="M48" s="1"/>
      <c r="N48" s="1"/>
      <c r="O48" s="1"/>
      <c r="P48" s="30"/>
      <c r="Q48" s="31"/>
      <c r="R48" s="56"/>
      <c r="S48" s="56"/>
      <c r="T48" s="56"/>
      <c r="U48" s="56"/>
      <c r="V48" s="58"/>
      <c r="W48" s="58"/>
      <c r="X48" s="58"/>
      <c r="Y48" s="58"/>
      <c r="Z48" s="58"/>
      <c r="AA48" s="31"/>
      <c r="AB48" s="32"/>
      <c r="AC48" s="1"/>
      <c r="AD48" s="1"/>
      <c r="AE48" s="1"/>
      <c r="AF48" s="1"/>
      <c r="AG48" s="1"/>
      <c r="AH48" s="1"/>
      <c r="AI48" s="1"/>
      <c r="AJ48" s="1"/>
      <c r="AK48" s="1"/>
      <c r="AL48" s="1"/>
      <c r="AM48" s="1"/>
      <c r="AN48" s="1"/>
      <c r="AO48" s="1"/>
      <c r="AP48" s="1"/>
      <c r="AQ48" s="1"/>
    </row>
    <row r="49" spans="1:43" ht="15.4" customHeight="1">
      <c r="A49" s="1"/>
      <c r="B49" s="1"/>
      <c r="C49" s="1"/>
      <c r="D49" s="1"/>
      <c r="E49" s="1"/>
      <c r="F49" s="1"/>
      <c r="G49" s="1"/>
      <c r="H49" s="1"/>
      <c r="I49" s="1"/>
      <c r="J49" s="1"/>
      <c r="K49" s="1"/>
      <c r="L49" s="1"/>
      <c r="M49" s="1"/>
      <c r="N49" s="1"/>
      <c r="O49" s="1"/>
      <c r="P49" s="30"/>
      <c r="Q49" s="31"/>
      <c r="R49" s="56"/>
      <c r="S49" s="56"/>
      <c r="T49" s="56"/>
      <c r="U49" s="56"/>
      <c r="V49" s="56"/>
      <c r="W49" s="56"/>
      <c r="X49" s="56"/>
      <c r="Y49" s="56"/>
      <c r="Z49" s="56"/>
      <c r="AA49" s="31"/>
      <c r="AB49" s="32"/>
      <c r="AC49" s="1"/>
      <c r="AD49" s="1"/>
      <c r="AE49" s="1"/>
      <c r="AF49" s="1"/>
      <c r="AG49" s="1"/>
      <c r="AH49" s="1"/>
      <c r="AI49" s="1"/>
      <c r="AJ49" s="1"/>
      <c r="AK49" s="1"/>
      <c r="AL49" s="1"/>
      <c r="AM49" s="1"/>
      <c r="AN49" s="1"/>
      <c r="AO49" s="1"/>
      <c r="AP49" s="1"/>
      <c r="AQ49" s="1"/>
    </row>
    <row r="50" spans="1:43" ht="30">
      <c r="A50" s="1"/>
      <c r="B50" s="1"/>
      <c r="C50" s="1"/>
      <c r="D50" s="1"/>
      <c r="E50" s="1"/>
      <c r="F50" s="1"/>
      <c r="G50" s="1"/>
      <c r="H50" s="1"/>
      <c r="I50" s="1"/>
      <c r="J50" s="1"/>
      <c r="K50" s="1"/>
      <c r="L50" s="1"/>
      <c r="M50" s="1"/>
      <c r="N50" s="1"/>
      <c r="O50" s="1"/>
      <c r="P50" s="30"/>
      <c r="Q50" s="31"/>
      <c r="R50" s="328" t="s">
        <v>350</v>
      </c>
      <c r="S50" s="329"/>
      <c r="T50" s="329"/>
      <c r="U50" s="329"/>
      <c r="V50" s="329"/>
      <c r="W50" s="329"/>
      <c r="X50" s="329"/>
      <c r="Y50" s="329"/>
      <c r="Z50" s="330"/>
      <c r="AA50" s="31"/>
      <c r="AB50" s="32"/>
      <c r="AC50" s="1"/>
      <c r="AD50" s="1"/>
      <c r="AE50" s="1"/>
      <c r="AF50" s="1"/>
      <c r="AG50" s="1"/>
      <c r="AH50" s="1"/>
      <c r="AI50" s="1"/>
      <c r="AJ50" s="1"/>
      <c r="AK50" s="1"/>
      <c r="AL50" s="1"/>
      <c r="AM50" s="1"/>
      <c r="AN50" s="1"/>
      <c r="AO50" s="1"/>
      <c r="AP50" s="1"/>
      <c r="AQ50" s="1"/>
    </row>
    <row r="51" spans="1:43" ht="15.4" customHeight="1">
      <c r="A51" s="1"/>
      <c r="B51" s="1"/>
      <c r="C51" s="1"/>
      <c r="D51" s="1"/>
      <c r="E51" s="1"/>
      <c r="F51" s="1"/>
      <c r="G51" s="1"/>
      <c r="H51" s="1"/>
      <c r="I51" s="1"/>
      <c r="J51" s="1"/>
      <c r="K51" s="1"/>
      <c r="L51" s="1"/>
      <c r="M51" s="1"/>
      <c r="N51" s="1"/>
      <c r="O51" s="1"/>
      <c r="P51" s="30"/>
      <c r="Q51" s="31"/>
      <c r="R51" s="56"/>
      <c r="S51" s="56"/>
      <c r="T51" s="56"/>
      <c r="U51" s="56"/>
      <c r="V51" s="56"/>
      <c r="W51" s="56"/>
      <c r="X51" s="56"/>
      <c r="Y51" s="56"/>
      <c r="Z51" s="56"/>
      <c r="AA51" s="31"/>
      <c r="AB51" s="32"/>
      <c r="AC51" s="1"/>
      <c r="AD51" s="1"/>
      <c r="AE51" s="1"/>
      <c r="AF51" s="1"/>
      <c r="AG51" s="1"/>
      <c r="AH51" s="1"/>
      <c r="AI51" s="1"/>
      <c r="AJ51" s="1"/>
      <c r="AK51" s="1"/>
      <c r="AL51" s="1"/>
      <c r="AM51" s="1"/>
      <c r="AN51" s="1"/>
      <c r="AO51" s="1"/>
      <c r="AP51" s="1"/>
      <c r="AQ51" s="1"/>
    </row>
    <row r="52" spans="1:43" ht="15.4" customHeight="1">
      <c r="A52" s="1"/>
      <c r="B52" s="1"/>
      <c r="C52" s="1"/>
      <c r="D52" s="1"/>
      <c r="E52" s="1"/>
      <c r="F52" s="1"/>
      <c r="G52" s="1"/>
      <c r="H52" s="1"/>
      <c r="I52" s="1"/>
      <c r="J52" s="1"/>
      <c r="K52" s="1"/>
      <c r="L52" s="1"/>
      <c r="M52" s="1"/>
      <c r="N52" s="1"/>
      <c r="O52" s="1"/>
      <c r="P52" s="30"/>
      <c r="Q52" s="31"/>
      <c r="R52" s="31"/>
      <c r="S52" s="31"/>
      <c r="T52" s="31"/>
      <c r="U52" s="31"/>
      <c r="V52" s="31"/>
      <c r="W52" s="31"/>
      <c r="X52" s="56"/>
      <c r="Y52" s="56"/>
      <c r="Z52" s="56"/>
      <c r="AA52" s="31"/>
      <c r="AB52" s="32"/>
      <c r="AC52" s="1"/>
      <c r="AD52" s="1"/>
      <c r="AE52" s="1"/>
      <c r="AF52" s="1"/>
      <c r="AG52" s="1"/>
      <c r="AH52" s="1"/>
      <c r="AI52" s="1"/>
      <c r="AJ52" s="1"/>
      <c r="AK52" s="1"/>
      <c r="AL52" s="1"/>
      <c r="AM52" s="1"/>
      <c r="AN52" s="1"/>
      <c r="AO52" s="1"/>
      <c r="AP52" s="1"/>
      <c r="AQ52" s="1"/>
    </row>
    <row r="53" spans="1:43">
      <c r="A53" s="1"/>
      <c r="B53" s="1"/>
      <c r="C53" s="1"/>
      <c r="D53" s="1"/>
      <c r="E53" s="1"/>
      <c r="F53" s="1"/>
      <c r="G53" s="1"/>
      <c r="H53" s="1"/>
      <c r="I53" s="1"/>
      <c r="J53" s="1"/>
      <c r="K53" s="1"/>
      <c r="L53" s="1"/>
      <c r="M53" s="1"/>
      <c r="N53" s="1"/>
      <c r="O53" s="1"/>
      <c r="P53" s="30"/>
      <c r="Q53" s="31"/>
      <c r="R53" s="427" t="s">
        <v>351</v>
      </c>
      <c r="S53" s="427"/>
      <c r="T53" s="427"/>
      <c r="U53" s="427"/>
      <c r="V53" s="427"/>
      <c r="W53" s="200"/>
      <c r="X53" s="48"/>
      <c r="Y53" s="48"/>
      <c r="Z53" s="48"/>
      <c r="AA53" s="31"/>
      <c r="AB53" s="32"/>
      <c r="AC53" s="1"/>
      <c r="AD53" s="1"/>
      <c r="AE53" s="1"/>
      <c r="AF53" s="1"/>
      <c r="AG53" s="1"/>
      <c r="AH53" s="1"/>
      <c r="AI53" s="1"/>
      <c r="AJ53" s="1"/>
      <c r="AK53" s="1"/>
      <c r="AL53" s="1"/>
      <c r="AM53" s="1"/>
      <c r="AN53" s="1"/>
      <c r="AO53" s="1"/>
      <c r="AP53" s="1"/>
      <c r="AQ53" s="1"/>
    </row>
    <row r="54" spans="1:43">
      <c r="A54" s="1"/>
      <c r="B54" s="1"/>
      <c r="C54" s="1"/>
      <c r="D54" s="1"/>
      <c r="E54" s="1"/>
      <c r="F54" s="1"/>
      <c r="G54" s="1"/>
      <c r="H54" s="1"/>
      <c r="I54" s="1"/>
      <c r="J54" s="1"/>
      <c r="K54" s="1"/>
      <c r="L54" s="1"/>
      <c r="M54" s="1"/>
      <c r="N54" s="1"/>
      <c r="O54" s="1"/>
      <c r="P54" s="30"/>
      <c r="Q54" s="31"/>
      <c r="R54" s="387" t="s">
        <v>367</v>
      </c>
      <c r="S54" s="387"/>
      <c r="T54" s="387"/>
      <c r="U54" s="123">
        <v>1</v>
      </c>
      <c r="V54" s="48" t="s">
        <v>25</v>
      </c>
      <c r="W54" s="60"/>
      <c r="X54" s="48"/>
      <c r="Y54" s="48"/>
      <c r="Z54" s="48"/>
      <c r="AA54" s="31"/>
      <c r="AB54" s="32"/>
      <c r="AC54" s="1"/>
      <c r="AD54" s="1"/>
      <c r="AE54" s="1"/>
      <c r="AF54" s="1"/>
      <c r="AG54" s="1"/>
      <c r="AH54" s="1"/>
      <c r="AI54" s="1"/>
      <c r="AJ54" s="1"/>
      <c r="AK54" s="1"/>
      <c r="AL54" s="1"/>
      <c r="AM54" s="1"/>
      <c r="AN54" s="1"/>
      <c r="AO54" s="1"/>
      <c r="AP54" s="1"/>
      <c r="AQ54" s="1"/>
    </row>
    <row r="55" spans="1:43">
      <c r="A55" s="1"/>
      <c r="B55" s="1"/>
      <c r="C55" s="1"/>
      <c r="D55" s="1"/>
      <c r="E55" s="1"/>
      <c r="F55" s="1"/>
      <c r="G55" s="1"/>
      <c r="H55" s="1"/>
      <c r="I55" s="1"/>
      <c r="J55" s="1"/>
      <c r="K55" s="1"/>
      <c r="L55" s="1"/>
      <c r="M55" s="1"/>
      <c r="N55" s="1"/>
      <c r="O55" s="1"/>
      <c r="P55" s="30"/>
      <c r="Q55" s="31"/>
      <c r="R55" s="387" t="s">
        <v>353</v>
      </c>
      <c r="S55" s="387"/>
      <c r="T55" s="387"/>
      <c r="U55" s="123">
        <v>1</v>
      </c>
      <c r="V55" s="48" t="s">
        <v>25</v>
      </c>
      <c r="W55" s="60"/>
      <c r="X55" s="48"/>
      <c r="Y55" s="48"/>
      <c r="Z55" s="48"/>
      <c r="AA55" s="31"/>
      <c r="AB55" s="32"/>
      <c r="AC55" s="1"/>
      <c r="AD55" s="1"/>
      <c r="AE55" s="1"/>
      <c r="AF55" s="1"/>
      <c r="AG55" s="1"/>
      <c r="AH55" s="1"/>
      <c r="AI55" s="1"/>
      <c r="AJ55" s="1"/>
      <c r="AK55" s="1"/>
      <c r="AL55" s="1"/>
      <c r="AM55" s="1"/>
      <c r="AN55" s="1"/>
      <c r="AO55" s="1"/>
      <c r="AP55" s="1"/>
      <c r="AQ55" s="1"/>
    </row>
    <row r="56" spans="1:43">
      <c r="A56" s="1"/>
      <c r="B56" s="1"/>
      <c r="C56" s="1"/>
      <c r="D56" s="1"/>
      <c r="E56" s="1"/>
      <c r="F56" s="1"/>
      <c r="G56" s="1"/>
      <c r="H56" s="1"/>
      <c r="I56" s="1"/>
      <c r="J56" s="1"/>
      <c r="K56" s="1"/>
      <c r="L56" s="1"/>
      <c r="M56" s="1"/>
      <c r="N56" s="1"/>
      <c r="O56" s="1"/>
      <c r="P56" s="30"/>
      <c r="Q56" s="31"/>
      <c r="R56" s="387" t="s">
        <v>354</v>
      </c>
      <c r="S56" s="387"/>
      <c r="T56" s="387"/>
      <c r="U56" s="123">
        <v>90</v>
      </c>
      <c r="V56" s="48" t="s">
        <v>28</v>
      </c>
      <c r="W56" s="60"/>
      <c r="X56" s="48"/>
      <c r="Y56" s="48"/>
      <c r="Z56" s="48"/>
      <c r="AA56" s="31"/>
      <c r="AB56" s="32"/>
      <c r="AC56" s="1"/>
      <c r="AD56" s="1"/>
      <c r="AE56" s="1"/>
      <c r="AF56" s="1"/>
      <c r="AG56" s="1"/>
      <c r="AH56" s="1"/>
      <c r="AI56" s="1"/>
      <c r="AJ56" s="1"/>
      <c r="AK56" s="1"/>
      <c r="AL56" s="1"/>
      <c r="AM56" s="1"/>
      <c r="AN56" s="1"/>
      <c r="AO56" s="1"/>
      <c r="AP56" s="1"/>
      <c r="AQ56" s="1"/>
    </row>
    <row r="57" spans="1:43">
      <c r="A57" s="1"/>
      <c r="B57" s="1"/>
      <c r="C57" s="1"/>
      <c r="D57" s="1"/>
      <c r="E57" s="1"/>
      <c r="F57" s="1"/>
      <c r="G57" s="1"/>
      <c r="H57" s="1"/>
      <c r="I57" s="1"/>
      <c r="J57" s="1"/>
      <c r="K57" s="1"/>
      <c r="L57" s="1"/>
      <c r="M57" s="1"/>
      <c r="N57" s="1"/>
      <c r="O57" s="1"/>
      <c r="P57" s="30"/>
      <c r="Q57" s="31"/>
      <c r="R57" s="387" t="s">
        <v>355</v>
      </c>
      <c r="S57" s="387"/>
      <c r="T57" s="387"/>
      <c r="U57" s="133">
        <f>-10*LOG('Backend Data'!D34)</f>
        <v>0.22825214260717014</v>
      </c>
      <c r="V57" s="61" t="s">
        <v>25</v>
      </c>
      <c r="W57" s="61"/>
      <c r="X57" s="48"/>
      <c r="Y57" s="48"/>
      <c r="Z57" s="48"/>
      <c r="AA57" s="31"/>
      <c r="AB57" s="32"/>
      <c r="AC57" s="1"/>
      <c r="AD57" s="1"/>
      <c r="AE57" s="1"/>
      <c r="AF57" s="1"/>
      <c r="AG57" s="1"/>
      <c r="AH57" s="1"/>
      <c r="AI57" s="1"/>
      <c r="AJ57" s="1"/>
      <c r="AK57" s="1"/>
      <c r="AL57" s="1"/>
      <c r="AM57" s="1"/>
      <c r="AN57" s="1"/>
      <c r="AO57" s="1"/>
      <c r="AP57" s="1"/>
      <c r="AQ57" s="1"/>
    </row>
    <row r="58" spans="1:43">
      <c r="A58" s="1"/>
      <c r="B58" s="1"/>
      <c r="C58" s="1"/>
      <c r="D58" s="1"/>
      <c r="E58" s="1"/>
      <c r="F58" s="1"/>
      <c r="G58" s="1"/>
      <c r="H58" s="1"/>
      <c r="I58" s="1"/>
      <c r="J58" s="1"/>
      <c r="K58" s="1"/>
      <c r="L58" s="1"/>
      <c r="M58" s="1"/>
      <c r="N58" s="1"/>
      <c r="O58" s="1"/>
      <c r="P58" s="30"/>
      <c r="Q58" s="31"/>
      <c r="R58" s="31"/>
      <c r="S58" s="31"/>
      <c r="T58" s="31"/>
      <c r="U58" s="31"/>
      <c r="V58" s="31"/>
      <c r="W58" s="31"/>
      <c r="X58" s="48"/>
      <c r="Y58" s="48"/>
      <c r="Z58" s="48"/>
      <c r="AA58" s="31"/>
      <c r="AB58" s="32"/>
      <c r="AC58" s="1"/>
      <c r="AD58" s="1"/>
      <c r="AE58" s="1"/>
      <c r="AF58" s="1"/>
      <c r="AG58" s="1"/>
      <c r="AH58" s="1"/>
      <c r="AI58" s="1"/>
      <c r="AJ58" s="1"/>
      <c r="AK58" s="1"/>
      <c r="AL58" s="1"/>
      <c r="AM58" s="1"/>
      <c r="AN58" s="1"/>
      <c r="AO58" s="1"/>
      <c r="AP58" s="1"/>
      <c r="AQ58" s="1"/>
    </row>
    <row r="59" spans="1:43">
      <c r="A59" s="1"/>
      <c r="B59" s="1"/>
      <c r="C59" s="1"/>
      <c r="D59" s="1"/>
      <c r="E59" s="1"/>
      <c r="F59" s="1"/>
      <c r="G59" s="1"/>
      <c r="H59" s="1"/>
      <c r="I59" s="1"/>
      <c r="J59" s="1"/>
      <c r="K59" s="1"/>
      <c r="L59" s="1"/>
      <c r="M59" s="1"/>
      <c r="N59" s="1"/>
      <c r="O59" s="1"/>
      <c r="P59" s="30"/>
      <c r="Q59" s="31"/>
      <c r="R59" s="386" t="s">
        <v>356</v>
      </c>
      <c r="S59" s="386"/>
      <c r="T59" s="386"/>
      <c r="U59" s="386"/>
      <c r="V59" s="31"/>
      <c r="W59" s="31"/>
      <c r="X59" s="48"/>
      <c r="Y59" s="48"/>
      <c r="Z59" s="48"/>
      <c r="AA59" s="31"/>
      <c r="AB59" s="32"/>
      <c r="AC59" s="1"/>
      <c r="AD59" s="1"/>
      <c r="AE59" s="1"/>
      <c r="AF59" s="1"/>
      <c r="AG59" s="1"/>
      <c r="AH59" s="1"/>
      <c r="AI59" s="1"/>
      <c r="AJ59" s="1"/>
      <c r="AK59" s="1"/>
      <c r="AL59" s="1"/>
      <c r="AM59" s="1"/>
      <c r="AN59" s="1"/>
      <c r="AO59" s="1"/>
      <c r="AP59" s="1"/>
      <c r="AQ59" s="1"/>
    </row>
    <row r="60" spans="1:43">
      <c r="A60" s="1"/>
      <c r="B60" s="1"/>
      <c r="C60" s="1"/>
      <c r="D60" s="1"/>
      <c r="E60" s="1"/>
      <c r="F60" s="1"/>
      <c r="G60" s="1"/>
      <c r="H60" s="1"/>
      <c r="I60" s="1"/>
      <c r="J60" s="1"/>
      <c r="K60" s="1"/>
      <c r="L60" s="1"/>
      <c r="M60" s="1"/>
      <c r="N60" s="1"/>
      <c r="O60" s="1"/>
      <c r="P60" s="30"/>
      <c r="Q60" s="31"/>
      <c r="R60" s="388" t="s">
        <v>357</v>
      </c>
      <c r="S60" s="388"/>
      <c r="T60" s="388"/>
      <c r="U60" s="143">
        <f>10*LOG10(1-'Backend Data'!D34)</f>
        <v>-12.907320722611759</v>
      </c>
      <c r="V60" s="31" t="s">
        <v>25</v>
      </c>
      <c r="W60" s="31"/>
      <c r="X60" s="48"/>
      <c r="Y60" s="48"/>
      <c r="Z60" s="48"/>
      <c r="AA60" s="31"/>
      <c r="AB60" s="32"/>
      <c r="AC60" s="1"/>
      <c r="AD60" s="1"/>
      <c r="AE60" s="1"/>
      <c r="AF60" s="1"/>
      <c r="AG60" s="1"/>
      <c r="AH60" s="1"/>
      <c r="AI60" s="1"/>
      <c r="AJ60" s="1"/>
      <c r="AK60" s="1"/>
      <c r="AL60" s="1"/>
      <c r="AM60" s="1"/>
      <c r="AN60" s="1"/>
      <c r="AO60" s="1"/>
      <c r="AP60" s="1"/>
      <c r="AQ60" s="1"/>
    </row>
    <row r="61" spans="1:43">
      <c r="A61" s="1"/>
      <c r="B61" s="1"/>
      <c r="C61" s="1"/>
      <c r="D61" s="1"/>
      <c r="E61" s="1"/>
      <c r="F61" s="1"/>
      <c r="G61" s="1"/>
      <c r="H61" s="1"/>
      <c r="I61" s="1"/>
      <c r="J61" s="1"/>
      <c r="K61" s="1"/>
      <c r="L61" s="1"/>
      <c r="M61" s="1"/>
      <c r="N61" s="1"/>
      <c r="O61" s="1"/>
      <c r="P61" s="30"/>
      <c r="Q61" s="31"/>
      <c r="R61" s="388" t="s">
        <v>358</v>
      </c>
      <c r="S61" s="388"/>
      <c r="T61" s="388"/>
      <c r="U61" s="133">
        <f>U57-U60</f>
        <v>13.135572865218929</v>
      </c>
      <c r="V61" s="31" t="s">
        <v>25</v>
      </c>
      <c r="W61" s="31"/>
      <c r="X61" s="48"/>
      <c r="Y61" s="48"/>
      <c r="Z61" s="48"/>
      <c r="AA61" s="31"/>
      <c r="AB61" s="32"/>
      <c r="AC61" s="1"/>
      <c r="AD61" s="1"/>
      <c r="AE61" s="1"/>
      <c r="AF61" s="1"/>
      <c r="AG61" s="1"/>
      <c r="AH61" s="1"/>
      <c r="AI61" s="1"/>
      <c r="AJ61" s="1"/>
      <c r="AK61" s="1"/>
      <c r="AL61" s="1"/>
      <c r="AM61" s="1"/>
      <c r="AN61" s="1"/>
      <c r="AO61" s="1"/>
      <c r="AP61" s="1"/>
      <c r="AQ61" s="1"/>
    </row>
    <row r="62" spans="1:43">
      <c r="A62" s="1"/>
      <c r="B62" s="1"/>
      <c r="C62" s="1"/>
      <c r="D62" s="1"/>
      <c r="E62" s="1"/>
      <c r="F62" s="1"/>
      <c r="G62" s="1"/>
      <c r="H62" s="1"/>
      <c r="I62" s="1"/>
      <c r="J62" s="1"/>
      <c r="K62" s="1"/>
      <c r="L62" s="1"/>
      <c r="M62" s="1"/>
      <c r="N62" s="1"/>
      <c r="O62" s="1"/>
      <c r="P62" s="30"/>
      <c r="Q62" s="31"/>
      <c r="R62" s="31"/>
      <c r="S62" s="31"/>
      <c r="T62" s="31"/>
      <c r="U62" s="31"/>
      <c r="V62" s="31"/>
      <c r="W62" s="31"/>
      <c r="X62" s="31"/>
      <c r="Y62" s="31"/>
      <c r="Z62" s="31"/>
      <c r="AA62" s="31"/>
      <c r="AB62" s="32"/>
      <c r="AC62" s="1"/>
      <c r="AD62" s="1"/>
      <c r="AE62" s="1"/>
      <c r="AF62" s="1"/>
      <c r="AG62" s="1"/>
      <c r="AH62" s="1"/>
      <c r="AI62" s="1"/>
      <c r="AJ62" s="1"/>
      <c r="AK62" s="1"/>
      <c r="AL62" s="1"/>
      <c r="AM62" s="1"/>
      <c r="AN62" s="1"/>
      <c r="AO62" s="1"/>
      <c r="AP62" s="1"/>
      <c r="AQ62" s="1"/>
    </row>
    <row r="63" spans="1:43">
      <c r="A63" s="1"/>
      <c r="B63" s="1"/>
      <c r="C63" s="1"/>
      <c r="D63" s="1"/>
      <c r="E63" s="1"/>
      <c r="F63" s="1"/>
      <c r="G63" s="1"/>
      <c r="H63" s="1"/>
      <c r="I63" s="1"/>
      <c r="J63" s="1"/>
      <c r="K63" s="1"/>
      <c r="L63" s="1"/>
      <c r="M63" s="1"/>
      <c r="N63" s="1"/>
      <c r="O63" s="1"/>
      <c r="P63" s="33"/>
      <c r="Q63" s="34"/>
      <c r="R63" s="62"/>
      <c r="S63" s="62"/>
      <c r="T63" s="62"/>
      <c r="U63" s="62"/>
      <c r="V63" s="34"/>
      <c r="W63" s="34"/>
      <c r="X63" s="34"/>
      <c r="Y63" s="34"/>
      <c r="Z63" s="34"/>
      <c r="AA63" s="34"/>
      <c r="AB63" s="35"/>
      <c r="AC63" s="29"/>
      <c r="AD63" s="1"/>
      <c r="AE63" s="1"/>
      <c r="AF63" s="1"/>
      <c r="AG63" s="1"/>
      <c r="AH63" s="1"/>
      <c r="AI63" s="1"/>
      <c r="AJ63" s="1"/>
      <c r="AK63" s="1"/>
      <c r="AL63" s="1"/>
      <c r="AM63" s="1"/>
      <c r="AN63" s="1"/>
      <c r="AO63" s="1"/>
      <c r="AP63" s="1"/>
      <c r="AQ63" s="1"/>
    </row>
    <row r="64" spans="1:43" ht="30">
      <c r="A64" s="1"/>
      <c r="B64" s="1"/>
      <c r="C64" s="1"/>
      <c r="D64" s="1"/>
      <c r="E64" s="1"/>
      <c r="F64" s="1"/>
      <c r="G64" s="1"/>
      <c r="H64" s="1"/>
      <c r="I64" s="1"/>
      <c r="J64" s="1"/>
      <c r="K64" s="1"/>
      <c r="L64" s="1"/>
      <c r="M64" s="1"/>
      <c r="N64" s="1"/>
      <c r="O64" s="1"/>
      <c r="P64" s="63"/>
      <c r="Q64" s="63"/>
      <c r="R64" s="63"/>
      <c r="S64" s="63"/>
      <c r="T64" s="63"/>
      <c r="U64" s="63"/>
      <c r="V64" s="63"/>
      <c r="W64" s="63"/>
      <c r="X64" s="63"/>
      <c r="Y64" s="63"/>
      <c r="Z64" s="63"/>
      <c r="AA64" s="63"/>
      <c r="AB64" s="63"/>
      <c r="AC64" s="1"/>
      <c r="AD64" s="1"/>
      <c r="AE64" s="1"/>
      <c r="AF64" s="1"/>
      <c r="AG64" s="1"/>
      <c r="AH64" s="1"/>
      <c r="AI64" s="1"/>
      <c r="AJ64" s="1"/>
      <c r="AK64" s="1"/>
      <c r="AL64" s="1"/>
      <c r="AM64" s="1"/>
      <c r="AN64" s="1"/>
      <c r="AO64" s="1"/>
      <c r="AP64" s="1"/>
      <c r="AQ64" s="1"/>
    </row>
    <row r="65" spans="1:43">
      <c r="A65" s="1"/>
      <c r="B65" s="1"/>
      <c r="C65" s="1"/>
      <c r="D65" s="1"/>
      <c r="E65" s="1"/>
      <c r="F65" s="1"/>
      <c r="G65" s="1"/>
      <c r="H65" s="1"/>
      <c r="I65" s="1"/>
      <c r="J65" s="1"/>
      <c r="K65" s="1"/>
      <c r="L65" s="1"/>
      <c r="M65" s="1"/>
      <c r="N65" s="1"/>
      <c r="O65" s="1"/>
      <c r="P65" s="36"/>
      <c r="Q65" s="37"/>
      <c r="R65" s="37"/>
      <c r="S65" s="37"/>
      <c r="T65" s="37"/>
      <c r="U65" s="37"/>
      <c r="V65" s="37"/>
      <c r="W65" s="37"/>
      <c r="X65" s="37"/>
      <c r="Y65" s="37"/>
      <c r="Z65" s="37"/>
      <c r="AA65" s="37"/>
      <c r="AB65" s="38"/>
      <c r="AC65" s="1"/>
      <c r="AD65" s="1"/>
      <c r="AE65" s="1"/>
      <c r="AF65" s="1"/>
      <c r="AG65" s="1"/>
      <c r="AH65" s="1"/>
      <c r="AI65" s="1"/>
      <c r="AJ65" s="1"/>
      <c r="AK65" s="1"/>
      <c r="AL65" s="1"/>
      <c r="AM65" s="1"/>
      <c r="AN65" s="1"/>
      <c r="AO65" s="1"/>
      <c r="AP65" s="1"/>
      <c r="AQ65" s="1"/>
    </row>
    <row r="66" spans="1:43">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1"/>
      <c r="AD66" s="1"/>
      <c r="AE66" s="1"/>
      <c r="AF66" s="1"/>
      <c r="AG66" s="1"/>
      <c r="AH66" s="1"/>
      <c r="AI66" s="1"/>
      <c r="AJ66" s="1"/>
      <c r="AK66" s="1"/>
      <c r="AL66" s="1"/>
      <c r="AM66" s="1"/>
      <c r="AN66" s="1"/>
      <c r="AO66" s="1"/>
      <c r="AP66" s="1"/>
      <c r="AQ66" s="1"/>
    </row>
    <row r="67" spans="1:43" ht="30">
      <c r="A67" s="1"/>
      <c r="B67" s="1"/>
      <c r="C67" s="1"/>
      <c r="D67" s="1"/>
      <c r="E67" s="1"/>
      <c r="F67" s="1"/>
      <c r="G67" s="1"/>
      <c r="H67" s="1"/>
      <c r="I67" s="1"/>
      <c r="J67" s="1"/>
      <c r="K67" s="1"/>
      <c r="L67" s="1"/>
      <c r="M67" s="1"/>
      <c r="N67" s="1"/>
      <c r="O67" s="1"/>
      <c r="P67" s="39"/>
      <c r="Q67" s="40"/>
      <c r="R67" s="328" t="s">
        <v>359</v>
      </c>
      <c r="S67" s="329"/>
      <c r="T67" s="329"/>
      <c r="U67" s="329"/>
      <c r="V67" s="329"/>
      <c r="W67" s="329"/>
      <c r="X67" s="329"/>
      <c r="Y67" s="329"/>
      <c r="Z67" s="330"/>
      <c r="AA67" s="40"/>
      <c r="AB67" s="41"/>
      <c r="AC67" s="1"/>
      <c r="AD67" s="1"/>
      <c r="AE67" s="1"/>
      <c r="AF67" s="1"/>
      <c r="AG67" s="1"/>
      <c r="AH67" s="1"/>
      <c r="AI67" s="1"/>
      <c r="AJ67" s="1"/>
      <c r="AK67" s="1"/>
      <c r="AL67" s="1"/>
      <c r="AM67" s="1"/>
      <c r="AN67" s="1"/>
      <c r="AO67" s="1"/>
      <c r="AP67" s="1"/>
      <c r="AQ67" s="1"/>
    </row>
    <row r="68" spans="1:43" ht="15.4" customHeight="1">
      <c r="A68" s="1"/>
      <c r="B68" s="1"/>
      <c r="C68" s="1"/>
      <c r="D68" s="1"/>
      <c r="E68" s="1"/>
      <c r="F68" s="1"/>
      <c r="G68" s="1"/>
      <c r="H68" s="1"/>
      <c r="I68" s="1"/>
      <c r="J68" s="1"/>
      <c r="K68" s="1"/>
      <c r="L68" s="1"/>
      <c r="M68" s="1"/>
      <c r="N68" s="1"/>
      <c r="O68" s="1"/>
      <c r="P68" s="39"/>
      <c r="Q68" s="40"/>
      <c r="R68" s="64"/>
      <c r="S68" s="64"/>
      <c r="T68" s="64"/>
      <c r="U68" s="64"/>
      <c r="V68" s="64"/>
      <c r="W68" s="64"/>
      <c r="X68" s="64"/>
      <c r="Y68" s="64"/>
      <c r="Z68" s="64"/>
      <c r="AA68" s="40"/>
      <c r="AB68" s="41"/>
      <c r="AC68" s="1"/>
      <c r="AD68" s="1"/>
      <c r="AE68" s="1"/>
      <c r="AF68" s="1"/>
      <c r="AG68" s="1"/>
      <c r="AH68" s="1"/>
      <c r="AI68" s="1"/>
      <c r="AJ68" s="1"/>
      <c r="AK68" s="1"/>
      <c r="AL68" s="1"/>
      <c r="AM68" s="1"/>
      <c r="AN68" s="1"/>
      <c r="AO68" s="1"/>
      <c r="AP68" s="1"/>
      <c r="AQ68" s="1"/>
    </row>
    <row r="69" spans="1:43" ht="15.4" customHeight="1">
      <c r="A69" s="1"/>
      <c r="B69" s="1"/>
      <c r="C69" s="1"/>
      <c r="D69" s="1"/>
      <c r="E69" s="1"/>
      <c r="F69" s="1"/>
      <c r="G69" s="1"/>
      <c r="H69" s="1"/>
      <c r="I69" s="1"/>
      <c r="J69" s="1"/>
      <c r="K69" s="1"/>
      <c r="L69" s="1"/>
      <c r="M69" s="1"/>
      <c r="N69" s="1"/>
      <c r="O69" s="1"/>
      <c r="P69" s="39"/>
      <c r="Q69" s="40"/>
      <c r="R69" s="40"/>
      <c r="S69" s="40"/>
      <c r="T69" s="40"/>
      <c r="U69" s="40"/>
      <c r="V69" s="64"/>
      <c r="W69" s="64"/>
      <c r="X69" s="64"/>
      <c r="Y69" s="64"/>
      <c r="Z69" s="64"/>
      <c r="AA69" s="40"/>
      <c r="AB69" s="41"/>
      <c r="AC69" s="1"/>
      <c r="AD69" s="1"/>
      <c r="AE69" s="1"/>
      <c r="AF69" s="1"/>
      <c r="AG69" s="1"/>
      <c r="AH69" s="1"/>
      <c r="AI69" s="1"/>
      <c r="AJ69" s="1"/>
      <c r="AK69" s="1"/>
      <c r="AL69" s="1"/>
      <c r="AM69" s="1"/>
      <c r="AN69" s="1"/>
      <c r="AO69" s="1"/>
      <c r="AP69" s="1"/>
      <c r="AQ69" s="1"/>
    </row>
    <row r="70" spans="1:43" ht="15.4" customHeight="1">
      <c r="A70" s="1"/>
      <c r="B70" s="1"/>
      <c r="C70" s="1"/>
      <c r="D70" s="1"/>
      <c r="E70" s="1"/>
      <c r="F70" s="1"/>
      <c r="G70" s="1"/>
      <c r="H70" s="1"/>
      <c r="I70" s="1"/>
      <c r="J70" s="1"/>
      <c r="K70" s="1"/>
      <c r="L70" s="1"/>
      <c r="M70" s="1"/>
      <c r="N70" s="1"/>
      <c r="O70" s="1"/>
      <c r="P70" s="39"/>
      <c r="Q70" s="40"/>
      <c r="R70" s="40"/>
      <c r="S70" s="40"/>
      <c r="T70" s="198"/>
      <c r="U70" s="40"/>
      <c r="V70" s="64"/>
      <c r="W70" s="64"/>
      <c r="X70" s="64"/>
      <c r="Y70" s="64"/>
      <c r="Z70" s="64"/>
      <c r="AA70" s="40"/>
      <c r="AB70" s="41"/>
      <c r="AC70" s="1"/>
      <c r="AD70" s="1"/>
      <c r="AE70" s="1"/>
      <c r="AF70" s="1"/>
      <c r="AG70" s="1"/>
      <c r="AH70" s="1"/>
      <c r="AI70" s="1"/>
      <c r="AJ70" s="1"/>
      <c r="AK70" s="1"/>
      <c r="AL70" s="1"/>
      <c r="AM70" s="1"/>
      <c r="AN70" s="1"/>
      <c r="AO70" s="1"/>
      <c r="AP70" s="1"/>
      <c r="AQ70" s="1"/>
    </row>
    <row r="71" spans="1:43">
      <c r="A71" s="1"/>
      <c r="B71" s="1"/>
      <c r="C71" s="1"/>
      <c r="D71" s="1"/>
      <c r="E71" s="1"/>
      <c r="F71" s="1"/>
      <c r="G71" s="1"/>
      <c r="H71" s="1"/>
      <c r="I71" s="1"/>
      <c r="J71" s="1"/>
      <c r="K71" s="1"/>
      <c r="L71" s="1"/>
      <c r="M71" s="1"/>
      <c r="N71" s="1"/>
      <c r="O71" s="1"/>
      <c r="P71" s="39"/>
      <c r="Q71" s="40"/>
      <c r="R71" s="40"/>
      <c r="S71" s="40"/>
      <c r="T71" s="40"/>
      <c r="U71" s="40"/>
      <c r="V71" s="40"/>
      <c r="W71" s="40"/>
      <c r="X71" s="40"/>
      <c r="Y71" s="40"/>
      <c r="Z71" s="40"/>
      <c r="AA71" s="40"/>
      <c r="AB71" s="41"/>
      <c r="AC71" s="1"/>
      <c r="AD71" s="1"/>
      <c r="AE71" s="1"/>
      <c r="AF71" s="1"/>
      <c r="AG71" s="1"/>
      <c r="AH71" s="1"/>
      <c r="AI71" s="1"/>
      <c r="AJ71" s="1"/>
      <c r="AK71" s="1"/>
      <c r="AL71" s="1"/>
      <c r="AM71" s="1"/>
      <c r="AN71" s="1"/>
      <c r="AO71" s="1"/>
      <c r="AP71" s="1"/>
      <c r="AQ71" s="1"/>
    </row>
    <row r="72" spans="1:43">
      <c r="A72" s="1"/>
      <c r="B72" s="1"/>
      <c r="C72" s="1"/>
      <c r="D72" s="1"/>
      <c r="E72" s="1"/>
      <c r="F72" s="1"/>
      <c r="G72" s="1"/>
      <c r="H72" s="1"/>
      <c r="I72" s="1"/>
      <c r="J72" s="1"/>
      <c r="K72" s="1"/>
      <c r="L72" s="1"/>
      <c r="M72" s="1"/>
      <c r="N72" s="1"/>
      <c r="O72" s="1"/>
      <c r="P72" s="39"/>
      <c r="Q72" s="40"/>
      <c r="R72" s="40"/>
      <c r="S72" s="40"/>
      <c r="T72" s="40"/>
      <c r="U72" s="40"/>
      <c r="V72" s="40"/>
      <c r="W72" s="40"/>
      <c r="X72" s="40"/>
      <c r="Y72" s="40"/>
      <c r="Z72" s="40"/>
      <c r="AA72" s="40"/>
      <c r="AB72" s="41"/>
      <c r="AC72" s="1"/>
      <c r="AD72" s="1"/>
      <c r="AE72" s="1"/>
      <c r="AF72" s="1"/>
      <c r="AG72" s="1"/>
      <c r="AH72" s="1"/>
      <c r="AI72" s="1"/>
      <c r="AJ72" s="1"/>
      <c r="AK72" s="1"/>
      <c r="AL72" s="1"/>
      <c r="AM72" s="1"/>
      <c r="AN72" s="1"/>
      <c r="AO72" s="1"/>
      <c r="AP72" s="1"/>
      <c r="AQ72" s="1"/>
    </row>
    <row r="73" spans="1:43">
      <c r="A73" s="1"/>
      <c r="B73" s="1"/>
      <c r="C73" s="1"/>
      <c r="D73" s="1"/>
      <c r="E73" s="1"/>
      <c r="F73" s="1"/>
      <c r="G73" s="1"/>
      <c r="H73" s="1"/>
      <c r="I73" s="1"/>
      <c r="J73" s="1"/>
      <c r="K73" s="1"/>
      <c r="L73" s="1"/>
      <c r="M73" s="1"/>
      <c r="N73" s="1"/>
      <c r="O73" s="1"/>
      <c r="P73" s="39"/>
      <c r="Q73" s="40"/>
      <c r="R73" s="146" t="s">
        <v>344</v>
      </c>
      <c r="S73" s="40"/>
      <c r="T73" s="40"/>
      <c r="U73" s="40"/>
      <c r="V73" s="40"/>
      <c r="W73" s="40"/>
      <c r="X73" s="40"/>
      <c r="Y73" s="40"/>
      <c r="Z73" s="40"/>
      <c r="AA73" s="40"/>
      <c r="AB73" s="41"/>
      <c r="AC73" s="1"/>
      <c r="AD73" s="1"/>
      <c r="AE73" s="1"/>
      <c r="AF73" s="1"/>
      <c r="AG73" s="1"/>
      <c r="AH73" s="1"/>
      <c r="AI73" s="1"/>
      <c r="AJ73" s="1"/>
      <c r="AK73" s="1"/>
      <c r="AL73" s="1"/>
      <c r="AM73" s="1"/>
      <c r="AN73" s="1"/>
      <c r="AO73" s="1"/>
      <c r="AP73" s="1"/>
      <c r="AQ73" s="1"/>
    </row>
    <row r="74" spans="1:43">
      <c r="A74" s="1"/>
      <c r="B74" s="1"/>
      <c r="C74" s="1"/>
      <c r="D74" s="1"/>
      <c r="E74" s="1"/>
      <c r="F74" s="1"/>
      <c r="G74" s="1"/>
      <c r="H74" s="1"/>
      <c r="I74" s="1"/>
      <c r="J74" s="1"/>
      <c r="K74" s="1"/>
      <c r="L74" s="1"/>
      <c r="M74" s="1"/>
      <c r="N74" s="1"/>
      <c r="O74" s="1"/>
      <c r="P74" s="39"/>
      <c r="Q74" s="40"/>
      <c r="R74" s="146" t="s">
        <v>228</v>
      </c>
      <c r="S74" s="40"/>
      <c r="T74" s="40"/>
      <c r="U74" s="40"/>
      <c r="V74" s="40"/>
      <c r="W74" s="40"/>
      <c r="X74" s="40"/>
      <c r="Y74" s="40"/>
      <c r="Z74" s="40"/>
      <c r="AA74" s="40"/>
      <c r="AB74" s="41"/>
      <c r="AC74" s="1"/>
      <c r="AD74" s="1"/>
      <c r="AE74" s="1"/>
      <c r="AF74" s="1"/>
      <c r="AG74" s="1"/>
      <c r="AH74" s="1"/>
      <c r="AI74" s="1"/>
      <c r="AJ74" s="1"/>
      <c r="AK74" s="1"/>
      <c r="AL74" s="1"/>
      <c r="AM74" s="1"/>
      <c r="AN74" s="1"/>
      <c r="AO74" s="1"/>
      <c r="AP74" s="1"/>
      <c r="AQ74" s="1"/>
    </row>
    <row r="75" spans="1:43">
      <c r="A75" s="1"/>
      <c r="B75" s="1"/>
      <c r="C75" s="1"/>
      <c r="D75" s="1"/>
      <c r="E75" s="1"/>
      <c r="F75" s="1"/>
      <c r="G75" s="1"/>
      <c r="H75" s="1"/>
      <c r="I75" s="1"/>
      <c r="J75" s="1"/>
      <c r="K75" s="1"/>
      <c r="L75" s="1"/>
      <c r="M75" s="1"/>
      <c r="N75" s="1"/>
      <c r="O75" s="1"/>
      <c r="P75" s="39"/>
      <c r="Q75" s="40"/>
      <c r="R75" s="198"/>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c r="A76" s="1"/>
      <c r="B76" s="1"/>
      <c r="C76" s="1"/>
      <c r="D76" s="1"/>
      <c r="E76" s="1"/>
      <c r="F76" s="1"/>
      <c r="G76" s="1"/>
      <c r="H76" s="1"/>
      <c r="I76" s="1"/>
      <c r="J76" s="1"/>
      <c r="K76" s="1"/>
      <c r="L76" s="1"/>
      <c r="M76" s="1"/>
      <c r="N76" s="1"/>
      <c r="O76" s="1"/>
      <c r="P76" s="39"/>
      <c r="Q76" s="40"/>
      <c r="R76" s="40"/>
      <c r="S76" s="40"/>
      <c r="T76" s="40"/>
      <c r="U76" s="40"/>
      <c r="V76" s="65"/>
      <c r="W76" s="65"/>
      <c r="X76" s="65"/>
      <c r="Y76" s="65"/>
      <c r="Z76" s="65"/>
      <c r="AA76" s="40"/>
      <c r="AB76" s="41"/>
      <c r="AC76" s="1"/>
      <c r="AD76" s="1"/>
      <c r="AE76" s="1"/>
      <c r="AF76" s="1"/>
      <c r="AG76" s="1"/>
      <c r="AH76" s="1"/>
      <c r="AI76" s="1"/>
      <c r="AJ76" s="1"/>
      <c r="AK76" s="1"/>
      <c r="AL76" s="1"/>
      <c r="AM76" s="1"/>
      <c r="AN76" s="1"/>
      <c r="AO76" s="1"/>
      <c r="AP76" s="1"/>
      <c r="AQ76" s="1"/>
    </row>
    <row r="77" spans="1:43">
      <c r="A77" s="1" t="s">
        <v>274</v>
      </c>
      <c r="B77" s="1"/>
      <c r="C77" s="1"/>
      <c r="D77" s="1"/>
      <c r="E77" s="1"/>
      <c r="F77" s="1"/>
      <c r="G77" s="1"/>
      <c r="H77" s="1"/>
      <c r="I77" s="1"/>
      <c r="J77" s="1"/>
      <c r="K77" s="1"/>
      <c r="L77" s="1"/>
      <c r="M77" s="1"/>
      <c r="N77" s="1"/>
      <c r="O77" s="1"/>
      <c r="P77" s="39"/>
      <c r="Q77" s="40"/>
      <c r="R77" s="40"/>
      <c r="S77" s="40"/>
      <c r="T77" s="40"/>
      <c r="U77" s="40"/>
      <c r="V77" s="40"/>
      <c r="W77" s="40"/>
      <c r="X77" s="40"/>
      <c r="Y77" s="40"/>
      <c r="Z77" s="40"/>
      <c r="AA77" s="40"/>
      <c r="AB77" s="41"/>
      <c r="AC77" s="1"/>
      <c r="AD77" s="1"/>
      <c r="AE77" s="1"/>
      <c r="AF77" s="1"/>
      <c r="AG77" s="1"/>
      <c r="AH77" s="1"/>
      <c r="AI77" s="1"/>
      <c r="AJ77" s="1"/>
      <c r="AK77" s="1"/>
      <c r="AL77" s="1"/>
      <c r="AM77" s="1"/>
      <c r="AN77" s="1"/>
      <c r="AO77" s="1"/>
      <c r="AP77" s="1"/>
      <c r="AQ77" s="1"/>
    </row>
    <row r="78" spans="1:43">
      <c r="A78" s="1"/>
      <c r="B78" s="1"/>
      <c r="C78" s="1"/>
      <c r="D78" s="1"/>
      <c r="E78" s="1"/>
      <c r="F78" s="1"/>
      <c r="G78" s="1"/>
      <c r="H78" s="1"/>
      <c r="I78" s="1"/>
      <c r="J78" s="1"/>
      <c r="K78" s="1"/>
      <c r="L78" s="1"/>
      <c r="M78" s="1"/>
      <c r="N78" s="1"/>
      <c r="O78" s="1"/>
      <c r="P78" s="39"/>
      <c r="Q78" s="40"/>
      <c r="R78" s="40"/>
      <c r="S78" s="40"/>
      <c r="T78" s="40"/>
      <c r="U78" s="40"/>
      <c r="V78" s="395" t="s">
        <v>360</v>
      </c>
      <c r="W78" s="395"/>
      <c r="X78" s="395"/>
      <c r="Y78" s="221">
        <f>Inputs!$V$37</f>
        <v>15</v>
      </c>
      <c r="Z78" s="40" t="s">
        <v>28</v>
      </c>
      <c r="AA78" s="40"/>
      <c r="AB78" s="41"/>
      <c r="AC78" s="1"/>
      <c r="AD78" s="1"/>
      <c r="AE78" s="1"/>
      <c r="AF78" s="1"/>
      <c r="AG78" s="1"/>
      <c r="AH78" s="1"/>
      <c r="AI78" s="1"/>
      <c r="AJ78" s="1"/>
      <c r="AK78" s="1"/>
      <c r="AL78" s="1"/>
      <c r="AM78" s="1"/>
      <c r="AN78" s="1"/>
      <c r="AO78" s="1"/>
      <c r="AP78" s="1"/>
      <c r="AQ78" s="1"/>
    </row>
    <row r="79" spans="1:43">
      <c r="A79" s="1"/>
      <c r="B79" s="1"/>
      <c r="C79" s="1"/>
      <c r="D79" s="1"/>
      <c r="E79" s="1"/>
      <c r="F79" s="1"/>
      <c r="G79" s="1"/>
      <c r="H79" s="1"/>
      <c r="I79" s="1"/>
      <c r="J79" s="1"/>
      <c r="K79" s="1"/>
      <c r="L79" s="1"/>
      <c r="M79" s="1"/>
      <c r="N79" s="1"/>
      <c r="O79" s="1"/>
      <c r="P79" s="39"/>
      <c r="Q79" s="40"/>
      <c r="R79" s="40"/>
      <c r="S79" s="40"/>
      <c r="T79" s="40"/>
      <c r="U79" s="40"/>
      <c r="V79" s="395" t="s">
        <v>348</v>
      </c>
      <c r="W79" s="395"/>
      <c r="X79" s="395"/>
      <c r="Y79" s="222">
        <f>(Y78/('CubeSat hardware'!$B$5/2))*3</f>
        <v>1</v>
      </c>
      <c r="Z79" s="66" t="s">
        <v>25</v>
      </c>
      <c r="AA79" s="40"/>
      <c r="AB79" s="41"/>
      <c r="AC79" s="1"/>
      <c r="AD79" s="1"/>
      <c r="AE79" s="1"/>
      <c r="AF79" s="1"/>
      <c r="AG79" s="1"/>
      <c r="AH79" s="1"/>
      <c r="AI79" s="1"/>
      <c r="AJ79" s="1"/>
      <c r="AK79" s="1"/>
      <c r="AL79" s="1"/>
      <c r="AM79" s="1"/>
      <c r="AN79" s="1"/>
      <c r="AO79" s="1"/>
      <c r="AP79" s="1"/>
      <c r="AQ79" s="1"/>
    </row>
    <row r="80" spans="1:43">
      <c r="A80" s="1"/>
      <c r="B80" s="1"/>
      <c r="C80" s="1"/>
      <c r="D80" s="1"/>
      <c r="E80" s="1"/>
      <c r="F80" s="1"/>
      <c r="G80" s="1"/>
      <c r="H80" s="1"/>
      <c r="I80" s="1"/>
      <c r="J80" s="1"/>
      <c r="K80" s="1"/>
      <c r="L80" s="1"/>
      <c r="M80" s="1"/>
      <c r="N80" s="1"/>
      <c r="O80" s="1"/>
      <c r="P80" s="39"/>
      <c r="Q80" s="40"/>
      <c r="R80" s="40"/>
      <c r="S80" s="40"/>
      <c r="T80" s="40"/>
      <c r="U80" s="40"/>
      <c r="V80" s="395" t="s">
        <v>361</v>
      </c>
      <c r="W80" s="395"/>
      <c r="X80" s="395"/>
      <c r="Y80" s="221">
        <f>Inputs!$V$39</f>
        <v>30</v>
      </c>
      <c r="Z80" s="40" t="s">
        <v>28</v>
      </c>
      <c r="AA80" s="40"/>
      <c r="AB80" s="41"/>
      <c r="AC80" s="1"/>
      <c r="AD80" s="1"/>
      <c r="AE80" s="1"/>
      <c r="AF80" s="1"/>
      <c r="AG80" s="1"/>
      <c r="AH80" s="1"/>
      <c r="AI80" s="1"/>
      <c r="AJ80" s="1"/>
      <c r="AK80" s="1"/>
      <c r="AL80" s="1"/>
      <c r="AM80" s="1"/>
      <c r="AN80" s="1"/>
      <c r="AO80" s="1"/>
      <c r="AP80" s="1"/>
      <c r="AQ80" s="1"/>
    </row>
    <row r="81" spans="1:43">
      <c r="A81" s="1"/>
      <c r="B81" s="1"/>
      <c r="C81" s="1"/>
      <c r="D81" s="1"/>
      <c r="E81" s="1"/>
      <c r="F81" s="1"/>
      <c r="G81" s="1"/>
      <c r="H81" s="1"/>
      <c r="I81" s="1"/>
      <c r="J81" s="1"/>
      <c r="K81" s="1"/>
      <c r="L81" s="1"/>
      <c r="M81" s="1"/>
      <c r="N81" s="1"/>
      <c r="O81" s="1"/>
      <c r="P81" s="39"/>
      <c r="Q81" s="40"/>
      <c r="R81" s="40"/>
      <c r="S81" s="40"/>
      <c r="T81" s="40"/>
      <c r="U81" s="40"/>
      <c r="V81" s="395" t="s">
        <v>365</v>
      </c>
      <c r="W81" s="395"/>
      <c r="X81" s="395"/>
      <c r="Y81" s="224">
        <f>12*((Y80/42)^2)</f>
        <v>6.1224489795918373</v>
      </c>
      <c r="Z81" s="66" t="s">
        <v>25</v>
      </c>
      <c r="AA81" s="40"/>
      <c r="AB81" s="41"/>
      <c r="AC81" s="1"/>
      <c r="AD81" s="1"/>
      <c r="AE81" s="1"/>
      <c r="AF81" s="1"/>
      <c r="AG81" s="1"/>
      <c r="AH81" s="1"/>
      <c r="AI81" s="1"/>
      <c r="AJ81" s="1"/>
      <c r="AK81" s="1"/>
      <c r="AL81" s="1"/>
      <c r="AM81" s="1"/>
      <c r="AN81" s="1"/>
      <c r="AO81" s="1"/>
      <c r="AP81" s="1"/>
      <c r="AQ81" s="1"/>
    </row>
    <row r="82" spans="1:43">
      <c r="A82" s="1"/>
      <c r="B82" s="1"/>
      <c r="C82" s="1"/>
      <c r="D82" s="1"/>
      <c r="E82" s="1"/>
      <c r="F82" s="1"/>
      <c r="G82" s="1"/>
      <c r="H82" s="1"/>
      <c r="I82" s="1"/>
      <c r="J82" s="1"/>
      <c r="K82" s="1"/>
      <c r="L82" s="1"/>
      <c r="M82" s="1"/>
      <c r="N82" s="1"/>
      <c r="O82" s="1"/>
      <c r="P82" s="39"/>
      <c r="Q82" s="40"/>
      <c r="R82" s="40"/>
      <c r="S82" s="40"/>
      <c r="T82" s="40"/>
      <c r="U82" s="40"/>
      <c r="V82" s="395"/>
      <c r="W82" s="395"/>
      <c r="X82" s="395"/>
      <c r="Y82" s="40"/>
      <c r="Z82" s="66"/>
      <c r="AA82" s="40"/>
      <c r="AB82" s="41"/>
      <c r="AC82" s="1"/>
      <c r="AD82" s="1"/>
      <c r="AE82" s="1"/>
      <c r="AF82" s="1"/>
      <c r="AG82" s="1"/>
      <c r="AH82" s="1"/>
      <c r="AI82" s="1"/>
      <c r="AJ82" s="1"/>
      <c r="AK82" s="1"/>
      <c r="AL82" s="1"/>
      <c r="AM82" s="1"/>
      <c r="AN82" s="1"/>
      <c r="AO82" s="1"/>
      <c r="AP82" s="1"/>
      <c r="AQ82" s="1"/>
    </row>
    <row r="83" spans="1:43">
      <c r="A83" s="1"/>
      <c r="B83" s="1"/>
      <c r="C83" s="1"/>
      <c r="D83" s="1"/>
      <c r="E83" s="1"/>
      <c r="F83" s="1"/>
      <c r="G83" s="1"/>
      <c r="H83" s="1"/>
      <c r="I83" s="1"/>
      <c r="J83" s="1"/>
      <c r="K83" s="1"/>
      <c r="L83" s="1"/>
      <c r="M83" s="1"/>
      <c r="N83" s="1"/>
      <c r="O83" s="1"/>
      <c r="P83" s="39"/>
      <c r="Q83" s="40"/>
      <c r="R83" s="40"/>
      <c r="S83" s="40"/>
      <c r="T83" s="40"/>
      <c r="U83" s="40"/>
      <c r="V83" s="40"/>
      <c r="W83" s="40"/>
      <c r="X83" s="40"/>
      <c r="Y83" s="40"/>
      <c r="Z83" s="40"/>
      <c r="AA83" s="40"/>
      <c r="AB83" s="41"/>
      <c r="AC83" s="1"/>
      <c r="AD83" s="1"/>
      <c r="AE83" s="1"/>
      <c r="AF83" s="1"/>
      <c r="AG83" s="1"/>
      <c r="AH83" s="1"/>
      <c r="AI83" s="1"/>
      <c r="AJ83" s="1"/>
      <c r="AK83" s="1"/>
      <c r="AL83" s="1"/>
      <c r="AM83" s="1"/>
      <c r="AN83" s="1"/>
      <c r="AO83" s="1"/>
      <c r="AP83" s="1"/>
      <c r="AQ83" s="1"/>
    </row>
    <row r="84" spans="1:43">
      <c r="A84" s="1"/>
      <c r="B84" s="1"/>
      <c r="C84" s="1"/>
      <c r="D84" s="1"/>
      <c r="E84" s="1"/>
      <c r="F84" s="1"/>
      <c r="G84" s="1"/>
      <c r="H84" s="1"/>
      <c r="I84" s="1"/>
      <c r="J84" s="1"/>
      <c r="K84" s="1"/>
      <c r="L84" s="1"/>
      <c r="M84" s="1"/>
      <c r="N84" s="1"/>
      <c r="O84" s="1"/>
      <c r="P84" s="39"/>
      <c r="Q84" s="40"/>
      <c r="R84" s="40"/>
      <c r="S84" s="40"/>
      <c r="T84" s="40"/>
      <c r="U84" s="40"/>
      <c r="V84" s="40"/>
      <c r="W84" s="40"/>
      <c r="X84" s="40"/>
      <c r="Y84" s="40"/>
      <c r="Z84" s="40"/>
      <c r="AA84" s="40"/>
      <c r="AB84" s="41"/>
      <c r="AC84" s="1"/>
      <c r="AD84" s="1"/>
      <c r="AE84" s="1"/>
      <c r="AF84" s="1"/>
      <c r="AG84" s="1"/>
      <c r="AH84" s="1"/>
      <c r="AI84" s="1"/>
      <c r="AJ84" s="1"/>
      <c r="AK84" s="1"/>
      <c r="AL84" s="1"/>
      <c r="AM84" s="1"/>
      <c r="AN84" s="1"/>
      <c r="AO84" s="1"/>
      <c r="AP84" s="1"/>
      <c r="AQ84" s="1"/>
    </row>
    <row r="85" spans="1:43">
      <c r="A85" s="1"/>
      <c r="B85" s="1"/>
      <c r="C85" s="1"/>
      <c r="D85" s="1"/>
      <c r="E85" s="1"/>
      <c r="F85" s="1"/>
      <c r="G85" s="1"/>
      <c r="H85" s="1"/>
      <c r="I85" s="1"/>
      <c r="J85" s="1"/>
      <c r="K85" s="1"/>
      <c r="L85" s="1"/>
      <c r="M85" s="1"/>
      <c r="N85" s="1"/>
      <c r="O85" s="1"/>
      <c r="P85" s="39"/>
      <c r="Q85" s="40"/>
      <c r="R85" s="40"/>
      <c r="S85" s="40"/>
      <c r="T85" s="40"/>
      <c r="U85" s="40"/>
      <c r="V85" s="40"/>
      <c r="W85" s="40"/>
      <c r="X85" s="40"/>
      <c r="Y85" s="40"/>
      <c r="Z85" s="40"/>
      <c r="AA85" s="40"/>
      <c r="AB85" s="41"/>
      <c r="AC85" s="1"/>
      <c r="AD85" s="1"/>
      <c r="AE85" s="1"/>
      <c r="AF85" s="1"/>
      <c r="AG85" s="1"/>
      <c r="AH85" s="1"/>
      <c r="AI85" s="1"/>
      <c r="AJ85" s="1"/>
      <c r="AK85" s="1"/>
      <c r="AL85" s="1"/>
      <c r="AM85" s="1"/>
      <c r="AN85" s="1"/>
      <c r="AO85" s="1"/>
      <c r="AP85" s="1"/>
      <c r="AQ85" s="1"/>
    </row>
    <row r="86" spans="1:43">
      <c r="A86" s="1"/>
      <c r="B86" s="1"/>
      <c r="C86" s="1"/>
      <c r="D86" s="1"/>
      <c r="E86" s="1"/>
      <c r="F86" s="1"/>
      <c r="G86" s="1"/>
      <c r="H86" s="1"/>
      <c r="I86" s="1"/>
      <c r="J86" s="1"/>
      <c r="K86" s="1"/>
      <c r="L86" s="1"/>
      <c r="M86" s="1"/>
      <c r="N86" s="1"/>
      <c r="O86" s="1"/>
      <c r="P86" s="39"/>
      <c r="Q86" s="40"/>
      <c r="R86" s="40"/>
      <c r="S86" s="40"/>
      <c r="T86" s="40"/>
      <c r="U86" s="40"/>
      <c r="V86" s="40"/>
      <c r="W86" s="40"/>
      <c r="X86" s="40"/>
      <c r="Y86" s="40"/>
      <c r="Z86" s="40"/>
      <c r="AA86" s="40"/>
      <c r="AB86" s="41"/>
      <c r="AC86" s="1"/>
      <c r="AD86" s="1"/>
      <c r="AE86" s="1"/>
      <c r="AF86" s="1"/>
      <c r="AG86" s="1"/>
      <c r="AH86" s="1"/>
      <c r="AI86" s="1"/>
      <c r="AJ86" s="1"/>
      <c r="AK86" s="1"/>
      <c r="AL86" s="1"/>
      <c r="AM86" s="1"/>
      <c r="AN86" s="1"/>
      <c r="AO86" s="1"/>
      <c r="AP86" s="1"/>
      <c r="AQ86" s="1"/>
    </row>
    <row r="87" spans="1:43">
      <c r="A87" s="1"/>
      <c r="B87" s="1"/>
      <c r="C87" s="1"/>
      <c r="D87" s="1"/>
      <c r="E87" s="1"/>
      <c r="F87" s="1"/>
      <c r="G87" s="1"/>
      <c r="H87" s="1"/>
      <c r="I87" s="1"/>
      <c r="J87" s="1"/>
      <c r="K87" s="1"/>
      <c r="L87" s="1"/>
      <c r="M87" s="1"/>
      <c r="N87" s="1"/>
      <c r="O87" s="1"/>
      <c r="P87" s="39"/>
      <c r="Q87" s="40"/>
      <c r="R87" s="40"/>
      <c r="S87" s="40"/>
      <c r="T87" s="40"/>
      <c r="U87" s="40"/>
      <c r="V87" s="40"/>
      <c r="W87" s="40"/>
      <c r="X87" s="40"/>
      <c r="Y87" s="40"/>
      <c r="Z87" s="40"/>
      <c r="AA87" s="40"/>
      <c r="AB87" s="41"/>
      <c r="AC87" s="1"/>
      <c r="AD87" s="1"/>
      <c r="AE87" s="1"/>
      <c r="AF87" s="1"/>
      <c r="AG87" s="1"/>
      <c r="AH87" s="1"/>
      <c r="AI87" s="1"/>
      <c r="AJ87" s="1"/>
      <c r="AK87" s="1"/>
      <c r="AL87" s="1"/>
      <c r="AM87" s="1"/>
      <c r="AN87" s="1"/>
      <c r="AO87" s="1"/>
      <c r="AP87" s="1"/>
      <c r="AQ87" s="1"/>
    </row>
    <row r="88" spans="1:43">
      <c r="A88" s="1"/>
      <c r="B88" s="1"/>
      <c r="C88" s="1"/>
      <c r="D88" s="1"/>
      <c r="E88" s="1"/>
      <c r="F88" s="1"/>
      <c r="G88" s="1"/>
      <c r="H88" s="1"/>
      <c r="I88" s="1"/>
      <c r="J88" s="1"/>
      <c r="K88" s="1"/>
      <c r="L88" s="1"/>
      <c r="M88" s="1"/>
      <c r="N88" s="1"/>
      <c r="O88" s="1"/>
      <c r="P88" s="39"/>
      <c r="Q88" s="40"/>
      <c r="R88" s="40" t="s">
        <v>366</v>
      </c>
      <c r="S88" s="40"/>
      <c r="T88" s="40"/>
      <c r="U88" s="40"/>
      <c r="V88" s="40"/>
      <c r="W88" s="40"/>
      <c r="X88" s="40"/>
      <c r="Y88" s="40"/>
      <c r="Z88" s="40"/>
      <c r="AA88" s="40"/>
      <c r="AB88" s="41"/>
      <c r="AC88" s="1"/>
      <c r="AD88" s="1"/>
      <c r="AE88" s="1"/>
      <c r="AF88" s="1"/>
      <c r="AG88" s="1"/>
      <c r="AH88" s="1"/>
      <c r="AI88" s="1"/>
      <c r="AJ88" s="1"/>
      <c r="AK88" s="1"/>
      <c r="AL88" s="1"/>
      <c r="AM88" s="1"/>
      <c r="AN88" s="1"/>
      <c r="AO88" s="1"/>
      <c r="AP88" s="1"/>
      <c r="AQ88" s="1"/>
    </row>
    <row r="89" spans="1:43">
      <c r="A89" s="1"/>
      <c r="B89" s="1"/>
      <c r="C89" s="1"/>
      <c r="D89" s="1"/>
      <c r="E89" s="1"/>
      <c r="F89" s="1"/>
      <c r="G89" s="1"/>
      <c r="H89" s="1"/>
      <c r="I89" s="1"/>
      <c r="J89" s="1"/>
      <c r="K89" s="1"/>
      <c r="L89" s="1"/>
      <c r="M89" s="1"/>
      <c r="N89" s="1"/>
      <c r="O89" s="1"/>
      <c r="P89" s="39"/>
      <c r="Q89" s="40"/>
      <c r="R89" s="40" t="s">
        <v>228</v>
      </c>
      <c r="S89" s="40"/>
      <c r="T89" s="40"/>
      <c r="U89" s="40"/>
      <c r="V89" s="40"/>
      <c r="W89" s="40"/>
      <c r="X89" s="40"/>
      <c r="Y89" s="40"/>
      <c r="Z89" s="40"/>
      <c r="AA89" s="40"/>
      <c r="AB89" s="41"/>
      <c r="AC89" s="1"/>
      <c r="AD89" s="1"/>
      <c r="AE89" s="1"/>
      <c r="AF89" s="1"/>
      <c r="AG89" s="1"/>
      <c r="AH89" s="1"/>
      <c r="AI89" s="1"/>
      <c r="AJ89" s="1"/>
      <c r="AK89" s="1"/>
      <c r="AL89" s="1"/>
      <c r="AM89" s="1"/>
      <c r="AN89" s="1"/>
      <c r="AO89" s="1"/>
      <c r="AP89" s="1"/>
      <c r="AQ89" s="1"/>
    </row>
    <row r="90" spans="1:43">
      <c r="A90" s="1"/>
      <c r="B90" s="1"/>
      <c r="C90" s="1"/>
      <c r="D90" s="1"/>
      <c r="E90" s="1"/>
      <c r="F90" s="1"/>
      <c r="G90" s="1"/>
      <c r="H90" s="1"/>
      <c r="I90" s="1"/>
      <c r="J90" s="1"/>
      <c r="K90" s="1"/>
      <c r="L90" s="1"/>
      <c r="M90" s="1"/>
      <c r="N90" s="1"/>
      <c r="O90" s="1"/>
      <c r="P90" s="39"/>
      <c r="Q90" s="40"/>
      <c r="R90" s="198"/>
      <c r="S90" s="40"/>
      <c r="T90" s="40"/>
      <c r="U90" s="40"/>
      <c r="V90" s="65"/>
      <c r="W90" s="65"/>
      <c r="X90" s="65"/>
      <c r="Y90" s="65"/>
      <c r="Z90" s="65"/>
      <c r="AA90" s="40"/>
      <c r="AB90" s="41"/>
      <c r="AC90" s="1"/>
      <c r="AD90" s="1"/>
      <c r="AE90" s="1"/>
      <c r="AF90" s="1"/>
      <c r="AG90" s="1"/>
      <c r="AH90" s="1"/>
      <c r="AI90" s="1"/>
      <c r="AJ90" s="1"/>
      <c r="AK90" s="1"/>
      <c r="AL90" s="1"/>
      <c r="AM90" s="1"/>
      <c r="AN90" s="1"/>
      <c r="AO90" s="1"/>
      <c r="AP90" s="1"/>
      <c r="AQ90" s="1"/>
    </row>
    <row r="91" spans="1:43" ht="15.4" customHeight="1">
      <c r="A91" s="1"/>
      <c r="B91" s="1"/>
      <c r="C91" s="1"/>
      <c r="D91" s="1"/>
      <c r="E91" s="1"/>
      <c r="F91" s="1"/>
      <c r="G91" s="1"/>
      <c r="H91" s="1"/>
      <c r="I91" s="1"/>
      <c r="J91" s="1"/>
      <c r="K91" s="1"/>
      <c r="L91" s="1"/>
      <c r="M91" s="1"/>
      <c r="N91" s="1"/>
      <c r="O91" s="1"/>
      <c r="P91" s="39"/>
      <c r="Q91" s="40"/>
      <c r="R91" s="64"/>
      <c r="S91" s="64"/>
      <c r="T91" s="64"/>
      <c r="U91" s="64"/>
      <c r="V91" s="64"/>
      <c r="W91" s="64"/>
      <c r="X91" s="64"/>
      <c r="Y91" s="64"/>
      <c r="Z91" s="64"/>
      <c r="AA91" s="40"/>
      <c r="AB91" s="41"/>
      <c r="AC91" s="1"/>
      <c r="AD91" s="1"/>
      <c r="AE91" s="1"/>
      <c r="AF91" s="1"/>
      <c r="AG91" s="1"/>
      <c r="AH91" s="1"/>
      <c r="AI91" s="1"/>
      <c r="AJ91" s="1"/>
      <c r="AK91" s="1"/>
      <c r="AL91" s="1"/>
      <c r="AM91" s="1"/>
      <c r="AN91" s="1"/>
      <c r="AO91" s="1"/>
      <c r="AP91" s="1"/>
      <c r="AQ91" s="1"/>
    </row>
    <row r="92" spans="1:43" ht="15.4" customHeight="1">
      <c r="A92" s="1"/>
      <c r="B92" s="1"/>
      <c r="C92" s="1"/>
      <c r="D92" s="1"/>
      <c r="E92" s="1"/>
      <c r="F92" s="1"/>
      <c r="G92" s="1"/>
      <c r="H92" s="1"/>
      <c r="I92" s="1"/>
      <c r="J92" s="1"/>
      <c r="K92" s="1"/>
      <c r="L92" s="1"/>
      <c r="M92" s="1"/>
      <c r="N92" s="1"/>
      <c r="O92" s="1"/>
      <c r="P92" s="39"/>
      <c r="Q92" s="40"/>
      <c r="R92" s="64"/>
      <c r="S92" s="64"/>
      <c r="T92" s="64"/>
      <c r="U92" s="64"/>
      <c r="V92" s="64"/>
      <c r="W92" s="64"/>
      <c r="X92" s="64"/>
      <c r="Y92" s="64"/>
      <c r="Z92" s="64"/>
      <c r="AA92" s="40"/>
      <c r="AB92" s="41"/>
      <c r="AC92" s="1"/>
      <c r="AD92" s="1"/>
      <c r="AE92" s="1"/>
      <c r="AF92" s="1"/>
      <c r="AG92" s="1"/>
      <c r="AH92" s="1"/>
      <c r="AI92" s="1"/>
      <c r="AJ92" s="1"/>
      <c r="AK92" s="1"/>
      <c r="AL92" s="1"/>
      <c r="AM92" s="1"/>
      <c r="AN92" s="1"/>
      <c r="AO92" s="1"/>
      <c r="AP92" s="1"/>
      <c r="AQ92" s="1"/>
    </row>
    <row r="93" spans="1:43" ht="30">
      <c r="A93" s="1"/>
      <c r="B93" s="1"/>
      <c r="C93" s="1"/>
      <c r="D93" s="1"/>
      <c r="E93" s="1"/>
      <c r="F93" s="1"/>
      <c r="G93" s="1"/>
      <c r="H93" s="1"/>
      <c r="I93" s="1"/>
      <c r="J93" s="1"/>
      <c r="K93" s="1"/>
      <c r="L93" s="1"/>
      <c r="M93" s="1"/>
      <c r="N93" s="1"/>
      <c r="O93" s="1"/>
      <c r="P93" s="39"/>
      <c r="Q93" s="40"/>
      <c r="R93" s="328" t="s">
        <v>362</v>
      </c>
      <c r="S93" s="329"/>
      <c r="T93" s="329"/>
      <c r="U93" s="329"/>
      <c r="V93" s="329"/>
      <c r="W93" s="329"/>
      <c r="X93" s="329"/>
      <c r="Y93" s="329"/>
      <c r="Z93" s="330"/>
      <c r="AA93" s="40"/>
      <c r="AB93" s="41"/>
      <c r="AC93" s="1"/>
      <c r="AD93" s="1"/>
      <c r="AE93" s="1"/>
      <c r="AF93" s="1"/>
      <c r="AG93" s="1"/>
      <c r="AH93" s="1"/>
      <c r="AI93" s="1"/>
      <c r="AJ93" s="1"/>
      <c r="AK93" s="1"/>
      <c r="AL93" s="1"/>
      <c r="AM93" s="1"/>
      <c r="AN93" s="1"/>
      <c r="AO93" s="1"/>
      <c r="AP93" s="1"/>
      <c r="AQ93" s="1"/>
    </row>
    <row r="94" spans="1:43" ht="15.4" customHeight="1">
      <c r="A94" s="1"/>
      <c r="B94" s="1"/>
      <c r="C94" s="1"/>
      <c r="D94" s="1"/>
      <c r="E94" s="1"/>
      <c r="F94" s="1"/>
      <c r="G94" s="1"/>
      <c r="H94" s="1"/>
      <c r="I94" s="1"/>
      <c r="J94" s="1"/>
      <c r="K94" s="1"/>
      <c r="L94" s="1"/>
      <c r="M94" s="1"/>
      <c r="N94" s="1"/>
      <c r="O94" s="1"/>
      <c r="P94" s="39"/>
      <c r="Q94" s="40"/>
      <c r="R94" s="64"/>
      <c r="S94" s="64"/>
      <c r="T94" s="64"/>
      <c r="U94" s="64"/>
      <c r="V94" s="64"/>
      <c r="W94" s="64"/>
      <c r="X94" s="64"/>
      <c r="Y94" s="64"/>
      <c r="Z94" s="64"/>
      <c r="AA94" s="40"/>
      <c r="AB94" s="41"/>
      <c r="AC94" s="1"/>
      <c r="AD94" s="1"/>
      <c r="AE94" s="1"/>
      <c r="AF94" s="1"/>
      <c r="AG94" s="1"/>
      <c r="AH94" s="1"/>
      <c r="AI94" s="1"/>
      <c r="AJ94" s="1"/>
      <c r="AK94" s="1"/>
      <c r="AL94" s="1"/>
      <c r="AM94" s="1"/>
      <c r="AN94" s="1"/>
      <c r="AO94" s="1"/>
      <c r="AP94" s="1"/>
      <c r="AQ94" s="1"/>
    </row>
    <row r="95" spans="1:43" ht="15.4" customHeight="1">
      <c r="A95" s="1"/>
      <c r="B95" s="1"/>
      <c r="C95" s="1"/>
      <c r="D95" s="1"/>
      <c r="E95" s="1"/>
      <c r="F95" s="1"/>
      <c r="G95" s="1"/>
      <c r="H95" s="1"/>
      <c r="I95" s="1"/>
      <c r="J95" s="1"/>
      <c r="K95" s="1"/>
      <c r="L95" s="1"/>
      <c r="M95" s="1"/>
      <c r="N95" s="1"/>
      <c r="O95" s="1"/>
      <c r="P95" s="39"/>
      <c r="Q95" s="40"/>
      <c r="R95" s="40"/>
      <c r="S95" s="40"/>
      <c r="T95" s="40"/>
      <c r="U95" s="40"/>
      <c r="V95" s="40"/>
      <c r="W95" s="40"/>
      <c r="X95" s="64"/>
      <c r="Y95" s="64"/>
      <c r="Z95" s="64"/>
      <c r="AA95" s="40"/>
      <c r="AB95" s="41"/>
      <c r="AC95" s="1"/>
      <c r="AD95" s="1"/>
      <c r="AE95" s="1"/>
      <c r="AF95" s="1"/>
      <c r="AG95" s="1"/>
      <c r="AH95" s="1"/>
      <c r="AI95" s="1"/>
      <c r="AJ95" s="1"/>
      <c r="AK95" s="1"/>
      <c r="AL95" s="1"/>
      <c r="AM95" s="1"/>
      <c r="AN95" s="1"/>
      <c r="AO95" s="1"/>
      <c r="AP95" s="1"/>
      <c r="AQ95" s="1"/>
    </row>
    <row r="96" spans="1:43">
      <c r="A96" s="1"/>
      <c r="B96" s="1"/>
      <c r="C96" s="1"/>
      <c r="D96" s="1"/>
      <c r="E96" s="1"/>
      <c r="F96" s="1"/>
      <c r="G96" s="1"/>
      <c r="H96" s="1"/>
      <c r="I96" s="1"/>
      <c r="J96" s="1"/>
      <c r="K96" s="1"/>
      <c r="L96" s="1"/>
      <c r="M96" s="1"/>
      <c r="N96" s="1"/>
      <c r="O96" s="1"/>
      <c r="P96" s="39"/>
      <c r="Q96" s="40"/>
      <c r="R96" s="425" t="s">
        <v>351</v>
      </c>
      <c r="S96" s="425"/>
      <c r="T96" s="425"/>
      <c r="U96" s="425"/>
      <c r="V96" s="425"/>
      <c r="W96" s="199"/>
      <c r="X96" s="66"/>
      <c r="Y96" s="66"/>
      <c r="Z96" s="66"/>
      <c r="AA96" s="40"/>
      <c r="AB96" s="41"/>
      <c r="AC96" s="1"/>
      <c r="AD96" s="1"/>
      <c r="AE96" s="1"/>
      <c r="AF96" s="1"/>
      <c r="AG96" s="1"/>
      <c r="AH96" s="1"/>
      <c r="AI96" s="1"/>
      <c r="AJ96" s="1"/>
      <c r="AK96" s="1"/>
      <c r="AL96" s="1"/>
      <c r="AM96" s="1"/>
      <c r="AN96" s="1"/>
      <c r="AO96" s="1"/>
      <c r="AP96" s="1"/>
      <c r="AQ96" s="1"/>
    </row>
    <row r="97" spans="1:43">
      <c r="A97" s="1"/>
      <c r="B97" s="1"/>
      <c r="C97" s="1"/>
      <c r="D97" s="1"/>
      <c r="E97" s="1"/>
      <c r="F97" s="1"/>
      <c r="G97" s="1"/>
      <c r="H97" s="1"/>
      <c r="I97" s="1"/>
      <c r="J97" s="1"/>
      <c r="K97" s="1"/>
      <c r="L97" s="1"/>
      <c r="M97" s="1"/>
      <c r="N97" s="1"/>
      <c r="O97" s="1"/>
      <c r="P97" s="39"/>
      <c r="Q97" s="40"/>
      <c r="R97" s="399" t="s">
        <v>363</v>
      </c>
      <c r="S97" s="399"/>
      <c r="T97" s="399"/>
      <c r="U97" s="123">
        <v>1</v>
      </c>
      <c r="V97" s="66" t="s">
        <v>25</v>
      </c>
      <c r="W97" s="67"/>
      <c r="X97" s="66"/>
      <c r="Y97" s="66"/>
      <c r="Z97" s="66"/>
      <c r="AA97" s="40"/>
      <c r="AB97" s="41"/>
      <c r="AC97" s="1"/>
      <c r="AD97" s="1"/>
      <c r="AE97" s="1"/>
      <c r="AF97" s="1"/>
      <c r="AG97" s="1"/>
      <c r="AH97" s="1"/>
      <c r="AI97" s="1"/>
      <c r="AJ97" s="1"/>
      <c r="AK97" s="1"/>
      <c r="AL97" s="1"/>
      <c r="AM97" s="1"/>
      <c r="AN97" s="1"/>
      <c r="AO97" s="1"/>
      <c r="AP97" s="1"/>
      <c r="AQ97" s="1"/>
    </row>
    <row r="98" spans="1:43">
      <c r="A98" s="1"/>
      <c r="B98" s="1"/>
      <c r="C98" s="1"/>
      <c r="D98" s="1"/>
      <c r="E98" s="1"/>
      <c r="F98" s="1"/>
      <c r="G98" s="1"/>
      <c r="H98" s="1"/>
      <c r="I98" s="1"/>
      <c r="J98" s="1"/>
      <c r="K98" s="1"/>
      <c r="L98" s="1"/>
      <c r="M98" s="1"/>
      <c r="N98" s="1"/>
      <c r="O98" s="1"/>
      <c r="P98" s="39"/>
      <c r="Q98" s="40"/>
      <c r="R98" s="399" t="s">
        <v>368</v>
      </c>
      <c r="S98" s="399"/>
      <c r="T98" s="399"/>
      <c r="U98" s="123">
        <v>1</v>
      </c>
      <c r="V98" s="66" t="s">
        <v>25</v>
      </c>
      <c r="W98" s="67"/>
      <c r="X98" s="66"/>
      <c r="Y98" s="66"/>
      <c r="Z98" s="66"/>
      <c r="AA98" s="40"/>
      <c r="AB98" s="41"/>
      <c r="AC98" s="1"/>
      <c r="AD98" s="1"/>
      <c r="AE98" s="1"/>
      <c r="AF98" s="1"/>
      <c r="AG98" s="1"/>
      <c r="AH98" s="1"/>
      <c r="AI98" s="1"/>
      <c r="AJ98" s="1"/>
      <c r="AK98" s="1"/>
      <c r="AL98" s="1"/>
      <c r="AM98" s="1"/>
      <c r="AN98" s="1"/>
      <c r="AO98" s="1"/>
      <c r="AP98" s="1"/>
      <c r="AQ98" s="1"/>
    </row>
    <row r="99" spans="1:43">
      <c r="A99" s="1"/>
      <c r="B99" s="1"/>
      <c r="C99" s="1"/>
      <c r="D99" s="1"/>
      <c r="E99" s="1"/>
      <c r="F99" s="1"/>
      <c r="G99" s="1"/>
      <c r="H99" s="1"/>
      <c r="I99" s="1"/>
      <c r="J99" s="1"/>
      <c r="K99" s="1"/>
      <c r="L99" s="1"/>
      <c r="M99" s="1"/>
      <c r="N99" s="1"/>
      <c r="O99" s="1"/>
      <c r="P99" s="39"/>
      <c r="Q99" s="40"/>
      <c r="R99" s="399" t="s">
        <v>354</v>
      </c>
      <c r="S99" s="399"/>
      <c r="T99" s="399"/>
      <c r="U99" s="123">
        <v>90</v>
      </c>
      <c r="V99" s="66" t="s">
        <v>28</v>
      </c>
      <c r="W99" s="67"/>
      <c r="X99" s="66"/>
      <c r="Y99" s="66"/>
      <c r="Z99" s="66"/>
      <c r="AA99" s="40"/>
      <c r="AB99" s="41"/>
      <c r="AC99" s="1"/>
      <c r="AD99" s="1"/>
      <c r="AE99" s="1"/>
      <c r="AF99" s="1"/>
      <c r="AG99" s="1"/>
      <c r="AH99" s="1"/>
      <c r="AI99" s="1"/>
      <c r="AJ99" s="1"/>
      <c r="AK99" s="1"/>
      <c r="AL99" s="1"/>
      <c r="AM99" s="1"/>
      <c r="AN99" s="1"/>
      <c r="AO99" s="1"/>
      <c r="AP99" s="1"/>
      <c r="AQ99" s="1"/>
    </row>
    <row r="100" spans="1:43">
      <c r="A100" s="1"/>
      <c r="B100" s="1"/>
      <c r="C100" s="1"/>
      <c r="D100" s="1"/>
      <c r="E100" s="1"/>
      <c r="F100" s="1"/>
      <c r="G100" s="1"/>
      <c r="H100" s="1"/>
      <c r="I100" s="1"/>
      <c r="J100" s="1"/>
      <c r="K100" s="1"/>
      <c r="L100" s="1"/>
      <c r="M100" s="1"/>
      <c r="N100" s="1"/>
      <c r="O100" s="1"/>
      <c r="P100" s="39"/>
      <c r="Q100" s="40"/>
      <c r="R100" s="399" t="s">
        <v>355</v>
      </c>
      <c r="S100" s="399"/>
      <c r="T100" s="399"/>
      <c r="U100" s="143">
        <f>-10*LOG('Backend Data'!D41)</f>
        <v>0.22825214260717014</v>
      </c>
      <c r="V100" s="68" t="s">
        <v>25</v>
      </c>
      <c r="W100" s="68"/>
      <c r="X100" s="66"/>
      <c r="Y100" s="66"/>
      <c r="Z100" s="66"/>
      <c r="AA100" s="40"/>
      <c r="AB100" s="41"/>
      <c r="AC100" s="1"/>
      <c r="AD100" s="1"/>
      <c r="AE100" s="1"/>
      <c r="AF100" s="1"/>
      <c r="AG100" s="1"/>
      <c r="AH100" s="1"/>
      <c r="AI100" s="1"/>
      <c r="AJ100" s="1"/>
      <c r="AK100" s="1"/>
      <c r="AL100" s="1"/>
      <c r="AM100" s="1"/>
      <c r="AN100" s="1"/>
      <c r="AO100" s="1"/>
      <c r="AP100" s="1"/>
      <c r="AQ100" s="1"/>
    </row>
    <row r="101" spans="1:43">
      <c r="A101" s="1"/>
      <c r="B101" s="1"/>
      <c r="C101" s="1"/>
      <c r="D101" s="1"/>
      <c r="E101" s="1"/>
      <c r="F101" s="1"/>
      <c r="G101" s="1"/>
      <c r="H101" s="1"/>
      <c r="I101" s="1"/>
      <c r="J101" s="1"/>
      <c r="K101" s="1"/>
      <c r="L101" s="1"/>
      <c r="M101" s="1"/>
      <c r="N101" s="1"/>
      <c r="O101" s="1"/>
      <c r="P101" s="39"/>
      <c r="Q101" s="40"/>
      <c r="R101" s="40"/>
      <c r="S101" s="40"/>
      <c r="T101" s="40"/>
      <c r="U101" s="40"/>
      <c r="V101" s="40"/>
      <c r="W101" s="40"/>
      <c r="X101" s="66"/>
      <c r="Y101" s="66"/>
      <c r="Z101" s="66"/>
      <c r="AA101" s="40"/>
      <c r="AB101" s="41"/>
      <c r="AC101" s="1"/>
      <c r="AD101" s="1"/>
      <c r="AE101" s="1"/>
      <c r="AF101" s="1"/>
      <c r="AG101" s="1"/>
      <c r="AH101" s="1"/>
      <c r="AI101" s="1"/>
      <c r="AJ101" s="1"/>
      <c r="AK101" s="1"/>
      <c r="AL101" s="1"/>
      <c r="AM101" s="1"/>
      <c r="AN101" s="1"/>
      <c r="AO101" s="1"/>
      <c r="AP101" s="1"/>
      <c r="AQ101" s="1"/>
    </row>
    <row r="102" spans="1:43">
      <c r="A102" s="1"/>
      <c r="B102" s="1"/>
      <c r="C102" s="1"/>
      <c r="D102" s="1"/>
      <c r="E102" s="1"/>
      <c r="F102" s="1"/>
      <c r="G102" s="1"/>
      <c r="H102" s="1"/>
      <c r="I102" s="1"/>
      <c r="J102" s="1"/>
      <c r="K102" s="1"/>
      <c r="L102" s="1"/>
      <c r="M102" s="1"/>
      <c r="N102" s="1"/>
      <c r="O102" s="1"/>
      <c r="P102" s="39"/>
      <c r="Q102" s="40"/>
      <c r="R102" s="394" t="s">
        <v>356</v>
      </c>
      <c r="S102" s="394"/>
      <c r="T102" s="394"/>
      <c r="U102" s="394"/>
      <c r="V102" s="40"/>
      <c r="W102" s="40"/>
      <c r="X102" s="66"/>
      <c r="Y102" s="66"/>
      <c r="Z102" s="66"/>
      <c r="AA102" s="40"/>
      <c r="AB102" s="41"/>
      <c r="AC102" s="1"/>
      <c r="AD102" s="1"/>
      <c r="AE102" s="1"/>
      <c r="AF102" s="1"/>
      <c r="AG102" s="1"/>
      <c r="AH102" s="1"/>
      <c r="AI102" s="1"/>
      <c r="AJ102" s="1"/>
      <c r="AK102" s="1"/>
      <c r="AL102" s="1"/>
      <c r="AM102" s="1"/>
      <c r="AN102" s="1"/>
      <c r="AO102" s="1"/>
      <c r="AP102" s="1"/>
      <c r="AQ102" s="1"/>
    </row>
    <row r="103" spans="1:43">
      <c r="A103" s="1"/>
      <c r="B103" s="1"/>
      <c r="C103" s="1"/>
      <c r="D103" s="1"/>
      <c r="E103" s="1"/>
      <c r="F103" s="1"/>
      <c r="G103" s="1"/>
      <c r="H103" s="1"/>
      <c r="I103" s="1"/>
      <c r="J103" s="1"/>
      <c r="K103" s="1"/>
      <c r="L103" s="1"/>
      <c r="M103" s="1"/>
      <c r="N103" s="1"/>
      <c r="O103" s="1"/>
      <c r="P103" s="39"/>
      <c r="Q103" s="40"/>
      <c r="R103" s="395" t="s">
        <v>357</v>
      </c>
      <c r="S103" s="395"/>
      <c r="T103" s="395"/>
      <c r="U103" s="143">
        <f>10*LOG10(1-'Backend Data'!D41)</f>
        <v>-12.907320722611759</v>
      </c>
      <c r="V103" s="40" t="s">
        <v>25</v>
      </c>
      <c r="W103" s="40"/>
      <c r="X103" s="66"/>
      <c r="Y103" s="66"/>
      <c r="Z103" s="66"/>
      <c r="AA103" s="40"/>
      <c r="AB103" s="41"/>
      <c r="AC103" s="1"/>
      <c r="AD103" s="1"/>
      <c r="AE103" s="1"/>
      <c r="AF103" s="1"/>
      <c r="AG103" s="1"/>
      <c r="AH103" s="1"/>
      <c r="AI103" s="1"/>
      <c r="AJ103" s="1"/>
      <c r="AK103" s="1"/>
      <c r="AL103" s="1"/>
      <c r="AM103" s="1"/>
      <c r="AN103" s="1"/>
      <c r="AO103" s="1"/>
      <c r="AP103" s="1"/>
      <c r="AQ103" s="1"/>
    </row>
    <row r="104" spans="1:43">
      <c r="A104" s="1"/>
      <c r="B104" s="1"/>
      <c r="C104" s="1"/>
      <c r="D104" s="1"/>
      <c r="E104" s="1"/>
      <c r="F104" s="1"/>
      <c r="G104" s="1"/>
      <c r="H104" s="1"/>
      <c r="I104" s="1"/>
      <c r="J104" s="1"/>
      <c r="K104" s="1"/>
      <c r="L104" s="1"/>
      <c r="M104" s="1"/>
      <c r="N104" s="1"/>
      <c r="O104" s="1"/>
      <c r="P104" s="39"/>
      <c r="Q104" s="40"/>
      <c r="R104" s="395" t="s">
        <v>358</v>
      </c>
      <c r="S104" s="395"/>
      <c r="T104" s="395"/>
      <c r="U104" s="143">
        <f>U100-U103</f>
        <v>13.135572865218929</v>
      </c>
      <c r="V104" s="40" t="s">
        <v>25</v>
      </c>
      <c r="W104" s="40"/>
      <c r="X104" s="66"/>
      <c r="Y104" s="66"/>
      <c r="Z104" s="66"/>
      <c r="AA104" s="40"/>
      <c r="AB104" s="41"/>
      <c r="AC104" s="1"/>
      <c r="AD104" s="1"/>
      <c r="AE104" s="1"/>
      <c r="AF104" s="1"/>
      <c r="AG104" s="1"/>
      <c r="AH104" s="1"/>
      <c r="AI104" s="1"/>
      <c r="AJ104" s="1"/>
      <c r="AK104" s="1"/>
      <c r="AL104" s="1"/>
      <c r="AM104" s="1"/>
      <c r="AN104" s="1"/>
      <c r="AO104" s="1"/>
      <c r="AP104" s="1"/>
      <c r="AQ104" s="1"/>
    </row>
    <row r="105" spans="1:43">
      <c r="A105" s="1"/>
      <c r="B105" s="1"/>
      <c r="C105" s="1"/>
      <c r="D105" s="1"/>
      <c r="E105" s="1"/>
      <c r="F105" s="1"/>
      <c r="G105" s="1"/>
      <c r="H105" s="1"/>
      <c r="I105" s="1"/>
      <c r="J105" s="1"/>
      <c r="K105" s="1"/>
      <c r="L105" s="1"/>
      <c r="M105" s="1"/>
      <c r="N105" s="1"/>
      <c r="O105" s="1"/>
      <c r="P105" s="39"/>
      <c r="Q105" s="40"/>
      <c r="R105" s="40"/>
      <c r="S105" s="40"/>
      <c r="T105" s="40"/>
      <c r="U105" s="40"/>
      <c r="V105" s="40"/>
      <c r="W105" s="40"/>
      <c r="X105" s="40"/>
      <c r="Y105" s="40"/>
      <c r="Z105" s="40"/>
      <c r="AA105" s="40"/>
      <c r="AB105" s="41"/>
      <c r="AC105" s="1"/>
      <c r="AD105" s="1"/>
      <c r="AE105" s="1"/>
      <c r="AF105" s="1"/>
      <c r="AG105" s="1"/>
      <c r="AH105" s="1"/>
      <c r="AI105" s="1"/>
      <c r="AJ105" s="1"/>
      <c r="AK105" s="1"/>
      <c r="AL105" s="1"/>
      <c r="AM105" s="1"/>
      <c r="AN105" s="1"/>
      <c r="AO105" s="1"/>
      <c r="AP105" s="1"/>
      <c r="AQ105" s="1"/>
    </row>
    <row r="106" spans="1:43">
      <c r="A106" s="1"/>
      <c r="B106" s="1"/>
      <c r="C106" s="1"/>
      <c r="D106" s="1"/>
      <c r="E106" s="1"/>
      <c r="F106" s="1"/>
      <c r="G106" s="1"/>
      <c r="H106" s="1"/>
      <c r="I106" s="1"/>
      <c r="J106" s="1"/>
      <c r="K106" s="1"/>
      <c r="L106" s="1"/>
      <c r="M106" s="1"/>
      <c r="N106" s="1"/>
      <c r="O106" s="1"/>
      <c r="P106" s="42"/>
      <c r="Q106" s="43"/>
      <c r="R106" s="69"/>
      <c r="S106" s="69"/>
      <c r="T106" s="69"/>
      <c r="U106" s="69"/>
      <c r="V106" s="43"/>
      <c r="W106" s="43"/>
      <c r="X106" s="43"/>
      <c r="Y106" s="43"/>
      <c r="Z106" s="43"/>
      <c r="AA106" s="43"/>
      <c r="AB106" s="44"/>
      <c r="AC106" s="1"/>
      <c r="AD106" s="1"/>
      <c r="AE106" s="1"/>
      <c r="AF106" s="1"/>
      <c r="AG106" s="1"/>
      <c r="AH106" s="1"/>
      <c r="AI106" s="1"/>
      <c r="AJ106" s="1"/>
      <c r="AK106" s="1"/>
      <c r="AL106" s="1"/>
      <c r="AM106" s="1"/>
      <c r="AN106" s="1"/>
      <c r="AO106" s="1"/>
      <c r="AP106" s="1"/>
      <c r="AQ106" s="1"/>
    </row>
    <row r="107" spans="1:4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24:Z24"/>
    <mergeCell ref="R2:Z2"/>
    <mergeCell ref="R6:Z6"/>
    <mergeCell ref="T8:W8"/>
    <mergeCell ref="T9:U9"/>
    <mergeCell ref="T10:U10"/>
    <mergeCell ref="T11:U11"/>
    <mergeCell ref="T12:U12"/>
    <mergeCell ref="R13:Z13"/>
    <mergeCell ref="T15:W15"/>
    <mergeCell ref="T16:U16"/>
    <mergeCell ref="T17:U17"/>
    <mergeCell ref="R59:U59"/>
    <mergeCell ref="V35:X35"/>
    <mergeCell ref="V36:X36"/>
    <mergeCell ref="V37:X37"/>
    <mergeCell ref="V38:X38"/>
    <mergeCell ref="V39:X39"/>
    <mergeCell ref="R50:Z50"/>
    <mergeCell ref="R53:V53"/>
    <mergeCell ref="R54:T54"/>
    <mergeCell ref="R55:T55"/>
    <mergeCell ref="R56:T56"/>
    <mergeCell ref="R57:T57"/>
    <mergeCell ref="R98:T98"/>
    <mergeCell ref="R60:T60"/>
    <mergeCell ref="R61:T61"/>
    <mergeCell ref="R67:Z67"/>
    <mergeCell ref="V78:X78"/>
    <mergeCell ref="V79:X79"/>
    <mergeCell ref="V80:X80"/>
    <mergeCell ref="V81:X81"/>
    <mergeCell ref="V82:X82"/>
    <mergeCell ref="R93:Z93"/>
    <mergeCell ref="R96:V96"/>
    <mergeCell ref="R97:T97"/>
    <mergeCell ref="R99:T99"/>
    <mergeCell ref="R100:T100"/>
    <mergeCell ref="R102:U102"/>
    <mergeCell ref="R103:T103"/>
    <mergeCell ref="R104:T104"/>
  </mergeCells>
  <conditionalFormatting sqref="U54:U56">
    <cfRule type="expression" dxfId="38" priority="43">
      <formula>$AA$9=4</formula>
    </cfRule>
    <cfRule type="expression" dxfId="37" priority="44">
      <formula>$AA$9=3</formula>
    </cfRule>
    <cfRule type="expression" dxfId="36" priority="45">
      <formula>$AA$9=1</formula>
    </cfRule>
  </conditionalFormatting>
  <conditionalFormatting sqref="U97:U99">
    <cfRule type="expression" dxfId="35" priority="31">
      <formula>$AA$9=4</formula>
    </cfRule>
    <cfRule type="expression" dxfId="34" priority="32">
      <formula>$AA$9=3</formula>
    </cfRule>
    <cfRule type="expression" dxfId="33" priority="33">
      <formula>$AA$9=1</formula>
    </cfRule>
  </conditionalFormatting>
  <conditionalFormatting sqref="Y35">
    <cfRule type="expression" dxfId="32" priority="25">
      <formula>$AA$9=4</formula>
    </cfRule>
    <cfRule type="expression" dxfId="31" priority="26">
      <formula>$AA$9=3</formula>
    </cfRule>
    <cfRule type="expression" dxfId="30" priority="27">
      <formula>$AA$9=1</formula>
    </cfRule>
  </conditionalFormatting>
  <conditionalFormatting sqref="Y37:Y38">
    <cfRule type="expression" dxfId="29" priority="1">
      <formula>$AA$9=4</formula>
    </cfRule>
    <cfRule type="expression" dxfId="28" priority="2">
      <formula>$AA$9=3</formula>
    </cfRule>
    <cfRule type="expression" dxfId="27" priority="3">
      <formula>$AA$9=1</formula>
    </cfRule>
  </conditionalFormatting>
  <conditionalFormatting sqref="Y78:Y80">
    <cfRule type="expression" dxfId="26" priority="4">
      <formula>$AA$9=4</formula>
    </cfRule>
    <cfRule type="expression" dxfId="25" priority="5">
      <formula>$AA$9=3</formula>
    </cfRule>
    <cfRule type="expression" dxfId="24" priority="6">
      <formula>$AA$9=1</formula>
    </cfRule>
  </conditionalFormatting>
  <pageMargins left="0.7" right="0.7" top="0.75" bottom="0.75" header="0.3" footer="0.3"/>
  <pageSetup orientation="portrait" verticalDpi="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25" zoomScale="144" zoomScaleNormal="100" workbookViewId="0">
      <selection activeCell="E31" sqref="E31"/>
    </sheetView>
  </sheetViews>
  <sheetFormatPr defaultColWidth="0" defaultRowHeight="0" customHeight="1" zeroHeight="1"/>
  <cols>
    <col min="1" max="3" width="3.5703125" customWidth="1"/>
    <col min="4" max="4" width="39.28515625" customWidth="1"/>
    <col min="5" max="5" width="17.140625" customWidth="1"/>
    <col min="6" max="6" width="4.85546875" bestFit="1" customWidth="1"/>
    <col min="7" max="7" width="43" customWidth="1"/>
    <col min="8" max="9" width="3.28515625" customWidth="1"/>
    <col min="10" max="10" width="3.5703125" customWidth="1"/>
    <col min="11" max="11" width="0" hidden="1" customWidth="1"/>
    <col min="12" max="16384" width="8.7109375" hidden="1"/>
  </cols>
  <sheetData>
    <row r="1" spans="1:11" ht="14.45">
      <c r="A1" s="1"/>
      <c r="B1" s="1"/>
      <c r="C1" s="1"/>
      <c r="D1" s="1"/>
      <c r="E1" s="1"/>
      <c r="F1" s="1"/>
      <c r="G1" s="1"/>
      <c r="H1" s="1"/>
      <c r="I1" s="1"/>
      <c r="J1" s="1"/>
    </row>
    <row r="2" spans="1:11" ht="30">
      <c r="A2" s="1"/>
      <c r="B2" s="1"/>
      <c r="C2" s="328" t="s">
        <v>369</v>
      </c>
      <c r="D2" s="329"/>
      <c r="E2" s="329"/>
      <c r="F2" s="329"/>
      <c r="G2" s="330"/>
      <c r="H2" s="107"/>
      <c r="I2" s="107"/>
      <c r="J2" s="107"/>
      <c r="K2" s="106"/>
    </row>
    <row r="3" spans="1:11" ht="13.15" customHeight="1">
      <c r="A3" s="1"/>
      <c r="B3" s="1"/>
      <c r="C3" s="1"/>
      <c r="D3" s="1"/>
      <c r="E3" s="1"/>
      <c r="F3" s="1"/>
      <c r="G3" s="1"/>
      <c r="H3" s="1"/>
      <c r="I3" s="1"/>
      <c r="J3" s="1"/>
    </row>
    <row r="4" spans="1:11" ht="14.45">
      <c r="A4" s="1"/>
      <c r="B4" s="93"/>
      <c r="C4" s="88"/>
      <c r="D4" s="128" t="s">
        <v>370</v>
      </c>
      <c r="E4" s="88" t="s">
        <v>3</v>
      </c>
      <c r="F4" s="88" t="s">
        <v>371</v>
      </c>
      <c r="G4" s="88" t="s">
        <v>372</v>
      </c>
      <c r="H4" s="88"/>
      <c r="I4" s="94"/>
      <c r="J4" s="1"/>
    </row>
    <row r="5" spans="1:11" ht="14.45">
      <c r="A5" s="1"/>
      <c r="B5" s="95"/>
      <c r="C5" s="89"/>
      <c r="D5" s="129" t="s">
        <v>349</v>
      </c>
      <c r="E5" s="91"/>
      <c r="F5" s="89"/>
      <c r="G5" s="89"/>
      <c r="H5" s="89"/>
      <c r="I5" s="96"/>
      <c r="J5" s="1"/>
    </row>
    <row r="6" spans="1:11" ht="14.45">
      <c r="A6" s="1"/>
      <c r="B6" s="97"/>
      <c r="C6" s="87"/>
      <c r="D6" s="429" t="s">
        <v>373</v>
      </c>
      <c r="E6" s="70">
        <f>Transmitters!T15</f>
        <v>46.5</v>
      </c>
      <c r="F6" s="87" t="s">
        <v>112</v>
      </c>
      <c r="G6" s="87"/>
      <c r="H6" s="87"/>
      <c r="I6" s="98"/>
      <c r="J6" s="1"/>
    </row>
    <row r="7" spans="1:11" ht="14.45">
      <c r="A7" s="1"/>
      <c r="B7" s="97"/>
      <c r="C7" s="87"/>
      <c r="D7" s="429"/>
      <c r="E7" s="70">
        <f>10*LOG10(E6)</f>
        <v>16.674529528899541</v>
      </c>
      <c r="F7" s="87" t="s">
        <v>263</v>
      </c>
      <c r="G7" s="87"/>
      <c r="H7" s="87"/>
      <c r="I7" s="98"/>
      <c r="J7" s="1"/>
    </row>
    <row r="8" spans="1:11" ht="14.45">
      <c r="A8" s="1"/>
      <c r="B8" s="97"/>
      <c r="C8" s="87"/>
      <c r="D8" s="429"/>
      <c r="E8" s="70">
        <f>E7+30</f>
        <v>46.674529528899541</v>
      </c>
      <c r="F8" s="87" t="s">
        <v>116</v>
      </c>
      <c r="G8" s="87"/>
      <c r="H8" s="87"/>
      <c r="I8" s="98"/>
      <c r="J8" s="1"/>
    </row>
    <row r="9" spans="1:11" ht="14.45">
      <c r="A9" s="1"/>
      <c r="B9" s="97"/>
      <c r="C9" s="87"/>
      <c r="D9" s="130" t="s">
        <v>374</v>
      </c>
      <c r="E9" s="70">
        <f>Transmitters!V28</f>
        <v>2.5868289122925683</v>
      </c>
      <c r="F9" s="87" t="s">
        <v>25</v>
      </c>
      <c r="G9" s="87"/>
      <c r="H9" s="87"/>
      <c r="I9" s="98"/>
      <c r="J9" s="1"/>
    </row>
    <row r="10" spans="1:11" ht="14.45">
      <c r="A10" s="1"/>
      <c r="B10" s="97"/>
      <c r="C10" s="87"/>
      <c r="D10" s="130" t="s">
        <v>375</v>
      </c>
      <c r="E10" s="70">
        <f>'Groundstation hardware'!$B$4</f>
        <v>15</v>
      </c>
      <c r="F10" s="87" t="s">
        <v>90</v>
      </c>
      <c r="G10" s="87"/>
      <c r="H10" s="87"/>
      <c r="I10" s="98"/>
      <c r="J10" s="1"/>
    </row>
    <row r="11" spans="1:11" ht="14.45">
      <c r="A11" s="1"/>
      <c r="B11" s="97"/>
      <c r="C11" s="87"/>
      <c r="D11" s="130" t="s">
        <v>376</v>
      </c>
      <c r="E11" s="70">
        <f>E7-E9+E10</f>
        <v>29.087700616606973</v>
      </c>
      <c r="F11" s="87" t="s">
        <v>263</v>
      </c>
      <c r="G11" s="87"/>
      <c r="H11" s="87"/>
      <c r="I11" s="98"/>
      <c r="J11" s="1"/>
    </row>
    <row r="12" spans="1:11" ht="14.45">
      <c r="A12" s="1"/>
      <c r="B12" s="95"/>
      <c r="C12" s="89"/>
      <c r="D12" s="129" t="s">
        <v>377</v>
      </c>
      <c r="E12" s="92"/>
      <c r="F12" s="89"/>
      <c r="G12" s="89"/>
      <c r="H12" s="89"/>
      <c r="I12" s="96"/>
      <c r="J12" s="1"/>
    </row>
    <row r="13" spans="1:11" ht="14.45">
      <c r="A13" s="1"/>
      <c r="B13" s="97"/>
      <c r="C13" s="87"/>
      <c r="D13" s="130" t="s">
        <v>378</v>
      </c>
      <c r="E13" s="70">
        <f>'Groundstation Losses'!Y36</f>
        <v>0.17006802721088435</v>
      </c>
      <c r="F13" s="87" t="s">
        <v>25</v>
      </c>
      <c r="G13" s="87"/>
      <c r="H13" s="87"/>
      <c r="I13" s="98"/>
      <c r="J13" s="1"/>
    </row>
    <row r="14" spans="1:11" ht="14.45">
      <c r="A14" s="1"/>
      <c r="B14" s="97"/>
      <c r="C14" s="87"/>
      <c r="D14" s="130" t="s">
        <v>379</v>
      </c>
      <c r="E14" s="70">
        <f>IF(Antennas!T12=Antennas!T21,'Groundstation Losses'!U57,'Groundstation Losses'!U61)</f>
        <v>0.22825214260717014</v>
      </c>
      <c r="F14" s="87" t="s">
        <v>25</v>
      </c>
      <c r="G14" s="99"/>
      <c r="H14" s="87"/>
      <c r="I14" s="98"/>
      <c r="J14" s="1"/>
    </row>
    <row r="15" spans="1:11" ht="14.45">
      <c r="A15" s="1"/>
      <c r="B15" s="97"/>
      <c r="C15" s="87"/>
      <c r="D15" s="130" t="s">
        <v>380</v>
      </c>
      <c r="E15" s="70">
        <f>Orbit!T35</f>
        <v>150.98170178647288</v>
      </c>
      <c r="F15" s="87" t="s">
        <v>25</v>
      </c>
      <c r="G15" s="137"/>
      <c r="H15" s="87"/>
      <c r="I15" s="98"/>
      <c r="J15" s="1"/>
    </row>
    <row r="16" spans="1:11" ht="14.45">
      <c r="A16" s="1"/>
      <c r="B16" s="97"/>
      <c r="C16" s="87"/>
      <c r="D16" s="130" t="s">
        <v>381</v>
      </c>
      <c r="E16" s="70">
        <f>'Groundstation Losses'!W10</f>
        <v>0.93478387305049937</v>
      </c>
      <c r="F16" s="87" t="s">
        <v>25</v>
      </c>
      <c r="G16" s="87"/>
      <c r="H16" s="87"/>
      <c r="I16" s="98"/>
      <c r="J16" s="1"/>
    </row>
    <row r="17" spans="1:10" ht="14.45">
      <c r="A17" s="1"/>
      <c r="B17" s="97"/>
      <c r="C17" s="87"/>
      <c r="D17" s="130" t="s">
        <v>382</v>
      </c>
      <c r="E17" s="71">
        <f>'Groundstation Losses'!W16</f>
        <v>0.5</v>
      </c>
      <c r="F17" s="87" t="s">
        <v>25</v>
      </c>
      <c r="G17" s="87"/>
      <c r="H17" s="87"/>
      <c r="I17" s="98"/>
      <c r="J17" s="1"/>
    </row>
    <row r="18" spans="1:10" ht="14.45">
      <c r="A18" s="1"/>
      <c r="B18" s="97"/>
      <c r="C18" s="87"/>
      <c r="D18" s="130" t="s">
        <v>383</v>
      </c>
      <c r="E18" s="290">
        <f>Inputs!$V$23</f>
        <v>0</v>
      </c>
      <c r="F18" s="87" t="s">
        <v>25</v>
      </c>
      <c r="G18" s="315" t="s">
        <v>384</v>
      </c>
      <c r="H18" s="87"/>
      <c r="I18" s="98"/>
      <c r="J18" s="1"/>
    </row>
    <row r="19" spans="1:10" ht="14.45">
      <c r="A19" s="1"/>
      <c r="B19" s="97"/>
      <c r="C19" s="87"/>
      <c r="D19" s="130" t="s">
        <v>385</v>
      </c>
      <c r="E19" s="70">
        <f>E11-SUM(E13:E18)</f>
        <v>-123.72710521273444</v>
      </c>
      <c r="F19" s="87" t="s">
        <v>263</v>
      </c>
      <c r="G19" s="87"/>
      <c r="H19" s="87"/>
      <c r="I19" s="98"/>
      <c r="J19" s="1"/>
    </row>
    <row r="20" spans="1:10" ht="14.45">
      <c r="A20" s="1"/>
      <c r="B20" s="95"/>
      <c r="C20" s="89"/>
      <c r="D20" s="129" t="s">
        <v>386</v>
      </c>
      <c r="E20" s="92"/>
      <c r="F20" s="89"/>
      <c r="G20" s="89"/>
      <c r="H20" s="89"/>
      <c r="I20" s="96"/>
      <c r="J20" s="1"/>
    </row>
    <row r="21" spans="1:10" ht="14.45">
      <c r="A21" s="1"/>
      <c r="B21" s="97"/>
      <c r="C21" s="87"/>
      <c r="D21" s="130" t="s">
        <v>387</v>
      </c>
      <c r="E21" s="70">
        <f>'Groundstation Losses'!Y38</f>
        <v>1</v>
      </c>
      <c r="F21" s="87" t="s">
        <v>25</v>
      </c>
      <c r="G21" s="87"/>
      <c r="H21" s="87"/>
      <c r="I21" s="98"/>
      <c r="J21" s="1"/>
    </row>
    <row r="22" spans="1:10" ht="14.45">
      <c r="A22" s="1"/>
      <c r="B22" s="97"/>
      <c r="C22" s="87"/>
      <c r="D22" s="130" t="s">
        <v>388</v>
      </c>
      <c r="E22" s="70">
        <f>'CubeSat hardware'!$B$4</f>
        <v>1E-4</v>
      </c>
      <c r="F22" s="87" t="s">
        <v>90</v>
      </c>
      <c r="G22" s="87"/>
      <c r="H22" s="87"/>
      <c r="I22" s="98"/>
      <c r="J22" s="1"/>
    </row>
    <row r="23" spans="1:10" ht="14.45">
      <c r="A23" s="1"/>
      <c r="B23" s="97"/>
      <c r="C23" s="87"/>
      <c r="D23" s="130" t="s">
        <v>389</v>
      </c>
      <c r="E23" s="71">
        <f>Receivers!V35</f>
        <v>0.84</v>
      </c>
      <c r="F23" s="87" t="s">
        <v>25</v>
      </c>
      <c r="G23" s="87"/>
      <c r="H23" s="87"/>
      <c r="I23" s="98"/>
      <c r="J23" s="1"/>
    </row>
    <row r="24" spans="1:10" ht="14.45">
      <c r="A24" s="1"/>
      <c r="B24" s="97"/>
      <c r="C24" s="87"/>
      <c r="D24" s="130" t="s">
        <v>390</v>
      </c>
      <c r="E24" s="70">
        <f>Receivers!V45</f>
        <v>291.73010629541176</v>
      </c>
      <c r="F24" s="87" t="s">
        <v>296</v>
      </c>
      <c r="G24" s="285" t="s">
        <v>391</v>
      </c>
      <c r="H24" s="87"/>
      <c r="I24" s="98"/>
      <c r="J24" s="1"/>
    </row>
    <row r="25" spans="1:10" ht="14.45">
      <c r="A25" s="1"/>
      <c r="B25" s="97"/>
      <c r="C25" s="87"/>
      <c r="D25" s="130" t="s">
        <v>392</v>
      </c>
      <c r="E25" s="70">
        <f>E22-E23-10*LOG10(E24)</f>
        <v>-25.48971250250565</v>
      </c>
      <c r="F25" s="87" t="s">
        <v>393</v>
      </c>
      <c r="G25" s="87"/>
      <c r="H25" s="87"/>
      <c r="I25" s="98"/>
      <c r="J25" s="1"/>
    </row>
    <row r="26" spans="1:10" ht="14.45">
      <c r="A26" s="1"/>
      <c r="B26" s="97"/>
      <c r="C26" s="87"/>
      <c r="D26" s="130" t="s">
        <v>394</v>
      </c>
      <c r="E26" s="70">
        <f>E19-E21+E22-E23</f>
        <v>-125.56700521273444</v>
      </c>
      <c r="F26" s="87" t="s">
        <v>263</v>
      </c>
      <c r="G26" s="87"/>
      <c r="H26" s="87"/>
      <c r="I26" s="98"/>
      <c r="J26" s="1"/>
    </row>
    <row r="27" spans="1:10" ht="14.45">
      <c r="A27" s="1"/>
      <c r="B27" s="97"/>
      <c r="C27" s="87"/>
      <c r="D27" s="130" t="s">
        <v>395</v>
      </c>
      <c r="E27" s="71">
        <f>Inputs!V28*1000</f>
        <v>25000</v>
      </c>
      <c r="F27" s="87" t="s">
        <v>396</v>
      </c>
      <c r="G27" s="87"/>
      <c r="H27" s="87"/>
      <c r="I27" s="98"/>
      <c r="J27" s="1"/>
    </row>
    <row r="28" spans="1:10" ht="14.45">
      <c r="A28" s="1"/>
      <c r="B28" s="97"/>
      <c r="C28" s="87"/>
      <c r="D28" s="130" t="s">
        <v>397</v>
      </c>
      <c r="E28" s="70">
        <f>Inputs!V10+10*LOG10(E24)+10*LOG10(E27)</f>
        <v>-159.97078741077397</v>
      </c>
      <c r="F28" s="87" t="s">
        <v>263</v>
      </c>
      <c r="G28" s="87"/>
      <c r="H28" s="87"/>
      <c r="I28" s="98"/>
      <c r="J28" s="1"/>
    </row>
    <row r="29" spans="1:10" ht="14.45">
      <c r="A29" s="1"/>
      <c r="B29" s="97"/>
      <c r="C29" s="87"/>
      <c r="D29" s="130" t="s">
        <v>398</v>
      </c>
      <c r="E29" s="70">
        <f>E26-E28</f>
        <v>34.403782198039522</v>
      </c>
      <c r="F29" s="87" t="s">
        <v>25</v>
      </c>
      <c r="G29" s="87"/>
      <c r="H29" s="87"/>
      <c r="I29" s="98"/>
      <c r="J29" s="1"/>
    </row>
    <row r="30" spans="1:10" ht="14.45">
      <c r="A30" s="1"/>
      <c r="B30" s="97"/>
      <c r="C30" s="87"/>
      <c r="D30" s="130" t="s">
        <v>399</v>
      </c>
      <c r="E30" s="290">
        <f>Modulation!X15</f>
        <v>13.9</v>
      </c>
      <c r="F30" s="87" t="s">
        <v>25</v>
      </c>
      <c r="G30" s="169"/>
      <c r="H30" s="87"/>
      <c r="I30" s="98"/>
      <c r="J30" s="1"/>
    </row>
    <row r="31" spans="1:10" ht="14.45">
      <c r="A31" s="1"/>
      <c r="B31" s="97"/>
      <c r="C31" s="87"/>
      <c r="D31" s="130" t="s">
        <v>400</v>
      </c>
      <c r="E31" s="219">
        <f>IF((E29-E30)&lt;0,"Link not completed!",E29-E30)</f>
        <v>20.503782198039524</v>
      </c>
      <c r="F31" s="87" t="s">
        <v>25</v>
      </c>
      <c r="G31" s="247" t="str">
        <f>IF(E31="Link not completed!", "Hard to differentiate the signal from the noise", IF(E31&gt;3,"Good signal reception","Hard to differentiate the signal from the noise"))</f>
        <v>Good signal reception</v>
      </c>
      <c r="H31" s="87"/>
      <c r="I31" s="98"/>
      <c r="J31" s="1"/>
    </row>
    <row r="32" spans="1:10" ht="14.45">
      <c r="A32" s="1"/>
      <c r="B32" s="95"/>
      <c r="C32" s="89"/>
      <c r="D32" s="90" t="s">
        <v>401</v>
      </c>
      <c r="E32" s="89"/>
      <c r="F32" s="89"/>
      <c r="G32" s="89"/>
      <c r="H32" s="89"/>
      <c r="I32" s="96"/>
      <c r="J32" s="1"/>
    </row>
    <row r="33" spans="1:10" ht="14.45">
      <c r="A33" s="1"/>
      <c r="B33" s="102"/>
      <c r="C33" s="103"/>
      <c r="D33" s="103" t="s">
        <v>387</v>
      </c>
      <c r="E33" s="104">
        <f>'Groundstation Losses'!Y38</f>
        <v>1</v>
      </c>
      <c r="F33" s="103" t="s">
        <v>25</v>
      </c>
      <c r="G33" s="103"/>
      <c r="H33" s="103"/>
      <c r="I33" s="105"/>
      <c r="J33" s="1"/>
    </row>
    <row r="34" spans="1:10" ht="14.45">
      <c r="A34" s="1"/>
      <c r="B34" s="97"/>
      <c r="C34" s="87"/>
      <c r="D34" s="87" t="s">
        <v>388</v>
      </c>
      <c r="E34" s="70">
        <f>'CubeSat hardware'!$B$4</f>
        <v>1E-4</v>
      </c>
      <c r="F34" s="87" t="s">
        <v>90</v>
      </c>
      <c r="G34" s="87"/>
      <c r="H34" s="87"/>
      <c r="I34" s="98"/>
      <c r="J34" s="1"/>
    </row>
    <row r="35" spans="1:10" ht="14.45">
      <c r="A35" s="1"/>
      <c r="B35" s="97"/>
      <c r="C35" s="87"/>
      <c r="D35" s="87" t="s">
        <v>402</v>
      </c>
      <c r="E35" s="70">
        <f>'CubeSat hardware'!$I$42</f>
        <v>0</v>
      </c>
      <c r="F35" s="87" t="s">
        <v>25</v>
      </c>
      <c r="G35" s="87"/>
      <c r="H35" s="87"/>
      <c r="I35" s="98"/>
      <c r="J35" s="1"/>
    </row>
    <row r="36" spans="1:10" ht="14.45">
      <c r="A36" s="1"/>
      <c r="B36" s="97"/>
      <c r="C36" s="87"/>
      <c r="D36" s="87" t="s">
        <v>390</v>
      </c>
      <c r="E36" s="70">
        <f>Receivers!V45</f>
        <v>291.73010629541176</v>
      </c>
      <c r="F36" s="87" t="s">
        <v>296</v>
      </c>
      <c r="G36" s="285" t="s">
        <v>391</v>
      </c>
      <c r="H36" s="87"/>
      <c r="I36" s="98"/>
      <c r="J36" s="1"/>
    </row>
    <row r="37" spans="1:10" ht="14.45">
      <c r="A37" s="1"/>
      <c r="B37" s="97"/>
      <c r="C37" s="87"/>
      <c r="D37" s="87" t="s">
        <v>403</v>
      </c>
      <c r="E37" s="70">
        <f>E34-E35-10*LOG10(E36)</f>
        <v>-24.64971250250565</v>
      </c>
      <c r="F37" s="87" t="s">
        <v>393</v>
      </c>
      <c r="G37" s="87"/>
      <c r="H37" s="87"/>
      <c r="I37" s="98"/>
      <c r="J37" s="1"/>
    </row>
    <row r="38" spans="1:10" ht="14.45">
      <c r="A38" s="1"/>
      <c r="B38" s="97"/>
      <c r="C38" s="87"/>
      <c r="D38" s="87" t="s">
        <v>404</v>
      </c>
      <c r="E38" s="70">
        <f>E19-E33-Inputs!V10+E37</f>
        <v>79.223182284759901</v>
      </c>
      <c r="F38" s="87" t="s">
        <v>405</v>
      </c>
      <c r="G38" s="87"/>
      <c r="H38" s="87"/>
      <c r="I38" s="98"/>
      <c r="J38" s="1"/>
    </row>
    <row r="39" spans="1:10" ht="14.45">
      <c r="A39" s="1"/>
      <c r="B39" s="97"/>
      <c r="C39" s="87"/>
      <c r="D39" s="429" t="s">
        <v>406</v>
      </c>
      <c r="E39" s="71">
        <f>Modulation!X11*1000</f>
        <v>9600</v>
      </c>
      <c r="F39" s="87" t="s">
        <v>407</v>
      </c>
      <c r="G39" s="87"/>
      <c r="H39" s="87"/>
      <c r="I39" s="98"/>
      <c r="J39" s="1"/>
    </row>
    <row r="40" spans="1:10" ht="14.45">
      <c r="A40" s="1"/>
      <c r="B40" s="97"/>
      <c r="C40" s="87"/>
      <c r="D40" s="429"/>
      <c r="E40" s="70">
        <f>10*LOG10(E39)</f>
        <v>39.822712330395682</v>
      </c>
      <c r="F40" s="87" t="s">
        <v>405</v>
      </c>
      <c r="G40" s="87"/>
      <c r="H40" s="87"/>
      <c r="I40" s="98"/>
      <c r="J40" s="1"/>
    </row>
    <row r="41" spans="1:10" ht="14.45">
      <c r="A41" s="1"/>
      <c r="B41" s="97"/>
      <c r="C41" s="87"/>
      <c r="D41" s="87" t="s">
        <v>408</v>
      </c>
      <c r="E41" s="70">
        <f>E38-E40</f>
        <v>39.400469954364219</v>
      </c>
      <c r="F41" s="87" t="s">
        <v>25</v>
      </c>
      <c r="G41" s="87"/>
      <c r="H41" s="87"/>
      <c r="I41" s="98"/>
      <c r="J41" s="1"/>
    </row>
    <row r="42" spans="1:10" ht="14.45">
      <c r="A42" s="1"/>
      <c r="B42" s="97"/>
      <c r="C42" s="87"/>
      <c r="D42" s="87" t="s">
        <v>409</v>
      </c>
      <c r="E42" s="158">
        <f>Modulation!X8</f>
        <v>1.0000000000000001E-5</v>
      </c>
      <c r="F42" s="87"/>
      <c r="G42" s="87"/>
      <c r="H42" s="87"/>
      <c r="I42" s="98"/>
      <c r="J42" s="1"/>
    </row>
    <row r="43" spans="1:10" ht="14.45">
      <c r="A43" s="1"/>
      <c r="B43" s="97"/>
      <c r="C43" s="87"/>
      <c r="D43" s="87" t="s">
        <v>410</v>
      </c>
      <c r="E43" s="70">
        <f>Modulation!X15</f>
        <v>13.9</v>
      </c>
      <c r="F43" s="87" t="s">
        <v>25</v>
      </c>
      <c r="G43" s="87"/>
      <c r="H43" s="87"/>
      <c r="I43" s="98"/>
      <c r="J43" s="1"/>
    </row>
    <row r="44" spans="1:10" ht="14.45">
      <c r="A44" s="1"/>
      <c r="B44" s="21"/>
      <c r="C44" s="100"/>
      <c r="D44" s="100" t="s">
        <v>411</v>
      </c>
      <c r="E44" s="219">
        <f>IF((E41-E43)&lt;0,"Link not completed!",E41-E43)</f>
        <v>25.50046995436422</v>
      </c>
      <c r="F44" s="100" t="s">
        <v>25</v>
      </c>
      <c r="G44" s="247" t="str">
        <f>IF(E44="Link not completed!", "Hard to differentiate the signal from the noise", IF(E44&gt;3,"Good signal reception","Hard to differentiate the signal from the noise"))</f>
        <v>Good signal reception</v>
      </c>
      <c r="H44" s="100"/>
      <c r="I44" s="22"/>
      <c r="J44" s="1"/>
    </row>
    <row r="45" spans="1:10" ht="14.45">
      <c r="A45" s="1"/>
      <c r="B45" s="95"/>
      <c r="C45" s="89"/>
      <c r="D45" s="129" t="s">
        <v>412</v>
      </c>
      <c r="E45" s="92"/>
      <c r="F45" s="89"/>
      <c r="G45" s="89"/>
      <c r="H45" s="89"/>
      <c r="I45" s="96"/>
      <c r="J45" s="1"/>
    </row>
    <row r="46" spans="1:10" ht="14.45">
      <c r="A46" s="1"/>
      <c r="B46" s="102"/>
      <c r="C46" s="103"/>
      <c r="D46" s="103" t="s">
        <v>413</v>
      </c>
      <c r="E46" s="104">
        <f>IF(E44&lt;0,"Link not completed!",((E27)*LOG((1+E44),2)))</f>
        <v>118198.65098183366</v>
      </c>
      <c r="F46" s="103" t="s">
        <v>407</v>
      </c>
      <c r="G46" s="140" t="s">
        <v>414</v>
      </c>
      <c r="H46" s="103"/>
      <c r="I46" s="105"/>
      <c r="J46" s="1"/>
    </row>
    <row r="47" spans="1:10" ht="14.45">
      <c r="A47" s="1"/>
      <c r="B47" s="21"/>
      <c r="C47" s="100"/>
      <c r="D47" s="100" t="s">
        <v>415</v>
      </c>
      <c r="E47" s="101">
        <f>Modulation!X11*1000</f>
        <v>9600</v>
      </c>
      <c r="F47" s="100" t="s">
        <v>407</v>
      </c>
      <c r="G47" s="100"/>
      <c r="H47" s="100"/>
      <c r="I47" s="22"/>
      <c r="J47" s="1"/>
    </row>
    <row r="48" spans="1:10" ht="14.45">
      <c r="A48" s="1"/>
      <c r="B48" s="1"/>
      <c r="C48" s="1"/>
      <c r="D48" s="1"/>
      <c r="E48" s="1"/>
      <c r="F48" s="1"/>
      <c r="G48" s="1"/>
      <c r="H48" s="1"/>
      <c r="I48" s="1"/>
      <c r="J48" s="1"/>
    </row>
  </sheetData>
  <mergeCells count="3">
    <mergeCell ref="D6:D8"/>
    <mergeCell ref="C2:G2"/>
    <mergeCell ref="D39:D40"/>
  </mergeCells>
  <conditionalFormatting sqref="E18">
    <cfRule type="expression" dxfId="23" priority="7">
      <formula>$AA$9=4</formula>
    </cfRule>
    <cfRule type="expression" dxfId="22" priority="8">
      <formula>$AA$9=3</formula>
    </cfRule>
    <cfRule type="expression" dxfId="21" priority="9">
      <formula>$AA$9=1</formula>
    </cfRule>
  </conditionalFormatting>
  <conditionalFormatting sqref="E30">
    <cfRule type="expression" dxfId="20" priority="1">
      <formula>$AA$9=4</formula>
    </cfRule>
    <cfRule type="expression" dxfId="19" priority="2">
      <formula>$AA$9=3</formula>
    </cfRule>
    <cfRule type="expression" dxfId="18" priority="3">
      <formula>$AA$9=1</formula>
    </cfRule>
  </conditionalFormatting>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D86C-8E62-4942-B863-28FF014AE601}">
  <sheetPr>
    <tabColor rgb="FFCCFFCC"/>
  </sheetPr>
  <dimension ref="A1:L60"/>
  <sheetViews>
    <sheetView zoomScale="120" zoomScaleNormal="100" workbookViewId="0">
      <selection activeCell="E10" sqref="E10"/>
    </sheetView>
  </sheetViews>
  <sheetFormatPr defaultColWidth="8.7109375" defaultRowHeight="15" customHeight="1" zeroHeight="1"/>
  <cols>
    <col min="1" max="3" width="3.42578125" customWidth="1"/>
    <col min="4" max="4" width="36.28515625" customWidth="1"/>
    <col min="5" max="5" width="17.140625" customWidth="1"/>
    <col min="6" max="6" width="4.85546875" bestFit="1" customWidth="1"/>
    <col min="7" max="7" width="52.140625" customWidth="1"/>
    <col min="8" max="9" width="3.28515625" customWidth="1"/>
    <col min="10" max="10" width="3.42578125" customWidth="1"/>
  </cols>
  <sheetData>
    <row r="1" spans="1:10" ht="14.45">
      <c r="A1" s="1"/>
      <c r="B1" s="1"/>
      <c r="C1" s="1"/>
      <c r="D1" s="1"/>
      <c r="E1" s="1"/>
      <c r="F1" s="1"/>
      <c r="G1" s="1"/>
      <c r="H1" s="1"/>
      <c r="I1" s="1"/>
      <c r="J1" s="1"/>
    </row>
    <row r="2" spans="1:10" ht="30">
      <c r="A2" s="1"/>
      <c r="B2" s="1"/>
      <c r="C2" s="328" t="s">
        <v>416</v>
      </c>
      <c r="D2" s="329"/>
      <c r="E2" s="329"/>
      <c r="F2" s="329"/>
      <c r="G2" s="330"/>
      <c r="H2" s="1"/>
      <c r="I2" s="1"/>
      <c r="J2" s="1"/>
    </row>
    <row r="3" spans="1:10" ht="14.45">
      <c r="A3" s="1"/>
      <c r="B3" s="1"/>
      <c r="C3" s="1"/>
      <c r="D3" s="1"/>
      <c r="E3" s="1"/>
      <c r="F3" s="1"/>
      <c r="G3" s="1"/>
      <c r="H3" s="1"/>
      <c r="I3" s="1"/>
      <c r="J3" s="1"/>
    </row>
    <row r="4" spans="1:10" ht="14.45">
      <c r="A4" s="1"/>
      <c r="B4" s="301"/>
      <c r="C4" s="302"/>
      <c r="D4" s="302" t="s">
        <v>370</v>
      </c>
      <c r="E4" s="302" t="s">
        <v>3</v>
      </c>
      <c r="F4" s="302" t="s">
        <v>371</v>
      </c>
      <c r="G4" s="302" t="s">
        <v>372</v>
      </c>
      <c r="H4" s="302"/>
      <c r="I4" s="303"/>
      <c r="J4" s="1"/>
    </row>
    <row r="5" spans="1:10" ht="14.45">
      <c r="A5" s="1"/>
      <c r="B5" s="304"/>
      <c r="C5" s="89"/>
      <c r="D5" s="90" t="s">
        <v>417</v>
      </c>
      <c r="E5" s="91"/>
      <c r="F5" s="89"/>
      <c r="G5" s="135"/>
      <c r="H5" s="89"/>
      <c r="I5" s="305"/>
      <c r="J5" s="1"/>
    </row>
    <row r="6" spans="1:10" ht="14.45">
      <c r="A6" s="1"/>
      <c r="B6" s="306"/>
      <c r="C6" s="87"/>
      <c r="D6" s="429" t="s">
        <v>373</v>
      </c>
      <c r="E6" s="70">
        <f>Transmitters!T45</f>
        <v>1</v>
      </c>
      <c r="F6" s="87" t="s">
        <v>112</v>
      </c>
      <c r="G6" s="137"/>
      <c r="H6" s="87"/>
      <c r="I6" s="307"/>
      <c r="J6" s="1"/>
    </row>
    <row r="7" spans="1:10" ht="14.45">
      <c r="A7" s="1"/>
      <c r="B7" s="306"/>
      <c r="C7" s="87"/>
      <c r="D7" s="429"/>
      <c r="E7" s="70">
        <f>10*LOG10(E6)</f>
        <v>0</v>
      </c>
      <c r="F7" s="87" t="s">
        <v>263</v>
      </c>
      <c r="G7" s="137"/>
      <c r="H7" s="87"/>
      <c r="I7" s="307"/>
      <c r="J7" s="1"/>
    </row>
    <row r="8" spans="1:10" ht="14.45">
      <c r="A8" s="1"/>
      <c r="B8" s="306"/>
      <c r="C8" s="87"/>
      <c r="D8" s="429"/>
      <c r="E8" s="70">
        <f>E7+30</f>
        <v>30</v>
      </c>
      <c r="F8" s="87" t="s">
        <v>116</v>
      </c>
      <c r="G8" s="137"/>
      <c r="H8" s="87"/>
      <c r="I8" s="307"/>
      <c r="J8" s="1"/>
    </row>
    <row r="9" spans="1:10" ht="14.45">
      <c r="A9" s="1"/>
      <c r="B9" s="306"/>
      <c r="C9" s="87"/>
      <c r="D9" s="87" t="s">
        <v>374</v>
      </c>
      <c r="E9" s="70">
        <f>Transmitters!V57</f>
        <v>0.84</v>
      </c>
      <c r="F9" s="87" t="s">
        <v>25</v>
      </c>
      <c r="G9" s="137"/>
      <c r="H9" s="87"/>
      <c r="I9" s="307"/>
      <c r="J9" s="1"/>
    </row>
    <row r="10" spans="1:10" ht="14.45">
      <c r="A10" s="1"/>
      <c r="B10" s="306"/>
      <c r="C10" s="87"/>
      <c r="D10" s="87" t="s">
        <v>418</v>
      </c>
      <c r="E10" s="323">
        <f>'CubeSat hardware'!$B$4</f>
        <v>1E-4</v>
      </c>
      <c r="F10" s="87" t="s">
        <v>90</v>
      </c>
      <c r="G10" s="137"/>
      <c r="H10" s="87"/>
      <c r="I10" s="307"/>
      <c r="J10" s="1"/>
    </row>
    <row r="11" spans="1:10" ht="14.45">
      <c r="A11" s="1"/>
      <c r="B11" s="306"/>
      <c r="C11" s="87"/>
      <c r="D11" s="87" t="s">
        <v>376</v>
      </c>
      <c r="E11" s="70">
        <f>E7-E9+E10</f>
        <v>-0.83989999999999998</v>
      </c>
      <c r="F11" s="87" t="s">
        <v>263</v>
      </c>
      <c r="G11" s="137"/>
      <c r="H11" s="87"/>
      <c r="I11" s="307"/>
      <c r="J11" s="1"/>
    </row>
    <row r="12" spans="1:10" ht="14.45">
      <c r="A12" s="1"/>
      <c r="B12" s="304"/>
      <c r="C12" s="89"/>
      <c r="D12" s="90" t="s">
        <v>419</v>
      </c>
      <c r="E12" s="92"/>
      <c r="F12" s="89"/>
      <c r="G12" s="138"/>
      <c r="H12" s="89"/>
      <c r="I12" s="305"/>
      <c r="J12" s="1"/>
    </row>
    <row r="13" spans="1:10" ht="14.45">
      <c r="A13" s="1"/>
      <c r="B13" s="306"/>
      <c r="C13" s="87"/>
      <c r="D13" s="87" t="s">
        <v>420</v>
      </c>
      <c r="E13" s="70">
        <f>'Groundstation Losses'!Y79</f>
        <v>1</v>
      </c>
      <c r="F13" s="87" t="s">
        <v>25</v>
      </c>
      <c r="G13" s="137"/>
      <c r="H13" s="87"/>
      <c r="I13" s="307"/>
      <c r="J13" s="1"/>
    </row>
    <row r="14" spans="1:10" ht="14.45">
      <c r="A14" s="1"/>
      <c r="B14" s="306"/>
      <c r="C14" s="87"/>
      <c r="D14" s="87" t="s">
        <v>421</v>
      </c>
      <c r="E14" s="70">
        <f>IF(Antennas!T12=Antennas!T21,'Groundstation Losses'!U100,'Groundstation Losses'!U104)</f>
        <v>0.22825214260717014</v>
      </c>
      <c r="F14" s="87" t="s">
        <v>25</v>
      </c>
      <c r="G14" s="137"/>
      <c r="H14" s="87"/>
      <c r="I14" s="307"/>
      <c r="J14" s="1"/>
    </row>
    <row r="15" spans="1:10" ht="14.45">
      <c r="A15" s="1"/>
      <c r="B15" s="306"/>
      <c r="C15" s="87"/>
      <c r="D15" s="87" t="s">
        <v>422</v>
      </c>
      <c r="E15" s="70">
        <f>Orbit!T36</f>
        <v>150.98170178647288</v>
      </c>
      <c r="F15" s="87" t="s">
        <v>25</v>
      </c>
      <c r="G15" s="137"/>
      <c r="H15" s="87"/>
      <c r="I15" s="307"/>
      <c r="J15" s="1"/>
    </row>
    <row r="16" spans="1:10" ht="14.45">
      <c r="A16" s="1"/>
      <c r="B16" s="306"/>
      <c r="C16" s="87"/>
      <c r="D16" s="87" t="s">
        <v>381</v>
      </c>
      <c r="E16" s="70">
        <f>'Groundstation Losses'!W10</f>
        <v>0.93478387305049937</v>
      </c>
      <c r="F16" s="87" t="s">
        <v>25</v>
      </c>
      <c r="G16" s="137"/>
      <c r="H16" s="87"/>
      <c r="I16" s="307"/>
      <c r="J16" s="1"/>
    </row>
    <row r="17" spans="1:10" ht="14.45">
      <c r="A17" s="1"/>
      <c r="B17" s="306"/>
      <c r="C17" s="87"/>
      <c r="D17" s="87" t="s">
        <v>382</v>
      </c>
      <c r="E17" s="71">
        <f>'Groundstation Losses'!W17</f>
        <v>0.5</v>
      </c>
      <c r="F17" s="87" t="s">
        <v>25</v>
      </c>
      <c r="G17" s="137"/>
      <c r="H17" s="87"/>
      <c r="I17" s="307"/>
      <c r="J17" s="1"/>
    </row>
    <row r="18" spans="1:10" ht="14.45">
      <c r="A18" s="1"/>
      <c r="B18" s="306"/>
      <c r="C18" s="87"/>
      <c r="D18" s="87" t="s">
        <v>383</v>
      </c>
      <c r="E18" s="290">
        <f>Inputs!$V$23</f>
        <v>0</v>
      </c>
      <c r="F18" s="87" t="s">
        <v>25</v>
      </c>
      <c r="G18" s="315" t="s">
        <v>384</v>
      </c>
      <c r="H18" s="87"/>
      <c r="I18" s="307"/>
      <c r="J18" s="1"/>
    </row>
    <row r="19" spans="1:10" ht="14.45">
      <c r="A19" s="1"/>
      <c r="B19" s="306"/>
      <c r="C19" s="87"/>
      <c r="D19" s="87" t="s">
        <v>423</v>
      </c>
      <c r="E19" s="70">
        <f>E11-SUM(E13:E18)</f>
        <v>-154.48463780213055</v>
      </c>
      <c r="F19" s="87" t="s">
        <v>263</v>
      </c>
      <c r="G19" s="137"/>
      <c r="H19" s="87"/>
      <c r="I19" s="307"/>
      <c r="J19" s="1"/>
    </row>
    <row r="20" spans="1:10" ht="14.45">
      <c r="A20" s="1"/>
      <c r="B20" s="304"/>
      <c r="C20" s="89"/>
      <c r="D20" s="90" t="s">
        <v>424</v>
      </c>
      <c r="E20" s="92"/>
      <c r="F20" s="89"/>
      <c r="G20" s="138"/>
      <c r="H20" s="89"/>
      <c r="I20" s="305"/>
      <c r="J20" s="1"/>
    </row>
    <row r="21" spans="1:10" ht="14.45">
      <c r="A21" s="1"/>
      <c r="B21" s="306"/>
      <c r="C21" s="87"/>
      <c r="D21" s="246" t="s">
        <v>425</v>
      </c>
      <c r="E21" s="70">
        <f>'Groundstation Losses'!Y81</f>
        <v>0.17006802721088435</v>
      </c>
      <c r="F21" s="87" t="s">
        <v>25</v>
      </c>
      <c r="G21" s="137"/>
      <c r="H21" s="87"/>
      <c r="I21" s="307"/>
      <c r="J21" s="1"/>
    </row>
    <row r="22" spans="1:10" ht="14.45">
      <c r="A22" s="1"/>
      <c r="B22" s="306"/>
      <c r="C22" s="87"/>
      <c r="D22" s="87" t="s">
        <v>426</v>
      </c>
      <c r="E22" s="70">
        <f>'Groundstation hardware'!$B$4</f>
        <v>15</v>
      </c>
      <c r="F22" s="87" t="s">
        <v>90</v>
      </c>
      <c r="G22" s="137"/>
      <c r="H22" s="87"/>
      <c r="I22" s="307"/>
      <c r="J22" s="1"/>
    </row>
    <row r="23" spans="1:10" ht="14.45">
      <c r="A23" s="1"/>
      <c r="B23" s="306"/>
      <c r="C23" s="87"/>
      <c r="D23" s="87" t="s">
        <v>427</v>
      </c>
      <c r="E23" s="70">
        <f>Receivers!V78</f>
        <v>0.56628766960431598</v>
      </c>
      <c r="F23" s="87" t="s">
        <v>25</v>
      </c>
      <c r="G23" s="87"/>
      <c r="H23" s="87"/>
      <c r="I23" s="307"/>
      <c r="J23" s="1"/>
    </row>
    <row r="24" spans="1:10" ht="14.45">
      <c r="A24" s="1"/>
      <c r="B24" s="306"/>
      <c r="C24" s="87"/>
      <c r="D24" s="87" t="s">
        <v>428</v>
      </c>
      <c r="E24" s="70">
        <f>Receivers!V88</f>
        <v>220.42099935103874</v>
      </c>
      <c r="F24" s="87" t="s">
        <v>296</v>
      </c>
      <c r="G24" s="285"/>
      <c r="H24" s="87"/>
      <c r="I24" s="307"/>
      <c r="J24" s="1"/>
    </row>
    <row r="25" spans="1:10" ht="14.45">
      <c r="A25" s="1"/>
      <c r="B25" s="306"/>
      <c r="C25" s="87"/>
      <c r="D25" s="87" t="s">
        <v>429</v>
      </c>
      <c r="E25" s="70">
        <f>E22-E23-10*LOG10(E24)</f>
        <v>-8.9988173403601674</v>
      </c>
      <c r="F25" s="87" t="s">
        <v>393</v>
      </c>
      <c r="G25" s="87"/>
      <c r="H25" s="87"/>
      <c r="I25" s="307"/>
      <c r="J25" s="1"/>
    </row>
    <row r="26" spans="1:10" ht="14.45">
      <c r="A26" s="1"/>
      <c r="B26" s="306"/>
      <c r="C26" s="87"/>
      <c r="D26" s="87" t="s">
        <v>430</v>
      </c>
      <c r="E26" s="70">
        <f>E19+E22-E21-E23</f>
        <v>-140.22099349894575</v>
      </c>
      <c r="F26" s="87" t="s">
        <v>263</v>
      </c>
      <c r="G26" s="87"/>
      <c r="H26" s="87"/>
      <c r="I26" s="307"/>
      <c r="J26" s="1"/>
    </row>
    <row r="27" spans="1:10" ht="14.45">
      <c r="A27" s="1"/>
      <c r="B27" s="306"/>
      <c r="C27" s="87"/>
      <c r="D27" s="87" t="s">
        <v>431</v>
      </c>
      <c r="E27" s="70">
        <f>Inputs!V28*1000</f>
        <v>25000</v>
      </c>
      <c r="F27" s="87" t="s">
        <v>396</v>
      </c>
      <c r="G27" s="137"/>
      <c r="H27" s="87"/>
      <c r="I27" s="307"/>
      <c r="J27" s="1"/>
    </row>
    <row r="28" spans="1:10" ht="14.45">
      <c r="A28" s="1"/>
      <c r="B28" s="306"/>
      <c r="C28" s="87"/>
      <c r="D28" s="87" t="s">
        <v>432</v>
      </c>
      <c r="E28" s="70">
        <f>Inputs!$V$10+10*LOG10(E24)+10*LOG10(E27)</f>
        <v>-161.18807024252376</v>
      </c>
      <c r="F28" s="87" t="s">
        <v>263</v>
      </c>
      <c r="G28" s="137"/>
      <c r="H28" s="87"/>
      <c r="I28" s="307"/>
      <c r="J28" s="1"/>
    </row>
    <row r="29" spans="1:10" ht="14.45">
      <c r="A29" s="1"/>
      <c r="B29" s="306"/>
      <c r="C29" s="87"/>
      <c r="D29" s="87" t="s">
        <v>433</v>
      </c>
      <c r="E29" s="70">
        <f>E26-E28</f>
        <v>20.967076743578019</v>
      </c>
      <c r="F29" s="87" t="s">
        <v>25</v>
      </c>
      <c r="G29" s="137"/>
      <c r="H29" s="87"/>
      <c r="I29" s="307"/>
      <c r="J29" s="1"/>
    </row>
    <row r="30" spans="1:10" ht="14.45">
      <c r="A30" s="1"/>
      <c r="B30" s="306"/>
      <c r="C30" s="87"/>
      <c r="D30" s="87" t="s">
        <v>434</v>
      </c>
      <c r="E30" s="291">
        <f>Modulation!X16</f>
        <v>13.15</v>
      </c>
      <c r="F30" s="130" t="s">
        <v>25</v>
      </c>
      <c r="G30" s="137"/>
      <c r="H30" s="87"/>
      <c r="I30" s="307"/>
      <c r="J30" s="1"/>
    </row>
    <row r="31" spans="1:10" ht="14.45">
      <c r="A31" s="1"/>
      <c r="B31" s="306"/>
      <c r="C31" s="87"/>
      <c r="D31" s="87" t="s">
        <v>411</v>
      </c>
      <c r="E31" s="220">
        <f>E29-E30</f>
        <v>7.8170767435780188</v>
      </c>
      <c r="F31" s="87" t="s">
        <v>25</v>
      </c>
      <c r="G31" s="247" t="str">
        <f>IF(E31="Link not completed!", "Hard to differentiate the signal from the noise", IF(E31&gt;3,"Good signal reception","Hard to differentiate the signal from the noise"))</f>
        <v>Good signal reception</v>
      </c>
      <c r="H31" s="87"/>
      <c r="I31" s="307"/>
      <c r="J31" s="1"/>
    </row>
    <row r="32" spans="1:10" ht="14.45">
      <c r="A32" s="1"/>
      <c r="B32" s="304"/>
      <c r="C32" s="89"/>
      <c r="D32" s="90" t="s">
        <v>435</v>
      </c>
      <c r="E32" s="89"/>
      <c r="F32" s="89"/>
      <c r="G32" s="89"/>
      <c r="H32" s="89"/>
      <c r="I32" s="305"/>
      <c r="J32" s="1"/>
    </row>
    <row r="33" spans="1:12" ht="14.45">
      <c r="A33" s="1"/>
      <c r="B33" s="308"/>
      <c r="C33" s="103"/>
      <c r="D33" s="103" t="s">
        <v>425</v>
      </c>
      <c r="E33" s="104">
        <f>'Groundstation Losses'!Y81</f>
        <v>0.17006802721088435</v>
      </c>
      <c r="F33" s="103" t="s">
        <v>25</v>
      </c>
      <c r="G33" s="103"/>
      <c r="H33" s="103"/>
      <c r="I33" s="309"/>
      <c r="J33" s="1"/>
    </row>
    <row r="34" spans="1:12" ht="14.45">
      <c r="A34" s="1"/>
      <c r="B34" s="306"/>
      <c r="C34" s="87"/>
      <c r="D34" s="87" t="s">
        <v>426</v>
      </c>
      <c r="E34" s="70">
        <f>'Groundstation hardware'!$B$4</f>
        <v>15</v>
      </c>
      <c r="F34" s="87" t="s">
        <v>90</v>
      </c>
      <c r="G34" s="87"/>
      <c r="H34" s="87"/>
      <c r="I34" s="307"/>
      <c r="J34" s="1"/>
    </row>
    <row r="35" spans="1:12" ht="14.45">
      <c r="A35" s="1"/>
      <c r="B35" s="306"/>
      <c r="C35" s="87"/>
      <c r="D35" s="87" t="s">
        <v>427</v>
      </c>
      <c r="E35" s="70">
        <f>Receivers!V78</f>
        <v>0.56628766960431598</v>
      </c>
      <c r="F35" s="87" t="s">
        <v>25</v>
      </c>
      <c r="G35" s="87"/>
      <c r="H35" s="87"/>
      <c r="I35" s="307"/>
      <c r="J35" s="1"/>
    </row>
    <row r="36" spans="1:12" ht="14.45">
      <c r="A36" s="1"/>
      <c r="B36" s="306"/>
      <c r="C36" s="87"/>
      <c r="D36" s="87" t="s">
        <v>428</v>
      </c>
      <c r="E36" s="70">
        <f>Receivers!V88</f>
        <v>220.42099935103874</v>
      </c>
      <c r="F36" s="87" t="s">
        <v>296</v>
      </c>
      <c r="G36" s="285"/>
      <c r="H36" s="87"/>
      <c r="I36" s="307"/>
      <c r="J36" s="1"/>
    </row>
    <row r="37" spans="1:12" ht="14.45">
      <c r="A37" s="1"/>
      <c r="B37" s="306"/>
      <c r="C37" s="87"/>
      <c r="D37" s="87" t="s">
        <v>429</v>
      </c>
      <c r="E37" s="70">
        <f>E34-E35-10*LOG10(E36)</f>
        <v>-8.9988173403601674</v>
      </c>
      <c r="F37" s="87" t="s">
        <v>393</v>
      </c>
      <c r="G37" s="87"/>
      <c r="H37" s="87"/>
      <c r="I37" s="307"/>
      <c r="J37" s="1"/>
    </row>
    <row r="38" spans="1:12" ht="14.45">
      <c r="A38" s="1"/>
      <c r="B38" s="306"/>
      <c r="C38" s="87"/>
      <c r="D38" s="87" t="s">
        <v>436</v>
      </c>
      <c r="E38" s="70">
        <f>E19-E33-Inputs!V10+E37</f>
        <v>64.946476830298408</v>
      </c>
      <c r="F38" s="87" t="s">
        <v>405</v>
      </c>
      <c r="G38" s="87"/>
      <c r="H38" s="87"/>
      <c r="I38" s="307"/>
      <c r="J38" s="1"/>
    </row>
    <row r="39" spans="1:12" ht="14.45">
      <c r="A39" s="1"/>
      <c r="B39" s="306"/>
      <c r="C39" s="87"/>
      <c r="D39" s="429" t="s">
        <v>406</v>
      </c>
      <c r="E39" s="71">
        <f>Modulation!X10*1000</f>
        <v>9600</v>
      </c>
      <c r="F39" s="87" t="s">
        <v>407</v>
      </c>
      <c r="G39" s="87"/>
      <c r="H39" s="87"/>
      <c r="I39" s="307"/>
      <c r="J39" s="1"/>
    </row>
    <row r="40" spans="1:12" ht="14.45">
      <c r="A40" s="1"/>
      <c r="B40" s="306"/>
      <c r="C40" s="87"/>
      <c r="D40" s="429"/>
      <c r="E40" s="70">
        <f>10*LOG10(E39)</f>
        <v>39.822712330395682</v>
      </c>
      <c r="F40" s="87" t="s">
        <v>405</v>
      </c>
      <c r="G40" s="87"/>
      <c r="H40" s="87"/>
      <c r="I40" s="307"/>
      <c r="J40" s="1"/>
    </row>
    <row r="41" spans="1:12" ht="14.45">
      <c r="A41" s="1"/>
      <c r="B41" s="306"/>
      <c r="C41" s="87"/>
      <c r="D41" s="87" t="s">
        <v>408</v>
      </c>
      <c r="E41" s="70">
        <f>E38-E40</f>
        <v>25.123764499902727</v>
      </c>
      <c r="F41" s="87" t="s">
        <v>25</v>
      </c>
      <c r="G41" s="87"/>
      <c r="H41" s="87"/>
      <c r="I41" s="307"/>
      <c r="J41" s="1"/>
    </row>
    <row r="42" spans="1:12" ht="14.45">
      <c r="A42" s="1"/>
      <c r="B42" s="306"/>
      <c r="C42" s="87"/>
      <c r="D42" s="87" t="s">
        <v>409</v>
      </c>
      <c r="E42" s="158">
        <f>Modulation!X8</f>
        <v>1.0000000000000001E-5</v>
      </c>
      <c r="F42" s="87"/>
      <c r="G42" s="87"/>
      <c r="H42" s="87"/>
      <c r="I42" s="307"/>
      <c r="J42" s="1"/>
    </row>
    <row r="43" spans="1:12" ht="14.45">
      <c r="A43" s="1"/>
      <c r="B43" s="306"/>
      <c r="C43" s="87"/>
      <c r="D43" s="87" t="s">
        <v>410</v>
      </c>
      <c r="E43" s="70">
        <f>Modulation!X16</f>
        <v>13.15</v>
      </c>
      <c r="F43" s="87" t="s">
        <v>25</v>
      </c>
      <c r="G43" s="87"/>
      <c r="H43" s="87"/>
      <c r="I43" s="307"/>
      <c r="J43" s="1"/>
    </row>
    <row r="44" spans="1:12" ht="14.45">
      <c r="A44" s="1"/>
      <c r="B44" s="310"/>
      <c r="C44" s="100"/>
      <c r="D44" s="100" t="s">
        <v>411</v>
      </c>
      <c r="E44" s="219">
        <f>E41-E43</f>
        <v>11.973764499902726</v>
      </c>
      <c r="F44" s="100" t="s">
        <v>25</v>
      </c>
      <c r="G44" s="247" t="str">
        <f>IF(E44="Link not completed!", "Hard to differentiate the signal from the noise", IF(E44&gt;3,"Good signal reception","Hard to differentiate the signal from the noise"))</f>
        <v>Good signal reception</v>
      </c>
      <c r="H44" s="100"/>
      <c r="I44" s="311"/>
      <c r="J44" s="1"/>
      <c r="L44" s="299"/>
    </row>
    <row r="45" spans="1:12" ht="14.45">
      <c r="A45" s="1"/>
      <c r="B45" s="304"/>
      <c r="C45" s="89"/>
      <c r="D45" s="90" t="s">
        <v>412</v>
      </c>
      <c r="E45" s="92"/>
      <c r="F45" s="89"/>
      <c r="G45" s="139"/>
      <c r="H45" s="89"/>
      <c r="I45" s="305"/>
      <c r="J45" s="1"/>
    </row>
    <row r="46" spans="1:12" ht="14.45">
      <c r="A46" s="1"/>
      <c r="B46" s="308"/>
      <c r="C46" s="103"/>
      <c r="D46" s="103" t="s">
        <v>413</v>
      </c>
      <c r="E46" s="104">
        <f>IF((E31)&lt;0,"Link not completed!",((E27)*LOG((1+E31),2)))</f>
        <v>78507.510423511965</v>
      </c>
      <c r="F46" s="103" t="s">
        <v>407</v>
      </c>
      <c r="G46" s="140" t="s">
        <v>414</v>
      </c>
      <c r="H46" s="103"/>
      <c r="I46" s="309"/>
      <c r="J46" s="1"/>
    </row>
    <row r="47" spans="1:12" ht="14.45">
      <c r="A47" s="1"/>
      <c r="B47" s="306"/>
      <c r="C47" s="87"/>
      <c r="D47" s="87" t="s">
        <v>415</v>
      </c>
      <c r="E47" s="71">
        <f>Modulation!X10*1000</f>
        <v>9600</v>
      </c>
      <c r="F47" s="87" t="s">
        <v>407</v>
      </c>
      <c r="G47" s="87"/>
      <c r="H47" s="87"/>
      <c r="I47" s="307"/>
      <c r="J47" s="1"/>
    </row>
    <row r="48" spans="1:12" ht="14.45">
      <c r="A48" s="1"/>
      <c r="B48" s="306"/>
      <c r="C48" s="87"/>
      <c r="D48" s="87" t="s">
        <v>437</v>
      </c>
      <c r="E48" s="70">
        <f>IF((E44)&lt;0,"Link not completed!",Inputs!V21)</f>
        <v>400.85399999999998</v>
      </c>
      <c r="F48" s="87" t="s">
        <v>21</v>
      </c>
      <c r="G48" s="137" t="s">
        <v>438</v>
      </c>
      <c r="H48" s="87"/>
      <c r="I48" s="307"/>
      <c r="J48" s="1"/>
    </row>
    <row r="49" spans="1:10" ht="14.45">
      <c r="A49" s="1"/>
      <c r="B49" s="306"/>
      <c r="C49" s="87"/>
      <c r="D49" s="87" t="s">
        <v>439</v>
      </c>
      <c r="E49" s="70">
        <f>IF((E44)&lt;0,"Link not completed!",Inputs!V22)</f>
        <v>3.7</v>
      </c>
      <c r="F49" s="87"/>
      <c r="G49" s="137"/>
      <c r="H49" s="87"/>
      <c r="I49" s="307"/>
      <c r="J49" s="1"/>
    </row>
    <row r="50" spans="1:10" ht="14.45">
      <c r="A50" s="1"/>
      <c r="B50" s="306"/>
      <c r="C50" s="87"/>
      <c r="D50" s="87" t="s">
        <v>440</v>
      </c>
      <c r="E50" s="316">
        <f>IF((E44)&lt;0,"Link not completed!",(E47*E48)/1000)</f>
        <v>3848.1983999999998</v>
      </c>
      <c r="F50" s="87" t="s">
        <v>441</v>
      </c>
      <c r="G50" s="137" t="s">
        <v>442</v>
      </c>
      <c r="H50" s="87"/>
      <c r="I50" s="307"/>
      <c r="J50" s="1"/>
    </row>
    <row r="51" spans="1:10" ht="14.45">
      <c r="A51" s="1"/>
      <c r="B51" s="306"/>
      <c r="C51" s="87"/>
      <c r="D51" s="87" t="s">
        <v>443</v>
      </c>
      <c r="E51" s="316">
        <f>(Data!T26/E$50)*100</f>
        <v>1.864768718785393</v>
      </c>
      <c r="F51" s="87" t="s">
        <v>444</v>
      </c>
      <c r="G51" s="137"/>
      <c r="H51" s="87"/>
      <c r="I51" s="307"/>
      <c r="J51" s="1"/>
    </row>
    <row r="52" spans="1:10" ht="15" customHeight="1">
      <c r="A52" s="1"/>
      <c r="B52" s="306"/>
      <c r="C52" s="87"/>
      <c r="D52" s="87" t="str">
        <f>"Telemetry" &amp; CHAR(10) &amp; " (OBC, EPS, Transceiver)"</f>
        <v>Telemetry
 (OBC, EPS, Transceiver)</v>
      </c>
      <c r="E52" s="316">
        <f>(Data!T32/E$50)*100</f>
        <v>4.3619372639414848</v>
      </c>
      <c r="F52" s="87" t="s">
        <v>444</v>
      </c>
      <c r="G52" s="137"/>
      <c r="H52" s="87"/>
      <c r="I52" s="307"/>
      <c r="J52" s="1"/>
    </row>
    <row r="53" spans="1:10" ht="15" customHeight="1">
      <c r="A53" s="1"/>
      <c r="B53" s="306"/>
      <c r="C53" s="87"/>
      <c r="D53" s="87" t="str">
        <f>"Telemetry" &amp; CHAR(10) &amp; " (ADCS)"</f>
        <v>Telemetry
 (ADCS)</v>
      </c>
      <c r="E53" s="316">
        <f>(Data!T35/E$50)*100</f>
        <v>23.2717730977696</v>
      </c>
      <c r="F53" s="87" t="s">
        <v>444</v>
      </c>
      <c r="G53" s="137"/>
      <c r="H53" s="87"/>
      <c r="I53" s="307"/>
      <c r="J53" s="1"/>
    </row>
    <row r="54" spans="1:10" ht="15" customHeight="1">
      <c r="A54" s="1"/>
      <c r="B54" s="306"/>
      <c r="C54" s="87"/>
      <c r="D54" s="87" t="str">
        <f>"Telemetry" &amp; CHAR(10) &amp; " (PTB)"</f>
        <v>Telemetry
 (PTB)</v>
      </c>
      <c r="E54" s="316">
        <f>(Data!T41/E$50)*100/E49</f>
        <v>8.240289864023195</v>
      </c>
      <c r="F54" s="87" t="s">
        <v>444</v>
      </c>
      <c r="G54" s="137"/>
      <c r="H54" s="87"/>
      <c r="I54" s="307"/>
      <c r="J54" s="1"/>
    </row>
    <row r="55" spans="1:10" ht="15" customHeight="1">
      <c r="A55" s="1"/>
      <c r="B55" s="306"/>
      <c r="C55" s="87"/>
      <c r="D55" s="87" t="str">
        <f>"MTU payload" &amp; CHAR(10) &amp; " ("&amp;Data!T47&amp;" stations)"</f>
        <v>MTU payload
 (30 stations)</v>
      </c>
      <c r="E55" s="316">
        <f>(Data!T49/E$50)*100</f>
        <v>1.3097037824245239</v>
      </c>
      <c r="F55" s="87" t="s">
        <v>444</v>
      </c>
      <c r="G55" s="137"/>
      <c r="H55" s="87"/>
      <c r="I55" s="307"/>
      <c r="J55" s="1"/>
    </row>
    <row r="56" spans="1:10" ht="15" customHeight="1">
      <c r="A56" s="1"/>
      <c r="B56" s="312"/>
      <c r="C56" s="313"/>
      <c r="D56" s="313" t="s">
        <v>445</v>
      </c>
      <c r="E56" s="317">
        <f>100-SUM(E51:E55)</f>
        <v>60.95152727305581</v>
      </c>
      <c r="F56" s="313" t="s">
        <v>444</v>
      </c>
      <c r="G56" s="318"/>
      <c r="H56" s="313"/>
      <c r="I56" s="314"/>
      <c r="J56" s="1"/>
    </row>
    <row r="57" spans="1:10" ht="15" customHeight="1">
      <c r="A57" s="1"/>
      <c r="B57" s="1"/>
      <c r="C57" s="1"/>
      <c r="D57" s="1"/>
      <c r="E57" s="1"/>
      <c r="F57" s="1"/>
      <c r="G57" s="136"/>
      <c r="H57" s="1"/>
      <c r="I57" s="1"/>
      <c r="J57" s="1"/>
    </row>
    <row r="58" spans="1:10" ht="15" customHeight="1"/>
    <row r="59" spans="1:10" ht="15" customHeight="1"/>
    <row r="60" spans="1:10" ht="15" customHeight="1"/>
  </sheetData>
  <mergeCells count="3">
    <mergeCell ref="C2:G2"/>
    <mergeCell ref="D6:D8"/>
    <mergeCell ref="D39:D40"/>
  </mergeCells>
  <conditionalFormatting sqref="E18">
    <cfRule type="expression" dxfId="17" priority="1">
      <formula>$AA$9=4</formula>
    </cfRule>
    <cfRule type="expression" dxfId="16" priority="2">
      <formula>$AA$9=3</formula>
    </cfRule>
    <cfRule type="expression" dxfId="15" priority="3">
      <formula>$AA$9=1</formula>
    </cfRule>
  </conditionalFormatting>
  <conditionalFormatting sqref="E30">
    <cfRule type="expression" dxfId="14" priority="4">
      <formula>$AA$9=4</formula>
    </cfRule>
    <cfRule type="expression" dxfId="13" priority="5">
      <formula>$AA$9=3</formula>
    </cfRule>
    <cfRule type="expression" dxfId="12" priority="6">
      <formula>$AA$9=1</formula>
    </cfRule>
  </conditionalFormatting>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71F0E-879F-4414-8B37-745DB39ABDE4}">
  <sheetPr>
    <tabColor rgb="FFFFF2CC"/>
  </sheetPr>
  <dimension ref="A1:J48"/>
  <sheetViews>
    <sheetView topLeftCell="B18" zoomScale="141" zoomScaleNormal="70" workbookViewId="0">
      <selection activeCell="E36" sqref="E36"/>
    </sheetView>
  </sheetViews>
  <sheetFormatPr defaultColWidth="0" defaultRowHeight="15" customHeight="1" zeroHeight="1"/>
  <cols>
    <col min="1" max="1" width="2.85546875" customWidth="1"/>
    <col min="2" max="2" width="3.140625" customWidth="1"/>
    <col min="3" max="3" width="2.85546875" customWidth="1"/>
    <col min="4" max="4" width="40.85546875" customWidth="1"/>
    <col min="5" max="5" width="17.85546875" customWidth="1"/>
    <col min="6" max="6" width="5.28515625" customWidth="1"/>
    <col min="7" max="7" width="42.140625" customWidth="1"/>
    <col min="8" max="8" width="3.28515625" customWidth="1"/>
    <col min="9" max="10" width="3" customWidth="1"/>
  </cols>
  <sheetData>
    <row r="1" spans="1:10" thickBot="1">
      <c r="A1" s="1"/>
      <c r="B1" s="1"/>
      <c r="C1" s="1"/>
      <c r="D1" s="1"/>
      <c r="E1" s="1"/>
      <c r="F1" s="1"/>
      <c r="G1" s="1"/>
      <c r="H1" s="1"/>
      <c r="I1" s="1"/>
      <c r="J1" s="1"/>
    </row>
    <row r="2" spans="1:10" ht="30">
      <c r="A2" s="1"/>
      <c r="B2" s="1"/>
      <c r="C2" s="328" t="s">
        <v>446</v>
      </c>
      <c r="D2" s="329"/>
      <c r="E2" s="329"/>
      <c r="F2" s="329"/>
      <c r="G2" s="330"/>
      <c r="H2" s="107"/>
      <c r="I2" s="107"/>
      <c r="J2" s="107"/>
    </row>
    <row r="3" spans="1:10" thickBot="1">
      <c r="A3" s="1"/>
      <c r="B3" s="1"/>
      <c r="C3" s="1"/>
      <c r="D3" s="1"/>
      <c r="E3" s="1"/>
      <c r="F3" s="1"/>
      <c r="G3" s="1"/>
      <c r="H3" s="1"/>
      <c r="I3" s="1"/>
      <c r="J3" s="1"/>
    </row>
    <row r="4" spans="1:10" thickBot="1">
      <c r="A4" s="1"/>
      <c r="B4" s="93"/>
      <c r="C4" s="88"/>
      <c r="D4" s="128" t="s">
        <v>370</v>
      </c>
      <c r="E4" s="88" t="s">
        <v>3</v>
      </c>
      <c r="F4" s="88" t="s">
        <v>371</v>
      </c>
      <c r="G4" s="88" t="s">
        <v>372</v>
      </c>
      <c r="H4" s="88"/>
      <c r="I4" s="94"/>
      <c r="J4" s="1"/>
    </row>
    <row r="5" spans="1:10" thickBot="1">
      <c r="A5" s="1"/>
      <c r="B5" s="95"/>
      <c r="C5" s="89"/>
      <c r="D5" s="129" t="s">
        <v>366</v>
      </c>
      <c r="E5" s="91"/>
      <c r="F5" s="89"/>
      <c r="G5" s="89"/>
      <c r="H5" s="89"/>
      <c r="I5" s="96"/>
      <c r="J5" s="1"/>
    </row>
    <row r="6" spans="1:10" ht="14.45">
      <c r="A6" s="1"/>
      <c r="B6" s="97"/>
      <c r="C6" s="87"/>
      <c r="D6" s="429" t="s">
        <v>373</v>
      </c>
      <c r="E6" s="70">
        <f>Transmitters!T74</f>
        <v>3.9800000000000002E-2</v>
      </c>
      <c r="F6" s="87" t="s">
        <v>112</v>
      </c>
      <c r="G6" s="87"/>
      <c r="H6" s="87"/>
      <c r="I6" s="98"/>
      <c r="J6" s="1"/>
    </row>
    <row r="7" spans="1:10" ht="14.45">
      <c r="A7" s="1"/>
      <c r="B7" s="97"/>
      <c r="C7" s="87"/>
      <c r="D7" s="429"/>
      <c r="E7" s="70">
        <f>10*LOG10(E6)</f>
        <v>-14.001169279263122</v>
      </c>
      <c r="F7" s="87" t="s">
        <v>263</v>
      </c>
      <c r="G7" s="87"/>
      <c r="H7" s="87"/>
      <c r="I7" s="98"/>
      <c r="J7" s="1"/>
    </row>
    <row r="8" spans="1:10" ht="14.45">
      <c r="A8" s="1"/>
      <c r="B8" s="97"/>
      <c r="C8" s="87"/>
      <c r="D8" s="429"/>
      <c r="E8" s="70">
        <f>E7+30</f>
        <v>15.998830720736878</v>
      </c>
      <c r="F8" s="87" t="s">
        <v>116</v>
      </c>
      <c r="G8" s="87"/>
      <c r="H8" s="87"/>
      <c r="I8" s="98"/>
      <c r="J8" s="1"/>
    </row>
    <row r="9" spans="1:10" ht="14.45">
      <c r="A9" s="1"/>
      <c r="B9" s="97"/>
      <c r="C9" s="87"/>
      <c r="D9" s="130" t="s">
        <v>374</v>
      </c>
      <c r="E9" s="70">
        <f>Transmitters!V87</f>
        <v>0.74499999999999988</v>
      </c>
      <c r="F9" s="87" t="s">
        <v>25</v>
      </c>
      <c r="G9" s="87"/>
      <c r="H9" s="87"/>
      <c r="I9" s="98"/>
      <c r="J9" s="1"/>
    </row>
    <row r="10" spans="1:10" ht="14.45">
      <c r="A10" s="1"/>
      <c r="B10" s="97"/>
      <c r="C10" s="87"/>
      <c r="D10" s="130" t="s">
        <v>375</v>
      </c>
      <c r="E10" s="71">
        <f>'MTU hardware'!$B$4</f>
        <v>16.559999999999999</v>
      </c>
      <c r="F10" s="87" t="s">
        <v>90</v>
      </c>
      <c r="G10" s="87"/>
      <c r="H10" s="87"/>
      <c r="I10" s="98"/>
      <c r="J10" s="1"/>
    </row>
    <row r="11" spans="1:10" thickBot="1">
      <c r="A11" s="1"/>
      <c r="B11" s="97"/>
      <c r="C11" s="87"/>
      <c r="D11" s="130" t="s">
        <v>376</v>
      </c>
      <c r="E11" s="70">
        <f>E7-E9+E10</f>
        <v>1.8138307207368776</v>
      </c>
      <c r="F11" s="87" t="s">
        <v>263</v>
      </c>
      <c r="G11" s="87"/>
      <c r="H11" s="87"/>
      <c r="I11" s="98"/>
      <c r="J11" s="1"/>
    </row>
    <row r="12" spans="1:10" thickBot="1">
      <c r="A12" s="1"/>
      <c r="B12" s="95"/>
      <c r="C12" s="89"/>
      <c r="D12" s="129" t="s">
        <v>377</v>
      </c>
      <c r="E12" s="92"/>
      <c r="F12" s="89"/>
      <c r="G12" s="89"/>
      <c r="H12" s="89"/>
      <c r="I12" s="96"/>
      <c r="J12" s="1"/>
    </row>
    <row r="13" spans="1:10" ht="14.45">
      <c r="A13" s="1"/>
      <c r="B13" s="97"/>
      <c r="C13" s="87"/>
      <c r="D13" s="130" t="s">
        <v>447</v>
      </c>
      <c r="E13" s="70">
        <f>'MTU Losses'!Y36</f>
        <v>6.1224489795918373</v>
      </c>
      <c r="F13" s="87" t="s">
        <v>25</v>
      </c>
      <c r="G13" s="87"/>
      <c r="H13" s="87"/>
      <c r="I13" s="98"/>
      <c r="J13" s="1"/>
    </row>
    <row r="14" spans="1:10" ht="14.45">
      <c r="A14" s="1"/>
      <c r="B14" s="97"/>
      <c r="C14" s="87"/>
      <c r="D14" s="130" t="s">
        <v>448</v>
      </c>
      <c r="E14" s="70">
        <f>IF(Antennas!T53=Antennas!T62,'MTU Losses'!U57,'MTU Losses'!U61)</f>
        <v>0.22825214260717014</v>
      </c>
      <c r="F14" s="87" t="s">
        <v>25</v>
      </c>
      <c r="G14" s="99"/>
      <c r="H14" s="87"/>
      <c r="I14" s="98"/>
      <c r="J14" s="1"/>
    </row>
    <row r="15" spans="1:10" ht="14.45">
      <c r="A15" s="1"/>
      <c r="B15" s="97"/>
      <c r="C15" s="87"/>
      <c r="D15" s="130" t="s">
        <v>380</v>
      </c>
      <c r="E15" s="70">
        <f>Orbit!T40</f>
        <v>141.95085483043806</v>
      </c>
      <c r="F15" s="87" t="s">
        <v>25</v>
      </c>
      <c r="G15" s="137"/>
      <c r="H15" s="87"/>
      <c r="I15" s="98"/>
      <c r="J15" s="1"/>
    </row>
    <row r="16" spans="1:10" ht="14.45">
      <c r="A16" s="1"/>
      <c r="B16" s="97"/>
      <c r="C16" s="87"/>
      <c r="D16" s="130" t="s">
        <v>381</v>
      </c>
      <c r="E16" s="70">
        <f>'MTU Losses'!W10</f>
        <v>0.18743505139493363</v>
      </c>
      <c r="F16" s="87" t="s">
        <v>25</v>
      </c>
      <c r="G16" s="87"/>
      <c r="H16" s="87"/>
      <c r="I16" s="98"/>
      <c r="J16" s="1"/>
    </row>
    <row r="17" spans="1:10" ht="14.45">
      <c r="A17" s="1"/>
      <c r="B17" s="97"/>
      <c r="C17" s="87"/>
      <c r="D17" s="130" t="s">
        <v>382</v>
      </c>
      <c r="E17" s="71">
        <f>'MTU Losses'!W16</f>
        <v>0.5</v>
      </c>
      <c r="F17" s="87" t="s">
        <v>25</v>
      </c>
      <c r="G17" s="87"/>
      <c r="H17" s="87"/>
      <c r="I17" s="98"/>
      <c r="J17" s="1"/>
    </row>
    <row r="18" spans="1:10" ht="14.45">
      <c r="A18" s="1"/>
      <c r="B18" s="97"/>
      <c r="C18" s="87"/>
      <c r="D18" s="130" t="s">
        <v>383</v>
      </c>
      <c r="E18" s="290">
        <f>Inputs!$V$23</f>
        <v>0</v>
      </c>
      <c r="F18" s="87" t="s">
        <v>25</v>
      </c>
      <c r="G18" s="315" t="s">
        <v>384</v>
      </c>
      <c r="H18" s="87"/>
      <c r="I18" s="98"/>
      <c r="J18" s="1"/>
    </row>
    <row r="19" spans="1:10" thickBot="1">
      <c r="A19" s="1"/>
      <c r="B19" s="97"/>
      <c r="C19" s="87"/>
      <c r="D19" s="130" t="s">
        <v>385</v>
      </c>
      <c r="E19" s="70">
        <f>E11-SUM(E13:E18)</f>
        <v>-147.17516028329513</v>
      </c>
      <c r="F19" s="87" t="s">
        <v>263</v>
      </c>
      <c r="G19" s="87"/>
      <c r="H19" s="87"/>
      <c r="I19" s="98"/>
      <c r="J19" s="1"/>
    </row>
    <row r="20" spans="1:10" thickBot="1">
      <c r="A20" s="1"/>
      <c r="B20" s="95"/>
      <c r="C20" s="89"/>
      <c r="D20" s="129" t="s">
        <v>386</v>
      </c>
      <c r="E20" s="92"/>
      <c r="F20" s="89"/>
      <c r="G20" s="89"/>
      <c r="H20" s="89"/>
      <c r="I20" s="96"/>
      <c r="J20" s="1"/>
    </row>
    <row r="21" spans="1:10" ht="14.45">
      <c r="A21" s="1"/>
      <c r="B21" s="97"/>
      <c r="C21" s="87"/>
      <c r="D21" s="130" t="s">
        <v>387</v>
      </c>
      <c r="E21" s="70">
        <f>'MTU Losses'!Y38</f>
        <v>1</v>
      </c>
      <c r="F21" s="87" t="s">
        <v>25</v>
      </c>
      <c r="G21" s="87"/>
      <c r="H21" s="87"/>
      <c r="I21" s="98"/>
      <c r="J21" s="1"/>
    </row>
    <row r="22" spans="1:10" ht="14.45">
      <c r="A22" s="1"/>
      <c r="B22" s="97"/>
      <c r="C22" s="87"/>
      <c r="D22" s="130" t="s">
        <v>388</v>
      </c>
      <c r="E22" s="70">
        <f>'CubeSat hardware'!$B$4</f>
        <v>1E-4</v>
      </c>
      <c r="F22" s="87" t="s">
        <v>90</v>
      </c>
      <c r="G22" s="87"/>
      <c r="H22" s="87"/>
      <c r="I22" s="98"/>
      <c r="J22" s="1"/>
    </row>
    <row r="23" spans="1:10" ht="14.45">
      <c r="A23" s="1"/>
      <c r="B23" s="97"/>
      <c r="C23" s="87"/>
      <c r="D23" s="130" t="s">
        <v>389</v>
      </c>
      <c r="E23" s="70">
        <f>Receivers!V35</f>
        <v>0.84</v>
      </c>
      <c r="F23" s="87" t="s">
        <v>25</v>
      </c>
      <c r="G23" s="87"/>
      <c r="H23" s="87"/>
      <c r="I23" s="98"/>
      <c r="J23" s="1"/>
    </row>
    <row r="24" spans="1:10" ht="14.45">
      <c r="A24" s="1"/>
      <c r="B24" s="97"/>
      <c r="C24" s="87"/>
      <c r="D24" s="130" t="s">
        <v>390</v>
      </c>
      <c r="E24" s="70">
        <f>Receivers!V45</f>
        <v>291.73010629541176</v>
      </c>
      <c r="F24" s="87" t="s">
        <v>296</v>
      </c>
      <c r="G24" s="285" t="s">
        <v>391</v>
      </c>
      <c r="H24" s="87"/>
      <c r="I24" s="98"/>
      <c r="J24" s="1"/>
    </row>
    <row r="25" spans="1:10" ht="14.45">
      <c r="A25" s="1"/>
      <c r="B25" s="97"/>
      <c r="C25" s="87"/>
      <c r="D25" s="130" t="s">
        <v>392</v>
      </c>
      <c r="E25" s="70">
        <f>E22-E23-10*LOG10(E24)</f>
        <v>-25.48971250250565</v>
      </c>
      <c r="F25" s="87" t="s">
        <v>393</v>
      </c>
      <c r="G25" s="87"/>
      <c r="H25" s="87"/>
      <c r="I25" s="98"/>
      <c r="J25" s="1"/>
    </row>
    <row r="26" spans="1:10" ht="14.45">
      <c r="A26" s="1"/>
      <c r="B26" s="97"/>
      <c r="C26" s="87"/>
      <c r="D26" s="130" t="s">
        <v>394</v>
      </c>
      <c r="E26" s="70">
        <f>E19-E21+E22-E23</f>
        <v>-149.01506028329513</v>
      </c>
      <c r="F26" s="87" t="s">
        <v>263</v>
      </c>
      <c r="G26" s="87"/>
      <c r="H26" s="87"/>
      <c r="I26" s="98"/>
      <c r="J26" s="1"/>
    </row>
    <row r="27" spans="1:10" ht="14.45">
      <c r="A27" s="1"/>
      <c r="B27" s="97"/>
      <c r="C27" s="87"/>
      <c r="D27" s="130" t="s">
        <v>395</v>
      </c>
      <c r="E27" s="71">
        <f>Inputs!V33*1000</f>
        <v>25000</v>
      </c>
      <c r="F27" s="87" t="s">
        <v>396</v>
      </c>
      <c r="G27" s="87"/>
      <c r="H27" s="87"/>
      <c r="I27" s="98"/>
      <c r="J27" s="1"/>
    </row>
    <row r="28" spans="1:10" ht="14.45">
      <c r="A28" s="1"/>
      <c r="B28" s="97"/>
      <c r="C28" s="87"/>
      <c r="D28" s="130" t="s">
        <v>397</v>
      </c>
      <c r="E28" s="70">
        <f>Inputs!V10+10*LOG10(E24)+10*LOG10(E27)</f>
        <v>-159.97078741077397</v>
      </c>
      <c r="F28" s="87" t="s">
        <v>263</v>
      </c>
      <c r="G28" s="87"/>
      <c r="H28" s="87"/>
      <c r="I28" s="98"/>
      <c r="J28" s="1"/>
    </row>
    <row r="29" spans="1:10" ht="14.45">
      <c r="A29" s="1"/>
      <c r="B29" s="97"/>
      <c r="C29" s="87"/>
      <c r="D29" s="130" t="s">
        <v>398</v>
      </c>
      <c r="E29" s="70">
        <f>E26-E28</f>
        <v>10.955727127478838</v>
      </c>
      <c r="F29" s="87" t="s">
        <v>25</v>
      </c>
      <c r="G29" s="87"/>
      <c r="H29" s="87"/>
      <c r="I29" s="98"/>
      <c r="J29" s="1"/>
    </row>
    <row r="30" spans="1:10" ht="14.45">
      <c r="A30" s="1"/>
      <c r="B30" s="97"/>
      <c r="C30" s="87"/>
      <c r="D30" s="130" t="s">
        <v>399</v>
      </c>
      <c r="E30" s="290">
        <f>Modulation!X31</f>
        <v>4.870000000000001</v>
      </c>
      <c r="F30" s="87" t="s">
        <v>25</v>
      </c>
      <c r="G30" s="169"/>
      <c r="H30" s="87"/>
      <c r="I30" s="98"/>
      <c r="J30" s="1"/>
    </row>
    <row r="31" spans="1:10" thickBot="1">
      <c r="A31" s="1"/>
      <c r="B31" s="97"/>
      <c r="C31" s="87"/>
      <c r="D31" s="130" t="s">
        <v>400</v>
      </c>
      <c r="E31" s="219">
        <f>IF((E29-E30)&lt;0,"Link not completed!",E29-E30)</f>
        <v>6.0857271274788367</v>
      </c>
      <c r="F31" s="87" t="s">
        <v>25</v>
      </c>
      <c r="G31" s="247" t="str">
        <f>IF(E31="Link not completed!", "Hard to differentiate the signal from the noise", IF(E31&gt;3,"Good signal reception","Hard to differentiate the signal from the noise"))</f>
        <v>Good signal reception</v>
      </c>
      <c r="H31" s="87"/>
      <c r="I31" s="98"/>
      <c r="J31" s="1"/>
    </row>
    <row r="32" spans="1:10" thickBot="1">
      <c r="A32" s="1"/>
      <c r="B32" s="95"/>
      <c r="C32" s="89"/>
      <c r="D32" s="90" t="s">
        <v>401</v>
      </c>
      <c r="E32" s="89"/>
      <c r="F32" s="89"/>
      <c r="G32" s="89"/>
      <c r="H32" s="89"/>
      <c r="I32" s="96"/>
      <c r="J32" s="1"/>
    </row>
    <row r="33" spans="1:10" ht="14.45">
      <c r="A33" s="1"/>
      <c r="B33" s="102"/>
      <c r="C33" s="103"/>
      <c r="D33" s="103" t="s">
        <v>387</v>
      </c>
      <c r="E33" s="104">
        <f>'MTU Losses'!Y38</f>
        <v>1</v>
      </c>
      <c r="F33" s="103" t="s">
        <v>25</v>
      </c>
      <c r="G33" s="103"/>
      <c r="H33" s="103"/>
      <c r="I33" s="105"/>
      <c r="J33" s="1"/>
    </row>
    <row r="34" spans="1:10" ht="14.45">
      <c r="A34" s="1"/>
      <c r="B34" s="97"/>
      <c r="C34" s="87"/>
      <c r="D34" s="87" t="s">
        <v>388</v>
      </c>
      <c r="E34" s="70">
        <f>'CubeSat hardware'!$B$4</f>
        <v>1E-4</v>
      </c>
      <c r="F34" s="87" t="s">
        <v>90</v>
      </c>
      <c r="G34" s="87"/>
      <c r="H34" s="87"/>
      <c r="I34" s="98"/>
      <c r="J34" s="1"/>
    </row>
    <row r="35" spans="1:10" ht="14.45">
      <c r="A35" s="1"/>
      <c r="B35" s="97"/>
      <c r="C35" s="87"/>
      <c r="D35" s="87" t="s">
        <v>402</v>
      </c>
      <c r="E35" s="70">
        <f>'CubeSat hardware'!$I$42</f>
        <v>0</v>
      </c>
      <c r="F35" s="87" t="s">
        <v>25</v>
      </c>
      <c r="G35" s="87"/>
      <c r="H35" s="87"/>
      <c r="I35" s="98"/>
      <c r="J35" s="1"/>
    </row>
    <row r="36" spans="1:10" ht="14.45">
      <c r="A36" s="1"/>
      <c r="B36" s="97"/>
      <c r="C36" s="87"/>
      <c r="D36" s="319" t="s">
        <v>390</v>
      </c>
      <c r="E36" s="320">
        <f>Receivers!V45</f>
        <v>291.73010629541176</v>
      </c>
      <c r="F36" s="319" t="s">
        <v>296</v>
      </c>
      <c r="G36" s="321" t="s">
        <v>391</v>
      </c>
      <c r="H36" s="87"/>
      <c r="I36" s="98"/>
      <c r="J36" s="1"/>
    </row>
    <row r="37" spans="1:10" ht="14.45">
      <c r="A37" s="1"/>
      <c r="B37" s="97"/>
      <c r="C37" s="87"/>
      <c r="D37" s="87" t="s">
        <v>403</v>
      </c>
      <c r="E37" s="70">
        <f>E34-E35-10*LOG10(E36)</f>
        <v>-24.64971250250565</v>
      </c>
      <c r="F37" s="87" t="s">
        <v>393</v>
      </c>
      <c r="G37" s="87"/>
      <c r="H37" s="87"/>
      <c r="I37" s="98"/>
      <c r="J37" s="1"/>
    </row>
    <row r="38" spans="1:10" ht="14.45">
      <c r="A38" s="1"/>
      <c r="B38" s="97"/>
      <c r="C38" s="87"/>
      <c r="D38" s="87" t="s">
        <v>404</v>
      </c>
      <c r="E38" s="70">
        <f>E19-E33-Inputs!V10+E37</f>
        <v>55.775127214199216</v>
      </c>
      <c r="F38" s="87" t="s">
        <v>405</v>
      </c>
      <c r="G38" s="87"/>
      <c r="H38" s="87"/>
      <c r="I38" s="98"/>
      <c r="J38" s="1"/>
    </row>
    <row r="39" spans="1:10" ht="14.45">
      <c r="A39" s="1"/>
      <c r="B39" s="97"/>
      <c r="C39" s="87"/>
      <c r="D39" s="429" t="s">
        <v>406</v>
      </c>
      <c r="E39" s="71">
        <f>Modulation!X27*1000</f>
        <v>1200</v>
      </c>
      <c r="F39" s="87" t="s">
        <v>407</v>
      </c>
      <c r="G39" s="87"/>
      <c r="H39" s="87"/>
      <c r="I39" s="98"/>
      <c r="J39" s="1"/>
    </row>
    <row r="40" spans="1:10" ht="14.45">
      <c r="A40" s="1"/>
      <c r="B40" s="97"/>
      <c r="C40" s="87"/>
      <c r="D40" s="429"/>
      <c r="E40" s="70">
        <f>10*LOG10(E39)</f>
        <v>30.791812460476248</v>
      </c>
      <c r="F40" s="87" t="s">
        <v>405</v>
      </c>
      <c r="G40" s="87"/>
      <c r="H40" s="87"/>
      <c r="I40" s="98"/>
      <c r="J40" s="1"/>
    </row>
    <row r="41" spans="1:10" ht="14.45">
      <c r="A41" s="1"/>
      <c r="B41" s="97"/>
      <c r="C41" s="87"/>
      <c r="D41" s="87" t="s">
        <v>408</v>
      </c>
      <c r="E41" s="70">
        <f>E38-E40</f>
        <v>24.983314753722969</v>
      </c>
      <c r="F41" s="87" t="s">
        <v>25</v>
      </c>
      <c r="G41" s="87"/>
      <c r="H41" s="87"/>
      <c r="I41" s="98"/>
      <c r="J41" s="1"/>
    </row>
    <row r="42" spans="1:10" ht="14.45">
      <c r="A42" s="1"/>
      <c r="B42" s="97"/>
      <c r="C42" s="87"/>
      <c r="D42" s="87" t="s">
        <v>409</v>
      </c>
      <c r="E42" s="158">
        <f>Modulation!X24</f>
        <v>1.0000000000000001E-5</v>
      </c>
      <c r="F42" s="87"/>
      <c r="G42" s="87"/>
      <c r="H42" s="87"/>
      <c r="I42" s="98"/>
      <c r="J42" s="1"/>
    </row>
    <row r="43" spans="1:10" ht="14.45">
      <c r="A43" s="1"/>
      <c r="B43" s="97"/>
      <c r="C43" s="87"/>
      <c r="D43" s="319" t="s">
        <v>410</v>
      </c>
      <c r="E43" s="320">
        <f>Modulation!X31</f>
        <v>4.870000000000001</v>
      </c>
      <c r="F43" s="319" t="s">
        <v>25</v>
      </c>
      <c r="G43" s="319"/>
      <c r="H43" s="87"/>
      <c r="I43" s="98"/>
      <c r="J43" s="1"/>
    </row>
    <row r="44" spans="1:10" thickBot="1">
      <c r="A44" s="1"/>
      <c r="B44" s="21"/>
      <c r="C44" s="100"/>
      <c r="D44" s="100" t="s">
        <v>411</v>
      </c>
      <c r="E44" s="219">
        <f>IF((E41-E43)&lt;0,"Link not completed!",E41-E43)</f>
        <v>20.113314753722968</v>
      </c>
      <c r="F44" s="100" t="s">
        <v>25</v>
      </c>
      <c r="G44" s="247" t="str">
        <f>IF(E44="Link not completed!", "Hard to differentiate the signal from the noise", IF(E44&gt;3,"Good signal reception","Hard to differentiate the signal from the noise"))</f>
        <v>Good signal reception</v>
      </c>
      <c r="H44" s="100"/>
      <c r="I44" s="22"/>
      <c r="J44" s="1"/>
    </row>
    <row r="45" spans="1:10" thickBot="1">
      <c r="A45" s="1"/>
      <c r="B45" s="95"/>
      <c r="C45" s="89"/>
      <c r="D45" s="129" t="s">
        <v>412</v>
      </c>
      <c r="E45" s="92"/>
      <c r="F45" s="89"/>
      <c r="G45" s="89"/>
      <c r="H45" s="89"/>
      <c r="I45" s="96"/>
      <c r="J45" s="1"/>
    </row>
    <row r="46" spans="1:10" ht="14.45">
      <c r="A46" s="1"/>
      <c r="B46" s="102"/>
      <c r="C46" s="103"/>
      <c r="D46" s="103" t="s">
        <v>413</v>
      </c>
      <c r="E46" s="104">
        <f>IF(E44&lt;0,"Link not completed!",((E27)*LOG((1+E44),2)))</f>
        <v>110002.02979921293</v>
      </c>
      <c r="F46" s="103" t="s">
        <v>407</v>
      </c>
      <c r="G46" s="140" t="s">
        <v>414</v>
      </c>
      <c r="H46" s="103"/>
      <c r="I46" s="105"/>
      <c r="J46" s="1"/>
    </row>
    <row r="47" spans="1:10" thickBot="1">
      <c r="A47" s="1"/>
      <c r="B47" s="21"/>
      <c r="C47" s="100"/>
      <c r="D47" s="100" t="s">
        <v>415</v>
      </c>
      <c r="E47" s="101">
        <f>Modulation!X27*1000</f>
        <v>1200</v>
      </c>
      <c r="F47" s="100" t="s">
        <v>407</v>
      </c>
      <c r="G47" s="100"/>
      <c r="H47" s="100"/>
      <c r="I47" s="22"/>
      <c r="J47" s="1"/>
    </row>
    <row r="48" spans="1:10" ht="14.45">
      <c r="A48" s="1"/>
      <c r="B48" s="1"/>
      <c r="C48" s="1"/>
      <c r="D48" s="1"/>
      <c r="E48" s="1"/>
      <c r="F48" s="1"/>
      <c r="G48" s="1"/>
      <c r="H48" s="1"/>
      <c r="I48" s="1"/>
      <c r="J48" s="1"/>
    </row>
  </sheetData>
  <mergeCells count="3">
    <mergeCell ref="C2:G2"/>
    <mergeCell ref="D6:D8"/>
    <mergeCell ref="D39:D40"/>
  </mergeCells>
  <conditionalFormatting sqref="E18">
    <cfRule type="expression" dxfId="11" priority="1">
      <formula>$AA$9=4</formula>
    </cfRule>
    <cfRule type="expression" dxfId="10" priority="2">
      <formula>$AA$9=3</formula>
    </cfRule>
    <cfRule type="expression" dxfId="9" priority="3">
      <formula>$AA$9=1</formula>
    </cfRule>
  </conditionalFormatting>
  <conditionalFormatting sqref="E30">
    <cfRule type="expression" dxfId="8" priority="4">
      <formula>$AA$9=4</formula>
    </cfRule>
    <cfRule type="expression" dxfId="7" priority="5">
      <formula>$AA$9=3</formula>
    </cfRule>
    <cfRule type="expression" dxfId="6" priority="6">
      <formula>$AA$9=1</formula>
    </cfRule>
  </conditionalFormatting>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963F-6FC8-4AFF-8B6D-DC024BCCDF18}">
  <sheetPr>
    <tabColor rgb="FFFFF2CC"/>
  </sheetPr>
  <dimension ref="A1:L51"/>
  <sheetViews>
    <sheetView topLeftCell="A14" zoomScale="151" workbookViewId="0">
      <selection activeCell="E44" sqref="E44"/>
    </sheetView>
  </sheetViews>
  <sheetFormatPr defaultRowHeight="15" customHeight="1" zeroHeight="1"/>
  <cols>
    <col min="1" max="1" width="2.85546875" customWidth="1"/>
    <col min="2" max="2" width="3.140625" customWidth="1"/>
    <col min="3" max="3" width="2.85546875" customWidth="1"/>
    <col min="4" max="4" width="37.85546875" customWidth="1"/>
    <col min="5" max="5" width="18.140625" customWidth="1"/>
    <col min="6" max="6" width="4.85546875" customWidth="1"/>
    <col min="7" max="7" width="52.28515625" customWidth="1"/>
    <col min="8" max="8" width="2.85546875" customWidth="1"/>
    <col min="9" max="9" width="2.7109375" customWidth="1"/>
    <col min="10" max="10" width="3.140625" customWidth="1"/>
  </cols>
  <sheetData>
    <row r="1" spans="1:12" ht="14.45">
      <c r="A1" s="1"/>
      <c r="B1" s="1"/>
      <c r="C1" s="1"/>
      <c r="D1" s="1"/>
      <c r="E1" s="1"/>
      <c r="F1" s="1"/>
      <c r="G1" s="1"/>
      <c r="H1" s="1"/>
      <c r="I1" s="1"/>
      <c r="J1" s="1"/>
    </row>
    <row r="2" spans="1:12" ht="30">
      <c r="A2" s="1"/>
      <c r="B2" s="1"/>
      <c r="C2" s="328" t="s">
        <v>449</v>
      </c>
      <c r="D2" s="329"/>
      <c r="E2" s="329"/>
      <c r="F2" s="329"/>
      <c r="G2" s="330"/>
      <c r="H2" s="1"/>
      <c r="I2" s="1"/>
      <c r="J2" s="1"/>
      <c r="L2" s="228" t="s">
        <v>450</v>
      </c>
    </row>
    <row r="3" spans="1:12" ht="14.45">
      <c r="A3" s="1"/>
      <c r="B3" s="1"/>
      <c r="C3" s="1"/>
      <c r="D3" s="1"/>
      <c r="E3" s="1"/>
      <c r="F3" s="1"/>
      <c r="G3" s="1"/>
      <c r="H3" s="1"/>
      <c r="I3" s="1"/>
      <c r="J3" s="1"/>
      <c r="L3" t="s">
        <v>451</v>
      </c>
    </row>
    <row r="4" spans="1:12" ht="14.45">
      <c r="A4" s="1"/>
      <c r="B4" s="301"/>
      <c r="C4" s="302"/>
      <c r="D4" s="302" t="s">
        <v>370</v>
      </c>
      <c r="E4" s="302" t="s">
        <v>3</v>
      </c>
      <c r="F4" s="302" t="s">
        <v>371</v>
      </c>
      <c r="G4" s="302" t="s">
        <v>372</v>
      </c>
      <c r="H4" s="302"/>
      <c r="I4" s="303"/>
      <c r="J4" s="1"/>
      <c r="L4" t="s">
        <v>452</v>
      </c>
    </row>
    <row r="5" spans="1:12" ht="14.45">
      <c r="A5" s="1"/>
      <c r="B5" s="304"/>
      <c r="C5" s="89"/>
      <c r="D5" s="90" t="s">
        <v>417</v>
      </c>
      <c r="E5" s="91"/>
      <c r="F5" s="89"/>
      <c r="G5" s="135"/>
      <c r="H5" s="89"/>
      <c r="I5" s="305"/>
      <c r="J5" s="1"/>
      <c r="L5" t="s">
        <v>453</v>
      </c>
    </row>
    <row r="6" spans="1:12" ht="14.45">
      <c r="A6" s="1"/>
      <c r="B6" s="306"/>
      <c r="C6" s="87"/>
      <c r="D6" s="429" t="s">
        <v>373</v>
      </c>
      <c r="E6" s="70">
        <f>Transmitters!T45</f>
        <v>1</v>
      </c>
      <c r="F6" s="87" t="s">
        <v>112</v>
      </c>
      <c r="G6" s="137"/>
      <c r="H6" s="87"/>
      <c r="I6" s="307"/>
      <c r="J6" s="1"/>
      <c r="L6" t="s">
        <v>454</v>
      </c>
    </row>
    <row r="7" spans="1:12" ht="14.45">
      <c r="A7" s="1"/>
      <c r="B7" s="306"/>
      <c r="C7" s="87"/>
      <c r="D7" s="429"/>
      <c r="E7" s="70">
        <f>10*LOG10(E6)</f>
        <v>0</v>
      </c>
      <c r="F7" s="87" t="s">
        <v>263</v>
      </c>
      <c r="G7" s="137"/>
      <c r="H7" s="87"/>
      <c r="I7" s="307"/>
      <c r="J7" s="1"/>
      <c r="L7" t="s">
        <v>455</v>
      </c>
    </row>
    <row r="8" spans="1:12" ht="14.45">
      <c r="A8" s="1"/>
      <c r="B8" s="306"/>
      <c r="C8" s="87"/>
      <c r="D8" s="429"/>
      <c r="E8" s="70">
        <f>E7+30</f>
        <v>30</v>
      </c>
      <c r="F8" s="87" t="s">
        <v>116</v>
      </c>
      <c r="G8" s="137"/>
      <c r="H8" s="87"/>
      <c r="I8" s="307"/>
      <c r="J8" s="1"/>
    </row>
    <row r="9" spans="1:12" ht="14.45">
      <c r="A9" s="1"/>
      <c r="B9" s="306"/>
      <c r="C9" s="87"/>
      <c r="D9" s="87" t="s">
        <v>374</v>
      </c>
      <c r="E9" s="70">
        <f>Transmitters!V57</f>
        <v>0.84</v>
      </c>
      <c r="F9" s="87" t="s">
        <v>25</v>
      </c>
      <c r="G9" s="137"/>
      <c r="H9" s="87"/>
      <c r="I9" s="307"/>
      <c r="J9" s="1"/>
    </row>
    <row r="10" spans="1:12" ht="14.45">
      <c r="A10" s="1"/>
      <c r="B10" s="306"/>
      <c r="C10" s="87"/>
      <c r="D10" s="87" t="s">
        <v>418</v>
      </c>
      <c r="E10" s="70">
        <f>'CubeSat hardware'!$B$4</f>
        <v>1E-4</v>
      </c>
      <c r="F10" s="87" t="s">
        <v>90</v>
      </c>
      <c r="G10" s="137"/>
      <c r="H10" s="87"/>
      <c r="I10" s="307"/>
      <c r="J10" s="1"/>
      <c r="L10" s="228" t="s">
        <v>456</v>
      </c>
    </row>
    <row r="11" spans="1:12" ht="14.45">
      <c r="A11" s="1"/>
      <c r="B11" s="306"/>
      <c r="C11" s="87"/>
      <c r="D11" s="87" t="s">
        <v>376</v>
      </c>
      <c r="E11" s="70">
        <f>E7-E9+E10</f>
        <v>-0.83989999999999998</v>
      </c>
      <c r="F11" s="87" t="s">
        <v>263</v>
      </c>
      <c r="G11" s="137"/>
      <c r="H11" s="87"/>
      <c r="I11" s="307"/>
      <c r="J11" s="1"/>
      <c r="L11" t="s">
        <v>457</v>
      </c>
    </row>
    <row r="12" spans="1:12" ht="14.45">
      <c r="A12" s="1"/>
      <c r="B12" s="304"/>
      <c r="C12" s="89"/>
      <c r="D12" s="90" t="s">
        <v>419</v>
      </c>
      <c r="E12" s="92"/>
      <c r="F12" s="89"/>
      <c r="G12" s="138"/>
      <c r="H12" s="89"/>
      <c r="I12" s="305"/>
      <c r="J12" s="1"/>
      <c r="L12" t="s">
        <v>458</v>
      </c>
    </row>
    <row r="13" spans="1:12" ht="14.45">
      <c r="A13" s="1"/>
      <c r="B13" s="306"/>
      <c r="C13" s="87"/>
      <c r="D13" s="87" t="s">
        <v>420</v>
      </c>
      <c r="E13" s="70">
        <f>'MTU Losses'!Y79</f>
        <v>1</v>
      </c>
      <c r="F13" s="87" t="s">
        <v>25</v>
      </c>
      <c r="G13" s="137"/>
      <c r="H13" s="87"/>
      <c r="I13" s="307"/>
      <c r="J13" s="1"/>
    </row>
    <row r="14" spans="1:12" ht="14.45">
      <c r="A14" s="1"/>
      <c r="B14" s="306"/>
      <c r="C14" s="87"/>
      <c r="D14" s="87" t="s">
        <v>459</v>
      </c>
      <c r="E14" s="70">
        <f>IF(Antennas!T53=Antennas!T62,'Groundstation Losses'!U100,'Groundstation Losses'!U104)</f>
        <v>0.22825214260717014</v>
      </c>
      <c r="F14" s="87" t="s">
        <v>25</v>
      </c>
      <c r="G14" s="137"/>
      <c r="H14" s="87"/>
      <c r="I14" s="307"/>
      <c r="J14" s="1"/>
    </row>
    <row r="15" spans="1:12" ht="14.45">
      <c r="A15" s="1"/>
      <c r="B15" s="306"/>
      <c r="C15" s="87"/>
      <c r="D15" s="87" t="s">
        <v>422</v>
      </c>
      <c r="E15" s="70">
        <f>Orbit!T41</f>
        <v>141.95085483043806</v>
      </c>
      <c r="F15" s="87" t="s">
        <v>25</v>
      </c>
      <c r="G15" s="137"/>
      <c r="H15" s="87"/>
      <c r="I15" s="307"/>
      <c r="J15" s="1"/>
      <c r="L15" s="228" t="s">
        <v>460</v>
      </c>
    </row>
    <row r="16" spans="1:12" ht="14.45">
      <c r="A16" s="1"/>
      <c r="B16" s="306"/>
      <c r="C16" s="87"/>
      <c r="D16" s="87" t="s">
        <v>381</v>
      </c>
      <c r="E16" s="70">
        <f>'MTU Losses'!W10</f>
        <v>0.18743505139493363</v>
      </c>
      <c r="F16" s="87" t="s">
        <v>25</v>
      </c>
      <c r="G16" s="137"/>
      <c r="H16" s="87"/>
      <c r="I16" s="307"/>
      <c r="J16" s="1"/>
      <c r="L16" t="s">
        <v>461</v>
      </c>
    </row>
    <row r="17" spans="1:12" ht="14.45">
      <c r="A17" s="1"/>
      <c r="B17" s="306"/>
      <c r="C17" s="87"/>
      <c r="D17" s="87" t="s">
        <v>382</v>
      </c>
      <c r="E17" s="71">
        <f>'MTU Losses'!W17</f>
        <v>0.5</v>
      </c>
      <c r="F17" s="87" t="s">
        <v>25</v>
      </c>
      <c r="G17" s="137"/>
      <c r="H17" s="87"/>
      <c r="I17" s="307"/>
      <c r="J17" s="1"/>
      <c r="L17" t="s">
        <v>462</v>
      </c>
    </row>
    <row r="18" spans="1:12" ht="14.45">
      <c r="A18" s="1"/>
      <c r="B18" s="306"/>
      <c r="C18" s="87"/>
      <c r="D18" s="87" t="s">
        <v>383</v>
      </c>
      <c r="E18" s="290">
        <f>Inputs!$V$23</f>
        <v>0</v>
      </c>
      <c r="F18" s="87" t="s">
        <v>25</v>
      </c>
      <c r="G18" s="315" t="s">
        <v>384</v>
      </c>
      <c r="H18" s="87"/>
      <c r="I18" s="307"/>
      <c r="J18" s="1"/>
      <c r="L18" t="s">
        <v>463</v>
      </c>
    </row>
    <row r="19" spans="1:12" ht="14.45">
      <c r="A19" s="1"/>
      <c r="B19" s="306"/>
      <c r="C19" s="87"/>
      <c r="D19" s="87" t="s">
        <v>464</v>
      </c>
      <c r="E19" s="70">
        <f>E11-SUM(E13:E18)</f>
        <v>-144.70644202444018</v>
      </c>
      <c r="F19" s="87" t="s">
        <v>263</v>
      </c>
      <c r="G19" s="137"/>
      <c r="H19" s="87"/>
      <c r="I19" s="307"/>
      <c r="J19" s="1"/>
      <c r="L19" t="s">
        <v>465</v>
      </c>
    </row>
    <row r="20" spans="1:12" ht="14.45">
      <c r="A20" s="1"/>
      <c r="B20" s="304"/>
      <c r="C20" s="89"/>
      <c r="D20" s="90" t="s">
        <v>466</v>
      </c>
      <c r="E20" s="92"/>
      <c r="F20" s="89"/>
      <c r="G20" s="138"/>
      <c r="H20" s="89"/>
      <c r="I20" s="305"/>
      <c r="J20" s="1"/>
    </row>
    <row r="21" spans="1:12" ht="14.45">
      <c r="A21" s="1"/>
      <c r="B21" s="306"/>
      <c r="C21" s="87"/>
      <c r="D21" s="246" t="s">
        <v>467</v>
      </c>
      <c r="E21" s="70">
        <f>'MTU Losses'!Y81</f>
        <v>6.1224489795918373</v>
      </c>
      <c r="F21" s="87" t="s">
        <v>25</v>
      </c>
      <c r="G21" s="137"/>
      <c r="H21" s="87"/>
      <c r="I21" s="307"/>
      <c r="J21" s="1"/>
    </row>
    <row r="22" spans="1:12" ht="14.45">
      <c r="A22" s="1"/>
      <c r="B22" s="306"/>
      <c r="C22" s="87"/>
      <c r="D22" s="87" t="s">
        <v>468</v>
      </c>
      <c r="E22" s="70">
        <f>'MTU hardware'!$B$4</f>
        <v>16.559999999999999</v>
      </c>
      <c r="F22" s="87" t="s">
        <v>90</v>
      </c>
      <c r="G22" s="137"/>
      <c r="H22" s="87"/>
      <c r="I22" s="307"/>
      <c r="J22" s="1"/>
    </row>
    <row r="23" spans="1:12" ht="14.45">
      <c r="A23" s="1"/>
      <c r="B23" s="306"/>
      <c r="C23" s="87"/>
      <c r="D23" s="87" t="s">
        <v>469</v>
      </c>
      <c r="E23" s="70">
        <f>Receivers!V122</f>
        <v>0.74499999999999988</v>
      </c>
      <c r="F23" s="87" t="s">
        <v>25</v>
      </c>
      <c r="G23" s="87"/>
      <c r="H23" s="87"/>
      <c r="I23" s="307"/>
      <c r="J23" s="1"/>
    </row>
    <row r="24" spans="1:12" ht="14.45">
      <c r="A24" s="1"/>
      <c r="B24" s="306"/>
      <c r="C24" s="87"/>
      <c r="D24" s="87" t="s">
        <v>470</v>
      </c>
      <c r="E24" s="70">
        <f>Receivers!V132</f>
        <v>169.06012871903135</v>
      </c>
      <c r="F24" s="87" t="s">
        <v>296</v>
      </c>
      <c r="G24" s="285" t="s">
        <v>391</v>
      </c>
      <c r="H24" s="87"/>
      <c r="I24" s="307"/>
      <c r="J24" s="1"/>
    </row>
    <row r="25" spans="1:12" ht="14.45">
      <c r="A25" s="1"/>
      <c r="B25" s="306"/>
      <c r="C25" s="87"/>
      <c r="D25" s="87" t="s">
        <v>471</v>
      </c>
      <c r="E25" s="70">
        <f>E22-E23-10*LOG10(E24)</f>
        <v>-6.4654119530296921</v>
      </c>
      <c r="F25" s="87" t="s">
        <v>393</v>
      </c>
      <c r="G25" s="87"/>
      <c r="H25" s="87"/>
      <c r="I25" s="307"/>
      <c r="J25" s="1"/>
    </row>
    <row r="26" spans="1:12" ht="14.45">
      <c r="A26" s="1"/>
      <c r="B26" s="306"/>
      <c r="C26" s="87"/>
      <c r="D26" s="87" t="s">
        <v>472</v>
      </c>
      <c r="E26" s="70">
        <f>E19+E22-E21-E23</f>
        <v>-135.01389100403202</v>
      </c>
      <c r="F26" s="87" t="s">
        <v>263</v>
      </c>
      <c r="G26" s="87"/>
      <c r="H26" s="87"/>
      <c r="I26" s="307"/>
      <c r="J26" s="1"/>
    </row>
    <row r="27" spans="1:12" ht="14.45">
      <c r="A27" s="1"/>
      <c r="B27" s="306"/>
      <c r="C27" s="87"/>
      <c r="D27" s="87" t="s">
        <v>473</v>
      </c>
      <c r="E27" s="70">
        <f>Inputs!V28*1000</f>
        <v>25000</v>
      </c>
      <c r="F27" s="87" t="s">
        <v>396</v>
      </c>
      <c r="G27" s="137"/>
      <c r="H27" s="87"/>
      <c r="I27" s="307"/>
      <c r="J27" s="1"/>
    </row>
    <row r="28" spans="1:12" ht="14.45">
      <c r="A28" s="1"/>
      <c r="B28" s="306"/>
      <c r="C28" s="87"/>
      <c r="D28" s="87" t="s">
        <v>474</v>
      </c>
      <c r="E28" s="70">
        <f>Inputs!$V$10+10*LOG10(E24)+10*LOG10(E27)</f>
        <v>-162.34018796024992</v>
      </c>
      <c r="F28" s="87" t="s">
        <v>263</v>
      </c>
      <c r="G28" s="137"/>
      <c r="H28" s="87"/>
      <c r="I28" s="307"/>
      <c r="J28" s="1"/>
    </row>
    <row r="29" spans="1:12" ht="14.45">
      <c r="A29" s="1"/>
      <c r="B29" s="306"/>
      <c r="C29" s="87"/>
      <c r="D29" s="87" t="s">
        <v>475</v>
      </c>
      <c r="E29" s="70">
        <f>E26-E28</f>
        <v>27.326296956217902</v>
      </c>
      <c r="F29" s="87" t="s">
        <v>25</v>
      </c>
      <c r="G29" s="137"/>
      <c r="H29" s="87"/>
      <c r="I29" s="307"/>
      <c r="J29" s="1"/>
    </row>
    <row r="30" spans="1:12" ht="14.45">
      <c r="A30" s="1"/>
      <c r="B30" s="306"/>
      <c r="C30" s="87"/>
      <c r="D30" s="87" t="s">
        <v>434</v>
      </c>
      <c r="E30" s="291">
        <f>Modulation!X32</f>
        <v>4.120000000000001</v>
      </c>
      <c r="F30" s="130" t="s">
        <v>25</v>
      </c>
      <c r="G30" s="137"/>
      <c r="H30" s="87"/>
      <c r="I30" s="307"/>
      <c r="J30" s="1"/>
    </row>
    <row r="31" spans="1:12" ht="14.45">
      <c r="A31" s="1"/>
      <c r="B31" s="306"/>
      <c r="C31" s="87"/>
      <c r="D31" s="87" t="s">
        <v>411</v>
      </c>
      <c r="E31" s="220">
        <f>E29-E30</f>
        <v>23.206296956217901</v>
      </c>
      <c r="F31" s="87" t="s">
        <v>25</v>
      </c>
      <c r="G31" s="247" t="str">
        <f>IF(E31="Link not completed!", "Hard to differentiate the signal from the noise", IF(E31&gt;3,"Good signal reception","Hard to differentiate the signal from the noise"))</f>
        <v>Good signal reception</v>
      </c>
      <c r="H31" s="87"/>
      <c r="I31" s="307"/>
      <c r="J31" s="1"/>
    </row>
    <row r="32" spans="1:12" ht="14.45">
      <c r="A32" s="1"/>
      <c r="B32" s="304"/>
      <c r="C32" s="89"/>
      <c r="D32" s="90" t="s">
        <v>476</v>
      </c>
      <c r="E32" s="89"/>
      <c r="F32" s="89"/>
      <c r="G32" s="89"/>
      <c r="H32" s="89"/>
      <c r="I32" s="305"/>
      <c r="J32" s="1"/>
    </row>
    <row r="33" spans="1:12" ht="14.45">
      <c r="A33" s="1"/>
      <c r="B33" s="308"/>
      <c r="C33" s="103"/>
      <c r="D33" s="103" t="s">
        <v>467</v>
      </c>
      <c r="E33" s="104">
        <f>'MTU Losses'!Y81</f>
        <v>6.1224489795918373</v>
      </c>
      <c r="F33" s="103" t="s">
        <v>25</v>
      </c>
      <c r="G33" s="103"/>
      <c r="H33" s="103"/>
      <c r="I33" s="309"/>
      <c r="J33" s="1"/>
    </row>
    <row r="34" spans="1:12" ht="14.45">
      <c r="A34" s="1"/>
      <c r="B34" s="306"/>
      <c r="C34" s="87"/>
      <c r="D34" s="87" t="s">
        <v>468</v>
      </c>
      <c r="E34" s="71">
        <f>'MTU hardware'!$B$4</f>
        <v>16.559999999999999</v>
      </c>
      <c r="F34" s="87" t="s">
        <v>90</v>
      </c>
      <c r="G34" s="87"/>
      <c r="H34" s="87"/>
      <c r="I34" s="307"/>
      <c r="J34" s="1"/>
    </row>
    <row r="35" spans="1:12" ht="14.45">
      <c r="A35" s="1"/>
      <c r="B35" s="306"/>
      <c r="C35" s="87"/>
      <c r="D35" s="87" t="s">
        <v>469</v>
      </c>
      <c r="E35" s="70">
        <f>Receivers!V122</f>
        <v>0.74499999999999988</v>
      </c>
      <c r="F35" s="87" t="s">
        <v>25</v>
      </c>
      <c r="G35" s="87"/>
      <c r="H35" s="87"/>
      <c r="I35" s="307"/>
      <c r="J35" s="1"/>
    </row>
    <row r="36" spans="1:12" ht="14.45">
      <c r="A36" s="1"/>
      <c r="B36" s="306"/>
      <c r="C36" s="87"/>
      <c r="D36" s="87" t="s">
        <v>470</v>
      </c>
      <c r="E36" s="70">
        <f>Receivers!V132</f>
        <v>169.06012871903135</v>
      </c>
      <c r="F36" s="87" t="s">
        <v>296</v>
      </c>
      <c r="G36" s="285" t="s">
        <v>391</v>
      </c>
      <c r="H36" s="87"/>
      <c r="I36" s="307"/>
      <c r="J36" s="1"/>
    </row>
    <row r="37" spans="1:12" ht="14.45">
      <c r="A37" s="1"/>
      <c r="B37" s="306"/>
      <c r="C37" s="87"/>
      <c r="D37" s="87" t="s">
        <v>471</v>
      </c>
      <c r="E37" s="70">
        <f>E34-E35-10*LOG10(E36)</f>
        <v>-6.4654119530296921</v>
      </c>
      <c r="F37" s="87" t="s">
        <v>393</v>
      </c>
      <c r="G37" s="87"/>
      <c r="H37" s="87"/>
      <c r="I37" s="307"/>
      <c r="J37" s="1"/>
      <c r="L37" s="228"/>
    </row>
    <row r="38" spans="1:12" ht="14.45">
      <c r="A38" s="1"/>
      <c r="B38" s="306"/>
      <c r="C38" s="87"/>
      <c r="D38" s="87" t="s">
        <v>477</v>
      </c>
      <c r="E38" s="70">
        <f>E19-E33-Inputs!V10+E37</f>
        <v>71.305697042938291</v>
      </c>
      <c r="F38" s="87" t="s">
        <v>405</v>
      </c>
      <c r="G38" s="87"/>
      <c r="H38" s="87"/>
      <c r="I38" s="307"/>
      <c r="J38" s="1"/>
      <c r="L38" s="228"/>
    </row>
    <row r="39" spans="1:12" ht="14.45">
      <c r="A39" s="1"/>
      <c r="B39" s="306"/>
      <c r="C39" s="87"/>
      <c r="D39" s="429" t="s">
        <v>406</v>
      </c>
      <c r="E39" s="71">
        <f>Modulation!X26*1000</f>
        <v>1200</v>
      </c>
      <c r="F39" s="87" t="s">
        <v>407</v>
      </c>
      <c r="G39" s="87"/>
      <c r="H39" s="87"/>
      <c r="I39" s="307"/>
      <c r="J39" s="1"/>
    </row>
    <row r="40" spans="1:12" ht="14.45">
      <c r="A40" s="1"/>
      <c r="B40" s="306"/>
      <c r="C40" s="87"/>
      <c r="D40" s="429"/>
      <c r="E40" s="70">
        <f>10*LOG10(E39)</f>
        <v>30.791812460476248</v>
      </c>
      <c r="F40" s="87" t="s">
        <v>405</v>
      </c>
      <c r="G40" s="87"/>
      <c r="H40" s="87"/>
      <c r="I40" s="307"/>
      <c r="J40" s="1"/>
    </row>
    <row r="41" spans="1:12" ht="14.45">
      <c r="A41" s="1"/>
      <c r="B41" s="306"/>
      <c r="C41" s="87"/>
      <c r="D41" s="87" t="s">
        <v>408</v>
      </c>
      <c r="E41" s="70">
        <f>E38-E40</f>
        <v>40.51388458246204</v>
      </c>
      <c r="F41" s="87" t="s">
        <v>25</v>
      </c>
      <c r="G41" s="87"/>
      <c r="H41" s="87"/>
      <c r="I41" s="307"/>
      <c r="J41" s="1"/>
      <c r="L41" s="228" t="s">
        <v>478</v>
      </c>
    </row>
    <row r="42" spans="1:12" ht="14.45">
      <c r="A42" s="1"/>
      <c r="B42" s="306"/>
      <c r="C42" s="87"/>
      <c r="D42" s="87" t="s">
        <v>409</v>
      </c>
      <c r="E42" s="158">
        <f>Modulation!X24</f>
        <v>1.0000000000000001E-5</v>
      </c>
      <c r="F42" s="87"/>
      <c r="G42" s="87"/>
      <c r="H42" s="87"/>
      <c r="I42" s="307"/>
      <c r="J42" s="1"/>
      <c r="L42" t="s">
        <v>479</v>
      </c>
    </row>
    <row r="43" spans="1:12" ht="14.45">
      <c r="A43" s="1"/>
      <c r="B43" s="306"/>
      <c r="C43" s="87"/>
      <c r="D43" s="87" t="s">
        <v>410</v>
      </c>
      <c r="E43" s="70">
        <f>Modulation!X32</f>
        <v>4.120000000000001</v>
      </c>
      <c r="F43" s="87" t="s">
        <v>25</v>
      </c>
      <c r="G43" s="87"/>
      <c r="H43" s="87"/>
      <c r="I43" s="307"/>
      <c r="J43" s="1"/>
      <c r="L43" t="s">
        <v>480</v>
      </c>
    </row>
    <row r="44" spans="1:12" ht="14.45">
      <c r="A44" s="1"/>
      <c r="B44" s="310"/>
      <c r="C44" s="100"/>
      <c r="D44" s="100" t="s">
        <v>411</v>
      </c>
      <c r="E44" s="219">
        <f>E41-E43</f>
        <v>36.393884582462036</v>
      </c>
      <c r="F44" s="100" t="s">
        <v>25</v>
      </c>
      <c r="G44" s="247" t="str">
        <f>IF(E44="Link not completed!", "Hard to differentiate the signal from the noise", IF(E44&gt;3,"Good signal reception","Hard to differentiate the signal from the noise"))</f>
        <v>Good signal reception</v>
      </c>
      <c r="H44" s="100"/>
      <c r="I44" s="311"/>
      <c r="J44" s="1"/>
    </row>
    <row r="45" spans="1:12" ht="14.45">
      <c r="A45" s="1"/>
      <c r="B45" s="304"/>
      <c r="C45" s="89"/>
      <c r="D45" s="90" t="s">
        <v>412</v>
      </c>
      <c r="E45" s="92"/>
      <c r="F45" s="89"/>
      <c r="G45" s="139"/>
      <c r="H45" s="89"/>
      <c r="I45" s="305"/>
      <c r="J45" s="1"/>
    </row>
    <row r="46" spans="1:12" ht="14.45">
      <c r="A46" s="1"/>
      <c r="B46" s="308"/>
      <c r="C46" s="103"/>
      <c r="D46" s="103" t="s">
        <v>413</v>
      </c>
      <c r="E46" s="104">
        <f>IF((E31)&lt;0,"Link not completed!",((E27)*LOG((1+E31),2)))</f>
        <v>114932.76224334465</v>
      </c>
      <c r="F46" s="103" t="s">
        <v>407</v>
      </c>
      <c r="G46" s="140" t="s">
        <v>414</v>
      </c>
      <c r="H46" s="103"/>
      <c r="I46" s="309"/>
      <c r="J46" s="1"/>
    </row>
    <row r="47" spans="1:12" ht="14.45">
      <c r="A47" s="1"/>
      <c r="B47" s="306"/>
      <c r="C47" s="87"/>
      <c r="D47" s="87" t="s">
        <v>415</v>
      </c>
      <c r="E47" s="71">
        <f>Modulation!X26*1000</f>
        <v>1200</v>
      </c>
      <c r="F47" s="87" t="s">
        <v>407</v>
      </c>
      <c r="G47" s="87"/>
      <c r="H47" s="87"/>
      <c r="I47" s="307"/>
      <c r="J47" s="1"/>
    </row>
    <row r="48" spans="1:12" ht="14.45">
      <c r="A48" s="1"/>
      <c r="B48" s="306"/>
      <c r="C48" s="87"/>
      <c r="D48" s="87" t="s">
        <v>481</v>
      </c>
      <c r="E48" s="316">
        <f>IF((E44)&lt;0,"Link not completed!",Inputs!V21)</f>
        <v>400.85399999999998</v>
      </c>
      <c r="F48" s="87" t="s">
        <v>21</v>
      </c>
      <c r="G48" s="137" t="s">
        <v>438</v>
      </c>
      <c r="H48" s="87"/>
      <c r="I48" s="307"/>
      <c r="J48" s="1"/>
    </row>
    <row r="49" spans="1:10" ht="14.45">
      <c r="A49" s="1"/>
      <c r="B49" s="306"/>
      <c r="C49" s="87"/>
      <c r="D49" s="87" t="s">
        <v>482</v>
      </c>
      <c r="E49" s="316">
        <f>IF((E44)&lt;0,"Link not completed!",Inputs!V22)</f>
        <v>3.7</v>
      </c>
      <c r="F49" s="87"/>
      <c r="G49" s="137"/>
      <c r="H49" s="87"/>
      <c r="I49" s="307"/>
      <c r="J49" s="1"/>
    </row>
    <row r="50" spans="1:10" ht="14.45">
      <c r="A50" s="1"/>
      <c r="B50" s="312"/>
      <c r="C50" s="313"/>
      <c r="D50" s="313" t="s">
        <v>440</v>
      </c>
      <c r="E50" s="317">
        <f>IF((E44)&lt;0,"Link not completed!",(E47*E48)/1000)</f>
        <v>481.02479999999997</v>
      </c>
      <c r="F50" s="313" t="s">
        <v>441</v>
      </c>
      <c r="G50" s="318"/>
      <c r="H50" s="313"/>
      <c r="I50" s="314"/>
      <c r="J50" s="1"/>
    </row>
    <row r="51" spans="1:10" ht="14.45">
      <c r="A51" s="1"/>
      <c r="B51" s="1"/>
      <c r="C51" s="1"/>
      <c r="D51" s="1"/>
      <c r="E51" s="1"/>
      <c r="F51" s="1"/>
      <c r="G51" s="136"/>
      <c r="H51" s="1"/>
      <c r="I51" s="1"/>
      <c r="J51" s="1"/>
    </row>
  </sheetData>
  <mergeCells count="3">
    <mergeCell ref="C2:G2"/>
    <mergeCell ref="D6:D8"/>
    <mergeCell ref="D39:D40"/>
  </mergeCells>
  <conditionalFormatting sqref="E18">
    <cfRule type="expression" dxfId="5" priority="1">
      <formula>$AA$9=4</formula>
    </cfRule>
    <cfRule type="expression" dxfId="4" priority="2">
      <formula>$AA$9=3</formula>
    </cfRule>
    <cfRule type="expression" dxfId="3" priority="3">
      <formula>$AA$9=1</formula>
    </cfRule>
  </conditionalFormatting>
  <conditionalFormatting sqref="E30">
    <cfRule type="expression" dxfId="2" priority="4">
      <formula>$AA$9=4</formula>
    </cfRule>
    <cfRule type="expression" dxfId="1" priority="5">
      <formula>$AA$9=3</formula>
    </cfRule>
    <cfRule type="expression" dxfId="0" priority="6">
      <formula>$AA$9=1</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Z98"/>
  <sheetViews>
    <sheetView topLeftCell="K15" zoomScale="70" zoomScaleNormal="70" workbookViewId="0">
      <selection activeCell="X51" sqref="X51"/>
    </sheetView>
  </sheetViews>
  <sheetFormatPr defaultColWidth="8.7109375" defaultRowHeight="14.65" customHeight="1"/>
  <cols>
    <col min="1" max="1" width="4.140625" customWidth="1"/>
    <col min="2" max="2" width="29.42578125" customWidth="1"/>
    <col min="3" max="3" width="32.7109375" customWidth="1"/>
    <col min="4" max="4" width="31.140625" customWidth="1"/>
    <col min="5" max="5" width="8.7109375" bestFit="1" customWidth="1"/>
    <col min="6" max="6" width="16" customWidth="1"/>
    <col min="7" max="7" width="40.140625" customWidth="1"/>
    <col min="8" max="8" width="21.7109375" customWidth="1"/>
    <col min="9" max="9" width="20.140625" bestFit="1" customWidth="1"/>
    <col min="10" max="10" width="18.140625" bestFit="1" customWidth="1"/>
    <col min="11" max="11" width="17.5703125" bestFit="1" customWidth="1"/>
    <col min="12" max="12" width="14.5703125" customWidth="1"/>
    <col min="13" max="13" width="6.7109375" customWidth="1"/>
    <col min="14" max="15" width="18.28515625" customWidth="1"/>
    <col min="16" max="16" width="14.5703125" customWidth="1"/>
    <col min="17" max="18" width="46.85546875" customWidth="1"/>
    <col min="19" max="19" width="21" customWidth="1"/>
    <col min="20" max="21" width="18.42578125" customWidth="1"/>
    <col min="22" max="22" width="25.140625" customWidth="1"/>
    <col min="23" max="23" width="16.7109375" customWidth="1"/>
    <col min="24" max="26" width="14.5703125" customWidth="1"/>
  </cols>
  <sheetData>
    <row r="1" spans="2:12" ht="14.45">
      <c r="B1" s="446"/>
      <c r="C1" s="446"/>
      <c r="D1" s="446"/>
      <c r="G1" s="436" t="s">
        <v>483</v>
      </c>
      <c r="H1" s="436"/>
      <c r="I1" s="436"/>
      <c r="J1" s="436"/>
    </row>
    <row r="2" spans="2:12" ht="15" thickBot="1">
      <c r="B2" s="446"/>
      <c r="C2" s="446"/>
      <c r="D2" s="446"/>
      <c r="G2" s="445" t="s">
        <v>484</v>
      </c>
      <c r="H2" s="445"/>
      <c r="I2" s="445"/>
      <c r="J2" s="445"/>
      <c r="L2" s="134" t="s">
        <v>96</v>
      </c>
    </row>
    <row r="3" spans="2:12" ht="14.45">
      <c r="G3" s="72" t="s">
        <v>87</v>
      </c>
      <c r="H3" s="73" t="s">
        <v>4</v>
      </c>
      <c r="I3" s="73" t="s">
        <v>485</v>
      </c>
      <c r="J3" s="74" t="s">
        <v>4</v>
      </c>
      <c r="L3" s="75" t="s">
        <v>97</v>
      </c>
    </row>
    <row r="4" spans="2:12" ht="14.45">
      <c r="G4" s="77">
        <v>145.80000000000001</v>
      </c>
      <c r="H4" t="s">
        <v>14</v>
      </c>
      <c r="I4">
        <v>0.7</v>
      </c>
      <c r="J4" s="76" t="s">
        <v>25</v>
      </c>
      <c r="L4" s="78" t="s">
        <v>486</v>
      </c>
    </row>
    <row r="5" spans="2:12" ht="15" thickBot="1">
      <c r="G5" s="79">
        <v>437.30500000000001</v>
      </c>
      <c r="H5" t="s">
        <v>14</v>
      </c>
      <c r="I5">
        <v>0.4</v>
      </c>
      <c r="J5" s="76" t="s">
        <v>25</v>
      </c>
      <c r="L5" s="80" t="s">
        <v>303</v>
      </c>
    </row>
    <row r="6" spans="2:12" ht="15" thickBot="1">
      <c r="G6" s="81">
        <v>2410</v>
      </c>
      <c r="H6" s="82" t="s">
        <v>14</v>
      </c>
      <c r="I6" s="82">
        <v>0.1</v>
      </c>
      <c r="J6" s="83" t="s">
        <v>25</v>
      </c>
    </row>
    <row r="7" spans="2:12" ht="14.45"/>
    <row r="8" spans="2:12" ht="14.45">
      <c r="G8" s="436" t="s">
        <v>487</v>
      </c>
      <c r="H8" s="436"/>
      <c r="I8" s="436"/>
      <c r="J8" s="436"/>
    </row>
    <row r="9" spans="2:12" ht="15" thickBot="1">
      <c r="G9" s="445" t="s">
        <v>484</v>
      </c>
      <c r="H9" s="445"/>
      <c r="I9" s="445"/>
      <c r="J9" s="445"/>
    </row>
    <row r="10" spans="2:12" ht="14.45">
      <c r="G10" s="72" t="s">
        <v>87</v>
      </c>
      <c r="H10" s="73" t="s">
        <v>4</v>
      </c>
      <c r="I10" s="73" t="s">
        <v>485</v>
      </c>
      <c r="J10" s="74" t="s">
        <v>4</v>
      </c>
    </row>
    <row r="11" spans="2:12" ht="15" thickBot="1">
      <c r="G11" s="77">
        <v>145.80000000000001</v>
      </c>
      <c r="H11" t="s">
        <v>14</v>
      </c>
      <c r="I11">
        <v>0.7</v>
      </c>
      <c r="J11" s="76" t="s">
        <v>25</v>
      </c>
    </row>
    <row r="12" spans="2:12" ht="14.45">
      <c r="B12" s="437" t="s">
        <v>488</v>
      </c>
      <c r="C12" s="438"/>
      <c r="D12" s="439"/>
      <c r="G12" s="79">
        <v>437.30500000000001</v>
      </c>
      <c r="H12" t="s">
        <v>14</v>
      </c>
      <c r="I12">
        <v>0.4</v>
      </c>
      <c r="J12" s="76" t="s">
        <v>25</v>
      </c>
    </row>
    <row r="13" spans="2:12" ht="15" thickBot="1">
      <c r="B13" s="440" t="s">
        <v>97</v>
      </c>
      <c r="C13" s="436"/>
      <c r="D13" s="443"/>
      <c r="G13" s="81">
        <v>2410</v>
      </c>
      <c r="H13" s="82" t="s">
        <v>14</v>
      </c>
      <c r="I13" s="82">
        <v>0.1</v>
      </c>
      <c r="J13" s="83" t="s">
        <v>25</v>
      </c>
    </row>
    <row r="14" spans="2:12" ht="15" thickBot="1">
      <c r="B14" s="440" t="s">
        <v>486</v>
      </c>
      <c r="C14" s="436"/>
      <c r="D14" s="443"/>
    </row>
    <row r="15" spans="2:12" ht="15" thickBot="1">
      <c r="B15" s="441" t="s">
        <v>303</v>
      </c>
      <c r="C15" s="442"/>
      <c r="D15" s="444"/>
      <c r="G15" s="167" t="s">
        <v>489</v>
      </c>
    </row>
    <row r="16" spans="2:12" ht="14.45">
      <c r="G16" s="85">
        <v>1</v>
      </c>
    </row>
    <row r="17" spans="2:15" ht="14.45">
      <c r="G17" s="85">
        <v>2</v>
      </c>
    </row>
    <row r="18" spans="2:15" ht="14.45">
      <c r="G18" s="85">
        <v>3</v>
      </c>
    </row>
    <row r="19" spans="2:15" ht="15" thickBot="1">
      <c r="G19" s="85">
        <v>4</v>
      </c>
      <c r="J19" s="160" t="s">
        <v>490</v>
      </c>
    </row>
    <row r="20" spans="2:15" ht="14.45">
      <c r="G20" s="85">
        <v>5</v>
      </c>
      <c r="J20" s="144">
        <v>1.0000000000000001E-5</v>
      </c>
    </row>
    <row r="21" spans="2:15" ht="15" thickBot="1">
      <c r="G21" s="85">
        <v>6</v>
      </c>
      <c r="J21" s="145">
        <v>9.9999999999999995E-7</v>
      </c>
    </row>
    <row r="22" spans="2:15" ht="14.45">
      <c r="G22" s="85">
        <v>7</v>
      </c>
      <c r="J22" s="188"/>
      <c r="N22" t="s">
        <v>491</v>
      </c>
    </row>
    <row r="23" spans="2:15" ht="15" thickBot="1">
      <c r="G23" s="85">
        <v>8</v>
      </c>
      <c r="J23" s="160" t="s">
        <v>492</v>
      </c>
      <c r="K23" s="189"/>
      <c r="N23" s="180" t="s">
        <v>493</v>
      </c>
      <c r="O23" s="180"/>
    </row>
    <row r="24" spans="2:15" ht="14.45">
      <c r="G24" s="85">
        <v>9</v>
      </c>
      <c r="J24" s="84">
        <v>1.2</v>
      </c>
    </row>
    <row r="25" spans="2:15" ht="15" thickBot="1">
      <c r="G25" s="85">
        <v>10</v>
      </c>
      <c r="J25" s="86">
        <v>9.6</v>
      </c>
      <c r="N25" t="s">
        <v>494</v>
      </c>
    </row>
    <row r="26" spans="2:15" ht="14.45">
      <c r="G26" s="85">
        <v>11</v>
      </c>
      <c r="J26" s="188"/>
    </row>
    <row r="27" spans="2:15" ht="14.65" customHeight="1" thickBot="1">
      <c r="G27" s="85">
        <v>12</v>
      </c>
      <c r="J27" s="190" t="s">
        <v>495</v>
      </c>
      <c r="N27" t="s">
        <v>496</v>
      </c>
    </row>
    <row r="28" spans="2:15" ht="14.65" customHeight="1" thickBot="1">
      <c r="G28" s="85">
        <v>13</v>
      </c>
      <c r="J28" s="84">
        <v>1.2</v>
      </c>
    </row>
    <row r="29" spans="2:15" ht="14.65" customHeight="1" thickBot="1">
      <c r="B29" s="437" t="s">
        <v>497</v>
      </c>
      <c r="C29" s="438"/>
      <c r="D29" s="439"/>
      <c r="G29" s="85">
        <v>14</v>
      </c>
      <c r="J29" s="86">
        <v>9.6</v>
      </c>
      <c r="N29" t="s">
        <v>498</v>
      </c>
    </row>
    <row r="30" spans="2:15" ht="14.65" customHeight="1" thickBot="1">
      <c r="B30" s="440" t="s">
        <v>499</v>
      </c>
      <c r="C30" s="436"/>
      <c r="D30" s="76">
        <f>2*('Groundstation Losses'!Y35*(79.76/Antennas!W13))</f>
        <v>56.971428571428575</v>
      </c>
      <c r="G30" s="86">
        <v>15</v>
      </c>
      <c r="J30" s="188"/>
    </row>
    <row r="31" spans="2:15" ht="14.65" customHeight="1">
      <c r="B31" s="440" t="s">
        <v>352</v>
      </c>
      <c r="C31" s="436"/>
      <c r="D31" s="76">
        <f>10^('Groundstation Losses'!U54/10)</f>
        <v>1.2589254117941673</v>
      </c>
      <c r="J31" s="188"/>
    </row>
    <row r="32" spans="2:15" ht="14.65" customHeight="1">
      <c r="B32" s="440" t="s">
        <v>353</v>
      </c>
      <c r="C32" s="436"/>
      <c r="D32" s="76">
        <f>10^('Groundstation Losses'!U55/10)</f>
        <v>1.2589254117941673</v>
      </c>
      <c r="J32" s="188"/>
    </row>
    <row r="33" spans="2:26" ht="14.65" customHeight="1">
      <c r="B33" s="440" t="s">
        <v>354</v>
      </c>
      <c r="C33" s="436"/>
      <c r="D33" s="76">
        <f>RADIANS('Groundstation Losses'!U56)</f>
        <v>1.5707963267948966</v>
      </c>
      <c r="J33" s="188"/>
    </row>
    <row r="34" spans="2:26" ht="14.65" customHeight="1" thickBot="1">
      <c r="B34" s="441" t="s">
        <v>500</v>
      </c>
      <c r="C34" s="442"/>
      <c r="D34" s="83">
        <f>0.5*(1+((1-D31^2)*(1-D32^2)*COS(2*D33)+4*D31*D32)/((1+D31^2)*(1+D32^2)))</f>
        <v>0.94880023970254146</v>
      </c>
    </row>
    <row r="35" spans="2:26" ht="14.65" customHeight="1" thickBot="1"/>
    <row r="36" spans="2:26" ht="14.65" customHeight="1">
      <c r="B36" s="437" t="s">
        <v>501</v>
      </c>
      <c r="C36" s="438"/>
      <c r="D36" s="439"/>
    </row>
    <row r="37" spans="2:26" ht="14.65" customHeight="1">
      <c r="B37" s="440" t="s">
        <v>499</v>
      </c>
      <c r="C37" s="436"/>
      <c r="D37" s="76">
        <f>2*('Groundstation Losses'!Y80*(79.76/Antennas!W13))</f>
        <v>56.971428571428575</v>
      </c>
    </row>
    <row r="38" spans="2:26" ht="14.65" customHeight="1">
      <c r="B38" s="440" t="s">
        <v>363</v>
      </c>
      <c r="C38" s="436"/>
      <c r="D38" s="76">
        <f>10^('Groundstation Losses'!U97/10)</f>
        <v>1.2589254117941673</v>
      </c>
    </row>
    <row r="39" spans="2:26" ht="14.65" customHeight="1" thickBot="1">
      <c r="B39" s="440" t="s">
        <v>364</v>
      </c>
      <c r="C39" s="436"/>
      <c r="D39" s="76">
        <f>10^('Groundstation Losses'!U98/10)</f>
        <v>1.2589254117941673</v>
      </c>
    </row>
    <row r="40" spans="2:26" ht="14.65" customHeight="1">
      <c r="B40" s="440" t="s">
        <v>354</v>
      </c>
      <c r="C40" s="436"/>
      <c r="D40" s="76">
        <f>RADIANS('Groundstation Losses'!U99)</f>
        <v>1.5707963267948966</v>
      </c>
      <c r="N40" s="430" t="s">
        <v>502</v>
      </c>
      <c r="O40" s="431"/>
      <c r="P40" s="431"/>
      <c r="Q40" s="431"/>
      <c r="R40" s="431"/>
      <c r="S40" s="431"/>
      <c r="T40" s="431"/>
      <c r="U40" s="431"/>
      <c r="V40" s="431"/>
      <c r="W40" s="431"/>
      <c r="X40" s="432"/>
      <c r="Z40" s="215" t="s">
        <v>503</v>
      </c>
    </row>
    <row r="41" spans="2:26" ht="14.65" customHeight="1">
      <c r="B41" s="441" t="s">
        <v>500</v>
      </c>
      <c r="C41" s="442"/>
      <c r="D41" s="83">
        <f>0.5*(1+((1-D38^2)*(1-D39^2)*COS(2*D40)+4*D38*D39)/((1+D38^2)*(1+D39^2)))</f>
        <v>0.94880023970254146</v>
      </c>
      <c r="G41" s="185"/>
      <c r="H41" s="186"/>
      <c r="I41" s="186"/>
      <c r="J41" s="186"/>
      <c r="K41" s="186"/>
      <c r="L41" s="186"/>
      <c r="N41" s="192" t="s">
        <v>504</v>
      </c>
      <c r="O41" s="165" t="s">
        <v>505</v>
      </c>
      <c r="P41" s="165" t="s">
        <v>506</v>
      </c>
      <c r="Q41" s="165" t="s">
        <v>507</v>
      </c>
      <c r="R41" s="165" t="s">
        <v>508</v>
      </c>
      <c r="S41" s="165" t="s">
        <v>509</v>
      </c>
      <c r="T41" s="165" t="s">
        <v>510</v>
      </c>
      <c r="U41" s="165" t="s">
        <v>511</v>
      </c>
      <c r="V41" s="165" t="s">
        <v>512</v>
      </c>
      <c r="W41" s="165" t="s">
        <v>513</v>
      </c>
      <c r="X41" s="193" t="s">
        <v>514</v>
      </c>
      <c r="Z41" s="216" t="s">
        <v>515</v>
      </c>
    </row>
    <row r="42" spans="2:26" ht="14.65" customHeight="1">
      <c r="G42" s="187"/>
      <c r="H42" s="188"/>
      <c r="I42" s="188"/>
      <c r="J42" s="188"/>
      <c r="K42" s="188"/>
      <c r="L42" s="188"/>
      <c r="N42" s="191">
        <f>W42+S42</f>
        <v>9.6000099999999993</v>
      </c>
      <c r="O42" s="161" t="s">
        <v>125</v>
      </c>
      <c r="P42" s="161">
        <v>2</v>
      </c>
      <c r="Q42" s="161" t="s">
        <v>516</v>
      </c>
      <c r="R42" s="161" t="s">
        <v>517</v>
      </c>
      <c r="S42" s="161">
        <v>9.6</v>
      </c>
      <c r="T42" s="161">
        <v>19</v>
      </c>
      <c r="U42" s="161">
        <v>5</v>
      </c>
      <c r="V42" s="161">
        <v>24</v>
      </c>
      <c r="W42" s="166">
        <v>1.0000000000000001E-5</v>
      </c>
      <c r="X42" s="183">
        <v>13.15</v>
      </c>
      <c r="Z42" s="217">
        <f>W42*1000</f>
        <v>0.01</v>
      </c>
    </row>
    <row r="43" spans="2:26" ht="14.65" customHeight="1">
      <c r="G43" s="187"/>
      <c r="H43" s="188"/>
      <c r="I43" s="188"/>
      <c r="J43" s="188"/>
      <c r="K43" s="188"/>
      <c r="L43" s="188"/>
      <c r="N43" s="191">
        <f>W43+S43</f>
        <v>9.6000009999999989</v>
      </c>
      <c r="O43" s="161" t="s">
        <v>125</v>
      </c>
      <c r="P43" s="161">
        <v>2</v>
      </c>
      <c r="Q43" s="161" t="s">
        <v>516</v>
      </c>
      <c r="R43" s="161" t="s">
        <v>518</v>
      </c>
      <c r="S43" s="161">
        <v>9.6</v>
      </c>
      <c r="T43" s="161">
        <v>19</v>
      </c>
      <c r="U43" s="161">
        <v>5</v>
      </c>
      <c r="V43" s="161">
        <v>24</v>
      </c>
      <c r="W43" s="166">
        <v>9.9999999999999995E-7</v>
      </c>
      <c r="X43" s="183">
        <v>13.9</v>
      </c>
      <c r="Z43" s="217">
        <f t="shared" ref="Z43:Z45" si="0">W43*1000</f>
        <v>1E-3</v>
      </c>
    </row>
    <row r="44" spans="2:26" ht="14.65" customHeight="1">
      <c r="G44" s="187"/>
      <c r="H44" s="188"/>
      <c r="I44" s="188"/>
      <c r="J44" s="188"/>
      <c r="K44" s="188"/>
      <c r="L44" s="188"/>
      <c r="N44" s="191">
        <f>W44+S44</f>
        <v>1.20001</v>
      </c>
      <c r="O44" s="161" t="s">
        <v>125</v>
      </c>
      <c r="P44" s="161">
        <v>2</v>
      </c>
      <c r="Q44" s="161" t="s">
        <v>516</v>
      </c>
      <c r="R44" s="161" t="s">
        <v>518</v>
      </c>
      <c r="S44" s="161">
        <v>1.2</v>
      </c>
      <c r="T44" s="161">
        <v>19</v>
      </c>
      <c r="U44" s="161">
        <v>5</v>
      </c>
      <c r="V44" s="161">
        <v>24</v>
      </c>
      <c r="W44" s="166">
        <v>1.0000000000000001E-5</v>
      </c>
      <c r="X44" s="183">
        <f>X42-9.03</f>
        <v>4.120000000000001</v>
      </c>
      <c r="Z44" s="217">
        <f t="shared" si="0"/>
        <v>0.01</v>
      </c>
    </row>
    <row r="45" spans="2:26" ht="14.65" customHeight="1" thickBot="1">
      <c r="G45" s="187"/>
      <c r="H45" s="188"/>
      <c r="I45" s="188"/>
      <c r="J45" s="188"/>
      <c r="K45" s="188"/>
      <c r="L45" s="188"/>
      <c r="N45" s="194">
        <f>W45+S45</f>
        <v>1.2000009999999999</v>
      </c>
      <c r="O45" s="161" t="s">
        <v>125</v>
      </c>
      <c r="P45" s="181">
        <v>2</v>
      </c>
      <c r="Q45" s="181" t="s">
        <v>516</v>
      </c>
      <c r="R45" s="181" t="s">
        <v>518</v>
      </c>
      <c r="S45" s="181">
        <v>1.2</v>
      </c>
      <c r="T45" s="181">
        <v>19</v>
      </c>
      <c r="U45" s="181">
        <v>5</v>
      </c>
      <c r="V45" s="181">
        <v>24</v>
      </c>
      <c r="W45" s="182">
        <v>9.9999999999999995E-7</v>
      </c>
      <c r="X45" s="184">
        <f>X43-9.03</f>
        <v>4.870000000000001</v>
      </c>
      <c r="Z45" s="217">
        <f t="shared" si="0"/>
        <v>1E-3</v>
      </c>
    </row>
    <row r="46" spans="2:26" ht="14.65" customHeight="1" thickBot="1">
      <c r="B46" s="436"/>
      <c r="C46" s="436"/>
      <c r="G46" s="187"/>
      <c r="H46" s="188"/>
      <c r="I46" s="188"/>
      <c r="J46" s="188"/>
      <c r="K46" s="188"/>
      <c r="L46" s="188"/>
    </row>
    <row r="47" spans="2:26" ht="14.65" customHeight="1">
      <c r="C47" s="188"/>
      <c r="G47" s="187"/>
      <c r="H47" s="188"/>
      <c r="I47" s="188"/>
      <c r="J47" s="188"/>
      <c r="K47" s="188"/>
      <c r="L47" s="188"/>
      <c r="N47" s="430" t="s">
        <v>519</v>
      </c>
      <c r="O47" s="431"/>
      <c r="P47" s="431"/>
      <c r="Q47" s="431"/>
      <c r="R47" s="431"/>
      <c r="S47" s="431"/>
      <c r="T47" s="431"/>
      <c r="U47" s="431"/>
      <c r="V47" s="431"/>
      <c r="W47" s="431"/>
      <c r="X47" s="432"/>
    </row>
    <row r="48" spans="2:26" ht="14.65" customHeight="1">
      <c r="B48" s="188"/>
      <c r="C48" s="188"/>
      <c r="G48" s="187"/>
      <c r="H48" s="188"/>
      <c r="I48" s="188"/>
      <c r="J48" s="188"/>
      <c r="K48" s="188"/>
      <c r="L48" s="188"/>
      <c r="N48" s="192" t="s">
        <v>504</v>
      </c>
      <c r="O48" s="165" t="s">
        <v>505</v>
      </c>
      <c r="P48" s="165" t="s">
        <v>506</v>
      </c>
      <c r="Q48" s="165" t="s">
        <v>507</v>
      </c>
      <c r="R48" s="165" t="s">
        <v>508</v>
      </c>
      <c r="S48" s="165" t="s">
        <v>509</v>
      </c>
      <c r="T48" s="165" t="s">
        <v>510</v>
      </c>
      <c r="U48" s="165" t="s">
        <v>511</v>
      </c>
      <c r="V48" s="165" t="s">
        <v>512</v>
      </c>
      <c r="W48" s="165" t="s">
        <v>513</v>
      </c>
      <c r="X48" s="193" t="s">
        <v>514</v>
      </c>
    </row>
    <row r="49" spans="2:26" ht="14.65" customHeight="1">
      <c r="B49" s="188"/>
      <c r="C49" s="188"/>
      <c r="G49" s="187"/>
      <c r="H49" s="188"/>
      <c r="I49" s="188"/>
      <c r="J49" s="188"/>
      <c r="K49" s="188"/>
      <c r="L49" s="188"/>
      <c r="N49" s="191">
        <f>W49+S49</f>
        <v>9.6000099999999993</v>
      </c>
      <c r="O49" s="161" t="s">
        <v>125</v>
      </c>
      <c r="P49" s="161">
        <v>2</v>
      </c>
      <c r="Q49" s="161" t="s">
        <v>516</v>
      </c>
      <c r="R49" s="161" t="s">
        <v>517</v>
      </c>
      <c r="S49" s="161">
        <v>9.6</v>
      </c>
      <c r="T49" s="161">
        <v>19</v>
      </c>
      <c r="U49" s="161">
        <v>5</v>
      </c>
      <c r="V49" s="161">
        <v>24</v>
      </c>
      <c r="W49" s="166">
        <v>1.0000000000000001E-5</v>
      </c>
      <c r="X49" s="183">
        <v>13.15</v>
      </c>
      <c r="Z49" s="217">
        <f>W49*1000</f>
        <v>0.01</v>
      </c>
    </row>
    <row r="50" spans="2:26" ht="14.65" customHeight="1">
      <c r="B50" s="188"/>
      <c r="C50" s="188"/>
      <c r="G50" s="187"/>
      <c r="H50" s="188"/>
      <c r="I50" s="188"/>
      <c r="J50" s="188"/>
      <c r="K50" s="188"/>
      <c r="L50" s="188"/>
      <c r="N50" s="191">
        <f>W50+S50</f>
        <v>9.6000009999999989</v>
      </c>
      <c r="O50" s="161" t="s">
        <v>125</v>
      </c>
      <c r="P50" s="161">
        <v>2</v>
      </c>
      <c r="Q50" s="161" t="s">
        <v>516</v>
      </c>
      <c r="R50" s="161" t="s">
        <v>518</v>
      </c>
      <c r="S50" s="161">
        <v>9.6</v>
      </c>
      <c r="T50" s="161">
        <v>19</v>
      </c>
      <c r="U50" s="161">
        <v>5</v>
      </c>
      <c r="V50" s="161">
        <v>24</v>
      </c>
      <c r="W50" s="166">
        <v>9.9999999999999995E-7</v>
      </c>
      <c r="X50" s="183">
        <v>13.9</v>
      </c>
      <c r="Z50" s="217">
        <f t="shared" ref="Z50:Z52" si="1">W50*1000</f>
        <v>1E-3</v>
      </c>
    </row>
    <row r="51" spans="2:26" ht="14.65" customHeight="1">
      <c r="B51" s="188"/>
      <c r="C51" s="188"/>
      <c r="G51" s="187"/>
      <c r="H51" s="188"/>
      <c r="I51" s="188"/>
      <c r="J51" s="188"/>
      <c r="K51" s="188"/>
      <c r="L51" s="188"/>
      <c r="N51" s="191">
        <f>W51+S51</f>
        <v>1.20001</v>
      </c>
      <c r="O51" s="161" t="s">
        <v>125</v>
      </c>
      <c r="P51" s="161">
        <v>2</v>
      </c>
      <c r="Q51" s="161" t="s">
        <v>516</v>
      </c>
      <c r="R51" s="161" t="s">
        <v>518</v>
      </c>
      <c r="S51" s="161">
        <v>1.2</v>
      </c>
      <c r="T51" s="161">
        <v>19</v>
      </c>
      <c r="U51" s="161">
        <v>5</v>
      </c>
      <c r="V51" s="161">
        <v>24</v>
      </c>
      <c r="W51" s="166">
        <v>1.0000000000000001E-5</v>
      </c>
      <c r="X51" s="183">
        <f>X49-9.03</f>
        <v>4.120000000000001</v>
      </c>
      <c r="Z51" s="217">
        <f t="shared" si="1"/>
        <v>0.01</v>
      </c>
    </row>
    <row r="52" spans="2:26" ht="14.65" customHeight="1" thickBot="1">
      <c r="B52" s="188"/>
      <c r="C52" s="188"/>
      <c r="G52" s="187"/>
      <c r="H52" s="188"/>
      <c r="I52" s="188"/>
      <c r="J52" s="188"/>
      <c r="K52" s="188"/>
      <c r="L52" s="188"/>
      <c r="N52" s="194">
        <f>W52+S52</f>
        <v>1.2000009999999999</v>
      </c>
      <c r="O52" s="161" t="s">
        <v>125</v>
      </c>
      <c r="P52" s="181">
        <v>2</v>
      </c>
      <c r="Q52" s="181" t="s">
        <v>516</v>
      </c>
      <c r="R52" s="181" t="s">
        <v>518</v>
      </c>
      <c r="S52" s="181">
        <v>1.2</v>
      </c>
      <c r="T52" s="181">
        <v>19</v>
      </c>
      <c r="U52" s="181">
        <v>5</v>
      </c>
      <c r="V52" s="181">
        <v>24</v>
      </c>
      <c r="W52" s="182">
        <v>9.9999999999999995E-7</v>
      </c>
      <c r="X52" s="184">
        <f>X50-9.03</f>
        <v>4.870000000000001</v>
      </c>
      <c r="Z52" s="217">
        <f t="shared" si="1"/>
        <v>1E-3</v>
      </c>
    </row>
    <row r="53" spans="2:26" ht="14.65" customHeight="1">
      <c r="B53" s="188"/>
      <c r="C53" s="188"/>
      <c r="G53" s="187"/>
      <c r="H53" s="188"/>
      <c r="I53" s="188"/>
      <c r="J53" s="188"/>
      <c r="K53" s="188"/>
      <c r="L53" s="188"/>
    </row>
    <row r="54" spans="2:26" ht="14.65" customHeight="1">
      <c r="B54" s="188"/>
      <c r="C54" s="188"/>
      <c r="G54" s="187"/>
      <c r="H54" s="188"/>
      <c r="I54" s="188"/>
      <c r="J54" s="188"/>
      <c r="K54" s="188"/>
      <c r="L54" s="188"/>
      <c r="N54" t="s">
        <v>520</v>
      </c>
    </row>
    <row r="55" spans="2:26" ht="14.65" customHeight="1">
      <c r="B55" s="188"/>
      <c r="C55" s="188"/>
      <c r="G55" s="187"/>
      <c r="H55" s="188"/>
      <c r="I55" s="188"/>
      <c r="J55" s="188"/>
      <c r="K55" s="188"/>
      <c r="L55" s="188"/>
      <c r="N55" t="s">
        <v>521</v>
      </c>
    </row>
    <row r="56" spans="2:26" ht="14.65" customHeight="1">
      <c r="B56" s="188"/>
      <c r="C56" s="188"/>
      <c r="G56" s="187"/>
      <c r="H56" s="188"/>
      <c r="I56" s="188"/>
      <c r="J56" s="188"/>
      <c r="K56" s="188"/>
      <c r="L56" s="188"/>
      <c r="N56" t="s">
        <v>522</v>
      </c>
    </row>
    <row r="57" spans="2:26" ht="14.65" customHeight="1">
      <c r="B57" s="188"/>
      <c r="C57" s="188"/>
      <c r="G57" s="187"/>
      <c r="H57" s="188"/>
      <c r="I57" s="188"/>
      <c r="J57" s="188"/>
      <c r="K57" s="188"/>
      <c r="L57" s="188"/>
    </row>
    <row r="58" spans="2:26" ht="14.65" customHeight="1">
      <c r="B58" s="188"/>
      <c r="C58" s="188"/>
    </row>
    <row r="59" spans="2:26" ht="14.65" customHeight="1">
      <c r="B59" s="188"/>
      <c r="C59" s="188"/>
    </row>
    <row r="60" spans="2:26" ht="14.65" customHeight="1">
      <c r="B60" s="188"/>
      <c r="C60" s="188"/>
    </row>
    <row r="61" spans="2:26" ht="14.65" customHeight="1">
      <c r="B61" s="188"/>
      <c r="C61" s="188"/>
    </row>
    <row r="62" spans="2:26" ht="14.65" customHeight="1">
      <c r="B62" s="188"/>
      <c r="C62" s="188"/>
    </row>
    <row r="63" spans="2:26" ht="14.65" customHeight="1">
      <c r="B63" s="188"/>
      <c r="C63" s="188"/>
    </row>
    <row r="64" spans="2:26" ht="14.65" customHeight="1">
      <c r="B64" s="188"/>
      <c r="C64" s="188"/>
    </row>
    <row r="65" spans="2:8" ht="14.65" customHeight="1">
      <c r="B65" s="188"/>
      <c r="C65" s="188"/>
    </row>
    <row r="66" spans="2:8" ht="14.65" customHeight="1">
      <c r="B66" s="188"/>
      <c r="C66" s="188"/>
    </row>
    <row r="67" spans="2:8" ht="14.65" customHeight="1">
      <c r="B67" s="188"/>
      <c r="C67" s="188"/>
    </row>
    <row r="68" spans="2:8" ht="14.65" customHeight="1">
      <c r="B68" s="188"/>
      <c r="C68" s="188"/>
    </row>
    <row r="71" spans="2:8" ht="14.65" customHeight="1">
      <c r="B71" s="433" t="s">
        <v>523</v>
      </c>
      <c r="C71" s="434"/>
      <c r="D71" s="434"/>
      <c r="E71" s="434"/>
      <c r="F71" s="434"/>
      <c r="G71" s="434"/>
      <c r="H71" s="435"/>
    </row>
    <row r="72" spans="2:8" ht="14.65" customHeight="1">
      <c r="B72" s="162" t="s">
        <v>524</v>
      </c>
      <c r="C72" s="162" t="s">
        <v>525</v>
      </c>
      <c r="D72" s="162" t="s">
        <v>526</v>
      </c>
      <c r="E72" s="162" t="s">
        <v>527</v>
      </c>
      <c r="F72" s="162" t="s">
        <v>528</v>
      </c>
      <c r="G72" s="162" t="s">
        <v>529</v>
      </c>
      <c r="H72" s="162" t="s">
        <v>530</v>
      </c>
    </row>
    <row r="73" spans="2:8" ht="14.65" customHeight="1">
      <c r="B73" s="163">
        <v>0.435</v>
      </c>
      <c r="C73" s="163">
        <f>0.001*(0.00719+((6.09)/((B73^2)+0.227))+((4.81/(((B73-57)^2)+1.5))))^2</f>
        <v>0.21433551485864974</v>
      </c>
      <c r="D73" s="163">
        <f>0.0001*(0.05+(0.0021*7.5)+((3.6/(((B73-22.2)^2)+8.5)))+((10.6/(((B73-183.3)^2)+9)))+((8.9/(((B73-325.4)^2)+26.3))))*(B73^2)*7.5</f>
        <v>1.0447591136692017E-5</v>
      </c>
      <c r="E73" s="163">
        <v>1</v>
      </c>
      <c r="F73" s="163">
        <v>2.5</v>
      </c>
      <c r="G73" s="163">
        <f>($C$73+$D$73)*$E$73*(EXP(-0.278/$E$73))*_xlfn.CSC($F73/180*PI())</f>
        <v>3.7213616667310569</v>
      </c>
      <c r="H73" s="163">
        <f>10^($G73/10)</f>
        <v>2.3557877908693743</v>
      </c>
    </row>
    <row r="74" spans="2:8" ht="14.65" customHeight="1">
      <c r="B74" s="164"/>
      <c r="C74" s="164"/>
      <c r="D74" s="164"/>
      <c r="E74" s="164"/>
      <c r="F74" s="163">
        <v>5</v>
      </c>
      <c r="G74" s="163">
        <f>($C$73+$D$73)*$E$73*(EXP(-0.278/$E$73))*_xlfn.CSC(F74/180*PI())</f>
        <v>1.8624534763891498</v>
      </c>
      <c r="H74" s="163">
        <f t="shared" ref="H74:H94" si="2">10^($G74/10)</f>
        <v>1.5354841847602274</v>
      </c>
    </row>
    <row r="75" spans="2:8" ht="14.65" customHeight="1">
      <c r="B75" s="164"/>
      <c r="C75" s="164"/>
      <c r="D75" s="164"/>
      <c r="E75" s="164"/>
      <c r="F75" s="163">
        <v>10</v>
      </c>
      <c r="G75" s="163">
        <f>($C$73+$D$73)*$E$73*(EXP(-0.278/$E$73))*_xlfn.CSC(F75/180*PI())</f>
        <v>0.93478387305049937</v>
      </c>
      <c r="H75" s="163">
        <f t="shared" si="2"/>
        <v>1.2401619068400658</v>
      </c>
    </row>
    <row r="76" spans="2:8" ht="14.65" customHeight="1">
      <c r="B76" s="164"/>
      <c r="C76" s="164"/>
      <c r="D76" s="164"/>
      <c r="E76" s="164"/>
      <c r="F76" s="163">
        <v>15</v>
      </c>
      <c r="G76" s="163">
        <f>($C$73+$D$73)*$E$73*(EXP(-0.278/$E$73))*_xlfn.CSC($F76/180*PI())</f>
        <v>0.6271699055351837</v>
      </c>
      <c r="H76" s="163">
        <f t="shared" si="2"/>
        <v>1.1553591032159762</v>
      </c>
    </row>
    <row r="77" spans="2:8" ht="14.65" customHeight="1">
      <c r="B77" s="164"/>
      <c r="C77" s="164"/>
      <c r="D77" s="164"/>
      <c r="E77" s="164"/>
      <c r="F77" s="163">
        <v>20</v>
      </c>
      <c r="G77" s="163">
        <f>($C$73+$D$73)*$E$73*(EXP(-0.278/$E$73))*_xlfn.CSC($F77/180*PI())</f>
        <v>0.47460221052855156</v>
      </c>
      <c r="H77" s="163">
        <f t="shared" si="2"/>
        <v>1.1154759753069263</v>
      </c>
    </row>
    <row r="78" spans="2:8" ht="14.65" customHeight="1">
      <c r="B78" s="164"/>
      <c r="C78" s="164"/>
      <c r="D78" s="164"/>
      <c r="E78" s="164"/>
      <c r="F78" s="163">
        <v>25</v>
      </c>
      <c r="G78" s="163">
        <f t="shared" ref="G78:G94" si="3">($C$73+$D$73)*$E$73*(EXP(-0.278/$E$73))*_xlfn.CSC($F78/180*PI())</f>
        <v>0.38409016070216384</v>
      </c>
      <c r="H78" s="163">
        <f t="shared" si="2"/>
        <v>1.0924687329360092</v>
      </c>
    </row>
    <row r="79" spans="2:8" ht="14.65" customHeight="1">
      <c r="B79" s="164"/>
      <c r="C79" s="164"/>
      <c r="D79" s="164"/>
      <c r="E79" s="164"/>
      <c r="F79" s="163">
        <v>30</v>
      </c>
      <c r="G79" s="163">
        <f t="shared" si="3"/>
        <v>0.32464703213530877</v>
      </c>
      <c r="H79" s="163">
        <f t="shared" si="2"/>
        <v>1.0776176679937581</v>
      </c>
    </row>
    <row r="80" spans="2:8" ht="14.65" customHeight="1">
      <c r="B80" s="164"/>
      <c r="C80" s="164"/>
      <c r="D80" s="164"/>
      <c r="E80" s="164"/>
      <c r="F80" s="163">
        <v>35</v>
      </c>
      <c r="G80" s="163">
        <f t="shared" si="3"/>
        <v>0.28300241394210185</v>
      </c>
      <c r="H80" s="163">
        <f t="shared" si="2"/>
        <v>1.0673337475185478</v>
      </c>
    </row>
    <row r="81" spans="2:8" ht="14.65" customHeight="1">
      <c r="B81" s="164"/>
      <c r="C81" s="164"/>
      <c r="D81" s="164"/>
      <c r="E81" s="164"/>
      <c r="F81" s="163">
        <v>40</v>
      </c>
      <c r="G81" s="163">
        <f t="shared" si="3"/>
        <v>0.25253056160620896</v>
      </c>
      <c r="H81" s="163">
        <f t="shared" si="2"/>
        <v>1.0598711145328832</v>
      </c>
    </row>
    <row r="82" spans="2:8" ht="14.65" customHeight="1">
      <c r="B82" s="164"/>
      <c r="C82" s="164"/>
      <c r="D82" s="164"/>
      <c r="E82" s="164"/>
      <c r="F82" s="163">
        <v>45</v>
      </c>
      <c r="G82" s="163">
        <f t="shared" si="3"/>
        <v>0.22956011791496386</v>
      </c>
      <c r="H82" s="163">
        <f t="shared" si="2"/>
        <v>1.0542801065429237</v>
      </c>
    </row>
    <row r="83" spans="2:8" ht="14.65" customHeight="1">
      <c r="B83" s="164"/>
      <c r="C83" s="164"/>
      <c r="D83" s="164"/>
      <c r="E83" s="164"/>
      <c r="F83" s="163">
        <v>50</v>
      </c>
      <c r="G83" s="163">
        <f t="shared" si="3"/>
        <v>0.21189830110476127</v>
      </c>
      <c r="H83" s="163">
        <f t="shared" si="2"/>
        <v>1.0500012839051129</v>
      </c>
    </row>
    <row r="84" spans="2:8" ht="14.65" customHeight="1">
      <c r="B84" s="164"/>
      <c r="C84" s="164"/>
      <c r="D84" s="164"/>
      <c r="E84" s="164"/>
      <c r="F84" s="163">
        <v>55</v>
      </c>
      <c r="G84" s="163">
        <f t="shared" si="3"/>
        <v>0.1981604235738044</v>
      </c>
      <c r="H84" s="163">
        <f t="shared" si="2"/>
        <v>1.0466851012270315</v>
      </c>
    </row>
    <row r="85" spans="2:8" ht="14.65" customHeight="1">
      <c r="B85" s="164"/>
      <c r="C85" s="164"/>
      <c r="D85" s="164"/>
      <c r="E85" s="164"/>
      <c r="F85" s="163">
        <v>60</v>
      </c>
      <c r="G85" s="163">
        <f t="shared" si="3"/>
        <v>0.18743505139493363</v>
      </c>
      <c r="H85" s="163">
        <f t="shared" si="2"/>
        <v>1.0441033883300181</v>
      </c>
    </row>
    <row r="86" spans="2:8" ht="14.65" customHeight="1">
      <c r="B86" s="164"/>
      <c r="C86" s="164"/>
      <c r="D86" s="164"/>
      <c r="E86" s="164"/>
      <c r="F86" s="163">
        <v>61</v>
      </c>
      <c r="G86" s="163">
        <f t="shared" si="3"/>
        <v>0.18559325240745286</v>
      </c>
      <c r="H86" s="163">
        <f t="shared" si="2"/>
        <v>1.0436606885185495</v>
      </c>
    </row>
    <row r="87" spans="2:8" ht="14.65" customHeight="1">
      <c r="B87" s="164"/>
      <c r="C87" s="164"/>
      <c r="D87" s="164"/>
      <c r="E87" s="164"/>
      <c r="F87" s="163">
        <v>62</v>
      </c>
      <c r="G87" s="163">
        <f t="shared" si="3"/>
        <v>0.1838427528207664</v>
      </c>
      <c r="H87" s="163">
        <f t="shared" si="2"/>
        <v>1.0432401076587956</v>
      </c>
    </row>
    <row r="88" spans="2:8" ht="14.65" customHeight="1">
      <c r="B88" s="164"/>
      <c r="C88" s="164"/>
      <c r="D88" s="164"/>
      <c r="E88" s="164"/>
      <c r="F88" s="163">
        <v>63</v>
      </c>
      <c r="G88" s="163">
        <f t="shared" si="3"/>
        <v>0.18217994106779126</v>
      </c>
      <c r="H88" s="163">
        <f t="shared" si="2"/>
        <v>1.0428407519366811</v>
      </c>
    </row>
    <row r="89" spans="2:8" ht="14.65" customHeight="1">
      <c r="B89" s="164"/>
      <c r="C89" s="164"/>
      <c r="D89" s="164"/>
      <c r="E89" s="164"/>
      <c r="F89" s="163">
        <v>64</v>
      </c>
      <c r="G89" s="163">
        <f t="shared" si="3"/>
        <v>0.18060145896162774</v>
      </c>
      <c r="H89" s="163">
        <f t="shared" si="2"/>
        <v>1.0424617910183509</v>
      </c>
    </row>
    <row r="90" spans="2:8" ht="14.65" customHeight="1">
      <c r="B90" s="164"/>
      <c r="C90" s="164"/>
      <c r="D90" s="164"/>
      <c r="E90" s="164"/>
      <c r="F90" s="163">
        <v>65</v>
      </c>
      <c r="G90" s="163">
        <f t="shared" si="3"/>
        <v>0.17910418335740308</v>
      </c>
      <c r="H90" s="163">
        <f t="shared" si="2"/>
        <v>1.042102453369854</v>
      </c>
    </row>
    <row r="91" spans="2:8" ht="14.65" customHeight="1">
      <c r="B91" s="164"/>
      <c r="C91" s="164"/>
      <c r="D91" s="164"/>
      <c r="E91" s="164"/>
      <c r="F91" s="163">
        <v>66</v>
      </c>
      <c r="G91" s="163">
        <f t="shared" si="3"/>
        <v>0.1776852095423137</v>
      </c>
      <c r="H91" s="163">
        <f t="shared" si="2"/>
        <v>1.0417620220241095</v>
      </c>
    </row>
    <row r="92" spans="2:8" ht="14.65" customHeight="1">
      <c r="B92" s="164"/>
      <c r="C92" s="164"/>
      <c r="D92" s="164"/>
      <c r="E92" s="164"/>
      <c r="F92" s="163">
        <v>67</v>
      </c>
      <c r="G92" s="163">
        <f t="shared" si="3"/>
        <v>0.17634183617701166</v>
      </c>
      <c r="H92" s="163">
        <f t="shared" si="2"/>
        <v>1.0414398307486201</v>
      </c>
    </row>
    <row r="93" spans="2:8" ht="14.65" customHeight="1">
      <c r="B93" s="164"/>
      <c r="C93" s="164"/>
      <c r="D93" s="164"/>
      <c r="E93" s="164"/>
      <c r="F93" s="163">
        <v>68</v>
      </c>
      <c r="G93" s="163">
        <f t="shared" si="3"/>
        <v>0.17507155163254823</v>
      </c>
      <c r="H93" s="163">
        <f t="shared" si="2"/>
        <v>1.0411352605730175</v>
      </c>
    </row>
    <row r="94" spans="2:8" ht="14.65" customHeight="1">
      <c r="B94" s="164"/>
      <c r="C94" s="164"/>
      <c r="D94" s="164"/>
      <c r="E94" s="164"/>
      <c r="F94" s="163">
        <v>69</v>
      </c>
      <c r="G94" s="163">
        <f t="shared" si="3"/>
        <v>0.17387202158542783</v>
      </c>
      <c r="H94" s="163">
        <f t="shared" si="2"/>
        <v>1.0408477366404165</v>
      </c>
    </row>
    <row r="95" spans="2:8" ht="14.65" customHeight="1">
      <c r="B95" s="164"/>
      <c r="C95" s="164"/>
      <c r="D95" s="164"/>
      <c r="E95" s="164"/>
      <c r="F95" s="163">
        <v>70</v>
      </c>
      <c r="G95" s="163">
        <f>($C$73+$D$73)*$E$73*(EXP(-0.278/$E$73))*_xlfn.CSC($F95/180*PI())</f>
        <v>0.17274107774933439</v>
      </c>
      <c r="H95" s="163">
        <f>10^($G95/10)</f>
        <v>1.0405767253507998</v>
      </c>
    </row>
    <row r="96" spans="2:8" ht="14.65" customHeight="1">
      <c r="B96" s="164"/>
      <c r="C96" s="164"/>
      <c r="D96" s="164"/>
      <c r="E96" s="164"/>
      <c r="F96" s="163">
        <v>80</v>
      </c>
      <c r="G96" s="163">
        <f>($C$73+$D$73)*$E$73*(EXP(-0.278/$E$73))*_xlfn.CSC($F96/180*PI())</f>
        <v>0.16482761794995959</v>
      </c>
      <c r="H96" s="163">
        <f>10^($G96/10)</f>
        <v>1.0386823737729591</v>
      </c>
    </row>
    <row r="97" spans="2:8" ht="14.65" customHeight="1">
      <c r="B97" s="164"/>
      <c r="C97" s="164"/>
      <c r="D97" s="164"/>
      <c r="E97" s="164"/>
      <c r="F97" s="163">
        <v>90</v>
      </c>
      <c r="G97" s="163">
        <f>($C$73+$D$73)*$E$73*(EXP(-0.278/$E$73))*_xlfn.CSC($F97/180*PI())</f>
        <v>0.16232351606765438</v>
      </c>
      <c r="H97" s="163">
        <f>10^($G97/10)</f>
        <v>1.0380836517322476</v>
      </c>
    </row>
    <row r="98" spans="2:8" ht="14.65" customHeight="1">
      <c r="B98" s="164"/>
      <c r="C98" s="164"/>
      <c r="D98" s="164"/>
      <c r="E98" s="164"/>
      <c r="F98" s="163">
        <v>95</v>
      </c>
      <c r="G98" s="163">
        <f>($C$73+$D$73)*$E$73*(EXP(-0.278/$E$73))*_xlfn.CSC($F98/180*PI())</f>
        <v>0.16294356552849776</v>
      </c>
      <c r="H98" s="163">
        <f>10^($G98/10)</f>
        <v>1.0382318712436645</v>
      </c>
    </row>
  </sheetData>
  <mergeCells count="26">
    <mergeCell ref="B14:D14"/>
    <mergeCell ref="B15:D15"/>
    <mergeCell ref="B1:D1"/>
    <mergeCell ref="G1:J1"/>
    <mergeCell ref="B2:D2"/>
    <mergeCell ref="G2:J2"/>
    <mergeCell ref="G8:J8"/>
    <mergeCell ref="G9:J9"/>
    <mergeCell ref="B12:D12"/>
    <mergeCell ref="B13:D13"/>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8"/>
  <sheetViews>
    <sheetView topLeftCell="A11" zoomScale="85" zoomScaleNormal="85" workbookViewId="0">
      <selection activeCell="AD26" sqref="AD26"/>
    </sheetView>
  </sheetViews>
  <sheetFormatPr defaultColWidth="0" defaultRowHeight="14.45" zeroHeight="1"/>
  <cols>
    <col min="1" max="17" width="3.28515625" customWidth="1"/>
    <col min="18" max="19" width="17.28515625" customWidth="1"/>
    <col min="20" max="20" width="10.28515625" customWidth="1"/>
    <col min="21" max="21" width="7.28515625" customWidth="1"/>
    <col min="22" max="23" width="8.7109375" customWidth="1"/>
    <col min="24" max="40" width="3.28515625" customWidth="1"/>
    <col min="41" max="16384" width="8.7109375" hidden="1"/>
  </cols>
  <sheetData>
    <row r="1" spans="1:40" ht="1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149999999999999" thickBot="1">
      <c r="A2" s="1"/>
      <c r="B2" s="1"/>
      <c r="C2" s="1"/>
      <c r="D2" s="1"/>
      <c r="E2" s="1"/>
      <c r="F2" s="1"/>
      <c r="G2" s="1"/>
      <c r="H2" s="1"/>
      <c r="I2" s="1"/>
      <c r="J2" s="1"/>
      <c r="K2" s="1"/>
      <c r="L2" s="1"/>
      <c r="M2" s="1"/>
      <c r="N2" s="1"/>
      <c r="O2" s="1"/>
      <c r="P2" s="1"/>
      <c r="Q2" s="1"/>
      <c r="R2" s="335" t="s">
        <v>0</v>
      </c>
      <c r="S2" s="336"/>
      <c r="T2" s="336"/>
      <c r="U2" s="336"/>
      <c r="V2" s="336"/>
      <c r="W2" s="336"/>
      <c r="X2" s="337"/>
      <c r="Y2" s="1"/>
      <c r="Z2" s="1"/>
      <c r="AA2" s="1"/>
      <c r="AB2" s="1"/>
      <c r="AC2" s="1"/>
      <c r="AD2" s="1"/>
      <c r="AE2" s="1"/>
      <c r="AF2" s="1"/>
      <c r="AG2" s="1"/>
      <c r="AH2" s="1"/>
      <c r="AI2" s="1"/>
      <c r="AJ2" s="1"/>
      <c r="AK2" s="1"/>
      <c r="AL2" s="1"/>
      <c r="AM2" s="1"/>
      <c r="AN2" s="1"/>
    </row>
    <row r="3" spans="1:40">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5" thickBo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c r="A23" s="1"/>
      <c r="B23" s="1"/>
      <c r="C23" s="1"/>
      <c r="D23" s="1"/>
      <c r="E23" s="1"/>
      <c r="F23" s="1"/>
      <c r="G23" s="1"/>
      <c r="H23" s="1"/>
      <c r="I23" s="1"/>
      <c r="J23" s="1"/>
      <c r="K23" s="1"/>
      <c r="L23" s="1"/>
      <c r="M23" s="1"/>
      <c r="N23" s="1"/>
      <c r="O23" s="1"/>
      <c r="P23" s="112"/>
      <c r="Q23" s="113"/>
      <c r="R23" s="113"/>
      <c r="S23" s="113"/>
      <c r="T23" s="113"/>
      <c r="U23" s="113"/>
      <c r="V23" s="113"/>
      <c r="W23" s="113"/>
      <c r="X23" s="113"/>
      <c r="Y23" s="114"/>
      <c r="Z23" s="1"/>
      <c r="AA23" s="1"/>
      <c r="AB23" s="1"/>
      <c r="AC23" s="1"/>
      <c r="AD23" s="1"/>
      <c r="AE23" s="1"/>
      <c r="AF23" s="1"/>
      <c r="AG23" s="1"/>
      <c r="AH23" s="1"/>
      <c r="AI23" s="1"/>
      <c r="AJ23" s="1"/>
      <c r="AK23" s="1"/>
      <c r="AL23" s="1"/>
      <c r="AM23" s="1"/>
      <c r="AN23" s="1"/>
    </row>
    <row r="24" spans="1:40" ht="15" thickBot="1">
      <c r="A24" s="1"/>
      <c r="B24" s="1"/>
      <c r="C24" s="1"/>
      <c r="D24" s="1"/>
      <c r="E24" s="1"/>
      <c r="F24" s="1"/>
      <c r="G24" s="1"/>
      <c r="H24" s="1"/>
      <c r="I24" s="1"/>
      <c r="J24" s="1"/>
      <c r="K24" s="1"/>
      <c r="L24" s="1"/>
      <c r="M24" s="1"/>
      <c r="N24" s="1"/>
      <c r="O24" s="1"/>
      <c r="P24" s="111"/>
      <c r="Q24" s="115"/>
      <c r="R24" s="115"/>
      <c r="S24" s="115"/>
      <c r="T24" s="115"/>
      <c r="U24" s="115"/>
      <c r="V24" s="115"/>
      <c r="W24" s="115"/>
      <c r="X24" s="115"/>
      <c r="Y24" s="116"/>
      <c r="Z24" s="1"/>
      <c r="AA24" s="1"/>
      <c r="AB24" s="1"/>
      <c r="AC24" s="1"/>
      <c r="AD24" s="1"/>
      <c r="AE24" s="1"/>
      <c r="AF24" s="1"/>
      <c r="AG24" s="1"/>
      <c r="AH24" s="1"/>
      <c r="AI24" s="1"/>
      <c r="AJ24" s="1"/>
      <c r="AK24" s="1"/>
      <c r="AL24" s="1"/>
      <c r="AM24" s="1"/>
      <c r="AN24" s="1"/>
    </row>
    <row r="25" spans="1:40" ht="29.45" thickBot="1">
      <c r="A25" s="1"/>
      <c r="B25" s="1"/>
      <c r="C25" s="1"/>
      <c r="D25" s="1"/>
      <c r="E25" s="1"/>
      <c r="F25" s="1"/>
      <c r="G25" s="1"/>
      <c r="H25" s="1"/>
      <c r="I25" s="1"/>
      <c r="J25" s="1"/>
      <c r="K25" s="1"/>
      <c r="L25" s="1"/>
      <c r="M25" s="1"/>
      <c r="N25" s="1"/>
      <c r="O25" s="1"/>
      <c r="P25" s="111"/>
      <c r="Q25" s="115"/>
      <c r="R25" s="343" t="s">
        <v>41</v>
      </c>
      <c r="S25" s="344"/>
      <c r="T25" s="344"/>
      <c r="U25" s="344"/>
      <c r="V25" s="344"/>
      <c r="W25" s="345"/>
      <c r="X25" s="115"/>
      <c r="Y25" s="116"/>
      <c r="Z25" s="1"/>
      <c r="AA25" s="1"/>
      <c r="AB25" s="1"/>
      <c r="AC25" s="1"/>
      <c r="AD25" s="1"/>
      <c r="AE25" s="1"/>
      <c r="AF25" s="1"/>
      <c r="AG25" s="1"/>
      <c r="AH25" s="1"/>
      <c r="AI25" s="1"/>
      <c r="AJ25" s="1"/>
      <c r="AK25" s="1"/>
      <c r="AL25" s="1"/>
      <c r="AM25" s="1"/>
      <c r="AN25" s="1"/>
    </row>
    <row r="26" spans="1:40">
      <c r="A26" s="1"/>
      <c r="B26" s="1"/>
      <c r="C26" s="1"/>
      <c r="D26" s="1"/>
      <c r="E26" s="1"/>
      <c r="F26" s="1"/>
      <c r="G26" s="1"/>
      <c r="H26" s="1"/>
      <c r="I26" s="1"/>
      <c r="J26" s="1"/>
      <c r="K26" s="1"/>
      <c r="L26" s="1"/>
      <c r="M26" s="1"/>
      <c r="N26" s="1"/>
      <c r="O26" s="1"/>
      <c r="P26" s="111"/>
      <c r="Q26" s="115"/>
      <c r="R26" s="115"/>
      <c r="S26" s="115"/>
      <c r="T26" s="115"/>
      <c r="U26" s="115"/>
      <c r="V26" s="115"/>
      <c r="W26" s="115"/>
      <c r="X26" s="115"/>
      <c r="Y26" s="116"/>
      <c r="Z26" s="1"/>
      <c r="AA26" s="1"/>
      <c r="AB26" s="1"/>
      <c r="AC26" s="1"/>
      <c r="AD26" s="1"/>
      <c r="AE26" s="1"/>
      <c r="AF26" s="1"/>
      <c r="AG26" s="1"/>
      <c r="AH26" s="1"/>
      <c r="AI26" s="1"/>
      <c r="AJ26" s="1"/>
      <c r="AK26" s="1"/>
      <c r="AL26" s="1"/>
      <c r="AM26" s="1"/>
      <c r="AN26" s="1"/>
    </row>
    <row r="27" spans="1:40">
      <c r="A27" s="1"/>
      <c r="B27" s="1"/>
      <c r="C27" s="1"/>
      <c r="D27" s="1"/>
      <c r="E27" s="1"/>
      <c r="F27" s="1"/>
      <c r="G27" s="1"/>
      <c r="H27" s="1"/>
      <c r="I27" s="1"/>
      <c r="J27" s="1"/>
      <c r="K27" s="1"/>
      <c r="L27" s="1"/>
      <c r="M27" s="1"/>
      <c r="N27" s="1"/>
      <c r="O27" s="1"/>
      <c r="P27" s="111"/>
      <c r="Q27" s="115"/>
      <c r="R27" s="341" t="s">
        <v>42</v>
      </c>
      <c r="S27" s="341"/>
      <c r="T27" s="150">
        <f>Inputs!V15</f>
        <v>437.15</v>
      </c>
      <c r="U27" s="115" t="s">
        <v>14</v>
      </c>
      <c r="V27" s="143">
        <f>Inputs!$V$9/(T27*1000000)</f>
        <v>0.68578853482786228</v>
      </c>
      <c r="W27" s="121" t="s">
        <v>43</v>
      </c>
      <c r="X27" s="115"/>
      <c r="Y27" s="116"/>
      <c r="Z27" s="1"/>
      <c r="AA27" s="1"/>
      <c r="AB27" s="1"/>
      <c r="AC27" s="1"/>
      <c r="AD27" s="1"/>
      <c r="AE27" s="1"/>
      <c r="AF27" s="1"/>
      <c r="AG27" s="1"/>
      <c r="AH27" s="1"/>
      <c r="AI27" s="1"/>
      <c r="AJ27" s="1"/>
      <c r="AK27" s="1"/>
      <c r="AL27" s="1"/>
      <c r="AM27" s="1"/>
      <c r="AN27" s="1"/>
    </row>
    <row r="28" spans="1:40">
      <c r="A28" s="1"/>
      <c r="B28" s="1"/>
      <c r="C28" s="1"/>
      <c r="D28" s="1"/>
      <c r="E28" s="1"/>
      <c r="F28" s="1"/>
      <c r="G28" s="1"/>
      <c r="H28" s="1"/>
      <c r="I28" s="1"/>
      <c r="J28" s="1"/>
      <c r="K28" s="1"/>
      <c r="L28" s="1"/>
      <c r="M28" s="1"/>
      <c r="N28" s="1"/>
      <c r="O28" s="1"/>
      <c r="P28" s="111"/>
      <c r="Q28" s="115"/>
      <c r="R28" s="341" t="s">
        <v>44</v>
      </c>
      <c r="S28" s="341"/>
      <c r="T28" s="150">
        <f>Inputs!V16</f>
        <v>437.15</v>
      </c>
      <c r="U28" s="115" t="s">
        <v>14</v>
      </c>
      <c r="V28" s="143">
        <f>Inputs!$V$9/(T28*1000000)</f>
        <v>0.68578853482786228</v>
      </c>
      <c r="W28" s="121" t="s">
        <v>43</v>
      </c>
      <c r="X28" s="115"/>
      <c r="Y28" s="116"/>
      <c r="Z28" s="1"/>
      <c r="AA28" s="1"/>
      <c r="AB28" s="1"/>
      <c r="AC28" s="1"/>
      <c r="AD28" s="1"/>
      <c r="AE28" s="1"/>
      <c r="AF28" s="1"/>
      <c r="AG28" s="1"/>
      <c r="AH28" s="1"/>
      <c r="AI28" s="1"/>
      <c r="AJ28" s="1"/>
      <c r="AK28" s="1"/>
      <c r="AL28" s="1"/>
      <c r="AM28" s="1"/>
      <c r="AN28" s="1"/>
    </row>
    <row r="29" spans="1:40">
      <c r="A29" s="1"/>
      <c r="B29" s="1"/>
      <c r="C29" s="1"/>
      <c r="D29" s="1"/>
      <c r="E29" s="1"/>
      <c r="F29" s="1"/>
      <c r="G29" s="1"/>
      <c r="H29" s="1"/>
      <c r="I29" s="1"/>
      <c r="J29" s="1"/>
      <c r="K29" s="1"/>
      <c r="L29" s="1"/>
      <c r="M29" s="1"/>
      <c r="N29" s="1"/>
      <c r="O29" s="1"/>
      <c r="P29" s="111"/>
      <c r="Q29" s="115"/>
      <c r="R29" s="119"/>
      <c r="S29" s="119"/>
      <c r="T29" s="115"/>
      <c r="U29" s="119"/>
      <c r="V29" s="119"/>
      <c r="W29" s="119"/>
      <c r="X29" s="115"/>
      <c r="Y29" s="116"/>
      <c r="Z29" s="1"/>
      <c r="AA29" s="1"/>
      <c r="AB29" s="1"/>
      <c r="AC29" s="1"/>
      <c r="AD29" s="1"/>
      <c r="AE29" s="1"/>
      <c r="AF29" s="1"/>
      <c r="AG29" s="1"/>
      <c r="AH29" s="1"/>
      <c r="AI29" s="1"/>
      <c r="AJ29" s="1"/>
      <c r="AK29" s="1"/>
      <c r="AL29" s="1"/>
      <c r="AM29" s="1"/>
      <c r="AN29" s="1"/>
    </row>
    <row r="30" spans="1:40">
      <c r="A30" s="1"/>
      <c r="B30" s="1"/>
      <c r="C30" s="1"/>
      <c r="D30" s="1"/>
      <c r="E30" s="1"/>
      <c r="F30" s="1"/>
      <c r="G30" s="1"/>
      <c r="H30" s="1"/>
      <c r="I30" s="1"/>
      <c r="J30" s="1"/>
      <c r="K30" s="1"/>
      <c r="L30" s="1"/>
      <c r="M30" s="1"/>
      <c r="N30" s="1"/>
      <c r="O30" s="1"/>
      <c r="P30" s="111"/>
      <c r="Q30" s="115"/>
      <c r="R30" s="341" t="s">
        <v>45</v>
      </c>
      <c r="S30" s="341"/>
      <c r="T30" s="143">
        <f>Inputs!V20</f>
        <v>600</v>
      </c>
      <c r="U30" s="115" t="s">
        <v>11</v>
      </c>
      <c r="V30" s="295"/>
      <c r="W30" s="115"/>
      <c r="X30" s="115"/>
      <c r="Y30" s="116"/>
      <c r="Z30" s="1"/>
      <c r="AA30" s="1"/>
      <c r="AB30" s="1"/>
      <c r="AC30" s="1"/>
      <c r="AD30" s="1"/>
      <c r="AE30" s="1"/>
      <c r="AF30" s="1"/>
      <c r="AG30" s="1"/>
      <c r="AH30" s="1"/>
      <c r="AI30" s="1"/>
      <c r="AJ30" s="1"/>
      <c r="AK30" s="1"/>
      <c r="AL30" s="1"/>
      <c r="AM30" s="1"/>
      <c r="AN30" s="1"/>
    </row>
    <row r="31" spans="1:40">
      <c r="A31" s="1"/>
      <c r="B31" s="1"/>
      <c r="C31" s="1"/>
      <c r="D31" s="1"/>
      <c r="E31" s="1"/>
      <c r="F31" s="1"/>
      <c r="G31" s="1"/>
      <c r="H31" s="1"/>
      <c r="I31" s="1"/>
      <c r="J31" s="1"/>
      <c r="K31" s="1"/>
      <c r="L31" s="1"/>
      <c r="M31" s="1"/>
      <c r="N31" s="1"/>
      <c r="O31" s="1"/>
      <c r="P31" s="111"/>
      <c r="Q31" s="115"/>
      <c r="R31" s="341" t="s">
        <v>46</v>
      </c>
      <c r="S31" s="341"/>
      <c r="T31" s="150">
        <f>Inputs!V11</f>
        <v>6378.17</v>
      </c>
      <c r="U31" s="115" t="s">
        <v>11</v>
      </c>
      <c r="V31" s="295"/>
      <c r="W31" s="295"/>
      <c r="X31" s="115"/>
      <c r="Y31" s="116"/>
      <c r="Z31" s="1"/>
      <c r="AA31" s="1"/>
      <c r="AB31" s="1"/>
      <c r="AC31" s="1"/>
      <c r="AD31" s="1"/>
      <c r="AE31" s="1"/>
      <c r="AF31" s="1"/>
      <c r="AG31" s="1"/>
      <c r="AH31" s="1"/>
      <c r="AI31" s="1"/>
      <c r="AJ31" s="1"/>
      <c r="AK31" s="1"/>
      <c r="AL31" s="1"/>
      <c r="AM31" s="1"/>
      <c r="AN31" s="1"/>
    </row>
    <row r="32" spans="1:40">
      <c r="A32" s="1"/>
      <c r="B32" s="1"/>
      <c r="C32" s="1"/>
      <c r="D32" s="1"/>
      <c r="E32" s="1"/>
      <c r="F32" s="1"/>
      <c r="G32" s="1"/>
      <c r="H32" s="1"/>
      <c r="I32" s="1"/>
      <c r="J32" s="1"/>
      <c r="K32" s="1"/>
      <c r="L32" s="1"/>
      <c r="M32" s="1"/>
      <c r="N32" s="1"/>
      <c r="O32" s="1"/>
      <c r="P32" s="111"/>
      <c r="Q32" s="115"/>
      <c r="R32" s="115"/>
      <c r="S32" s="115"/>
      <c r="T32" s="115"/>
      <c r="U32" s="115"/>
      <c r="V32" s="115"/>
      <c r="W32" s="115"/>
      <c r="X32" s="115"/>
      <c r="Y32" s="116"/>
      <c r="Z32" s="1"/>
      <c r="AA32" s="1"/>
      <c r="AB32" s="1"/>
      <c r="AC32" s="1"/>
      <c r="AD32" s="1"/>
      <c r="AE32" s="1"/>
      <c r="AF32" s="1"/>
      <c r="AG32" s="1"/>
      <c r="AH32" s="1"/>
      <c r="AI32" s="1"/>
      <c r="AJ32" s="1"/>
      <c r="AK32" s="1"/>
      <c r="AL32" s="1"/>
      <c r="AM32" s="1"/>
      <c r="AN32" s="1"/>
    </row>
    <row r="33" spans="1:40">
      <c r="A33" s="1"/>
      <c r="B33" s="1"/>
      <c r="C33" s="1"/>
      <c r="D33" s="1"/>
      <c r="E33" s="1"/>
      <c r="F33" s="1"/>
      <c r="G33" s="1"/>
      <c r="H33" s="1"/>
      <c r="I33" s="1"/>
      <c r="J33" s="1"/>
      <c r="K33" s="1"/>
      <c r="L33" s="1"/>
      <c r="M33" s="1"/>
      <c r="N33" s="1"/>
      <c r="O33" s="1"/>
      <c r="P33" s="111"/>
      <c r="Q33" s="115"/>
      <c r="R33" s="341" t="s">
        <v>47</v>
      </c>
      <c r="S33" s="342"/>
      <c r="T33" s="143">
        <f>Inputs!V27</f>
        <v>10</v>
      </c>
      <c r="U33" s="115" t="s">
        <v>28</v>
      </c>
      <c r="V33" s="115"/>
      <c r="W33" s="115"/>
      <c r="X33" s="115"/>
      <c r="Y33" s="116"/>
      <c r="Z33" s="1"/>
      <c r="AA33" s="1"/>
      <c r="AB33" s="1"/>
      <c r="AC33" s="1"/>
      <c r="AD33" s="1"/>
      <c r="AE33" s="1"/>
      <c r="AF33" s="1"/>
      <c r="AG33" s="1"/>
      <c r="AH33" s="1"/>
      <c r="AI33" s="1"/>
      <c r="AJ33" s="1"/>
      <c r="AK33" s="1"/>
      <c r="AL33" s="1"/>
      <c r="AM33" s="1"/>
      <c r="AN33" s="1"/>
    </row>
    <row r="34" spans="1:40">
      <c r="A34" s="1"/>
      <c r="B34" s="1"/>
      <c r="C34" s="1"/>
      <c r="D34" s="1"/>
      <c r="E34" s="1"/>
      <c r="F34" s="1"/>
      <c r="G34" s="1"/>
      <c r="H34" s="1"/>
      <c r="I34" s="1"/>
      <c r="J34" s="1"/>
      <c r="K34" s="1"/>
      <c r="L34" s="1"/>
      <c r="M34" s="1"/>
      <c r="N34" s="1"/>
      <c r="O34" s="1"/>
      <c r="P34" s="111"/>
      <c r="Q34" s="115"/>
      <c r="R34" s="341" t="s">
        <v>48</v>
      </c>
      <c r="S34" s="342"/>
      <c r="T34" s="143">
        <f>$T$31*((SQRT((POWER($T$31+$T$30,2)/POWER($T$31,2))-POWER(COS(RADIANS(T33)),2)))-SIN(RADIANS(T33)))</f>
        <v>1932.2594746870907</v>
      </c>
      <c r="U34" s="115" t="s">
        <v>11</v>
      </c>
      <c r="V34" s="115"/>
      <c r="W34" s="295"/>
      <c r="X34" s="115"/>
      <c r="Y34" s="116"/>
      <c r="Z34" s="1"/>
      <c r="AA34" s="1"/>
      <c r="AB34" s="1"/>
      <c r="AC34" s="1"/>
      <c r="AD34" s="1"/>
      <c r="AE34" s="1"/>
      <c r="AF34" s="1"/>
      <c r="AG34" s="1"/>
      <c r="AH34" s="1"/>
      <c r="AI34" s="1"/>
      <c r="AJ34" s="1"/>
      <c r="AK34" s="1"/>
      <c r="AL34" s="1"/>
      <c r="AM34" s="1"/>
      <c r="AN34" s="1"/>
    </row>
    <row r="35" spans="1:40">
      <c r="A35" s="1"/>
      <c r="B35" s="1"/>
      <c r="C35" s="1"/>
      <c r="D35" s="1"/>
      <c r="E35" s="1"/>
      <c r="F35" s="1"/>
      <c r="G35" s="1"/>
      <c r="H35" s="1"/>
      <c r="I35" s="1"/>
      <c r="J35" s="1"/>
      <c r="K35" s="1"/>
      <c r="L35" s="1"/>
      <c r="M35" s="1"/>
      <c r="N35" s="1"/>
      <c r="O35" s="1"/>
      <c r="P35" s="111"/>
      <c r="Q35" s="115"/>
      <c r="R35" s="341" t="s">
        <v>49</v>
      </c>
      <c r="S35" s="342"/>
      <c r="T35" s="143">
        <f>20*LOG10((4*PI()*T34*$T$27*1000000000)/Inputs!$V$9)</f>
        <v>150.98170178647288</v>
      </c>
      <c r="U35" s="115" t="s">
        <v>25</v>
      </c>
      <c r="V35" s="115"/>
      <c r="W35" s="115"/>
      <c r="X35" s="115"/>
      <c r="Y35" s="116"/>
      <c r="Z35" s="1"/>
      <c r="AA35" s="1"/>
      <c r="AB35" s="1"/>
      <c r="AC35" s="1"/>
      <c r="AD35" s="1"/>
      <c r="AE35" s="1"/>
      <c r="AF35" s="1"/>
      <c r="AG35" s="1"/>
      <c r="AH35" s="1"/>
      <c r="AI35" s="1"/>
      <c r="AJ35" s="1"/>
      <c r="AK35" s="1"/>
      <c r="AL35" s="1"/>
      <c r="AM35" s="1"/>
      <c r="AN35" s="1"/>
    </row>
    <row r="36" spans="1:40">
      <c r="A36" s="1"/>
      <c r="B36" s="1"/>
      <c r="C36" s="1"/>
      <c r="D36" s="1"/>
      <c r="E36" s="1"/>
      <c r="F36" s="1"/>
      <c r="G36" s="1"/>
      <c r="H36" s="1"/>
      <c r="I36" s="1"/>
      <c r="J36" s="1"/>
      <c r="K36" s="1"/>
      <c r="L36" s="1"/>
      <c r="M36" s="1"/>
      <c r="N36" s="1"/>
      <c r="O36" s="1"/>
      <c r="P36" s="111"/>
      <c r="Q36" s="115"/>
      <c r="R36" s="341" t="s">
        <v>50</v>
      </c>
      <c r="S36" s="342"/>
      <c r="T36" s="143">
        <f>20*LOG10((4*PI()*T34*$T$28*1000000000)/Inputs!$V$9)</f>
        <v>150.98170178647288</v>
      </c>
      <c r="U36" s="115" t="s">
        <v>25</v>
      </c>
      <c r="V36" s="115"/>
      <c r="W36" s="115"/>
      <c r="X36" s="115"/>
      <c r="Y36" s="116"/>
      <c r="Z36" s="1"/>
      <c r="AA36" s="1"/>
      <c r="AB36" s="1"/>
      <c r="AC36" s="1"/>
      <c r="AD36" s="1"/>
      <c r="AE36" s="1"/>
      <c r="AF36" s="1"/>
      <c r="AG36" s="1"/>
      <c r="AH36" s="1"/>
      <c r="AI36" s="1"/>
      <c r="AJ36" s="1"/>
      <c r="AK36" s="1"/>
      <c r="AL36" s="1"/>
      <c r="AM36" s="1"/>
      <c r="AN36" s="1"/>
    </row>
    <row r="37" spans="1:40">
      <c r="A37" s="1"/>
      <c r="B37" s="1"/>
      <c r="C37" s="1"/>
      <c r="D37" s="1"/>
      <c r="E37" s="1"/>
      <c r="F37" s="1"/>
      <c r="G37" s="1"/>
      <c r="H37" s="1"/>
      <c r="I37" s="1"/>
      <c r="J37" s="1"/>
      <c r="K37" s="1"/>
      <c r="L37" s="1"/>
      <c r="M37" s="1"/>
      <c r="N37" s="1"/>
      <c r="O37" s="1"/>
      <c r="P37" s="111"/>
      <c r="Q37" s="115"/>
      <c r="R37" s="115"/>
      <c r="S37" s="115"/>
      <c r="T37" s="115"/>
      <c r="U37" s="115"/>
      <c r="V37" s="115"/>
      <c r="W37" s="115"/>
      <c r="X37" s="115"/>
      <c r="Y37" s="116"/>
      <c r="Z37" s="1"/>
      <c r="AA37" s="1"/>
      <c r="AB37" s="1"/>
      <c r="AC37" s="1"/>
      <c r="AD37" s="1"/>
      <c r="AE37" s="1"/>
      <c r="AF37" s="1"/>
      <c r="AG37" s="1"/>
      <c r="AH37" s="1"/>
      <c r="AI37" s="1"/>
      <c r="AJ37" s="1"/>
      <c r="AK37" s="1"/>
      <c r="AL37" s="1"/>
      <c r="AM37" s="1"/>
      <c r="AN37" s="1"/>
    </row>
    <row r="38" spans="1:40" ht="15.75" customHeight="1">
      <c r="A38" s="1"/>
      <c r="B38" s="1"/>
      <c r="C38" s="1"/>
      <c r="D38" s="1"/>
      <c r="E38" s="1"/>
      <c r="F38" s="1"/>
      <c r="G38" s="1"/>
      <c r="H38" s="1"/>
      <c r="I38" s="1"/>
      <c r="J38" s="1"/>
      <c r="K38" s="1"/>
      <c r="L38" s="1"/>
      <c r="M38" s="1"/>
      <c r="N38" s="1"/>
      <c r="O38" s="1"/>
      <c r="P38" s="111"/>
      <c r="Q38" s="115"/>
      <c r="R38" s="341" t="s">
        <v>51</v>
      </c>
      <c r="S38" s="342"/>
      <c r="T38" s="143">
        <f>Inputs!V32</f>
        <v>60</v>
      </c>
      <c r="U38" s="115" t="s">
        <v>28</v>
      </c>
      <c r="V38" s="115"/>
      <c r="W38" s="115"/>
      <c r="X38" s="115"/>
      <c r="Y38" s="116"/>
      <c r="Z38" s="1"/>
      <c r="AA38" s="1"/>
      <c r="AB38" s="1"/>
      <c r="AC38" s="1"/>
      <c r="AD38" s="1"/>
      <c r="AE38" s="1"/>
      <c r="AF38" s="1"/>
      <c r="AG38" s="1"/>
      <c r="AH38" s="1"/>
      <c r="AI38" s="1"/>
      <c r="AJ38" s="1"/>
      <c r="AK38" s="1"/>
      <c r="AL38" s="1"/>
      <c r="AM38" s="1"/>
      <c r="AN38" s="1"/>
    </row>
    <row r="39" spans="1:40">
      <c r="A39" s="1"/>
      <c r="B39" s="1"/>
      <c r="C39" s="1"/>
      <c r="D39" s="1"/>
      <c r="E39" s="1"/>
      <c r="F39" s="1"/>
      <c r="G39" s="1"/>
      <c r="H39" s="1"/>
      <c r="I39" s="1"/>
      <c r="J39" s="1"/>
      <c r="K39" s="1"/>
      <c r="L39" s="1"/>
      <c r="M39" s="1"/>
      <c r="N39" s="1"/>
      <c r="O39" s="1"/>
      <c r="P39" s="111"/>
      <c r="Q39" s="115"/>
      <c r="R39" s="341" t="s">
        <v>52</v>
      </c>
      <c r="S39" s="342"/>
      <c r="T39" s="143">
        <f>$T$31*((SQRT((POWER($T$31+$T$30,2)/POWER($T$31,2))-POWER(COS(RADIANS($T$38)),2)))-SIN(RADIANS($T$38)))</f>
        <v>683.1610505423846</v>
      </c>
      <c r="U39" s="115" t="s">
        <v>11</v>
      </c>
      <c r="V39" s="115"/>
      <c r="W39" s="115"/>
      <c r="X39" s="115"/>
      <c r="Y39" s="116"/>
      <c r="Z39" s="1"/>
      <c r="AA39" s="1"/>
      <c r="AB39" s="1"/>
      <c r="AC39" s="1"/>
      <c r="AD39" s="1"/>
      <c r="AE39" s="1"/>
      <c r="AF39" s="1"/>
      <c r="AG39" s="1"/>
      <c r="AH39" s="1"/>
      <c r="AI39" s="1"/>
      <c r="AJ39" s="1"/>
      <c r="AK39" s="1"/>
      <c r="AL39" s="1"/>
      <c r="AM39" s="1"/>
      <c r="AN39" s="1"/>
    </row>
    <row r="40" spans="1:40">
      <c r="A40" s="1"/>
      <c r="B40" s="1"/>
      <c r="C40" s="1"/>
      <c r="D40" s="1"/>
      <c r="E40" s="1"/>
      <c r="F40" s="1"/>
      <c r="G40" s="1"/>
      <c r="H40" s="1"/>
      <c r="I40" s="1"/>
      <c r="J40" s="1"/>
      <c r="K40" s="1"/>
      <c r="L40" s="1"/>
      <c r="M40" s="1"/>
      <c r="N40" s="1"/>
      <c r="O40" s="1"/>
      <c r="P40" s="111"/>
      <c r="Q40" s="115"/>
      <c r="R40" s="341" t="s">
        <v>49</v>
      </c>
      <c r="S40" s="342"/>
      <c r="T40" s="143">
        <f>20*LOG10((4*PI()*T39*$T$27*1000000000)/Inputs!$V$9)</f>
        <v>141.95085483043806</v>
      </c>
      <c r="U40" s="115" t="s">
        <v>25</v>
      </c>
      <c r="V40" s="115"/>
      <c r="W40" s="115"/>
      <c r="X40" s="115"/>
      <c r="Y40" s="116"/>
      <c r="Z40" s="1"/>
      <c r="AA40" s="1"/>
      <c r="AB40" s="1"/>
      <c r="AC40" s="1"/>
      <c r="AD40" s="1"/>
      <c r="AE40" s="1"/>
      <c r="AF40" s="1"/>
      <c r="AG40" s="1"/>
      <c r="AH40" s="1"/>
      <c r="AI40" s="1"/>
      <c r="AJ40" s="1"/>
      <c r="AK40" s="1"/>
      <c r="AL40" s="1"/>
      <c r="AM40" s="1"/>
      <c r="AN40" s="1"/>
    </row>
    <row r="41" spans="1:40">
      <c r="A41" s="1"/>
      <c r="B41" s="1"/>
      <c r="C41" s="1"/>
      <c r="D41" s="1"/>
      <c r="E41" s="1"/>
      <c r="F41" s="1"/>
      <c r="G41" s="1"/>
      <c r="H41" s="1"/>
      <c r="I41" s="1"/>
      <c r="J41" s="1"/>
      <c r="K41" s="1"/>
      <c r="L41" s="1"/>
      <c r="M41" s="1"/>
      <c r="N41" s="1"/>
      <c r="O41" s="1"/>
      <c r="P41" s="111"/>
      <c r="Q41" s="115"/>
      <c r="R41" s="341" t="s">
        <v>50</v>
      </c>
      <c r="S41" s="342"/>
      <c r="T41" s="143">
        <f>20*LOG10((4*PI()*T39*$T$28*1000000000)/Inputs!$V$9)</f>
        <v>141.95085483043806</v>
      </c>
      <c r="U41" s="115" t="s">
        <v>25</v>
      </c>
      <c r="V41" s="115"/>
      <c r="W41" s="115"/>
      <c r="X41" s="115"/>
      <c r="Y41" s="116"/>
      <c r="Z41" s="1"/>
      <c r="AA41" s="1"/>
      <c r="AB41" s="1"/>
      <c r="AC41" s="1"/>
      <c r="AD41" s="1"/>
      <c r="AE41" s="1"/>
      <c r="AF41" s="1"/>
      <c r="AG41" s="1"/>
      <c r="AH41" s="1"/>
      <c r="AI41" s="1"/>
      <c r="AJ41" s="1"/>
      <c r="AK41" s="1"/>
      <c r="AL41" s="1"/>
      <c r="AM41" s="1"/>
      <c r="AN41" s="1"/>
    </row>
    <row r="42" spans="1:40">
      <c r="A42" s="1"/>
      <c r="B42" s="1"/>
      <c r="C42" s="1"/>
      <c r="D42" s="1"/>
      <c r="E42" s="1"/>
      <c r="F42" s="1"/>
      <c r="G42" s="1"/>
      <c r="H42" s="1"/>
      <c r="I42" s="1"/>
      <c r="J42" s="1"/>
      <c r="K42" s="1"/>
      <c r="L42" s="1"/>
      <c r="M42" s="1"/>
      <c r="N42" s="1"/>
      <c r="O42" s="1"/>
      <c r="P42" s="111"/>
      <c r="Q42" s="115"/>
      <c r="R42" s="294"/>
      <c r="S42" s="294"/>
      <c r="T42" s="294"/>
      <c r="U42" s="115"/>
      <c r="V42" s="115"/>
      <c r="W42" s="115"/>
      <c r="X42" s="115"/>
      <c r="Y42" s="116"/>
      <c r="Z42" s="1"/>
      <c r="AA42" s="1"/>
      <c r="AB42" s="1"/>
      <c r="AC42" s="1"/>
      <c r="AD42" s="1"/>
      <c r="AE42" s="1"/>
      <c r="AF42" s="1"/>
      <c r="AG42" s="1"/>
      <c r="AH42" s="1"/>
      <c r="AI42" s="1"/>
      <c r="AJ42" s="1"/>
      <c r="AK42" s="1"/>
      <c r="AL42" s="1"/>
      <c r="AM42" s="1"/>
      <c r="AN42" s="1"/>
    </row>
    <row r="43" spans="1:40">
      <c r="A43" s="1"/>
      <c r="B43" s="1"/>
      <c r="C43" s="1"/>
      <c r="D43" s="1"/>
      <c r="E43" s="1"/>
      <c r="F43" s="1"/>
      <c r="G43" s="1"/>
      <c r="H43" s="1"/>
      <c r="I43" s="1"/>
      <c r="J43" s="1"/>
      <c r="K43" s="1"/>
      <c r="L43" s="1"/>
      <c r="M43" s="1"/>
      <c r="N43" s="1"/>
      <c r="O43" s="1"/>
      <c r="P43" s="111"/>
      <c r="Q43" s="115"/>
      <c r="R43" s="341" t="s">
        <v>53</v>
      </c>
      <c r="S43" s="342"/>
      <c r="T43" s="143">
        <f>2*PI()*SQRT(POWER(T30*1000+T31*1000,3)/(0.0000000000667*5.94E+24))/60</f>
        <v>96.980584351650421</v>
      </c>
      <c r="U43" s="115" t="s">
        <v>54</v>
      </c>
      <c r="V43" s="115"/>
      <c r="W43" s="115"/>
      <c r="X43" s="115"/>
      <c r="Y43" s="116"/>
      <c r="Z43" s="1"/>
      <c r="AA43" s="1"/>
      <c r="AB43" s="1"/>
      <c r="AC43" s="1"/>
      <c r="AD43" s="1"/>
      <c r="AE43" s="1"/>
      <c r="AF43" s="1"/>
      <c r="AG43" s="1"/>
      <c r="AH43" s="1"/>
      <c r="AI43" s="1"/>
      <c r="AJ43" s="1"/>
      <c r="AK43" s="1"/>
      <c r="AL43" s="1"/>
      <c r="AM43" s="1"/>
      <c r="AN43" s="1"/>
    </row>
    <row r="44" spans="1:40">
      <c r="A44" s="1"/>
      <c r="B44" s="1"/>
      <c r="C44" s="1"/>
      <c r="D44" s="1"/>
      <c r="E44" s="1"/>
      <c r="F44" s="1"/>
      <c r="G44" s="1"/>
      <c r="H44" s="1"/>
      <c r="I44" s="1"/>
      <c r="J44" s="1"/>
      <c r="K44" s="1"/>
      <c r="L44" s="1"/>
      <c r="M44" s="1"/>
      <c r="N44" s="1"/>
      <c r="O44" s="1"/>
      <c r="P44" s="111"/>
      <c r="Q44" s="115"/>
      <c r="R44" s="341" t="s">
        <v>55</v>
      </c>
      <c r="S44" s="342"/>
      <c r="T44" s="143">
        <f>(2*ASIN((T34*SIN(RADIANS(90-T33)))/(T30+T31)))/(2*PI())*T43</f>
        <v>8.5260105139012001</v>
      </c>
      <c r="U44" s="115" t="s">
        <v>54</v>
      </c>
      <c r="V44" s="115"/>
      <c r="W44" s="115"/>
      <c r="X44" s="115"/>
      <c r="Y44" s="116"/>
      <c r="Z44" s="1"/>
      <c r="AA44" s="1"/>
      <c r="AB44" s="1"/>
      <c r="AC44" s="1"/>
      <c r="AD44" s="1"/>
      <c r="AE44" s="1"/>
      <c r="AF44" s="1"/>
      <c r="AG44" s="1"/>
      <c r="AH44" s="1"/>
      <c r="AI44" s="1"/>
      <c r="AJ44" s="1"/>
      <c r="AK44" s="1"/>
      <c r="AL44" s="1"/>
      <c r="AM44" s="1"/>
      <c r="AN44" s="1"/>
    </row>
    <row r="45" spans="1:40">
      <c r="A45" s="1"/>
      <c r="B45" s="1"/>
      <c r="C45" s="1"/>
      <c r="D45" s="1"/>
      <c r="E45" s="1"/>
      <c r="F45" s="1"/>
      <c r="G45" s="1"/>
      <c r="H45" s="1"/>
      <c r="I45" s="1"/>
      <c r="J45" s="1"/>
      <c r="K45" s="1"/>
      <c r="L45" s="1"/>
      <c r="M45" s="1"/>
      <c r="N45" s="1"/>
      <c r="O45" s="1"/>
      <c r="P45" s="117"/>
      <c r="Q45" s="118"/>
      <c r="R45" s="118"/>
      <c r="S45" s="118"/>
      <c r="T45" s="118"/>
      <c r="U45" s="118"/>
      <c r="V45" s="118"/>
      <c r="W45" s="118"/>
      <c r="X45" s="118"/>
      <c r="Y45" s="120"/>
      <c r="Z45" s="1"/>
      <c r="AA45" s="1"/>
      <c r="AB45" s="1"/>
      <c r="AC45" s="1"/>
      <c r="AD45" s="1"/>
      <c r="AE45" s="1"/>
      <c r="AF45" s="1"/>
      <c r="AG45" s="1"/>
      <c r="AH45" s="1"/>
      <c r="AI45" s="1"/>
      <c r="AJ45" s="1"/>
      <c r="AK45" s="1"/>
      <c r="AL45" s="1"/>
      <c r="AM45" s="1"/>
      <c r="AN45" s="1"/>
    </row>
    <row r="46" spans="1:40">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sheetData>
  <mergeCells count="16">
    <mergeCell ref="R43:S43"/>
    <mergeCell ref="R44:S44"/>
    <mergeCell ref="R31:S31"/>
    <mergeCell ref="R2:X2"/>
    <mergeCell ref="R25:W25"/>
    <mergeCell ref="R27:S27"/>
    <mergeCell ref="R28:S28"/>
    <mergeCell ref="R30:S30"/>
    <mergeCell ref="R38:S38"/>
    <mergeCell ref="R39:S39"/>
    <mergeCell ref="R40:S40"/>
    <mergeCell ref="R41:S41"/>
    <mergeCell ref="R33:S33"/>
    <mergeCell ref="R34:S34"/>
    <mergeCell ref="R35:S35"/>
    <mergeCell ref="R36:S3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15D16-4D9E-46A1-9063-D38B8950D61E}">
  <sheetPr>
    <tabColor rgb="FFE1CDFF"/>
  </sheetPr>
  <dimension ref="A1:AN62"/>
  <sheetViews>
    <sheetView topLeftCell="A29" zoomScale="85" zoomScaleNormal="85" workbookViewId="0">
      <selection activeCell="AB40" sqref="AB40"/>
    </sheetView>
  </sheetViews>
  <sheetFormatPr defaultColWidth="0" defaultRowHeight="15" customHeight="1" zeroHeight="1"/>
  <cols>
    <col min="1" max="17" width="3.28515625" customWidth="1"/>
    <col min="18" max="19" width="17.28515625" customWidth="1"/>
    <col min="20" max="20" width="10.28515625" customWidth="1"/>
    <col min="21" max="21" width="7.28515625" customWidth="1"/>
    <col min="22" max="23" width="8.7109375" customWidth="1"/>
    <col min="24" max="40" width="3.28515625" customWidth="1"/>
    <col min="41" max="16384" width="8.7109375" hidden="1"/>
  </cols>
  <sheetData>
    <row r="1" spans="1:40" ht="14.4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5.6">
      <c r="A2" s="1"/>
      <c r="B2" s="1"/>
      <c r="C2" s="1"/>
      <c r="D2" s="1"/>
      <c r="E2" s="1"/>
      <c r="F2" s="1"/>
      <c r="G2" s="1"/>
      <c r="H2" s="1"/>
      <c r="I2" s="1"/>
      <c r="J2" s="1"/>
      <c r="K2" s="1"/>
      <c r="L2" s="1"/>
      <c r="M2" s="1"/>
      <c r="N2" s="1"/>
      <c r="O2" s="1"/>
      <c r="P2" s="1"/>
      <c r="Q2" s="1"/>
      <c r="R2" s="335" t="s">
        <v>0</v>
      </c>
      <c r="S2" s="336"/>
      <c r="T2" s="336"/>
      <c r="U2" s="336"/>
      <c r="V2" s="336"/>
      <c r="W2" s="336"/>
      <c r="X2" s="337"/>
      <c r="Y2" s="1"/>
      <c r="Z2" s="1"/>
      <c r="AA2" s="1"/>
      <c r="AB2" s="1"/>
      <c r="AC2" s="1"/>
      <c r="AD2" s="1"/>
      <c r="AE2" s="1"/>
      <c r="AF2" s="1"/>
      <c r="AG2" s="1"/>
      <c r="AH2" s="1"/>
      <c r="AI2" s="1"/>
      <c r="AJ2" s="1"/>
      <c r="AK2" s="1"/>
      <c r="AL2" s="1"/>
      <c r="AM2" s="1"/>
      <c r="AN2" s="1"/>
    </row>
    <row r="3" spans="1:40" ht="14.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ht="14.4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4.45">
      <c r="A5" s="1"/>
      <c r="B5" s="1"/>
      <c r="C5" s="1"/>
      <c r="D5" s="1"/>
      <c r="E5" s="1"/>
      <c r="F5" s="1"/>
      <c r="G5" s="1"/>
      <c r="H5" s="1"/>
      <c r="I5" s="1"/>
      <c r="J5" s="1"/>
      <c r="K5" s="1"/>
      <c r="L5" s="1"/>
      <c r="M5" s="1"/>
      <c r="N5" s="1"/>
      <c r="O5" s="1"/>
      <c r="P5" s="112"/>
      <c r="Q5" s="113"/>
      <c r="R5" s="113"/>
      <c r="S5" s="113"/>
      <c r="T5" s="113"/>
      <c r="U5" s="113"/>
      <c r="V5" s="113"/>
      <c r="W5" s="113"/>
      <c r="X5" s="113"/>
      <c r="Y5" s="114"/>
      <c r="Z5" s="1"/>
      <c r="AA5" s="1"/>
      <c r="AB5" s="1"/>
      <c r="AC5" s="1"/>
      <c r="AD5" s="1"/>
      <c r="AE5" s="1"/>
      <c r="AF5" s="1"/>
      <c r="AG5" s="1"/>
      <c r="AH5" s="1"/>
      <c r="AI5" s="1"/>
      <c r="AJ5" s="1"/>
      <c r="AK5" s="1"/>
      <c r="AL5" s="1"/>
      <c r="AM5" s="1"/>
      <c r="AN5" s="1"/>
    </row>
    <row r="6" spans="1:40" ht="14.45">
      <c r="A6" s="1"/>
      <c r="B6" s="1"/>
      <c r="C6" s="1"/>
      <c r="D6" s="1"/>
      <c r="E6" s="1"/>
      <c r="F6" s="1"/>
      <c r="G6" s="1"/>
      <c r="H6" s="1"/>
      <c r="I6" s="1"/>
      <c r="J6" s="1"/>
      <c r="K6" s="1"/>
      <c r="L6" s="1"/>
      <c r="M6" s="1"/>
      <c r="N6" s="1"/>
      <c r="O6" s="1"/>
      <c r="P6" s="111"/>
      <c r="Q6" s="115"/>
      <c r="R6" s="115"/>
      <c r="S6" s="115"/>
      <c r="T6" s="115"/>
      <c r="U6" s="115"/>
      <c r="V6" s="115"/>
      <c r="W6" s="115"/>
      <c r="X6" s="115"/>
      <c r="Y6" s="116"/>
      <c r="Z6" s="1"/>
      <c r="AA6" s="1"/>
      <c r="AB6" s="1"/>
      <c r="AC6" s="1"/>
      <c r="AD6" s="1"/>
      <c r="AE6" s="1"/>
      <c r="AF6" s="1"/>
      <c r="AG6" s="1"/>
      <c r="AH6" s="1"/>
      <c r="AI6" s="1"/>
      <c r="AJ6" s="1"/>
      <c r="AK6" s="1"/>
      <c r="AL6" s="1"/>
      <c r="AM6" s="1"/>
      <c r="AN6" s="1"/>
    </row>
    <row r="7" spans="1:40" ht="28.9">
      <c r="A7" s="1"/>
      <c r="B7" s="1"/>
      <c r="C7" s="1"/>
      <c r="D7" s="1"/>
      <c r="E7" s="1"/>
      <c r="F7" s="1"/>
      <c r="G7" s="1"/>
      <c r="H7" s="1"/>
      <c r="I7" s="1"/>
      <c r="J7" s="1"/>
      <c r="K7" s="1"/>
      <c r="L7" s="1"/>
      <c r="M7" s="1"/>
      <c r="N7" s="1"/>
      <c r="O7" s="1"/>
      <c r="P7" s="111"/>
      <c r="Q7" s="115"/>
      <c r="R7" s="343" t="s">
        <v>56</v>
      </c>
      <c r="S7" s="344"/>
      <c r="T7" s="344"/>
      <c r="U7" s="344"/>
      <c r="V7" s="344"/>
      <c r="W7" s="345"/>
      <c r="X7" s="115"/>
      <c r="Y7" s="116"/>
      <c r="Z7" s="1"/>
      <c r="AA7" s="1"/>
      <c r="AB7" s="1"/>
      <c r="AC7" s="1"/>
      <c r="AD7" s="1"/>
      <c r="AE7" s="1"/>
      <c r="AF7" s="1"/>
      <c r="AG7" s="1"/>
      <c r="AH7" s="1"/>
      <c r="AI7" s="1"/>
      <c r="AJ7" s="1"/>
      <c r="AK7" s="1"/>
      <c r="AL7" s="1"/>
      <c r="AM7" s="1"/>
      <c r="AN7" s="1"/>
    </row>
    <row r="8" spans="1:40" ht="14.45">
      <c r="A8" s="1"/>
      <c r="B8" s="1"/>
      <c r="C8" s="1"/>
      <c r="D8" s="1"/>
      <c r="E8" s="1"/>
      <c r="F8" s="1"/>
      <c r="G8" s="1"/>
      <c r="H8" s="1"/>
      <c r="I8" s="1"/>
      <c r="J8" s="1"/>
      <c r="K8" s="1"/>
      <c r="L8" s="1"/>
      <c r="M8" s="1"/>
      <c r="N8" s="1"/>
      <c r="O8" s="1"/>
      <c r="P8" s="111"/>
      <c r="Q8" s="115"/>
      <c r="R8" s="115"/>
      <c r="S8" s="115"/>
      <c r="T8" s="115"/>
      <c r="U8" s="115"/>
      <c r="V8" s="115"/>
      <c r="W8" s="115"/>
      <c r="X8" s="115"/>
      <c r="Y8" s="116"/>
      <c r="Z8" s="1"/>
      <c r="AA8" s="1"/>
      <c r="AB8" s="1"/>
      <c r="AC8" s="1"/>
      <c r="AD8" s="1"/>
      <c r="AE8" s="1"/>
      <c r="AF8" s="1"/>
      <c r="AG8" s="1"/>
      <c r="AH8" s="1"/>
      <c r="AI8" s="1"/>
      <c r="AJ8" s="1"/>
      <c r="AK8" s="1"/>
      <c r="AL8" s="1"/>
      <c r="AM8" s="1"/>
      <c r="AN8" s="1"/>
    </row>
    <row r="9" spans="1:40" ht="14.45">
      <c r="A9" s="1"/>
      <c r="B9" s="1"/>
      <c r="C9" s="1"/>
      <c r="D9" s="1"/>
      <c r="E9" s="1"/>
      <c r="F9" s="1"/>
      <c r="G9" s="1"/>
      <c r="H9" s="1"/>
      <c r="I9" s="1"/>
      <c r="J9" s="1"/>
      <c r="K9" s="1"/>
      <c r="L9" s="1"/>
      <c r="M9" s="1"/>
      <c r="N9" s="1"/>
      <c r="O9" s="1"/>
      <c r="P9" s="111"/>
      <c r="Q9" s="115"/>
      <c r="R9" s="341" t="s">
        <v>57</v>
      </c>
      <c r="S9" s="342"/>
      <c r="T9" s="108">
        <v>1.024</v>
      </c>
      <c r="U9" s="115" t="s">
        <v>58</v>
      </c>
      <c r="V9" s="341"/>
      <c r="W9" s="341"/>
      <c r="X9" s="115"/>
      <c r="Y9" s="116"/>
      <c r="Z9" s="1"/>
      <c r="AA9" s="1"/>
      <c r="AB9" s="1"/>
      <c r="AC9" s="1"/>
      <c r="AD9" s="1"/>
      <c r="AE9" s="1"/>
      <c r="AF9" s="1"/>
      <c r="AG9" s="1"/>
      <c r="AH9" s="1"/>
      <c r="AI9" s="1"/>
      <c r="AJ9" s="1"/>
      <c r="AK9" s="1"/>
      <c r="AL9" s="1"/>
      <c r="AM9" s="1"/>
      <c r="AN9" s="1"/>
    </row>
    <row r="10" spans="1:40" ht="14.45">
      <c r="A10" s="1"/>
      <c r="B10" s="1"/>
      <c r="C10" s="1"/>
      <c r="D10" s="1"/>
      <c r="E10" s="1"/>
      <c r="F10" s="1"/>
      <c r="G10" s="1"/>
      <c r="H10" s="1"/>
      <c r="I10" s="1"/>
      <c r="J10" s="1"/>
      <c r="K10" s="1"/>
      <c r="L10" s="1"/>
      <c r="M10" s="1"/>
      <c r="N10" s="1"/>
      <c r="O10" s="1"/>
      <c r="P10" s="111"/>
      <c r="Q10" s="115"/>
      <c r="R10" s="341" t="s">
        <v>59</v>
      </c>
      <c r="S10" s="342"/>
      <c r="T10" s="108">
        <v>0.95199999999999996</v>
      </c>
      <c r="U10" s="115" t="s">
        <v>58</v>
      </c>
      <c r="V10" s="115"/>
      <c r="W10" s="341"/>
      <c r="X10" s="341"/>
      <c r="Y10" s="116"/>
      <c r="Z10" s="1"/>
      <c r="AA10" s="1"/>
      <c r="AB10" s="1"/>
      <c r="AC10" s="1"/>
      <c r="AD10" s="1"/>
      <c r="AE10" s="1"/>
      <c r="AF10" s="1"/>
      <c r="AG10" s="1"/>
      <c r="AH10" s="1"/>
      <c r="AI10" s="1"/>
      <c r="AJ10" s="1"/>
      <c r="AK10" s="1"/>
      <c r="AL10" s="1"/>
      <c r="AM10" s="1"/>
      <c r="AN10" s="1"/>
    </row>
    <row r="11" spans="1:40" ht="14.45">
      <c r="A11" s="1"/>
      <c r="B11" s="1"/>
      <c r="C11" s="1"/>
      <c r="D11" s="1"/>
      <c r="E11" s="1"/>
      <c r="F11" s="1"/>
      <c r="G11" s="1"/>
      <c r="H11" s="1"/>
      <c r="I11" s="1"/>
      <c r="J11" s="1"/>
      <c r="K11" s="1"/>
      <c r="L11" s="1"/>
      <c r="M11" s="1"/>
      <c r="N11" s="1"/>
      <c r="O11" s="1"/>
      <c r="P11" s="111"/>
      <c r="Q11" s="115"/>
      <c r="R11" s="341" t="s">
        <v>60</v>
      </c>
      <c r="S11" s="342"/>
      <c r="T11" s="298">
        <f>T9-T10</f>
        <v>7.2000000000000064E-2</v>
      </c>
      <c r="U11" s="115" t="s">
        <v>58</v>
      </c>
      <c r="V11" s="119"/>
      <c r="W11" s="119"/>
      <c r="X11" s="115"/>
      <c r="Y11" s="116"/>
      <c r="Z11" s="1"/>
      <c r="AA11" s="1"/>
      <c r="AB11" s="1"/>
      <c r="AC11" s="1"/>
      <c r="AD11" s="1"/>
      <c r="AE11" s="1"/>
      <c r="AF11" s="1"/>
      <c r="AG11" s="1"/>
      <c r="AH11" s="1"/>
      <c r="AI11" s="1"/>
      <c r="AJ11" s="1"/>
      <c r="AK11" s="1"/>
      <c r="AL11" s="1"/>
      <c r="AM11" s="1"/>
      <c r="AN11" s="1"/>
    </row>
    <row r="12" spans="1:40" ht="14.45">
      <c r="A12" s="1"/>
      <c r="B12" s="1"/>
      <c r="C12" s="1"/>
      <c r="D12" s="1"/>
      <c r="E12" s="1"/>
      <c r="F12" s="1"/>
      <c r="G12" s="1"/>
      <c r="H12" s="1"/>
      <c r="I12" s="1"/>
      <c r="J12" s="1"/>
      <c r="K12" s="1"/>
      <c r="L12" s="1"/>
      <c r="M12" s="1"/>
      <c r="N12" s="1"/>
      <c r="O12" s="1"/>
      <c r="P12" s="111"/>
      <c r="Q12" s="115"/>
      <c r="R12" s="341"/>
      <c r="S12" s="341"/>
      <c r="T12" s="341"/>
      <c r="U12" s="341"/>
      <c r="V12" s="119"/>
      <c r="W12" s="119"/>
      <c r="X12" s="115"/>
      <c r="Y12" s="116"/>
      <c r="Z12" s="1"/>
      <c r="AA12" s="1"/>
      <c r="AB12" s="1"/>
      <c r="AC12" s="1"/>
      <c r="AD12" s="1"/>
      <c r="AE12" s="1"/>
      <c r="AF12" s="1"/>
      <c r="AG12" s="1"/>
      <c r="AH12" s="1"/>
      <c r="AI12" s="1"/>
      <c r="AJ12" s="1"/>
      <c r="AK12" s="1"/>
      <c r="AL12" s="1"/>
      <c r="AM12" s="1"/>
      <c r="AN12" s="1"/>
    </row>
    <row r="13" spans="1:40" ht="14.45">
      <c r="A13" s="1"/>
      <c r="B13" s="1"/>
      <c r="C13" s="1"/>
      <c r="D13" s="1"/>
      <c r="E13" s="1"/>
      <c r="F13" s="1"/>
      <c r="G13" s="1"/>
      <c r="H13" s="1"/>
      <c r="I13" s="1"/>
      <c r="J13" s="1"/>
      <c r="K13" s="1"/>
      <c r="L13" s="1"/>
      <c r="M13" s="1"/>
      <c r="N13" s="1"/>
      <c r="O13" s="1"/>
      <c r="P13" s="111"/>
      <c r="Q13" s="115"/>
      <c r="R13" s="341" t="s">
        <v>61</v>
      </c>
      <c r="S13" s="341"/>
      <c r="T13" s="298">
        <v>0.39200000000000002</v>
      </c>
      <c r="U13" s="115" t="s">
        <v>58</v>
      </c>
      <c r="V13" s="119"/>
      <c r="W13" s="119"/>
      <c r="X13" s="115"/>
      <c r="Y13" s="116"/>
      <c r="Z13" s="1"/>
      <c r="AA13" s="1"/>
      <c r="AB13" s="1"/>
      <c r="AC13" s="1"/>
      <c r="AD13" s="1"/>
      <c r="AE13" s="1"/>
      <c r="AF13" s="1"/>
      <c r="AG13" s="1"/>
      <c r="AH13" s="1"/>
      <c r="AI13" s="1"/>
      <c r="AJ13" s="1"/>
      <c r="AK13" s="1"/>
      <c r="AL13" s="1"/>
      <c r="AM13" s="1"/>
      <c r="AN13" s="1"/>
    </row>
    <row r="14" spans="1:40" ht="14.45">
      <c r="A14" s="1"/>
      <c r="B14" s="1"/>
      <c r="C14" s="1"/>
      <c r="D14" s="1"/>
      <c r="E14" s="1"/>
      <c r="F14" s="1"/>
      <c r="G14" s="1"/>
      <c r="H14" s="1"/>
      <c r="I14" s="1"/>
      <c r="J14" s="1"/>
      <c r="K14" s="1"/>
      <c r="L14" s="1"/>
      <c r="M14" s="1"/>
      <c r="N14" s="1"/>
      <c r="O14" s="1"/>
      <c r="P14" s="111"/>
      <c r="Q14" s="115"/>
      <c r="R14" s="341" t="s">
        <v>62</v>
      </c>
      <c r="S14" s="341"/>
      <c r="T14" s="298">
        <v>0.25600000000000001</v>
      </c>
      <c r="U14" s="115" t="s">
        <v>58</v>
      </c>
      <c r="V14" s="119"/>
      <c r="W14" s="119"/>
      <c r="X14" s="115"/>
      <c r="Y14" s="116"/>
      <c r="Z14" s="1"/>
      <c r="AA14" s="1"/>
      <c r="AB14" s="1"/>
      <c r="AC14" s="1"/>
      <c r="AD14" s="1"/>
      <c r="AE14" s="1"/>
      <c r="AF14" s="1"/>
      <c r="AG14" s="1"/>
      <c r="AH14" s="1"/>
      <c r="AI14" s="1"/>
      <c r="AJ14" s="1"/>
      <c r="AK14" s="1"/>
      <c r="AL14" s="1"/>
      <c r="AM14" s="1"/>
      <c r="AN14" s="1"/>
    </row>
    <row r="15" spans="1:40" ht="14.45">
      <c r="A15" s="1"/>
      <c r="B15" s="1"/>
      <c r="C15" s="1"/>
      <c r="D15" s="1"/>
      <c r="E15" s="1"/>
      <c r="F15" s="1"/>
      <c r="G15" s="1"/>
      <c r="H15" s="1"/>
      <c r="I15" s="1"/>
      <c r="J15" s="1"/>
      <c r="K15" s="1"/>
      <c r="L15" s="1"/>
      <c r="M15" s="1"/>
      <c r="N15" s="1"/>
      <c r="O15" s="1"/>
      <c r="P15" s="111"/>
      <c r="Q15" s="115"/>
      <c r="R15" s="341" t="s">
        <v>63</v>
      </c>
      <c r="S15" s="341"/>
      <c r="T15" s="300">
        <v>30</v>
      </c>
      <c r="U15" s="115" t="s">
        <v>64</v>
      </c>
      <c r="V15" s="119"/>
      <c r="W15" s="119"/>
      <c r="X15" s="115"/>
      <c r="Y15" s="116"/>
      <c r="Z15" s="1"/>
      <c r="AA15" s="1"/>
      <c r="AB15" s="1"/>
      <c r="AC15" s="1"/>
      <c r="AD15" s="1"/>
      <c r="AE15" s="1"/>
      <c r="AF15" s="1"/>
      <c r="AG15" s="1"/>
      <c r="AH15" s="1"/>
      <c r="AI15" s="1"/>
      <c r="AJ15" s="1"/>
      <c r="AK15" s="1"/>
      <c r="AL15" s="1"/>
      <c r="AM15" s="1"/>
      <c r="AN15" s="1"/>
    </row>
    <row r="16" spans="1:40" ht="14.45">
      <c r="A16" s="1"/>
      <c r="B16" s="1"/>
      <c r="C16" s="1"/>
      <c r="D16" s="1"/>
      <c r="E16" s="1"/>
      <c r="F16" s="1"/>
      <c r="G16" s="1"/>
      <c r="H16" s="1"/>
      <c r="I16" s="1"/>
      <c r="J16" s="1"/>
      <c r="K16" s="1"/>
      <c r="L16" s="1"/>
      <c r="M16" s="1"/>
      <c r="N16" s="1"/>
      <c r="O16" s="1"/>
      <c r="P16" s="111"/>
      <c r="Q16" s="115"/>
      <c r="R16" s="294"/>
      <c r="S16" s="294"/>
      <c r="T16" s="115"/>
      <c r="U16" s="115"/>
      <c r="V16" s="119"/>
      <c r="W16" s="119"/>
      <c r="X16" s="115"/>
      <c r="Y16" s="116"/>
      <c r="Z16" s="1"/>
      <c r="AA16" s="1"/>
      <c r="AB16" s="1"/>
      <c r="AC16" s="1"/>
      <c r="AD16" s="1"/>
      <c r="AE16" s="1"/>
      <c r="AF16" s="1"/>
      <c r="AG16" s="1"/>
      <c r="AH16" s="1"/>
      <c r="AI16" s="1"/>
      <c r="AJ16" s="1"/>
      <c r="AK16" s="1"/>
      <c r="AL16" s="1"/>
      <c r="AM16" s="1"/>
      <c r="AN16" s="1"/>
    </row>
    <row r="17" spans="1:40" ht="14.45">
      <c r="A17" s="1"/>
      <c r="B17" s="1"/>
      <c r="C17" s="1"/>
      <c r="D17" s="1"/>
      <c r="E17" s="1"/>
      <c r="F17" s="1"/>
      <c r="G17" s="1"/>
      <c r="H17" s="1"/>
      <c r="I17" s="1"/>
      <c r="J17" s="1"/>
      <c r="K17" s="1"/>
      <c r="L17" s="1"/>
      <c r="M17" s="1"/>
      <c r="N17" s="1"/>
      <c r="O17" s="1"/>
      <c r="P17" s="111"/>
      <c r="Q17" s="115"/>
      <c r="R17" s="341" t="s">
        <v>65</v>
      </c>
      <c r="S17" s="341"/>
      <c r="T17" s="298">
        <v>0.34399999999999997</v>
      </c>
      <c r="U17" s="115" t="s">
        <v>58</v>
      </c>
      <c r="V17" s="119"/>
      <c r="W17" s="119"/>
      <c r="X17" s="115"/>
      <c r="Y17" s="116"/>
      <c r="Z17" s="1"/>
      <c r="AA17" s="1"/>
      <c r="AB17" s="1"/>
      <c r="AC17" s="1"/>
      <c r="AD17" s="1"/>
      <c r="AE17" s="1"/>
      <c r="AF17" s="1"/>
      <c r="AG17" s="1"/>
      <c r="AH17" s="1"/>
      <c r="AI17" s="1"/>
      <c r="AJ17" s="1"/>
      <c r="AK17" s="1"/>
      <c r="AL17" s="1"/>
      <c r="AM17" s="1"/>
      <c r="AN17" s="1"/>
    </row>
    <row r="18" spans="1:40" ht="14.45">
      <c r="A18" s="1"/>
      <c r="B18" s="1"/>
      <c r="C18" s="1"/>
      <c r="D18" s="1"/>
      <c r="E18" s="1"/>
      <c r="F18" s="1"/>
      <c r="G18" s="1"/>
      <c r="H18" s="1"/>
      <c r="I18" s="1"/>
      <c r="J18" s="1"/>
      <c r="K18" s="1"/>
      <c r="L18" s="1"/>
      <c r="M18" s="1"/>
      <c r="N18" s="1"/>
      <c r="O18" s="1"/>
      <c r="P18" s="111"/>
      <c r="Q18" s="115"/>
      <c r="R18" s="341" t="s">
        <v>66</v>
      </c>
      <c r="S18" s="341"/>
      <c r="T18" s="298">
        <v>0.248</v>
      </c>
      <c r="U18" s="115" t="s">
        <v>58</v>
      </c>
      <c r="V18" s="119"/>
      <c r="W18" s="119"/>
      <c r="X18" s="115"/>
      <c r="Y18" s="116"/>
      <c r="Z18" s="1"/>
      <c r="AA18" s="1"/>
      <c r="AB18" s="1"/>
      <c r="AC18" s="1"/>
      <c r="AD18" s="1"/>
      <c r="AE18" s="1"/>
      <c r="AF18" s="1"/>
      <c r="AG18" s="1"/>
      <c r="AH18" s="1"/>
      <c r="AI18" s="1"/>
      <c r="AJ18" s="1"/>
      <c r="AK18" s="1"/>
      <c r="AL18" s="1"/>
      <c r="AM18" s="1"/>
      <c r="AN18" s="1"/>
    </row>
    <row r="19" spans="1:40" ht="14.45">
      <c r="A19" s="1"/>
      <c r="B19" s="1"/>
      <c r="C19" s="1"/>
      <c r="D19" s="1"/>
      <c r="E19" s="1"/>
      <c r="F19" s="1"/>
      <c r="G19" s="1"/>
      <c r="H19" s="1"/>
      <c r="I19" s="1"/>
      <c r="J19" s="1"/>
      <c r="K19" s="1"/>
      <c r="L19" s="1"/>
      <c r="M19" s="1"/>
      <c r="N19" s="1"/>
      <c r="O19" s="1"/>
      <c r="P19" s="117"/>
      <c r="Q19" s="118"/>
      <c r="R19" s="118"/>
      <c r="S19" s="118"/>
      <c r="T19" s="118"/>
      <c r="U19" s="118"/>
      <c r="V19" s="118"/>
      <c r="W19" s="118"/>
      <c r="X19" s="118"/>
      <c r="Y19" s="120"/>
      <c r="Z19" s="1"/>
      <c r="AA19" s="1"/>
      <c r="AB19" s="1"/>
      <c r="AC19" s="1"/>
      <c r="AD19" s="1"/>
      <c r="AE19" s="1"/>
      <c r="AF19" s="1"/>
      <c r="AG19" s="1"/>
      <c r="AH19" s="1"/>
      <c r="AI19" s="1"/>
      <c r="AJ19" s="1"/>
      <c r="AK19" s="1"/>
      <c r="AL19" s="1"/>
      <c r="AM19" s="1"/>
      <c r="AN19" s="1"/>
    </row>
    <row r="20" spans="1:40" ht="14.45">
      <c r="A20" s="1"/>
      <c r="B20" s="1"/>
      <c r="C20" s="1"/>
      <c r="D20" s="1"/>
      <c r="E20" s="1"/>
      <c r="F20" s="1"/>
      <c r="G20" s="1"/>
      <c r="H20" s="1"/>
      <c r="I20" s="1"/>
      <c r="J20" s="1"/>
      <c r="K20" s="1"/>
      <c r="L20" s="1"/>
      <c r="M20" s="1"/>
      <c r="N20" s="1"/>
      <c r="O20" s="1"/>
      <c r="Z20" s="1"/>
      <c r="AA20" s="1"/>
      <c r="AB20" s="1"/>
      <c r="AC20" s="1"/>
      <c r="AD20" s="1"/>
      <c r="AE20" s="1"/>
      <c r="AF20" s="1"/>
      <c r="AG20" s="1"/>
      <c r="AH20" s="1"/>
      <c r="AI20" s="1"/>
      <c r="AJ20" s="1"/>
      <c r="AK20" s="1"/>
      <c r="AL20" s="1"/>
      <c r="AM20" s="1"/>
      <c r="AN20" s="1"/>
    </row>
    <row r="21" spans="1:40" ht="14.45">
      <c r="A21" s="1"/>
      <c r="B21" s="1"/>
      <c r="C21" s="1"/>
      <c r="D21" s="1"/>
      <c r="E21" s="1"/>
      <c r="F21" s="1"/>
      <c r="G21" s="1"/>
      <c r="H21" s="1"/>
      <c r="I21" s="1"/>
      <c r="J21" s="1"/>
      <c r="K21" s="1"/>
      <c r="L21" s="1"/>
      <c r="M21" s="1"/>
      <c r="N21" s="1"/>
      <c r="O21" s="1"/>
      <c r="P21" s="112"/>
      <c r="Q21" s="113"/>
      <c r="R21" s="113"/>
      <c r="S21" s="113"/>
      <c r="T21" s="113"/>
      <c r="U21" s="113"/>
      <c r="V21" s="113"/>
      <c r="W21" s="113"/>
      <c r="X21" s="113"/>
      <c r="Y21" s="114"/>
      <c r="Z21" s="1"/>
      <c r="AA21" s="1"/>
      <c r="AB21" s="1"/>
      <c r="AC21" s="1"/>
      <c r="AD21" s="1"/>
      <c r="AE21" s="1"/>
      <c r="AF21" s="1"/>
      <c r="AG21" s="1"/>
      <c r="AH21" s="1"/>
      <c r="AI21" s="1"/>
      <c r="AJ21" s="1"/>
      <c r="AK21" s="1"/>
      <c r="AL21" s="1"/>
      <c r="AM21" s="1"/>
      <c r="AN21" s="1"/>
    </row>
    <row r="22" spans="1:40" ht="14.45">
      <c r="A22" s="1"/>
      <c r="B22" s="1"/>
      <c r="C22" s="1"/>
      <c r="D22" s="1"/>
      <c r="E22" s="1"/>
      <c r="F22" s="1"/>
      <c r="G22" s="1"/>
      <c r="H22" s="1"/>
      <c r="I22" s="1"/>
      <c r="J22" s="1"/>
      <c r="K22" s="1"/>
      <c r="L22" s="1"/>
      <c r="M22" s="1"/>
      <c r="N22" s="1"/>
      <c r="O22" s="1"/>
      <c r="P22" s="111"/>
      <c r="Q22" s="115"/>
      <c r="R22" s="115"/>
      <c r="S22" s="115"/>
      <c r="T22" s="115"/>
      <c r="U22" s="115"/>
      <c r="V22" s="115"/>
      <c r="W22" s="115"/>
      <c r="X22" s="115"/>
      <c r="Y22" s="116"/>
      <c r="Z22" s="1"/>
      <c r="AA22" s="1"/>
      <c r="AB22" s="1"/>
      <c r="AC22" s="1"/>
      <c r="AD22" s="1"/>
      <c r="AE22" s="1"/>
      <c r="AF22" s="1"/>
      <c r="AG22" s="1"/>
      <c r="AH22" s="1"/>
      <c r="AI22" s="1"/>
      <c r="AJ22" s="1"/>
      <c r="AK22" s="1"/>
      <c r="AL22" s="1"/>
      <c r="AM22" s="1"/>
      <c r="AN22" s="1"/>
    </row>
    <row r="23" spans="1:40" ht="28.9">
      <c r="A23" s="1"/>
      <c r="B23" s="1"/>
      <c r="C23" s="1"/>
      <c r="D23" s="1"/>
      <c r="E23" s="1"/>
      <c r="F23" s="1"/>
      <c r="G23" s="1"/>
      <c r="H23" s="1"/>
      <c r="I23" s="1"/>
      <c r="J23" s="1"/>
      <c r="K23" s="1"/>
      <c r="L23" s="1"/>
      <c r="M23" s="1"/>
      <c r="N23" s="1"/>
      <c r="O23" s="1"/>
      <c r="P23" s="111"/>
      <c r="Q23" s="115"/>
      <c r="R23" s="343" t="s">
        <v>67</v>
      </c>
      <c r="S23" s="344"/>
      <c r="T23" s="344"/>
      <c r="U23" s="344"/>
      <c r="V23" s="344"/>
      <c r="W23" s="345"/>
      <c r="X23" s="115"/>
      <c r="Y23" s="116"/>
      <c r="Z23" s="1"/>
      <c r="AA23" s="1"/>
      <c r="AB23" s="1"/>
      <c r="AC23" s="1"/>
      <c r="AD23" s="1"/>
      <c r="AE23" s="1"/>
      <c r="AF23" s="1"/>
      <c r="AG23" s="1"/>
      <c r="AH23" s="1"/>
      <c r="AI23" s="1"/>
      <c r="AJ23" s="1"/>
      <c r="AK23" s="1"/>
      <c r="AL23" s="1"/>
      <c r="AM23" s="1"/>
      <c r="AN23" s="1"/>
    </row>
    <row r="24" spans="1:40" ht="14.45">
      <c r="A24" s="1"/>
      <c r="B24" s="1"/>
      <c r="C24" s="1"/>
      <c r="D24" s="1"/>
      <c r="E24" s="1"/>
      <c r="F24" s="1"/>
      <c r="G24" s="1"/>
      <c r="H24" s="1"/>
      <c r="I24" s="1"/>
      <c r="J24" s="1"/>
      <c r="K24" s="1"/>
      <c r="L24" s="1"/>
      <c r="M24" s="1"/>
      <c r="N24" s="1"/>
      <c r="O24" s="1"/>
      <c r="P24" s="111"/>
      <c r="Q24" s="115"/>
      <c r="R24" s="115"/>
      <c r="S24" s="115"/>
      <c r="T24" s="115"/>
      <c r="U24" s="115"/>
      <c r="V24" s="115"/>
      <c r="W24" s="115"/>
      <c r="X24" s="115"/>
      <c r="Y24" s="116"/>
      <c r="Z24" s="1"/>
      <c r="AA24" s="1"/>
      <c r="AB24" s="1"/>
      <c r="AC24" s="1"/>
      <c r="AD24" s="1"/>
      <c r="AE24" s="1"/>
      <c r="AF24" s="1"/>
      <c r="AG24" s="1"/>
      <c r="AH24" s="1"/>
      <c r="AI24" s="1"/>
      <c r="AJ24" s="1"/>
      <c r="AK24" s="1"/>
      <c r="AL24" s="1"/>
      <c r="AM24" s="1"/>
      <c r="AN24" s="1"/>
    </row>
    <row r="25" spans="1:40" ht="14.45">
      <c r="A25" s="1"/>
      <c r="B25" s="1"/>
      <c r="C25" s="1"/>
      <c r="D25" s="1"/>
      <c r="E25" s="1"/>
      <c r="F25" s="1"/>
      <c r="G25" s="1"/>
      <c r="H25" s="1"/>
      <c r="I25" s="1"/>
      <c r="J25" s="1"/>
      <c r="K25" s="1"/>
      <c r="L25" s="1"/>
      <c r="M25" s="1"/>
      <c r="N25" s="1"/>
      <c r="O25" s="1"/>
      <c r="P25" s="111"/>
      <c r="Q25" s="115"/>
      <c r="R25" s="341" t="s">
        <v>68</v>
      </c>
      <c r="S25" s="342"/>
      <c r="T25" s="297">
        <v>30</v>
      </c>
      <c r="U25" s="115"/>
      <c r="V25" s="115"/>
      <c r="W25" s="115"/>
      <c r="X25" s="115"/>
      <c r="Y25" s="116"/>
      <c r="Z25" s="1"/>
      <c r="AA25" s="1"/>
      <c r="AB25" s="1"/>
      <c r="AC25" s="1"/>
      <c r="AD25" s="1"/>
      <c r="AE25" s="1"/>
      <c r="AF25" s="1"/>
      <c r="AG25" s="1"/>
      <c r="AH25" s="1"/>
      <c r="AI25" s="1"/>
      <c r="AJ25" s="1"/>
      <c r="AK25" s="1"/>
      <c r="AL25" s="1"/>
      <c r="AM25" s="1"/>
      <c r="AN25" s="1"/>
    </row>
    <row r="26" spans="1:40" ht="14.45">
      <c r="A26" s="1"/>
      <c r="B26" s="1"/>
      <c r="C26" s="1"/>
      <c r="D26" s="1"/>
      <c r="E26" s="1"/>
      <c r="F26" s="1"/>
      <c r="G26" s="1"/>
      <c r="H26" s="1"/>
      <c r="I26" s="1"/>
      <c r="J26" s="1"/>
      <c r="K26" s="1"/>
      <c r="L26" s="1"/>
      <c r="M26" s="1"/>
      <c r="N26" s="1"/>
      <c r="O26" s="1"/>
      <c r="P26" s="111"/>
      <c r="Q26" s="115"/>
      <c r="R26" s="341" t="s">
        <v>69</v>
      </c>
      <c r="S26" s="341"/>
      <c r="T26" s="239">
        <f>T25*($T$17+$T$19+2*$T$9)</f>
        <v>71.759999999999991</v>
      </c>
      <c r="U26" s="115" t="s">
        <v>58</v>
      </c>
      <c r="V26" s="115"/>
      <c r="W26" s="115"/>
      <c r="X26" s="115"/>
      <c r="Y26" s="116"/>
      <c r="Z26" s="1"/>
      <c r="AA26" s="1"/>
      <c r="AB26" s="1"/>
      <c r="AC26" s="1"/>
      <c r="AD26" s="1"/>
      <c r="AE26" s="1"/>
      <c r="AF26" s="1"/>
      <c r="AG26" s="1"/>
      <c r="AH26" s="1"/>
      <c r="AI26" s="1"/>
      <c r="AJ26" s="1"/>
      <c r="AK26" s="1"/>
      <c r="AL26" s="1"/>
      <c r="AM26" s="1"/>
      <c r="AN26" s="1"/>
    </row>
    <row r="27" spans="1:40" ht="14.45">
      <c r="A27" s="1"/>
      <c r="B27" s="1"/>
      <c r="C27" s="1"/>
      <c r="D27" s="1"/>
      <c r="E27" s="1"/>
      <c r="F27" s="1"/>
      <c r="G27" s="1"/>
      <c r="H27" s="1"/>
      <c r="I27" s="1"/>
      <c r="J27" s="1"/>
      <c r="K27" s="1"/>
      <c r="L27" s="1"/>
      <c r="M27" s="1"/>
      <c r="N27" s="1"/>
      <c r="O27" s="1"/>
      <c r="P27" s="111"/>
      <c r="Q27" s="115"/>
      <c r="R27" s="115"/>
      <c r="S27" s="115"/>
      <c r="T27" s="115"/>
      <c r="U27" s="115"/>
      <c r="V27" s="115"/>
      <c r="W27" s="115"/>
      <c r="X27" s="115"/>
      <c r="Y27" s="116"/>
      <c r="Z27" s="1"/>
      <c r="AA27" s="1"/>
      <c r="AB27" s="1"/>
      <c r="AC27" s="1"/>
      <c r="AD27" s="1"/>
      <c r="AE27" s="1"/>
      <c r="AF27" s="1"/>
      <c r="AG27" s="1"/>
      <c r="AH27" s="1"/>
      <c r="AI27" s="1"/>
      <c r="AJ27" s="1"/>
      <c r="AK27" s="1"/>
      <c r="AL27" s="1"/>
      <c r="AM27" s="1"/>
      <c r="AN27" s="1"/>
    </row>
    <row r="28" spans="1:40" ht="14.45">
      <c r="A28" s="1"/>
      <c r="B28" s="1"/>
      <c r="C28" s="1"/>
      <c r="D28" s="1"/>
      <c r="E28" s="1"/>
      <c r="F28" s="1"/>
      <c r="G28" s="1"/>
      <c r="H28" s="1"/>
      <c r="I28" s="1"/>
      <c r="J28" s="1"/>
      <c r="K28" s="1"/>
      <c r="L28" s="1"/>
      <c r="M28" s="1"/>
      <c r="N28" s="1"/>
      <c r="O28" s="1"/>
      <c r="P28" s="111"/>
      <c r="Q28" s="115"/>
      <c r="R28" s="341" t="s">
        <v>70</v>
      </c>
      <c r="S28" s="342"/>
      <c r="T28" s="297">
        <v>50</v>
      </c>
      <c r="U28" s="115" t="s">
        <v>58</v>
      </c>
      <c r="V28" s="119"/>
      <c r="W28" s="119"/>
      <c r="X28" s="115"/>
      <c r="Y28" s="116"/>
      <c r="Z28" s="1"/>
      <c r="AA28" s="1"/>
      <c r="AB28" s="1"/>
      <c r="AC28" s="1"/>
      <c r="AD28" s="1"/>
      <c r="AE28" s="1"/>
      <c r="AF28" s="1"/>
      <c r="AG28" s="1"/>
      <c r="AH28" s="1"/>
      <c r="AI28" s="1"/>
      <c r="AJ28" s="1"/>
      <c r="AK28" s="1"/>
      <c r="AL28" s="1"/>
      <c r="AM28" s="1"/>
      <c r="AN28" s="1"/>
    </row>
    <row r="29" spans="1:40" ht="14.45">
      <c r="A29" s="1"/>
      <c r="B29" s="1"/>
      <c r="C29" s="1"/>
      <c r="D29" s="1"/>
      <c r="E29" s="1"/>
      <c r="F29" s="1"/>
      <c r="G29" s="1"/>
      <c r="H29" s="1"/>
      <c r="I29" s="1"/>
      <c r="J29" s="1"/>
      <c r="K29" s="1"/>
      <c r="L29" s="1"/>
      <c r="M29" s="1"/>
      <c r="N29" s="1"/>
      <c r="O29" s="1"/>
      <c r="P29" s="111"/>
      <c r="Q29" s="115"/>
      <c r="R29" s="341" t="s">
        <v>71</v>
      </c>
      <c r="S29" s="341"/>
      <c r="T29" s="297">
        <v>50</v>
      </c>
      <c r="U29" s="115" t="s">
        <v>58</v>
      </c>
      <c r="V29" s="119"/>
      <c r="W29" s="119"/>
      <c r="X29" s="115"/>
      <c r="Y29" s="116"/>
      <c r="Z29" s="1"/>
      <c r="AA29" s="1"/>
      <c r="AB29" s="1"/>
      <c r="AC29" s="1"/>
      <c r="AD29" s="1"/>
      <c r="AE29" s="1"/>
      <c r="AF29" s="1"/>
      <c r="AG29" s="1"/>
      <c r="AH29" s="1"/>
      <c r="AI29" s="1"/>
      <c r="AJ29" s="1"/>
      <c r="AK29" s="1"/>
      <c r="AL29" s="1"/>
      <c r="AM29" s="1"/>
      <c r="AN29" s="1"/>
    </row>
    <row r="30" spans="1:40" ht="14.45">
      <c r="A30" s="1"/>
      <c r="B30" s="1"/>
      <c r="C30" s="1"/>
      <c r="D30" s="1"/>
      <c r="E30" s="1"/>
      <c r="F30" s="1"/>
      <c r="G30" s="1"/>
      <c r="H30" s="1"/>
      <c r="I30" s="1"/>
      <c r="J30" s="1"/>
      <c r="K30" s="1"/>
      <c r="L30" s="1"/>
      <c r="M30" s="1"/>
      <c r="N30" s="1"/>
      <c r="O30" s="1"/>
      <c r="P30" s="111"/>
      <c r="Q30" s="115"/>
      <c r="R30" s="341" t="s">
        <v>72</v>
      </c>
      <c r="S30" s="341"/>
      <c r="T30" s="297">
        <v>50</v>
      </c>
      <c r="U30" s="115" t="s">
        <v>58</v>
      </c>
      <c r="V30" s="119"/>
      <c r="W30" s="119"/>
      <c r="X30" s="115"/>
      <c r="Y30" s="116"/>
      <c r="Z30" s="1"/>
      <c r="AA30" s="1"/>
      <c r="AB30" s="1"/>
      <c r="AC30" s="1"/>
      <c r="AD30" s="1"/>
      <c r="AE30" s="1"/>
      <c r="AF30" s="1"/>
      <c r="AG30" s="1"/>
      <c r="AH30" s="1"/>
      <c r="AI30" s="1"/>
      <c r="AJ30" s="1"/>
      <c r="AK30" s="1"/>
      <c r="AL30" s="1"/>
      <c r="AM30" s="1"/>
      <c r="AN30" s="1"/>
    </row>
    <row r="31" spans="1:40" ht="14.45">
      <c r="A31" s="1"/>
      <c r="B31" s="1"/>
      <c r="C31" s="1"/>
      <c r="D31" s="1"/>
      <c r="E31" s="1"/>
      <c r="F31" s="1"/>
      <c r="G31" s="1"/>
      <c r="H31" s="1"/>
      <c r="I31" s="1"/>
      <c r="J31" s="1"/>
      <c r="K31" s="1"/>
      <c r="L31" s="1"/>
      <c r="M31" s="1"/>
      <c r="N31" s="1"/>
      <c r="O31" s="1"/>
      <c r="P31" s="111"/>
      <c r="Q31" s="115"/>
      <c r="R31" s="341" t="s">
        <v>73</v>
      </c>
      <c r="S31" s="341"/>
      <c r="T31" s="239">
        <f>SUM(T28:T30)</f>
        <v>150</v>
      </c>
      <c r="U31" s="115" t="s">
        <v>58</v>
      </c>
      <c r="V31" s="341"/>
      <c r="W31" s="341"/>
      <c r="X31" s="115"/>
      <c r="Y31" s="116"/>
      <c r="Z31" s="1"/>
      <c r="AA31" s="1"/>
      <c r="AB31" s="1"/>
      <c r="AC31" s="1"/>
      <c r="AD31" s="1"/>
      <c r="AE31" s="1"/>
      <c r="AF31" s="1"/>
      <c r="AG31" s="1"/>
      <c r="AH31" s="1"/>
      <c r="AI31" s="1"/>
      <c r="AJ31" s="1"/>
      <c r="AK31" s="1"/>
      <c r="AL31" s="1"/>
      <c r="AM31" s="1"/>
      <c r="AN31" s="1"/>
    </row>
    <row r="32" spans="1:40" ht="14.45">
      <c r="A32" s="1"/>
      <c r="B32" s="1"/>
      <c r="C32" s="1"/>
      <c r="D32" s="1"/>
      <c r="E32" s="1"/>
      <c r="F32" s="1"/>
      <c r="G32" s="1"/>
      <c r="H32" s="1"/>
      <c r="I32" s="1"/>
      <c r="J32" s="1"/>
      <c r="K32" s="1"/>
      <c r="L32" s="1"/>
      <c r="M32" s="1"/>
      <c r="N32" s="1"/>
      <c r="O32" s="1"/>
      <c r="P32" s="111"/>
      <c r="Q32" s="115"/>
      <c r="R32" s="341" t="s">
        <v>69</v>
      </c>
      <c r="S32" s="341"/>
      <c r="T32" s="239">
        <f>FLOOR((T31+CEILING(T31/$T$10,1))/$T$15,1)*($T$13+$T$14)+(CEILING(T31/$T$10,1)*T$11)+T31</f>
        <v>167.85599999999999</v>
      </c>
      <c r="U32" s="115" t="s">
        <v>58</v>
      </c>
      <c r="V32" s="294"/>
      <c r="W32" s="294"/>
      <c r="X32" s="115"/>
      <c r="Y32" s="116"/>
      <c r="Z32" s="1"/>
      <c r="AA32" s="1"/>
      <c r="AB32" s="1"/>
      <c r="AC32" s="1"/>
      <c r="AD32" s="1"/>
      <c r="AE32" s="1"/>
      <c r="AF32" s="1"/>
      <c r="AG32" s="1"/>
      <c r="AH32" s="1"/>
      <c r="AI32" s="1"/>
      <c r="AJ32" s="1"/>
      <c r="AK32" s="1"/>
      <c r="AL32" s="1"/>
      <c r="AM32" s="1"/>
      <c r="AN32" s="1"/>
    </row>
    <row r="33" spans="1:40" ht="14.45">
      <c r="A33" s="1"/>
      <c r="B33" s="1"/>
      <c r="C33" s="1"/>
      <c r="D33" s="1"/>
      <c r="E33" s="1"/>
      <c r="F33" s="1"/>
      <c r="G33" s="1"/>
      <c r="H33" s="1"/>
      <c r="I33" s="1"/>
      <c r="J33" s="1"/>
      <c r="K33" s="1"/>
      <c r="L33" s="1"/>
      <c r="M33" s="1"/>
      <c r="N33" s="1"/>
      <c r="O33" s="1"/>
      <c r="P33" s="111"/>
      <c r="Q33" s="115"/>
      <c r="R33" s="341"/>
      <c r="S33" s="341"/>
      <c r="T33" s="341"/>
      <c r="U33" s="341"/>
      <c r="V33" s="341"/>
      <c r="W33" s="341"/>
      <c r="X33" s="115"/>
      <c r="Y33" s="116"/>
      <c r="Z33" s="1"/>
      <c r="AA33" s="1"/>
      <c r="AB33" s="1"/>
      <c r="AC33" s="1"/>
      <c r="AD33" s="1"/>
      <c r="AE33" s="1"/>
      <c r="AF33" s="1"/>
      <c r="AG33" s="1"/>
      <c r="AH33" s="1"/>
      <c r="AI33" s="1"/>
      <c r="AJ33" s="1"/>
      <c r="AK33" s="1"/>
      <c r="AL33" s="1"/>
      <c r="AM33" s="1"/>
      <c r="AN33" s="1"/>
    </row>
    <row r="34" spans="1:40" ht="15.75" customHeight="1">
      <c r="A34" s="1"/>
      <c r="B34" s="1"/>
      <c r="C34" s="1"/>
      <c r="D34" s="1"/>
      <c r="E34" s="1"/>
      <c r="F34" s="1"/>
      <c r="G34" s="1"/>
      <c r="H34" s="1"/>
      <c r="I34" s="1"/>
      <c r="J34" s="1"/>
      <c r="K34" s="1"/>
      <c r="L34" s="1"/>
      <c r="M34" s="1"/>
      <c r="N34" s="1"/>
      <c r="O34" s="1"/>
      <c r="P34" s="111"/>
      <c r="Q34" s="115"/>
      <c r="R34" s="341" t="s">
        <v>74</v>
      </c>
      <c r="S34" s="346"/>
      <c r="T34" s="297">
        <v>800</v>
      </c>
      <c r="U34" s="115" t="s">
        <v>58</v>
      </c>
      <c r="V34" s="295"/>
      <c r="W34" s="115"/>
      <c r="X34" s="115"/>
      <c r="Y34" s="116"/>
      <c r="Z34" s="1"/>
      <c r="AA34" s="1"/>
      <c r="AB34" s="1"/>
      <c r="AC34" s="1"/>
      <c r="AD34" s="1"/>
      <c r="AE34" s="1"/>
      <c r="AF34" s="1"/>
      <c r="AG34" s="1"/>
      <c r="AH34" s="1"/>
      <c r="AI34" s="1"/>
      <c r="AJ34" s="1"/>
      <c r="AK34" s="1"/>
      <c r="AL34" s="1"/>
      <c r="AM34" s="1"/>
      <c r="AN34" s="1"/>
    </row>
    <row r="35" spans="1:40" ht="14.45">
      <c r="A35" s="1"/>
      <c r="B35" s="1"/>
      <c r="C35" s="1"/>
      <c r="D35" s="1"/>
      <c r="E35" s="1"/>
      <c r="F35" s="1"/>
      <c r="G35" s="1"/>
      <c r="H35" s="1"/>
      <c r="I35" s="1"/>
      <c r="J35" s="1"/>
      <c r="K35" s="1"/>
      <c r="L35" s="1"/>
      <c r="M35" s="1"/>
      <c r="N35" s="1"/>
      <c r="O35" s="1"/>
      <c r="P35" s="111"/>
      <c r="Q35" s="115"/>
      <c r="R35" s="341" t="s">
        <v>69</v>
      </c>
      <c r="S35" s="341"/>
      <c r="T35" s="239">
        <f>FLOOR((T34+CEILING(T34/$T$10,1))/$T$15,1)*($T$13+$T$14)+(CEILING(T34/$T$10,1)*T$11)+T34</f>
        <v>895.5440000000001</v>
      </c>
      <c r="U35" s="115" t="s">
        <v>58</v>
      </c>
      <c r="V35" s="295"/>
      <c r="W35" s="115"/>
      <c r="X35" s="115"/>
      <c r="Y35" s="116"/>
      <c r="Z35" s="1"/>
      <c r="AA35" s="1"/>
      <c r="AB35" s="1"/>
      <c r="AC35" s="1"/>
      <c r="AD35" s="1"/>
      <c r="AE35" s="1"/>
      <c r="AF35" s="1"/>
      <c r="AG35" s="1"/>
      <c r="AH35" s="1"/>
      <c r="AI35" s="1"/>
      <c r="AJ35" s="1"/>
      <c r="AK35" s="1"/>
      <c r="AL35" s="1"/>
      <c r="AM35" s="1"/>
      <c r="AN35" s="1"/>
    </row>
    <row r="36" spans="1:40" ht="14.45">
      <c r="A36" s="1"/>
      <c r="B36" s="1"/>
      <c r="C36" s="1"/>
      <c r="D36" s="1"/>
      <c r="E36" s="1"/>
      <c r="F36" s="1"/>
      <c r="G36" s="1"/>
      <c r="H36" s="1"/>
      <c r="I36" s="1"/>
      <c r="J36" s="1"/>
      <c r="K36" s="1"/>
      <c r="L36" s="1"/>
      <c r="M36" s="1"/>
      <c r="N36" s="1"/>
      <c r="O36" s="1"/>
      <c r="P36" s="111"/>
      <c r="Q36" s="295"/>
      <c r="R36" s="295"/>
      <c r="S36" s="295"/>
      <c r="T36" s="295"/>
      <c r="U36" s="295"/>
      <c r="V36" s="295"/>
      <c r="W36" s="115"/>
      <c r="X36" s="115"/>
      <c r="Y36" s="116"/>
      <c r="Z36" s="1"/>
      <c r="AA36" s="1"/>
      <c r="AB36" s="1"/>
      <c r="AC36" s="1"/>
      <c r="AD36" s="1"/>
      <c r="AE36" s="1"/>
      <c r="AF36" s="1"/>
      <c r="AG36" s="1"/>
      <c r="AH36" s="1"/>
      <c r="AI36" s="1"/>
      <c r="AJ36" s="1"/>
      <c r="AK36" s="1"/>
      <c r="AL36" s="1"/>
      <c r="AM36" s="1"/>
      <c r="AN36" s="1"/>
    </row>
    <row r="37" spans="1:40" ht="14.45">
      <c r="A37" s="1"/>
      <c r="B37" s="1"/>
      <c r="C37" s="1"/>
      <c r="D37" s="1"/>
      <c r="E37" s="1"/>
      <c r="F37" s="1"/>
      <c r="G37" s="1"/>
      <c r="H37" s="1"/>
      <c r="I37" s="1"/>
      <c r="J37" s="1"/>
      <c r="K37" s="1"/>
      <c r="L37" s="1"/>
      <c r="M37" s="1"/>
      <c r="N37" s="1"/>
      <c r="O37" s="1"/>
      <c r="P37" s="111"/>
      <c r="Q37" s="115"/>
      <c r="R37" s="341" t="s">
        <v>75</v>
      </c>
      <c r="S37" s="346"/>
      <c r="T37" s="297">
        <v>0</v>
      </c>
      <c r="U37" s="115" t="s">
        <v>58</v>
      </c>
      <c r="V37" s="295"/>
      <c r="W37" s="295"/>
      <c r="X37" s="115"/>
      <c r="Y37" s="116"/>
      <c r="Z37" s="1"/>
      <c r="AA37" s="1"/>
      <c r="AB37" s="1"/>
      <c r="AC37" s="1"/>
      <c r="AD37" s="1"/>
      <c r="AE37" s="1"/>
      <c r="AF37" s="1"/>
      <c r="AG37" s="1"/>
      <c r="AH37" s="1"/>
      <c r="AI37" s="1"/>
      <c r="AJ37" s="1"/>
      <c r="AK37" s="1"/>
      <c r="AL37" s="1"/>
      <c r="AM37" s="1"/>
      <c r="AN37" s="1"/>
    </row>
    <row r="38" spans="1:40" ht="14.45">
      <c r="A38" s="1"/>
      <c r="B38" s="1"/>
      <c r="C38" s="1"/>
      <c r="D38" s="1"/>
      <c r="E38" s="1"/>
      <c r="F38" s="1"/>
      <c r="G38" s="1"/>
      <c r="H38" s="1"/>
      <c r="I38" s="1"/>
      <c r="J38" s="1"/>
      <c r="K38" s="1"/>
      <c r="L38" s="1"/>
      <c r="M38" s="1"/>
      <c r="N38" s="1"/>
      <c r="O38" s="1"/>
      <c r="P38" s="111"/>
      <c r="Q38" s="115"/>
      <c r="R38" s="341" t="s">
        <v>76</v>
      </c>
      <c r="S38" s="341"/>
      <c r="T38" s="297">
        <v>1048</v>
      </c>
      <c r="U38" s="115" t="s">
        <v>58</v>
      </c>
      <c r="V38" s="115"/>
      <c r="W38" s="115"/>
      <c r="X38" s="115"/>
      <c r="Y38" s="116"/>
      <c r="Z38" s="1"/>
      <c r="AA38" s="1"/>
      <c r="AB38" s="1"/>
      <c r="AC38" s="1"/>
      <c r="AD38" s="1"/>
      <c r="AE38" s="1"/>
      <c r="AF38" s="1"/>
      <c r="AG38" s="1"/>
      <c r="AH38" s="1"/>
      <c r="AI38" s="1"/>
      <c r="AJ38" s="1"/>
      <c r="AK38" s="1"/>
      <c r="AL38" s="1"/>
      <c r="AM38" s="1"/>
      <c r="AN38" s="1"/>
    </row>
    <row r="39" spans="1:40" ht="14.45">
      <c r="A39" s="1"/>
      <c r="B39" s="1"/>
      <c r="C39" s="1"/>
      <c r="D39" s="1"/>
      <c r="E39" s="1"/>
      <c r="F39" s="1"/>
      <c r="G39" s="1"/>
      <c r="H39" s="1"/>
      <c r="I39" s="1"/>
      <c r="J39" s="1"/>
      <c r="K39" s="1"/>
      <c r="L39" s="1"/>
      <c r="M39" s="1"/>
      <c r="N39" s="1"/>
      <c r="O39" s="1"/>
      <c r="P39" s="111"/>
      <c r="Q39" s="115"/>
      <c r="R39" s="341" t="s">
        <v>77</v>
      </c>
      <c r="S39" s="341"/>
      <c r="T39" s="297">
        <v>0</v>
      </c>
      <c r="U39" s="115" t="s">
        <v>58</v>
      </c>
      <c r="V39" s="115"/>
      <c r="W39" s="115"/>
      <c r="X39" s="115"/>
      <c r="Y39" s="116"/>
      <c r="Z39" s="1"/>
      <c r="AA39" s="1"/>
      <c r="AB39" s="1"/>
      <c r="AC39" s="1"/>
      <c r="AD39" s="1"/>
      <c r="AE39" s="1"/>
      <c r="AF39" s="1"/>
      <c r="AG39" s="1"/>
      <c r="AH39" s="1"/>
      <c r="AI39" s="1"/>
      <c r="AJ39" s="1"/>
      <c r="AK39" s="1"/>
      <c r="AL39" s="1"/>
      <c r="AM39" s="1"/>
      <c r="AN39" s="1"/>
    </row>
    <row r="40" spans="1:40" ht="14.45">
      <c r="A40" s="1"/>
      <c r="B40" s="1"/>
      <c r="C40" s="1"/>
      <c r="D40" s="1"/>
      <c r="E40" s="1"/>
      <c r="F40" s="1"/>
      <c r="G40" s="1"/>
      <c r="H40" s="1"/>
      <c r="I40" s="1"/>
      <c r="J40" s="1"/>
      <c r="K40" s="1"/>
      <c r="L40" s="1"/>
      <c r="M40" s="1"/>
      <c r="N40" s="1"/>
      <c r="O40" s="1"/>
      <c r="P40" s="111"/>
      <c r="Q40" s="115"/>
      <c r="R40" s="341" t="s">
        <v>78</v>
      </c>
      <c r="S40" s="341"/>
      <c r="T40" s="239">
        <f>SUM(T37:T39)</f>
        <v>1048</v>
      </c>
      <c r="U40" s="115" t="s">
        <v>58</v>
      </c>
      <c r="V40" s="115"/>
      <c r="W40" s="115"/>
      <c r="X40" s="115"/>
      <c r="Y40" s="116"/>
      <c r="Z40" s="1"/>
      <c r="AA40" s="1"/>
      <c r="AB40" s="1"/>
      <c r="AC40" s="1"/>
      <c r="AD40" s="1"/>
      <c r="AE40" s="1"/>
      <c r="AF40" s="1"/>
      <c r="AG40" s="1"/>
      <c r="AH40" s="1"/>
      <c r="AI40" s="1"/>
      <c r="AJ40" s="1"/>
      <c r="AK40" s="1"/>
      <c r="AL40" s="1"/>
      <c r="AM40" s="1"/>
      <c r="AN40" s="1"/>
    </row>
    <row r="41" spans="1:40" ht="14.45">
      <c r="A41" s="1"/>
      <c r="B41" s="1"/>
      <c r="C41" s="1"/>
      <c r="D41" s="1"/>
      <c r="E41" s="1"/>
      <c r="F41" s="1"/>
      <c r="G41" s="1"/>
      <c r="H41" s="1"/>
      <c r="I41" s="1"/>
      <c r="J41" s="1"/>
      <c r="K41" s="1"/>
      <c r="L41" s="1"/>
      <c r="M41" s="1"/>
      <c r="N41" s="1"/>
      <c r="O41" s="1"/>
      <c r="P41" s="111"/>
      <c r="Q41" s="115"/>
      <c r="R41" s="341" t="s">
        <v>69</v>
      </c>
      <c r="S41" s="341"/>
      <c r="T41" s="239">
        <f>FLOOR((T40+CEILING(T40/$T$10,1))/$T$15,1)*($T$13+$T$14)+(CEILING(T40/$T$10,1)*T$11)+T40</f>
        <v>1173.2800000000002</v>
      </c>
      <c r="U41" s="115" t="s">
        <v>58</v>
      </c>
      <c r="V41" s="115"/>
      <c r="W41" s="115"/>
      <c r="X41" s="115"/>
      <c r="Y41" s="116"/>
      <c r="Z41" s="1"/>
      <c r="AA41" s="1"/>
      <c r="AB41" s="1"/>
      <c r="AC41" s="1"/>
      <c r="AD41" s="1"/>
      <c r="AE41" s="1"/>
      <c r="AF41" s="1"/>
      <c r="AG41" s="1"/>
      <c r="AH41" s="1"/>
      <c r="AI41" s="1"/>
      <c r="AJ41" s="1"/>
      <c r="AK41" s="1"/>
      <c r="AL41" s="1"/>
      <c r="AM41" s="1"/>
      <c r="AN41" s="1"/>
    </row>
    <row r="42" spans="1:40" ht="14.45">
      <c r="A42" s="1"/>
      <c r="B42" s="1"/>
      <c r="C42" s="1"/>
      <c r="D42" s="1"/>
      <c r="E42" s="1"/>
      <c r="F42" s="1"/>
      <c r="G42" s="1"/>
      <c r="H42" s="1"/>
      <c r="I42" s="1"/>
      <c r="J42" s="1"/>
      <c r="K42" s="1"/>
      <c r="L42" s="1"/>
      <c r="M42" s="1"/>
      <c r="N42" s="1"/>
      <c r="O42" s="1"/>
      <c r="P42" s="111"/>
      <c r="Q42" s="115"/>
      <c r="R42" s="341"/>
      <c r="S42" s="341"/>
      <c r="T42" s="115"/>
      <c r="U42" s="115"/>
      <c r="V42" s="115"/>
      <c r="W42" s="115"/>
      <c r="X42" s="115"/>
      <c r="Y42" s="116"/>
      <c r="Z42" s="1"/>
      <c r="AA42" s="1"/>
      <c r="AB42" s="1"/>
      <c r="AC42" s="1"/>
      <c r="AD42" s="1"/>
      <c r="AE42" s="1"/>
      <c r="AF42" s="1"/>
      <c r="AG42" s="1"/>
      <c r="AH42" s="1"/>
      <c r="AI42" s="1"/>
      <c r="AJ42" s="1"/>
      <c r="AK42" s="1"/>
      <c r="AL42" s="1"/>
      <c r="AM42" s="1"/>
      <c r="AN42" s="1"/>
    </row>
    <row r="43" spans="1:40" ht="15" hidden="1" customHeight="1">
      <c r="A43" s="1"/>
      <c r="B43" s="1"/>
      <c r="C43" s="1"/>
      <c r="D43" s="1"/>
      <c r="E43" s="1"/>
      <c r="F43" s="1"/>
      <c r="G43" s="1"/>
      <c r="H43" s="1"/>
      <c r="I43" s="1"/>
      <c r="J43" s="1"/>
      <c r="K43" s="1"/>
      <c r="L43" s="1"/>
      <c r="M43" s="1"/>
      <c r="N43" s="1"/>
      <c r="O43" s="1"/>
      <c r="P43" s="111"/>
      <c r="Q43" s="115"/>
      <c r="R43" s="341"/>
      <c r="S43" s="341"/>
      <c r="T43" s="115"/>
      <c r="U43" s="115"/>
      <c r="V43" s="115"/>
      <c r="W43" s="115"/>
      <c r="X43" s="115"/>
      <c r="Y43" s="116"/>
      <c r="Z43" s="1"/>
      <c r="AA43" s="1"/>
      <c r="AB43" s="1"/>
      <c r="AC43" s="1"/>
      <c r="AD43" s="1"/>
      <c r="AE43" s="1"/>
      <c r="AF43" s="1"/>
      <c r="AG43" s="1"/>
      <c r="AH43" s="1"/>
      <c r="AI43" s="1"/>
      <c r="AJ43" s="1"/>
      <c r="AK43" s="1"/>
      <c r="AL43" s="1"/>
      <c r="AM43" s="1"/>
      <c r="AN43" s="1"/>
    </row>
    <row r="44" spans="1:40" ht="15" hidden="1" customHeight="1">
      <c r="A44" s="1"/>
      <c r="B44" s="1"/>
      <c r="C44" s="1"/>
      <c r="D44" s="1"/>
      <c r="E44" s="1"/>
      <c r="F44" s="1"/>
      <c r="G44" s="1"/>
      <c r="H44" s="1"/>
      <c r="I44" s="1"/>
      <c r="J44" s="1"/>
      <c r="K44" s="1"/>
      <c r="L44" s="1"/>
      <c r="M44" s="1"/>
      <c r="N44" s="1"/>
      <c r="O44" s="1"/>
      <c r="P44" s="111"/>
      <c r="Q44" s="115"/>
      <c r="R44" s="341"/>
      <c r="S44" s="341"/>
      <c r="T44" s="115"/>
      <c r="U44" s="115"/>
      <c r="V44" s="115"/>
      <c r="W44" s="115"/>
      <c r="X44" s="115"/>
      <c r="Y44" s="116"/>
      <c r="Z44" s="1"/>
      <c r="AA44" s="1"/>
      <c r="AB44" s="1"/>
      <c r="AC44" s="1"/>
      <c r="AD44" s="1"/>
      <c r="AE44" s="1"/>
      <c r="AF44" s="1"/>
      <c r="AG44" s="1"/>
      <c r="AH44" s="1"/>
      <c r="AI44" s="1"/>
      <c r="AJ44" s="1"/>
      <c r="AK44" s="1"/>
      <c r="AL44" s="1"/>
      <c r="AM44" s="1"/>
      <c r="AN44" s="1"/>
    </row>
    <row r="45" spans="1:40" ht="15" hidden="1" customHeight="1">
      <c r="A45" s="1"/>
      <c r="B45" s="1"/>
      <c r="C45" s="1"/>
      <c r="D45" s="1"/>
      <c r="E45" s="1"/>
      <c r="F45" s="1"/>
      <c r="G45" s="1"/>
      <c r="H45" s="1"/>
      <c r="I45" s="1"/>
      <c r="J45" s="1"/>
      <c r="K45" s="1"/>
      <c r="L45" s="1"/>
      <c r="M45" s="1"/>
      <c r="N45" s="1"/>
      <c r="O45" s="1"/>
      <c r="P45" s="111"/>
      <c r="Q45" s="115"/>
      <c r="R45" s="341"/>
      <c r="S45" s="341"/>
      <c r="T45" s="115"/>
      <c r="U45" s="115"/>
      <c r="V45" s="115"/>
      <c r="W45" s="115"/>
      <c r="X45" s="115"/>
      <c r="Y45" s="116"/>
      <c r="Z45" s="1"/>
      <c r="AA45" s="1"/>
      <c r="AB45" s="1"/>
      <c r="AC45" s="1"/>
      <c r="AD45" s="1"/>
      <c r="AE45" s="1"/>
      <c r="AF45" s="1"/>
      <c r="AG45" s="1"/>
      <c r="AH45" s="1"/>
      <c r="AI45" s="1"/>
      <c r="AJ45" s="1"/>
      <c r="AK45" s="1"/>
      <c r="AL45" s="1"/>
      <c r="AM45" s="1"/>
      <c r="AN45" s="1"/>
    </row>
    <row r="46" spans="1:40" ht="15" customHeight="1">
      <c r="A46" s="1"/>
      <c r="B46" s="1"/>
      <c r="C46" s="1"/>
      <c r="D46" s="1"/>
      <c r="E46" s="1"/>
      <c r="F46" s="1"/>
      <c r="G46" s="1"/>
      <c r="H46" s="1"/>
      <c r="I46" s="1"/>
      <c r="J46" s="1"/>
      <c r="K46" s="1"/>
      <c r="L46" s="1"/>
      <c r="M46" s="1"/>
      <c r="N46" s="1"/>
      <c r="O46" s="1"/>
      <c r="P46" s="111"/>
      <c r="Q46" s="115"/>
      <c r="R46" s="326" t="s">
        <v>79</v>
      </c>
      <c r="S46" s="326"/>
      <c r="T46" s="289">
        <v>1.5</v>
      </c>
      <c r="U46" s="8" t="s">
        <v>80</v>
      </c>
      <c r="V46" s="115"/>
      <c r="W46" s="115"/>
      <c r="X46" s="115"/>
      <c r="Y46" s="116"/>
      <c r="Z46" s="1"/>
      <c r="AA46" s="1"/>
      <c r="AB46" s="1"/>
      <c r="AC46" s="1"/>
      <c r="AD46" s="1"/>
      <c r="AE46" s="1"/>
      <c r="AF46" s="1"/>
      <c r="AG46" s="1"/>
      <c r="AH46" s="1"/>
      <c r="AI46" s="1"/>
      <c r="AJ46" s="1"/>
      <c r="AK46" s="1"/>
      <c r="AL46" s="1"/>
      <c r="AM46" s="1"/>
      <c r="AN46" s="1"/>
    </row>
    <row r="47" spans="1:40" ht="15" customHeight="1">
      <c r="A47" s="1"/>
      <c r="B47" s="1"/>
      <c r="C47" s="1"/>
      <c r="D47" s="1"/>
      <c r="E47" s="1"/>
      <c r="F47" s="1"/>
      <c r="G47" s="1"/>
      <c r="H47" s="1"/>
      <c r="I47" s="1"/>
      <c r="J47" s="1"/>
      <c r="K47" s="1"/>
      <c r="L47" s="1"/>
      <c r="M47" s="1"/>
      <c r="N47" s="1"/>
      <c r="O47" s="1"/>
      <c r="P47" s="111"/>
      <c r="Q47" s="115"/>
      <c r="R47" s="326" t="s">
        <v>81</v>
      </c>
      <c r="S47" s="326"/>
      <c r="T47" s="296">
        <v>30</v>
      </c>
      <c r="U47" s="8"/>
      <c r="V47" s="115"/>
      <c r="W47" s="115"/>
      <c r="X47" s="115"/>
      <c r="Y47" s="116"/>
      <c r="Z47" s="1"/>
      <c r="AA47" s="1"/>
      <c r="AB47" s="1"/>
      <c r="AC47" s="1"/>
      <c r="AD47" s="1"/>
      <c r="AE47" s="1"/>
      <c r="AF47" s="1"/>
      <c r="AG47" s="1"/>
      <c r="AH47" s="1"/>
      <c r="AI47" s="1"/>
      <c r="AJ47" s="1"/>
      <c r="AK47" s="1"/>
      <c r="AL47" s="1"/>
      <c r="AM47" s="1"/>
      <c r="AN47" s="1"/>
    </row>
    <row r="48" spans="1:40" ht="15" customHeight="1">
      <c r="A48" s="1"/>
      <c r="B48" s="1"/>
      <c r="C48" s="1"/>
      <c r="D48" s="1"/>
      <c r="E48" s="1"/>
      <c r="F48" s="1"/>
      <c r="G48" s="1"/>
      <c r="H48" s="1"/>
      <c r="I48" s="1"/>
      <c r="J48" s="1"/>
      <c r="K48" s="1"/>
      <c r="L48" s="1"/>
      <c r="M48" s="1"/>
      <c r="N48" s="1"/>
      <c r="O48" s="1"/>
      <c r="P48" s="111"/>
      <c r="Q48" s="115"/>
      <c r="R48" s="341" t="s">
        <v>82</v>
      </c>
      <c r="S48" s="341"/>
      <c r="T48" s="239">
        <f>T46*T47</f>
        <v>45</v>
      </c>
      <c r="U48" s="115" t="s">
        <v>58</v>
      </c>
      <c r="V48" s="115"/>
      <c r="W48" s="115"/>
      <c r="X48" s="115"/>
      <c r="Y48" s="116"/>
      <c r="Z48" s="1"/>
      <c r="AA48" s="1"/>
      <c r="AB48" s="1"/>
      <c r="AC48" s="1"/>
      <c r="AD48" s="1"/>
      <c r="AE48" s="1"/>
      <c r="AF48" s="1"/>
      <c r="AG48" s="1"/>
      <c r="AH48" s="1"/>
      <c r="AI48" s="1"/>
      <c r="AJ48" s="1"/>
      <c r="AK48" s="1"/>
      <c r="AL48" s="1"/>
      <c r="AM48" s="1"/>
      <c r="AN48" s="1"/>
    </row>
    <row r="49" spans="1:40" ht="15" customHeight="1">
      <c r="A49" s="1"/>
      <c r="B49" s="1"/>
      <c r="C49" s="1"/>
      <c r="D49" s="1"/>
      <c r="E49" s="1"/>
      <c r="F49" s="1"/>
      <c r="G49" s="1"/>
      <c r="H49" s="1"/>
      <c r="I49" s="1"/>
      <c r="J49" s="1"/>
      <c r="K49" s="1"/>
      <c r="L49" s="1"/>
      <c r="M49" s="1"/>
      <c r="N49" s="1"/>
      <c r="O49" s="1"/>
      <c r="P49" s="111"/>
      <c r="Q49" s="115"/>
      <c r="R49" s="341" t="s">
        <v>69</v>
      </c>
      <c r="S49" s="341"/>
      <c r="T49" s="239">
        <f>FLOOR((T48+CEILING(T48/$T$10,1))/$T$15,1)*($T$13+$T$14)+(CEILING(T48/$T$10,1)*T$11)+T48</f>
        <v>50.400000000000006</v>
      </c>
      <c r="U49" s="115" t="s">
        <v>58</v>
      </c>
      <c r="V49" s="115"/>
      <c r="W49" s="115"/>
      <c r="X49" s="115"/>
      <c r="Y49" s="116"/>
      <c r="Z49" s="1"/>
      <c r="AA49" s="1"/>
      <c r="AB49" s="1"/>
      <c r="AC49" s="1"/>
      <c r="AD49" s="1"/>
      <c r="AE49" s="1"/>
      <c r="AF49" s="1"/>
      <c r="AG49" s="1"/>
      <c r="AH49" s="1"/>
      <c r="AI49" s="1"/>
      <c r="AJ49" s="1"/>
      <c r="AK49" s="1"/>
      <c r="AL49" s="1"/>
      <c r="AM49" s="1"/>
      <c r="AN49" s="1"/>
    </row>
    <row r="50" spans="1:40" ht="15" customHeight="1">
      <c r="A50" s="1"/>
      <c r="B50" s="1"/>
      <c r="C50" s="1"/>
      <c r="D50" s="1"/>
      <c r="E50" s="1"/>
      <c r="F50" s="1"/>
      <c r="G50" s="1"/>
      <c r="H50" s="1"/>
      <c r="I50" s="1"/>
      <c r="J50" s="1"/>
      <c r="K50" s="1"/>
      <c r="L50" s="1"/>
      <c r="M50" s="1"/>
      <c r="N50" s="1"/>
      <c r="O50" s="1"/>
      <c r="P50" s="111"/>
      <c r="Q50" s="115"/>
      <c r="R50" s="341"/>
      <c r="S50" s="341"/>
      <c r="T50" s="115"/>
      <c r="U50" s="115"/>
      <c r="V50" s="115"/>
      <c r="W50" s="115"/>
      <c r="X50" s="115"/>
      <c r="Y50" s="116"/>
      <c r="Z50" s="1"/>
      <c r="AA50" s="1"/>
      <c r="AB50" s="1"/>
      <c r="AC50" s="1"/>
      <c r="AD50" s="1"/>
      <c r="AE50" s="1"/>
      <c r="AF50" s="1"/>
      <c r="AG50" s="1"/>
      <c r="AH50" s="1"/>
      <c r="AI50" s="1"/>
      <c r="AJ50" s="1"/>
      <c r="AK50" s="1"/>
      <c r="AL50" s="1"/>
      <c r="AM50" s="1"/>
      <c r="AN50" s="1"/>
    </row>
    <row r="51" spans="1:40" ht="15" customHeight="1">
      <c r="A51" s="1"/>
      <c r="B51" s="1"/>
      <c r="C51" s="1"/>
      <c r="D51" s="1"/>
      <c r="E51" s="1"/>
      <c r="F51" s="1"/>
      <c r="G51" s="1"/>
      <c r="H51" s="1"/>
      <c r="I51" s="1"/>
      <c r="J51" s="1"/>
      <c r="K51" s="1"/>
      <c r="L51" s="1"/>
      <c r="M51" s="1"/>
      <c r="N51" s="1"/>
      <c r="O51" s="1"/>
      <c r="P51" s="111"/>
      <c r="Q51" s="115"/>
      <c r="R51" s="341"/>
      <c r="S51" s="341"/>
      <c r="T51" s="115"/>
      <c r="U51" s="115"/>
      <c r="V51" s="115"/>
      <c r="W51" s="115"/>
      <c r="X51" s="115"/>
      <c r="Y51" s="116"/>
      <c r="Z51" s="1"/>
      <c r="AA51" s="1"/>
      <c r="AB51" s="1"/>
      <c r="AC51" s="1"/>
      <c r="AD51" s="1"/>
      <c r="AE51" s="1"/>
      <c r="AF51" s="1"/>
      <c r="AG51" s="1"/>
      <c r="AH51" s="1"/>
      <c r="AI51" s="1"/>
      <c r="AJ51" s="1"/>
      <c r="AK51" s="1"/>
      <c r="AL51" s="1"/>
      <c r="AM51" s="1"/>
      <c r="AN51" s="1"/>
    </row>
    <row r="52" spans="1:40" ht="15" customHeight="1">
      <c r="A52" s="1"/>
      <c r="B52" s="1"/>
      <c r="C52" s="1"/>
      <c r="D52" s="1"/>
      <c r="E52" s="1"/>
      <c r="F52" s="1"/>
      <c r="G52" s="1"/>
      <c r="H52" s="1"/>
      <c r="I52" s="1"/>
      <c r="J52" s="1"/>
      <c r="K52" s="1"/>
      <c r="L52" s="1"/>
      <c r="M52" s="1"/>
      <c r="N52" s="1"/>
      <c r="O52" s="1"/>
      <c r="P52" s="111"/>
      <c r="Q52" s="115"/>
      <c r="R52" s="341"/>
      <c r="S52" s="341"/>
      <c r="T52" s="115"/>
      <c r="U52" s="115"/>
      <c r="V52" s="115"/>
      <c r="W52" s="115"/>
      <c r="X52" s="115"/>
      <c r="Y52" s="116"/>
      <c r="Z52" s="1"/>
      <c r="AA52" s="1"/>
      <c r="AB52" s="1"/>
      <c r="AC52" s="1"/>
      <c r="AD52" s="1"/>
      <c r="AE52" s="1"/>
      <c r="AF52" s="1"/>
      <c r="AG52" s="1"/>
      <c r="AH52" s="1"/>
      <c r="AI52" s="1"/>
      <c r="AJ52" s="1"/>
      <c r="AK52" s="1"/>
      <c r="AL52" s="1"/>
      <c r="AM52" s="1"/>
      <c r="AN52" s="1"/>
    </row>
    <row r="53" spans="1:40" ht="15" customHeight="1">
      <c r="A53" s="1"/>
      <c r="B53" s="1"/>
      <c r="C53" s="1"/>
      <c r="D53" s="1"/>
      <c r="E53" s="1"/>
      <c r="F53" s="1"/>
      <c r="G53" s="1"/>
      <c r="H53" s="1"/>
      <c r="I53" s="1"/>
      <c r="J53" s="1"/>
      <c r="K53" s="1"/>
      <c r="L53" s="1"/>
      <c r="M53" s="1"/>
      <c r="N53" s="1"/>
      <c r="O53" s="1"/>
      <c r="P53" s="111"/>
      <c r="Q53" s="115"/>
      <c r="R53" s="341"/>
      <c r="S53" s="341"/>
      <c r="T53" s="115"/>
      <c r="U53" s="115"/>
      <c r="V53" s="115"/>
      <c r="W53" s="115"/>
      <c r="X53" s="115"/>
      <c r="Y53" s="116"/>
      <c r="Z53" s="1"/>
      <c r="AA53" s="1"/>
      <c r="AB53" s="1"/>
      <c r="AC53" s="1"/>
      <c r="AD53" s="1"/>
      <c r="AE53" s="1"/>
      <c r="AF53" s="1"/>
      <c r="AG53" s="1"/>
      <c r="AH53" s="1"/>
      <c r="AI53" s="1"/>
      <c r="AJ53" s="1"/>
      <c r="AK53" s="1"/>
      <c r="AL53" s="1"/>
      <c r="AM53" s="1"/>
      <c r="AN53" s="1"/>
    </row>
    <row r="54" spans="1:40" ht="15" customHeight="1">
      <c r="A54" s="1"/>
      <c r="B54" s="1"/>
      <c r="C54" s="1"/>
      <c r="D54" s="1"/>
      <c r="E54" s="1"/>
      <c r="F54" s="1"/>
      <c r="G54" s="1"/>
      <c r="H54" s="1"/>
      <c r="I54" s="1"/>
      <c r="J54" s="1"/>
      <c r="K54" s="1"/>
      <c r="L54" s="1"/>
      <c r="M54" s="1"/>
      <c r="N54" s="1"/>
      <c r="O54" s="1"/>
      <c r="P54" s="111"/>
      <c r="Q54" s="115"/>
      <c r="R54" s="341"/>
      <c r="S54" s="341"/>
      <c r="T54" s="115"/>
      <c r="U54" s="115"/>
      <c r="V54" s="115"/>
      <c r="W54" s="115"/>
      <c r="X54" s="115"/>
      <c r="Y54" s="116"/>
      <c r="Z54" s="1"/>
      <c r="AA54" s="1"/>
      <c r="AB54" s="1"/>
      <c r="AC54" s="1"/>
      <c r="AD54" s="1"/>
      <c r="AE54" s="1"/>
      <c r="AF54" s="1"/>
      <c r="AG54" s="1"/>
      <c r="AH54" s="1"/>
      <c r="AI54" s="1"/>
      <c r="AJ54" s="1"/>
      <c r="AK54" s="1"/>
      <c r="AL54" s="1"/>
      <c r="AM54" s="1"/>
      <c r="AN54" s="1"/>
    </row>
    <row r="55" spans="1:40" ht="15" customHeight="1">
      <c r="A55" s="1"/>
      <c r="B55" s="1"/>
      <c r="C55" s="1"/>
      <c r="D55" s="1"/>
      <c r="E55" s="1"/>
      <c r="F55" s="1"/>
      <c r="G55" s="1"/>
      <c r="H55" s="1"/>
      <c r="I55" s="1"/>
      <c r="J55" s="1"/>
      <c r="K55" s="1"/>
      <c r="L55" s="1"/>
      <c r="M55" s="1"/>
      <c r="N55" s="1"/>
      <c r="O55" s="1"/>
      <c r="P55" s="111"/>
      <c r="Q55" s="115"/>
      <c r="R55" s="341"/>
      <c r="S55" s="341"/>
      <c r="T55" s="115"/>
      <c r="U55" s="115"/>
      <c r="V55" s="115"/>
      <c r="W55" s="115"/>
      <c r="X55" s="115"/>
      <c r="Y55" s="116"/>
      <c r="Z55" s="1"/>
      <c r="AA55" s="1"/>
      <c r="AB55" s="1"/>
      <c r="AC55" s="1"/>
      <c r="AD55" s="1"/>
      <c r="AE55" s="1"/>
      <c r="AF55" s="1"/>
      <c r="AG55" s="1"/>
      <c r="AH55" s="1"/>
      <c r="AI55" s="1"/>
      <c r="AJ55" s="1"/>
      <c r="AK55" s="1"/>
      <c r="AL55" s="1"/>
      <c r="AM55" s="1"/>
      <c r="AN55" s="1"/>
    </row>
    <row r="56" spans="1:40" ht="15" customHeight="1">
      <c r="A56" s="1"/>
      <c r="B56" s="1"/>
      <c r="C56" s="1"/>
      <c r="D56" s="1"/>
      <c r="E56" s="1"/>
      <c r="F56" s="1"/>
      <c r="G56" s="1"/>
      <c r="H56" s="1"/>
      <c r="I56" s="1"/>
      <c r="J56" s="1"/>
      <c r="K56" s="1"/>
      <c r="L56" s="1"/>
      <c r="M56" s="1"/>
      <c r="N56" s="1"/>
      <c r="O56" s="1"/>
      <c r="P56" s="111"/>
      <c r="Q56" s="115"/>
      <c r="R56" s="341"/>
      <c r="S56" s="341"/>
      <c r="T56" s="115"/>
      <c r="U56" s="115"/>
      <c r="V56" s="115"/>
      <c r="W56" s="115"/>
      <c r="X56" s="115"/>
      <c r="Y56" s="116"/>
      <c r="Z56" s="1"/>
      <c r="AA56" s="1"/>
      <c r="AB56" s="1"/>
      <c r="AC56" s="1"/>
      <c r="AD56" s="1"/>
      <c r="AE56" s="1"/>
      <c r="AF56" s="1"/>
      <c r="AG56" s="1"/>
      <c r="AH56" s="1"/>
      <c r="AI56" s="1"/>
      <c r="AJ56" s="1"/>
      <c r="AK56" s="1"/>
      <c r="AL56" s="1"/>
      <c r="AM56" s="1"/>
      <c r="AN56" s="1"/>
    </row>
    <row r="57" spans="1:40" ht="15" customHeight="1">
      <c r="A57" s="1"/>
      <c r="B57" s="1"/>
      <c r="C57" s="1"/>
      <c r="D57" s="1"/>
      <c r="E57" s="1"/>
      <c r="F57" s="1"/>
      <c r="G57" s="1"/>
      <c r="H57" s="1"/>
      <c r="I57" s="1"/>
      <c r="J57" s="1"/>
      <c r="K57" s="1"/>
      <c r="L57" s="1"/>
      <c r="M57" s="1"/>
      <c r="N57" s="1"/>
      <c r="O57" s="1"/>
      <c r="P57" s="111"/>
      <c r="Q57" s="115"/>
      <c r="R57" s="341"/>
      <c r="S57" s="341"/>
      <c r="T57" s="115"/>
      <c r="U57" s="115"/>
      <c r="V57" s="115"/>
      <c r="W57" s="115"/>
      <c r="X57" s="115"/>
      <c r="Y57" s="116"/>
      <c r="Z57" s="1"/>
      <c r="AA57" s="1"/>
      <c r="AB57" s="1"/>
      <c r="AC57" s="1"/>
      <c r="AD57" s="1"/>
      <c r="AE57" s="1"/>
      <c r="AF57" s="1"/>
      <c r="AG57" s="1"/>
      <c r="AH57" s="1"/>
      <c r="AI57" s="1"/>
      <c r="AJ57" s="1"/>
      <c r="AK57" s="1"/>
      <c r="AL57" s="1"/>
      <c r="AM57" s="1"/>
      <c r="AN57" s="1"/>
    </row>
    <row r="58" spans="1:40" ht="15" customHeight="1">
      <c r="A58" s="1"/>
      <c r="B58" s="1"/>
      <c r="C58" s="1"/>
      <c r="D58" s="1"/>
      <c r="E58" s="1"/>
      <c r="F58" s="1"/>
      <c r="G58" s="1"/>
      <c r="H58" s="1"/>
      <c r="I58" s="1"/>
      <c r="J58" s="1"/>
      <c r="K58" s="1"/>
      <c r="L58" s="1"/>
      <c r="M58" s="1"/>
      <c r="N58" s="1"/>
      <c r="O58" s="1"/>
      <c r="P58" s="111"/>
      <c r="Q58" s="115"/>
      <c r="R58" s="341"/>
      <c r="S58" s="341"/>
      <c r="T58" s="115"/>
      <c r="U58" s="115"/>
      <c r="V58" s="115"/>
      <c r="W58" s="115"/>
      <c r="X58" s="115"/>
      <c r="Y58" s="116"/>
      <c r="Z58" s="1"/>
      <c r="AA58" s="1"/>
      <c r="AB58" s="1"/>
      <c r="AC58" s="1"/>
      <c r="AD58" s="1"/>
      <c r="AE58" s="1"/>
      <c r="AF58" s="1"/>
      <c r="AG58" s="1"/>
      <c r="AH58" s="1"/>
      <c r="AI58" s="1"/>
      <c r="AJ58" s="1"/>
      <c r="AK58" s="1"/>
      <c r="AL58" s="1"/>
      <c r="AM58" s="1"/>
      <c r="AN58" s="1"/>
    </row>
    <row r="59" spans="1:40" ht="15" customHeight="1">
      <c r="A59" s="1"/>
      <c r="B59" s="1"/>
      <c r="C59" s="1"/>
      <c r="D59" s="1"/>
      <c r="E59" s="1"/>
      <c r="F59" s="1"/>
      <c r="G59" s="1"/>
      <c r="H59" s="1"/>
      <c r="I59" s="1"/>
      <c r="J59" s="1"/>
      <c r="K59" s="1"/>
      <c r="L59" s="1"/>
      <c r="M59" s="1"/>
      <c r="N59" s="1"/>
      <c r="O59" s="1"/>
      <c r="P59" s="111"/>
      <c r="Q59" s="115"/>
      <c r="R59" s="341"/>
      <c r="S59" s="341"/>
      <c r="T59" s="115"/>
      <c r="U59" s="115"/>
      <c r="V59" s="115"/>
      <c r="W59" s="115"/>
      <c r="X59" s="115"/>
      <c r="Y59" s="116"/>
      <c r="Z59" s="1"/>
      <c r="AA59" s="1"/>
      <c r="AB59" s="1"/>
      <c r="AC59" s="1"/>
      <c r="AD59" s="1"/>
      <c r="AE59" s="1"/>
      <c r="AF59" s="1"/>
      <c r="AG59" s="1"/>
      <c r="AH59" s="1"/>
      <c r="AI59" s="1"/>
      <c r="AJ59" s="1"/>
      <c r="AK59" s="1"/>
      <c r="AL59" s="1"/>
      <c r="AM59" s="1"/>
      <c r="AN59" s="1"/>
    </row>
    <row r="60" spans="1:40" ht="15" customHeight="1">
      <c r="A60" s="1"/>
      <c r="B60" s="1"/>
      <c r="C60" s="1"/>
      <c r="D60" s="1"/>
      <c r="E60" s="1"/>
      <c r="F60" s="1"/>
      <c r="G60" s="1"/>
      <c r="H60" s="1"/>
      <c r="I60" s="1"/>
      <c r="J60" s="1"/>
      <c r="K60" s="1"/>
      <c r="L60" s="1"/>
      <c r="M60" s="1"/>
      <c r="N60" s="1"/>
      <c r="O60" s="1"/>
      <c r="P60" s="111"/>
      <c r="Q60" s="115"/>
      <c r="R60" s="341"/>
      <c r="S60" s="341"/>
      <c r="T60" s="115"/>
      <c r="U60" s="115"/>
      <c r="V60" s="115"/>
      <c r="W60" s="115"/>
      <c r="X60" s="115"/>
      <c r="Y60" s="116"/>
      <c r="Z60" s="1"/>
      <c r="AA60" s="1"/>
      <c r="AB60" s="1"/>
      <c r="AC60" s="1"/>
      <c r="AD60" s="1"/>
      <c r="AE60" s="1"/>
      <c r="AF60" s="1"/>
      <c r="AG60" s="1"/>
      <c r="AH60" s="1"/>
      <c r="AI60" s="1"/>
      <c r="AJ60" s="1"/>
      <c r="AK60" s="1"/>
      <c r="AL60" s="1"/>
      <c r="AM60" s="1"/>
      <c r="AN60" s="1"/>
    </row>
    <row r="61" spans="1:40" ht="15" customHeight="1"/>
    <row r="62" spans="1:40" ht="15" customHeight="1"/>
  </sheetData>
  <mergeCells count="52">
    <mergeCell ref="R7:W7"/>
    <mergeCell ref="R9:S9"/>
    <mergeCell ref="W10:X10"/>
    <mergeCell ref="R2:X2"/>
    <mergeCell ref="R10:S10"/>
    <mergeCell ref="V9:W9"/>
    <mergeCell ref="R43:S43"/>
    <mergeCell ref="R44:S44"/>
    <mergeCell ref="R30:S30"/>
    <mergeCell ref="R38:S38"/>
    <mergeCell ref="R31:S31"/>
    <mergeCell ref="R39:S39"/>
    <mergeCell ref="R40:S40"/>
    <mergeCell ref="R42:S42"/>
    <mergeCell ref="R35:S35"/>
    <mergeCell ref="V33:W33"/>
    <mergeCell ref="V31:W31"/>
    <mergeCell ref="R11:S11"/>
    <mergeCell ref="R32:S32"/>
    <mergeCell ref="R41:S41"/>
    <mergeCell ref="R23:W23"/>
    <mergeCell ref="R28:S28"/>
    <mergeCell ref="R29:S29"/>
    <mergeCell ref="R25:S25"/>
    <mergeCell ref="R15:S15"/>
    <mergeCell ref="R17:S17"/>
    <mergeCell ref="R18:S18"/>
    <mergeCell ref="R26:S26"/>
    <mergeCell ref="R34:S34"/>
    <mergeCell ref="R37:S37"/>
    <mergeCell ref="R33:S33"/>
    <mergeCell ref="R12:S12"/>
    <mergeCell ref="T12:U12"/>
    <mergeCell ref="R13:S13"/>
    <mergeCell ref="R14:S14"/>
    <mergeCell ref="T33:U33"/>
    <mergeCell ref="R45:S45"/>
    <mergeCell ref="R46:S46"/>
    <mergeCell ref="R48:S48"/>
    <mergeCell ref="R49:S49"/>
    <mergeCell ref="R50:S50"/>
    <mergeCell ref="R57:S57"/>
    <mergeCell ref="R58:S58"/>
    <mergeCell ref="R59:S59"/>
    <mergeCell ref="R60:S60"/>
    <mergeCell ref="R47:S47"/>
    <mergeCell ref="R51:S51"/>
    <mergeCell ref="R52:S52"/>
    <mergeCell ref="R53:S53"/>
    <mergeCell ref="R54:S54"/>
    <mergeCell ref="R55:S55"/>
    <mergeCell ref="R56:S56"/>
  </mergeCell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80A8F-76EC-45D1-BFA1-B2D6BFA8962D}">
  <sheetPr>
    <tabColor rgb="FFE1CDFF"/>
  </sheetPr>
  <dimension ref="A1:H45"/>
  <sheetViews>
    <sheetView tabSelected="1" zoomScale="130" zoomScaleNormal="130" workbookViewId="0">
      <selection activeCell="E4" sqref="E4"/>
    </sheetView>
  </sheetViews>
  <sheetFormatPr defaultRowHeight="14.45"/>
  <cols>
    <col min="1" max="1" width="26.85546875" customWidth="1"/>
    <col min="2" max="3" width="26.28515625" customWidth="1"/>
    <col min="4" max="4" width="17.7109375" customWidth="1"/>
    <col min="5" max="5" width="16.5703125" customWidth="1"/>
    <col min="6" max="6" width="14.85546875" customWidth="1"/>
    <col min="7" max="7" width="16" customWidth="1"/>
    <col min="8" max="9" width="14.5703125" customWidth="1"/>
  </cols>
  <sheetData>
    <row r="1" spans="1:6">
      <c r="A1" s="355" t="s">
        <v>83</v>
      </c>
      <c r="B1" s="355"/>
      <c r="C1" s="355"/>
      <c r="D1" s="202" t="s">
        <v>84</v>
      </c>
      <c r="F1" s="171"/>
    </row>
    <row r="2" spans="1:6">
      <c r="A2" s="170" t="s">
        <v>85</v>
      </c>
      <c r="B2" s="170" t="s">
        <v>86</v>
      </c>
      <c r="C2" s="170"/>
    </row>
    <row r="3" spans="1:6">
      <c r="A3" s="170" t="s">
        <v>87</v>
      </c>
      <c r="B3" s="170" t="s">
        <v>88</v>
      </c>
      <c r="C3" s="170" t="s">
        <v>14</v>
      </c>
      <c r="D3" s="188"/>
    </row>
    <row r="4" spans="1:6">
      <c r="A4" s="170" t="s">
        <v>89</v>
      </c>
      <c r="B4" s="170">
        <v>1E-4</v>
      </c>
      <c r="C4" s="170" t="s">
        <v>90</v>
      </c>
      <c r="D4" s="203" t="s">
        <v>91</v>
      </c>
      <c r="E4" t="s">
        <v>92</v>
      </c>
    </row>
    <row r="5" spans="1:6">
      <c r="A5" s="170" t="s">
        <v>93</v>
      </c>
      <c r="B5" s="170">
        <v>90</v>
      </c>
      <c r="C5" s="170" t="s">
        <v>94</v>
      </c>
      <c r="D5" s="203" t="s">
        <v>95</v>
      </c>
    </row>
    <row r="6" spans="1:6">
      <c r="A6" s="170" t="s">
        <v>96</v>
      </c>
      <c r="B6" s="123" t="s">
        <v>97</v>
      </c>
      <c r="C6" s="170"/>
    </row>
    <row r="7" spans="1:6">
      <c r="A7" s="170" t="s">
        <v>98</v>
      </c>
      <c r="B7" s="170">
        <v>50</v>
      </c>
      <c r="C7" s="170" t="s">
        <v>99</v>
      </c>
      <c r="D7" s="188"/>
    </row>
    <row r="8" spans="1:6">
      <c r="A8" s="170" t="s">
        <v>100</v>
      </c>
      <c r="B8" s="170" t="s">
        <v>101</v>
      </c>
      <c r="C8" s="170"/>
      <c r="D8" s="188"/>
    </row>
    <row r="9" spans="1:6">
      <c r="A9" s="170" t="s">
        <v>102</v>
      </c>
      <c r="B9" s="170">
        <v>1.1499999999999999</v>
      </c>
      <c r="C9" s="170" t="s">
        <v>103</v>
      </c>
      <c r="D9" s="203" t="s">
        <v>104</v>
      </c>
    </row>
    <row r="10" spans="1:6">
      <c r="A10" s="240" t="s">
        <v>105</v>
      </c>
      <c r="B10" s="240"/>
      <c r="C10" s="240"/>
      <c r="D10" s="203"/>
    </row>
    <row r="12" spans="1:6">
      <c r="A12" s="356" t="s">
        <v>106</v>
      </c>
      <c r="B12" s="357"/>
      <c r="C12" s="357"/>
      <c r="D12" s="171" t="s">
        <v>107</v>
      </c>
    </row>
    <row r="13" spans="1:6">
      <c r="A13" s="361" t="s">
        <v>108</v>
      </c>
      <c r="B13" s="362"/>
      <c r="C13" s="363"/>
    </row>
    <row r="14" spans="1:6">
      <c r="A14" s="174" t="s">
        <v>109</v>
      </c>
      <c r="B14" s="175" t="s">
        <v>110</v>
      </c>
      <c r="C14" s="175" t="s">
        <v>14</v>
      </c>
    </row>
    <row r="15" spans="1:6">
      <c r="A15" s="174" t="s">
        <v>111</v>
      </c>
      <c r="B15" s="175">
        <v>1</v>
      </c>
      <c r="C15" s="175" t="s">
        <v>112</v>
      </c>
      <c r="D15" t="s">
        <v>113</v>
      </c>
    </row>
    <row r="16" spans="1:6">
      <c r="A16" s="358" t="s">
        <v>114</v>
      </c>
      <c r="B16" s="359"/>
      <c r="C16" s="360"/>
    </row>
    <row r="17" spans="1:4">
      <c r="A17" s="174" t="s">
        <v>109</v>
      </c>
      <c r="B17" s="175" t="s">
        <v>110</v>
      </c>
      <c r="C17" s="175" t="s">
        <v>14</v>
      </c>
    </row>
    <row r="18" spans="1:4">
      <c r="A18" s="174" t="s">
        <v>115</v>
      </c>
      <c r="B18" s="175">
        <v>-121</v>
      </c>
      <c r="C18" s="175" t="s">
        <v>116</v>
      </c>
    </row>
    <row r="19" spans="1:4">
      <c r="A19" s="174" t="s">
        <v>117</v>
      </c>
      <c r="B19" s="175">
        <v>14</v>
      </c>
      <c r="C19" s="175" t="s">
        <v>25</v>
      </c>
      <c r="D19" t="s">
        <v>118</v>
      </c>
    </row>
    <row r="20" spans="1:4">
      <c r="A20" s="176" t="s">
        <v>119</v>
      </c>
      <c r="B20" s="177">
        <v>0.9</v>
      </c>
      <c r="C20" s="279" t="s">
        <v>25</v>
      </c>
    </row>
    <row r="21" spans="1:4">
      <c r="A21" s="251" t="s">
        <v>120</v>
      </c>
      <c r="B21" s="280">
        <v>23</v>
      </c>
      <c r="C21" s="281" t="s">
        <v>25</v>
      </c>
    </row>
    <row r="22" spans="1:4">
      <c r="A22" s="364" t="s">
        <v>121</v>
      </c>
      <c r="B22" s="365"/>
      <c r="C22" s="366"/>
    </row>
    <row r="23" spans="1:4">
      <c r="A23" s="174" t="s">
        <v>122</v>
      </c>
      <c r="B23" s="175" t="s">
        <v>123</v>
      </c>
      <c r="C23" s="175"/>
    </row>
    <row r="24" spans="1:4">
      <c r="A24" s="174" t="s">
        <v>124</v>
      </c>
      <c r="B24" s="175" t="s">
        <v>125</v>
      </c>
      <c r="C24" s="175"/>
    </row>
    <row r="25" spans="1:4">
      <c r="A25" s="282" t="s">
        <v>126</v>
      </c>
      <c r="B25" s="175" t="s">
        <v>127</v>
      </c>
      <c r="C25" s="175" t="s">
        <v>128</v>
      </c>
    </row>
    <row r="27" spans="1:4">
      <c r="A27" s="349" t="s">
        <v>129</v>
      </c>
      <c r="B27" s="349"/>
      <c r="C27" s="349"/>
      <c r="D27" t="s">
        <v>130</v>
      </c>
    </row>
    <row r="28" spans="1:4">
      <c r="A28" s="172" t="s">
        <v>131</v>
      </c>
      <c r="B28" s="197" t="s">
        <v>101</v>
      </c>
      <c r="C28" s="197"/>
      <c r="D28" t="s">
        <v>132</v>
      </c>
    </row>
    <row r="29" spans="1:4">
      <c r="A29" s="172" t="s">
        <v>133</v>
      </c>
      <c r="B29" s="197" t="s">
        <v>123</v>
      </c>
      <c r="C29" s="197"/>
    </row>
    <row r="30" spans="1:4">
      <c r="A30" s="197" t="s">
        <v>134</v>
      </c>
      <c r="B30" s="197" t="s">
        <v>135</v>
      </c>
      <c r="C30" s="197"/>
      <c r="D30" t="s">
        <v>136</v>
      </c>
    </row>
    <row r="31" spans="1:4">
      <c r="A31" s="197" t="s">
        <v>137</v>
      </c>
      <c r="B31" s="197">
        <v>0.1</v>
      </c>
      <c r="C31" s="197" t="s">
        <v>43</v>
      </c>
      <c r="D31" t="s">
        <v>138</v>
      </c>
    </row>
    <row r="32" spans="1:4">
      <c r="A32" s="172" t="s">
        <v>139</v>
      </c>
      <c r="B32" s="197">
        <v>1</v>
      </c>
      <c r="C32" s="197" t="s">
        <v>140</v>
      </c>
    </row>
    <row r="33" spans="1:8">
      <c r="A33" s="172" t="s">
        <v>141</v>
      </c>
      <c r="B33" s="197">
        <v>0.37</v>
      </c>
      <c r="C33" s="197" t="s">
        <v>25</v>
      </c>
    </row>
    <row r="36" spans="1:8">
      <c r="A36" s="350" t="s">
        <v>142</v>
      </c>
      <c r="B36" s="351"/>
      <c r="C36" s="351"/>
      <c r="D36" s="351"/>
      <c r="E36" s="351"/>
      <c r="F36" s="351"/>
      <c r="G36" s="351"/>
      <c r="H36" s="352"/>
    </row>
    <row r="37" spans="1:8">
      <c r="A37" s="353" t="s">
        <v>143</v>
      </c>
      <c r="B37" s="353"/>
      <c r="C37" s="353"/>
      <c r="D37" s="353"/>
      <c r="E37" s="353"/>
      <c r="F37" s="353"/>
      <c r="G37" s="353"/>
      <c r="H37" s="354"/>
    </row>
    <row r="38" spans="1:8">
      <c r="A38" s="243" t="s">
        <v>144</v>
      </c>
      <c r="B38" s="243" t="s">
        <v>134</v>
      </c>
      <c r="C38" s="243" t="s">
        <v>145</v>
      </c>
      <c r="D38" s="243" t="s">
        <v>146</v>
      </c>
      <c r="E38" s="243" t="s">
        <v>147</v>
      </c>
      <c r="F38" s="243" t="s">
        <v>148</v>
      </c>
      <c r="G38" s="243" t="s">
        <v>149</v>
      </c>
      <c r="H38" s="243" t="s">
        <v>150</v>
      </c>
    </row>
    <row r="39" spans="1:8">
      <c r="A39" s="245" t="s">
        <v>151</v>
      </c>
      <c r="B39" s="209" t="s">
        <v>135</v>
      </c>
      <c r="C39" s="209">
        <v>0.1</v>
      </c>
      <c r="D39" s="209">
        <v>1</v>
      </c>
      <c r="E39" s="209" t="s">
        <v>101</v>
      </c>
      <c r="F39" s="209" t="s">
        <v>123</v>
      </c>
      <c r="G39" s="209">
        <v>0.37</v>
      </c>
      <c r="H39" s="209">
        <v>0.37</v>
      </c>
    </row>
    <row r="40" spans="1:8">
      <c r="A40" s="233" t="s">
        <v>152</v>
      </c>
      <c r="B40" s="237">
        <f>SUMPRODUCT(C39:C39,D39:D39)</f>
        <v>0.1</v>
      </c>
    </row>
    <row r="41" spans="1:8">
      <c r="A41" s="236" t="s">
        <v>153</v>
      </c>
      <c r="B41" s="235">
        <f>SUM(G39:H39)</f>
        <v>0.74</v>
      </c>
    </row>
    <row r="44" spans="1:8">
      <c r="A44" s="237" t="s">
        <v>154</v>
      </c>
      <c r="B44" s="261">
        <f>SUM(B43:B43)</f>
        <v>0</v>
      </c>
    </row>
    <row r="45" spans="1:8">
      <c r="A45" s="347" t="s">
        <v>155</v>
      </c>
      <c r="B45" s="348"/>
      <c r="C45" s="287">
        <f>SUM(C42:C44)</f>
        <v>0</v>
      </c>
    </row>
  </sheetData>
  <mergeCells count="9">
    <mergeCell ref="A45:B45"/>
    <mergeCell ref="A27:C27"/>
    <mergeCell ref="A36:H36"/>
    <mergeCell ref="A37:H37"/>
    <mergeCell ref="A1:C1"/>
    <mergeCell ref="A12:C12"/>
    <mergeCell ref="A16:C16"/>
    <mergeCell ref="A13:C13"/>
    <mergeCell ref="A22:C22"/>
  </mergeCells>
  <hyperlinks>
    <hyperlink ref="D1" r:id="rId1" xr:uid="{0041541D-23D7-4A67-A0D3-4C0D7C49E582}"/>
    <hyperlink ref="D12" r:id="rId2" xr:uid="{F1C20BE2-AE34-4F26-BF0F-A4F9D1245A3D}"/>
  </hyperlinks>
  <pageMargins left="0.7" right="0.7" top="0.75" bottom="0.75" header="0.3" footer="0.3"/>
  <pageSetup orientation="portrait" horizontalDpi="0" verticalDpi="0"/>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A3FEF5-41B8-4907-9B95-D8D0CD1BB15D}">
          <x14:formula1>
            <xm:f>'Backend Data'!$L$3:$L$5</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I109"/>
  <sheetViews>
    <sheetView topLeftCell="A45" zoomScale="130" zoomScaleNormal="130" workbookViewId="0">
      <selection activeCell="D13" sqref="D13"/>
    </sheetView>
  </sheetViews>
  <sheetFormatPr defaultRowHeight="14.45"/>
  <cols>
    <col min="1" max="1" width="32.140625" customWidth="1"/>
    <col min="2" max="4" width="26.28515625" customWidth="1"/>
    <col min="5" max="5" width="16.28515625" customWidth="1"/>
    <col min="6" max="6" width="18.42578125" customWidth="1"/>
    <col min="7" max="7" width="18.7109375" customWidth="1"/>
    <col min="8" max="8" width="21.28515625" customWidth="1"/>
  </cols>
  <sheetData>
    <row r="1" spans="1:6">
      <c r="A1" s="355" t="s">
        <v>156</v>
      </c>
      <c r="B1" s="355"/>
      <c r="C1" s="355"/>
      <c r="D1" s="203" t="s">
        <v>157</v>
      </c>
      <c r="F1" s="171"/>
    </row>
    <row r="2" spans="1:6">
      <c r="A2" s="170" t="s">
        <v>85</v>
      </c>
      <c r="B2" s="170" t="s">
        <v>158</v>
      </c>
      <c r="C2" s="170"/>
      <c r="D2" s="202" t="s">
        <v>159</v>
      </c>
    </row>
    <row r="3" spans="1:6">
      <c r="A3" s="170" t="s">
        <v>87</v>
      </c>
      <c r="B3" s="170" t="s">
        <v>88</v>
      </c>
      <c r="C3" s="170" t="s">
        <v>14</v>
      </c>
      <c r="D3" s="188"/>
    </row>
    <row r="4" spans="1:6">
      <c r="A4" s="170" t="s">
        <v>89</v>
      </c>
      <c r="B4" s="170">
        <v>15</v>
      </c>
      <c r="C4" s="170" t="s">
        <v>90</v>
      </c>
      <c r="D4" s="203" t="s">
        <v>160</v>
      </c>
    </row>
    <row r="5" spans="1:6">
      <c r="A5" s="170" t="s">
        <v>93</v>
      </c>
      <c r="B5" s="170">
        <v>14</v>
      </c>
      <c r="C5" s="170" t="s">
        <v>94</v>
      </c>
      <c r="D5" s="203" t="s">
        <v>161</v>
      </c>
    </row>
    <row r="6" spans="1:6">
      <c r="A6" s="170" t="s">
        <v>96</v>
      </c>
      <c r="B6" s="123" t="s">
        <v>97</v>
      </c>
      <c r="C6" s="170"/>
      <c r="D6" s="188"/>
    </row>
    <row r="7" spans="1:6">
      <c r="A7" s="170" t="s">
        <v>98</v>
      </c>
      <c r="B7" s="170">
        <v>50</v>
      </c>
      <c r="C7" s="170" t="s">
        <v>99</v>
      </c>
      <c r="D7" s="188"/>
    </row>
    <row r="8" spans="1:6">
      <c r="A8" s="170" t="s">
        <v>100</v>
      </c>
      <c r="B8" s="170" t="s">
        <v>162</v>
      </c>
      <c r="C8" s="170"/>
      <c r="D8" s="188"/>
    </row>
    <row r="9" spans="1:6">
      <c r="A9" s="170" t="s">
        <v>163</v>
      </c>
      <c r="B9" s="170">
        <v>1.75</v>
      </c>
      <c r="C9" s="170" t="s">
        <v>43</v>
      </c>
      <c r="D9" s="188"/>
    </row>
    <row r="10" spans="1:6" ht="15" customHeight="1">
      <c r="A10" s="170" t="s">
        <v>102</v>
      </c>
      <c r="B10" s="170">
        <v>1.5</v>
      </c>
      <c r="C10" s="170" t="s">
        <v>103</v>
      </c>
      <c r="D10" s="203" t="s">
        <v>164</v>
      </c>
    </row>
    <row r="11" spans="1:6" ht="43.15" customHeight="1">
      <c r="A11" s="213" t="s">
        <v>165</v>
      </c>
      <c r="B11" s="213">
        <v>1500</v>
      </c>
      <c r="C11" s="213" t="s">
        <v>112</v>
      </c>
      <c r="D11" s="188"/>
    </row>
    <row r="12" spans="1:6" ht="21.75" customHeight="1">
      <c r="A12" s="188"/>
      <c r="B12" s="188"/>
      <c r="C12" s="188"/>
      <c r="D12" s="188"/>
    </row>
    <row r="13" spans="1:6" ht="15" customHeight="1">
      <c r="A13" s="367" t="s">
        <v>166</v>
      </c>
      <c r="B13" s="367"/>
      <c r="C13" s="367"/>
      <c r="D13" s="171" t="s">
        <v>167</v>
      </c>
    </row>
    <row r="14" spans="1:6" ht="21" customHeight="1">
      <c r="A14" s="368" t="s">
        <v>108</v>
      </c>
      <c r="B14" s="369"/>
      <c r="C14" s="370"/>
      <c r="D14" s="188"/>
    </row>
    <row r="15" spans="1:6" ht="18" customHeight="1">
      <c r="A15" s="174" t="s">
        <v>109</v>
      </c>
      <c r="B15" s="175" t="s">
        <v>168</v>
      </c>
      <c r="C15" s="175" t="s">
        <v>14</v>
      </c>
      <c r="D15" s="188"/>
    </row>
    <row r="16" spans="1:6" ht="17.25" customHeight="1">
      <c r="A16" s="174" t="s">
        <v>169</v>
      </c>
      <c r="B16" s="175">
        <v>0.01</v>
      </c>
      <c r="C16" s="175" t="s">
        <v>112</v>
      </c>
      <c r="D16" s="203" t="s">
        <v>170</v>
      </c>
    </row>
    <row r="17" spans="1:4" ht="15" customHeight="1">
      <c r="A17" s="358" t="s">
        <v>114</v>
      </c>
      <c r="B17" s="359"/>
      <c r="C17" s="360"/>
      <c r="D17" s="188"/>
    </row>
    <row r="18" spans="1:4" ht="17.25" customHeight="1">
      <c r="A18" s="174" t="s">
        <v>109</v>
      </c>
      <c r="B18" s="175"/>
      <c r="C18" s="175" t="s">
        <v>14</v>
      </c>
      <c r="D18" s="188"/>
    </row>
    <row r="19" spans="1:4" ht="15.75" customHeight="1">
      <c r="A19" s="174" t="s">
        <v>115</v>
      </c>
      <c r="B19" s="175"/>
      <c r="C19" s="175" t="s">
        <v>116</v>
      </c>
      <c r="D19" s="188"/>
    </row>
    <row r="20" spans="1:4" ht="15" customHeight="1">
      <c r="A20" s="174" t="s">
        <v>117</v>
      </c>
      <c r="B20" s="175"/>
      <c r="C20" s="175" t="s">
        <v>25</v>
      </c>
      <c r="D20" s="188"/>
    </row>
    <row r="21" spans="1:4" ht="15" customHeight="1">
      <c r="A21" s="174" t="s">
        <v>119</v>
      </c>
      <c r="B21" s="175">
        <v>5</v>
      </c>
      <c r="C21" s="179" t="s">
        <v>25</v>
      </c>
      <c r="D21" s="203" t="s">
        <v>171</v>
      </c>
    </row>
    <row r="22" spans="1:4" ht="19.5" customHeight="1">
      <c r="A22" s="358" t="s">
        <v>121</v>
      </c>
      <c r="B22" s="359"/>
      <c r="C22" s="360"/>
      <c r="D22" s="188"/>
    </row>
    <row r="23" spans="1:4" ht="19.5" customHeight="1">
      <c r="A23" s="174" t="s">
        <v>172</v>
      </c>
      <c r="B23" s="175" t="s">
        <v>173</v>
      </c>
      <c r="C23" s="175"/>
      <c r="D23" s="188"/>
    </row>
    <row r="24" spans="1:4" ht="19.5" customHeight="1">
      <c r="A24" s="176" t="s">
        <v>124</v>
      </c>
      <c r="B24" s="175" t="s">
        <v>125</v>
      </c>
      <c r="C24" s="175"/>
      <c r="D24" s="188"/>
    </row>
    <row r="25" spans="1:4" ht="18.75" customHeight="1">
      <c r="A25" s="251" t="s">
        <v>126</v>
      </c>
      <c r="B25" s="252">
        <v>12</v>
      </c>
      <c r="C25" s="175" t="s">
        <v>128</v>
      </c>
      <c r="D25" s="188"/>
    </row>
    <row r="26" spans="1:4">
      <c r="A26" s="188"/>
      <c r="B26" s="188"/>
      <c r="C26" s="188"/>
      <c r="D26" s="188"/>
    </row>
    <row r="27" spans="1:4">
      <c r="A27" s="349" t="s">
        <v>174</v>
      </c>
      <c r="B27" s="349"/>
      <c r="C27" s="349"/>
      <c r="D27" s="202" t="s">
        <v>175</v>
      </c>
    </row>
    <row r="28" spans="1:4">
      <c r="A28" s="172" t="s">
        <v>87</v>
      </c>
      <c r="B28" s="197" t="s">
        <v>176</v>
      </c>
      <c r="C28" s="197" t="s">
        <v>14</v>
      </c>
      <c r="D28" s="188"/>
    </row>
    <row r="29" spans="1:4">
      <c r="A29" s="172" t="s">
        <v>177</v>
      </c>
      <c r="B29" s="197">
        <v>0.35</v>
      </c>
      <c r="C29" s="197" t="s">
        <v>25</v>
      </c>
      <c r="D29" s="188"/>
    </row>
    <row r="30" spans="1:4">
      <c r="A30" s="172" t="s">
        <v>178</v>
      </c>
      <c r="B30" s="197">
        <v>1.1000000000000001</v>
      </c>
      <c r="C30" s="197" t="s">
        <v>103</v>
      </c>
      <c r="D30" s="203" t="s">
        <v>179</v>
      </c>
    </row>
    <row r="31" spans="1:4">
      <c r="A31" s="255" t="s">
        <v>180</v>
      </c>
      <c r="B31" s="256">
        <v>90</v>
      </c>
      <c r="C31" s="256" t="s">
        <v>112</v>
      </c>
      <c r="D31" s="188"/>
    </row>
    <row r="32" spans="1:4">
      <c r="A32" s="253" t="s">
        <v>172</v>
      </c>
      <c r="B32" s="254" t="s">
        <v>162</v>
      </c>
      <c r="C32" s="254"/>
      <c r="D32" s="188"/>
    </row>
    <row r="33" spans="1:4">
      <c r="A33" s="188"/>
      <c r="B33" s="188"/>
      <c r="C33" s="188"/>
      <c r="D33" s="188"/>
    </row>
    <row r="34" spans="1:4">
      <c r="A34" s="380" t="s">
        <v>181</v>
      </c>
      <c r="B34" s="381"/>
      <c r="C34" s="382"/>
      <c r="D34" s="203" t="s">
        <v>182</v>
      </c>
    </row>
    <row r="35" spans="1:4" ht="14.45" customHeight="1">
      <c r="A35" s="178" t="s">
        <v>87</v>
      </c>
      <c r="B35" s="178" t="s">
        <v>183</v>
      </c>
      <c r="C35" s="178" t="s">
        <v>14</v>
      </c>
      <c r="D35" s="195"/>
    </row>
    <row r="36" spans="1:4" ht="14.45" customHeight="1">
      <c r="A36" s="178" t="s">
        <v>89</v>
      </c>
      <c r="B36" s="178">
        <v>18</v>
      </c>
      <c r="C36" s="178" t="s">
        <v>25</v>
      </c>
      <c r="D36" s="188"/>
    </row>
    <row r="37" spans="1:4" ht="14.45" customHeight="1">
      <c r="A37" s="178" t="s">
        <v>184</v>
      </c>
      <c r="B37" s="178">
        <v>0.5</v>
      </c>
      <c r="C37" s="178" t="s">
        <v>25</v>
      </c>
      <c r="D37" s="188"/>
    </row>
    <row r="38" spans="1:4" ht="14.45" customHeight="1">
      <c r="A38" s="178" t="s">
        <v>185</v>
      </c>
      <c r="B38" s="178" t="s">
        <v>186</v>
      </c>
      <c r="C38" s="178" t="s">
        <v>103</v>
      </c>
      <c r="D38" s="188" t="s">
        <v>187</v>
      </c>
    </row>
    <row r="39" spans="1:4" ht="14.45" customHeight="1">
      <c r="A39" s="178" t="s">
        <v>188</v>
      </c>
      <c r="B39" s="178">
        <v>0</v>
      </c>
      <c r="C39" s="178" t="s">
        <v>25</v>
      </c>
      <c r="D39" s="188" t="s">
        <v>187</v>
      </c>
    </row>
    <row r="40" spans="1:4" ht="14.45" customHeight="1">
      <c r="A40" s="178" t="s">
        <v>172</v>
      </c>
      <c r="B40" s="178" t="s">
        <v>162</v>
      </c>
      <c r="C40" s="178"/>
      <c r="D40" s="188"/>
    </row>
    <row r="41" spans="1:4" ht="14.45" customHeight="1">
      <c r="A41" s="188"/>
      <c r="B41" s="188"/>
      <c r="C41" s="188"/>
      <c r="D41" s="188"/>
    </row>
    <row r="42" spans="1:4" ht="14.45" customHeight="1">
      <c r="A42" s="383" t="s">
        <v>189</v>
      </c>
      <c r="B42" s="384"/>
      <c r="C42" s="385"/>
      <c r="D42" s="202" t="s">
        <v>190</v>
      </c>
    </row>
    <row r="43" spans="1:4" ht="14.45" customHeight="1">
      <c r="A43" s="248" t="s">
        <v>87</v>
      </c>
      <c r="B43" s="248" t="s">
        <v>191</v>
      </c>
      <c r="C43" s="248" t="s">
        <v>14</v>
      </c>
      <c r="D43" s="195"/>
    </row>
    <row r="44" spans="1:4" ht="14.45" customHeight="1">
      <c r="A44" s="248" t="s">
        <v>192</v>
      </c>
      <c r="B44" s="248">
        <v>46.5</v>
      </c>
      <c r="C44" s="248" t="s">
        <v>112</v>
      </c>
      <c r="D44" s="188"/>
    </row>
    <row r="45" spans="1:4" ht="14.45" customHeight="1">
      <c r="A45" s="248" t="s">
        <v>193</v>
      </c>
      <c r="B45" s="248">
        <v>53.5</v>
      </c>
      <c r="C45" s="248" t="s">
        <v>25</v>
      </c>
      <c r="D45" s="188"/>
    </row>
    <row r="46" spans="1:4" ht="14.45" customHeight="1">
      <c r="A46" s="248" t="s">
        <v>184</v>
      </c>
      <c r="B46" s="248">
        <v>7</v>
      </c>
      <c r="C46" s="249" t="s">
        <v>25</v>
      </c>
      <c r="D46" s="188"/>
    </row>
    <row r="47" spans="1:4" ht="14.45" customHeight="1">
      <c r="A47" s="249" t="s">
        <v>194</v>
      </c>
      <c r="B47" s="257">
        <v>1.75</v>
      </c>
      <c r="C47" s="258" t="s">
        <v>103</v>
      </c>
      <c r="D47" s="203" t="s">
        <v>179</v>
      </c>
    </row>
    <row r="48" spans="1:4" ht="14.45" customHeight="1">
      <c r="A48" s="250" t="s">
        <v>172</v>
      </c>
      <c r="B48" s="250" t="s">
        <v>162</v>
      </c>
      <c r="C48" s="250"/>
      <c r="D48" s="203"/>
    </row>
    <row r="49" spans="1:4">
      <c r="B49" s="188"/>
      <c r="C49" s="188"/>
      <c r="D49" s="188"/>
    </row>
    <row r="50" spans="1:4">
      <c r="A50" s="373" t="s">
        <v>195</v>
      </c>
      <c r="B50" s="374"/>
      <c r="C50" s="375"/>
      <c r="D50" s="171" t="s">
        <v>196</v>
      </c>
    </row>
    <row r="51" spans="1:4">
      <c r="A51" s="259" t="s">
        <v>87</v>
      </c>
      <c r="B51" s="259" t="s">
        <v>88</v>
      </c>
      <c r="C51" s="259" t="s">
        <v>14</v>
      </c>
    </row>
    <row r="52" spans="1:4">
      <c r="A52" s="259" t="s">
        <v>177</v>
      </c>
      <c r="B52" s="259">
        <v>1</v>
      </c>
      <c r="C52" s="259" t="s">
        <v>25</v>
      </c>
    </row>
    <row r="53" spans="1:4">
      <c r="A53" s="260" t="s">
        <v>172</v>
      </c>
      <c r="B53" s="260" t="s">
        <v>162</v>
      </c>
      <c r="C53" s="260"/>
    </row>
    <row r="55" spans="1:4">
      <c r="A55" s="376" t="s">
        <v>197</v>
      </c>
      <c r="B55" s="377"/>
      <c r="C55" s="378"/>
      <c r="D55" s="171" t="s">
        <v>198</v>
      </c>
    </row>
    <row r="56" spans="1:4">
      <c r="A56" s="264" t="s">
        <v>87</v>
      </c>
      <c r="B56" s="264" t="s">
        <v>199</v>
      </c>
      <c r="C56" s="264" t="s">
        <v>14</v>
      </c>
    </row>
    <row r="57" spans="1:4">
      <c r="A57" s="264" t="s">
        <v>200</v>
      </c>
      <c r="B57" s="264">
        <v>45</v>
      </c>
      <c r="C57" s="264" t="s">
        <v>25</v>
      </c>
      <c r="D57" t="s">
        <v>201</v>
      </c>
    </row>
    <row r="58" spans="1:4">
      <c r="A58" s="264" t="s">
        <v>177</v>
      </c>
      <c r="B58" s="264">
        <v>0.6</v>
      </c>
      <c r="C58" s="264" t="s">
        <v>25</v>
      </c>
    </row>
    <row r="59" spans="1:4">
      <c r="A59" s="264" t="s">
        <v>178</v>
      </c>
      <c r="B59" s="264">
        <v>1.2</v>
      </c>
      <c r="C59" s="264" t="s">
        <v>103</v>
      </c>
    </row>
    <row r="60" spans="1:4">
      <c r="A60" s="264" t="s">
        <v>172</v>
      </c>
      <c r="B60" s="264" t="s">
        <v>162</v>
      </c>
      <c r="C60" s="264"/>
    </row>
    <row r="62" spans="1:4">
      <c r="A62" s="171" t="s">
        <v>202</v>
      </c>
    </row>
    <row r="63" spans="1:4">
      <c r="A63" t="s">
        <v>203</v>
      </c>
    </row>
    <row r="65" spans="1:9">
      <c r="A65" s="230" t="s">
        <v>142</v>
      </c>
      <c r="B65" s="231"/>
      <c r="C65" s="231"/>
      <c r="D65" s="231"/>
      <c r="E65" s="231"/>
      <c r="F65" s="231"/>
      <c r="G65" s="231"/>
      <c r="H65" s="241"/>
      <c r="I65" t="s">
        <v>204</v>
      </c>
    </row>
    <row r="66" spans="1:9">
      <c r="A66" s="262" t="s">
        <v>205</v>
      </c>
      <c r="B66" s="262"/>
      <c r="C66" s="262"/>
      <c r="D66" s="262"/>
      <c r="E66" s="262"/>
      <c r="F66" s="262"/>
      <c r="G66" s="262"/>
      <c r="H66" s="263"/>
    </row>
    <row r="67" spans="1:9">
      <c r="A67" s="242" t="s">
        <v>144</v>
      </c>
      <c r="B67" s="242" t="s">
        <v>134</v>
      </c>
      <c r="C67" s="243" t="s">
        <v>145</v>
      </c>
      <c r="D67" s="243" t="s">
        <v>146</v>
      </c>
      <c r="E67" s="243" t="s">
        <v>147</v>
      </c>
      <c r="F67" s="243" t="s">
        <v>148</v>
      </c>
      <c r="G67" s="244" t="s">
        <v>149</v>
      </c>
      <c r="H67" s="243" t="s">
        <v>150</v>
      </c>
      <c r="I67" t="s">
        <v>206</v>
      </c>
    </row>
    <row r="68" spans="1:9">
      <c r="A68" s="245" t="s">
        <v>207</v>
      </c>
      <c r="B68" s="209" t="s">
        <v>208</v>
      </c>
      <c r="C68" s="238">
        <v>0.5</v>
      </c>
      <c r="D68" s="209">
        <v>8.8999999999999996E-2</v>
      </c>
      <c r="E68" s="209" t="s">
        <v>173</v>
      </c>
      <c r="F68" s="209" t="s">
        <v>173</v>
      </c>
      <c r="G68" s="209">
        <v>0.1</v>
      </c>
      <c r="H68" s="209">
        <v>0.1</v>
      </c>
    </row>
    <row r="69" spans="1:9">
      <c r="A69" s="245" t="s">
        <v>209</v>
      </c>
      <c r="B69" s="209" t="s">
        <v>208</v>
      </c>
      <c r="C69" s="238">
        <v>10</v>
      </c>
      <c r="D69" s="209">
        <v>8.8999999999999996E-2</v>
      </c>
      <c r="E69" s="209" t="s">
        <v>173</v>
      </c>
      <c r="F69" s="209" t="s">
        <v>162</v>
      </c>
      <c r="G69" s="209">
        <v>0.1</v>
      </c>
      <c r="H69" s="209">
        <v>0.15</v>
      </c>
    </row>
    <row r="70" spans="1:9">
      <c r="A70" s="245" t="s">
        <v>210</v>
      </c>
      <c r="B70" s="209" t="s">
        <v>208</v>
      </c>
      <c r="C70" s="238">
        <v>1</v>
      </c>
      <c r="D70" s="209">
        <v>8.8999999999999996E-2</v>
      </c>
      <c r="E70" s="209" t="s">
        <v>162</v>
      </c>
      <c r="F70" s="209" t="s">
        <v>162</v>
      </c>
      <c r="G70" s="209">
        <v>0.15</v>
      </c>
      <c r="H70" s="209">
        <v>0.15</v>
      </c>
    </row>
    <row r="71" spans="1:9">
      <c r="A71" s="233" t="s">
        <v>152</v>
      </c>
      <c r="B71" s="237">
        <f>SUMPRODUCT(C68:C70,D68:D70)</f>
        <v>1.0234999999999999</v>
      </c>
    </row>
    <row r="72" spans="1:9">
      <c r="A72" s="236" t="s">
        <v>153</v>
      </c>
      <c r="B72" s="235">
        <f>SUM(G68:H70)</f>
        <v>0.75000000000000011</v>
      </c>
    </row>
    <row r="74" spans="1:9">
      <c r="A74" s="262" t="s">
        <v>211</v>
      </c>
      <c r="B74" s="262"/>
      <c r="C74" s="262"/>
      <c r="D74" s="262"/>
      <c r="E74" s="262"/>
      <c r="F74" s="262"/>
      <c r="G74" s="262"/>
      <c r="H74" s="263"/>
    </row>
    <row r="75" spans="1:9">
      <c r="A75" s="242" t="s">
        <v>144</v>
      </c>
      <c r="B75" s="242" t="s">
        <v>134</v>
      </c>
      <c r="C75" s="242" t="s">
        <v>145</v>
      </c>
      <c r="D75" s="242" t="s">
        <v>146</v>
      </c>
      <c r="E75" s="242" t="s">
        <v>147</v>
      </c>
      <c r="F75" s="242" t="s">
        <v>148</v>
      </c>
      <c r="G75" s="242" t="s">
        <v>149</v>
      </c>
      <c r="H75" s="242" t="s">
        <v>150</v>
      </c>
      <c r="I75" t="s">
        <v>212</v>
      </c>
    </row>
    <row r="76" spans="1:9">
      <c r="A76" s="245" t="s">
        <v>213</v>
      </c>
      <c r="B76" s="209" t="s">
        <v>208</v>
      </c>
      <c r="C76" s="209">
        <v>1</v>
      </c>
      <c r="D76" s="209">
        <v>8.8999999999999996E-2</v>
      </c>
      <c r="E76" s="209" t="s">
        <v>162</v>
      </c>
      <c r="F76" s="209" t="s">
        <v>162</v>
      </c>
      <c r="G76" s="209">
        <v>0.15</v>
      </c>
      <c r="H76" s="209">
        <v>0.15</v>
      </c>
    </row>
    <row r="77" spans="1:9">
      <c r="A77" s="271" t="s">
        <v>152</v>
      </c>
      <c r="B77" s="235">
        <f>SUMPRODUCT(C76:C76,D76:D76)</f>
        <v>8.8999999999999996E-2</v>
      </c>
    </row>
    <row r="78" spans="1:9">
      <c r="A78" s="236" t="s">
        <v>153</v>
      </c>
      <c r="B78" s="235">
        <f>SUM(G76:H76)</f>
        <v>0.3</v>
      </c>
    </row>
    <row r="80" spans="1:9">
      <c r="A80" s="262" t="s">
        <v>214</v>
      </c>
      <c r="B80" s="262"/>
      <c r="C80" s="262"/>
      <c r="D80" s="262"/>
      <c r="E80" s="262"/>
      <c r="F80" s="262"/>
      <c r="G80" s="262"/>
      <c r="H80" s="263"/>
    </row>
    <row r="81" spans="1:9">
      <c r="A81" s="243" t="s">
        <v>144</v>
      </c>
      <c r="B81" s="243" t="s">
        <v>134</v>
      </c>
      <c r="C81" s="243" t="s">
        <v>145</v>
      </c>
      <c r="D81" s="243" t="s">
        <v>146</v>
      </c>
      <c r="E81" s="243" t="s">
        <v>147</v>
      </c>
      <c r="F81" s="243" t="s">
        <v>148</v>
      </c>
      <c r="G81" s="243" t="s">
        <v>149</v>
      </c>
      <c r="H81" s="243" t="s">
        <v>150</v>
      </c>
    </row>
    <row r="82" spans="1:9">
      <c r="A82" s="245" t="s">
        <v>215</v>
      </c>
      <c r="B82" s="209" t="s">
        <v>208</v>
      </c>
      <c r="C82" s="238">
        <v>10</v>
      </c>
      <c r="D82" s="209">
        <v>8.8999999999999996E-2</v>
      </c>
      <c r="E82" s="209" t="s">
        <v>162</v>
      </c>
      <c r="F82" s="209" t="s">
        <v>173</v>
      </c>
      <c r="G82" s="209">
        <v>0.15</v>
      </c>
      <c r="H82" s="209">
        <v>0.1</v>
      </c>
    </row>
    <row r="83" spans="1:9">
      <c r="A83" s="245" t="s">
        <v>216</v>
      </c>
      <c r="B83" s="209" t="s">
        <v>208</v>
      </c>
      <c r="C83" s="238">
        <v>0.5</v>
      </c>
      <c r="D83" s="209"/>
      <c r="E83" s="209" t="s">
        <v>173</v>
      </c>
      <c r="F83" s="209" t="s">
        <v>162</v>
      </c>
      <c r="G83" s="209">
        <v>0.1</v>
      </c>
      <c r="H83" s="209">
        <v>0.15</v>
      </c>
    </row>
    <row r="84" spans="1:9">
      <c r="A84" s="245" t="s">
        <v>217</v>
      </c>
      <c r="B84" s="209" t="s">
        <v>208</v>
      </c>
      <c r="C84" s="238">
        <v>0.5</v>
      </c>
      <c r="D84" s="209">
        <v>8.8999999999999996E-2</v>
      </c>
      <c r="E84" s="209" t="s">
        <v>162</v>
      </c>
      <c r="F84" s="209" t="s">
        <v>173</v>
      </c>
      <c r="G84" s="209">
        <v>0.15</v>
      </c>
      <c r="H84" s="209">
        <v>0.1</v>
      </c>
    </row>
    <row r="85" spans="1:9">
      <c r="A85" s="233" t="s">
        <v>152</v>
      </c>
      <c r="B85" s="237">
        <f>SUMPRODUCT(C82:C84,D82:D84)</f>
        <v>0.93449999999999989</v>
      </c>
    </row>
    <row r="86" spans="1:9">
      <c r="A86" s="236" t="s">
        <v>153</v>
      </c>
      <c r="B86" s="235">
        <f>SUM(G82:H84)</f>
        <v>0.75</v>
      </c>
    </row>
    <row r="88" spans="1:9">
      <c r="A88" s="262" t="s">
        <v>218</v>
      </c>
      <c r="B88" s="262"/>
      <c r="C88" s="262"/>
      <c r="D88" s="262"/>
      <c r="E88" s="262"/>
      <c r="F88" s="262"/>
      <c r="G88" s="262"/>
      <c r="H88" s="263"/>
      <c r="I88" t="s">
        <v>212</v>
      </c>
    </row>
    <row r="89" spans="1:9">
      <c r="A89" s="242" t="s">
        <v>219</v>
      </c>
      <c r="B89" s="242" t="s">
        <v>220</v>
      </c>
    </row>
    <row r="90" spans="1:9">
      <c r="A90" s="245" t="s">
        <v>221</v>
      </c>
      <c r="B90" s="209">
        <f>B58</f>
        <v>0.6</v>
      </c>
    </row>
    <row r="91" spans="1:9">
      <c r="A91" s="276" t="s">
        <v>222</v>
      </c>
      <c r="B91" s="277">
        <v>0</v>
      </c>
    </row>
    <row r="92" spans="1:9">
      <c r="A92" s="235" t="s">
        <v>154</v>
      </c>
      <c r="B92" s="234">
        <f>SUM(B90:B91)</f>
        <v>0.6</v>
      </c>
    </row>
    <row r="94" spans="1:9">
      <c r="A94" s="269" t="s">
        <v>223</v>
      </c>
      <c r="B94" s="262"/>
      <c r="C94" s="268"/>
      <c r="D94" s="268"/>
      <c r="E94" s="268"/>
      <c r="F94" s="268"/>
      <c r="G94" s="268"/>
      <c r="H94" s="270"/>
    </row>
    <row r="95" spans="1:9">
      <c r="A95" s="267" t="s">
        <v>219</v>
      </c>
      <c r="B95" s="267" t="s">
        <v>220</v>
      </c>
    </row>
    <row r="96" spans="1:9">
      <c r="A96" s="278" t="s">
        <v>224</v>
      </c>
      <c r="B96" s="275">
        <v>0</v>
      </c>
    </row>
    <row r="97" spans="1:9">
      <c r="A97" s="237" t="s">
        <v>154</v>
      </c>
      <c r="B97" s="261">
        <f>SUM(B96:B96)</f>
        <v>0</v>
      </c>
    </row>
    <row r="99" spans="1:9">
      <c r="A99" s="262" t="s">
        <v>225</v>
      </c>
      <c r="B99" s="262"/>
      <c r="C99" s="262"/>
      <c r="D99" s="262"/>
      <c r="E99" s="262"/>
      <c r="F99" s="262"/>
      <c r="G99" s="262"/>
      <c r="H99" s="263"/>
      <c r="I99" t="s">
        <v>212</v>
      </c>
    </row>
    <row r="100" spans="1:9">
      <c r="A100" s="242" t="s">
        <v>219</v>
      </c>
      <c r="B100" s="242" t="s">
        <v>226</v>
      </c>
      <c r="C100" s="242" t="s">
        <v>227</v>
      </c>
    </row>
    <row r="101" spans="1:9">
      <c r="A101" s="273" t="s">
        <v>228</v>
      </c>
      <c r="B101" s="273">
        <f>B10</f>
        <v>1.5</v>
      </c>
      <c r="C101" s="265">
        <f t="shared" ref="C101:C103" si="0">-10*LOG10(1-((B101-1)/(B101+1))^2)</f>
        <v>0.17728766960431602</v>
      </c>
    </row>
    <row r="102" spans="1:9">
      <c r="A102" s="274" t="s">
        <v>222</v>
      </c>
      <c r="B102" s="275">
        <v>0</v>
      </c>
      <c r="C102" s="275">
        <v>0</v>
      </c>
    </row>
    <row r="103" spans="1:9">
      <c r="A103" s="245" t="s">
        <v>221</v>
      </c>
      <c r="B103" s="209">
        <f>$B$59</f>
        <v>1.2</v>
      </c>
      <c r="C103" s="265">
        <f t="shared" si="0"/>
        <v>3.6041242688252415E-2</v>
      </c>
    </row>
    <row r="104" spans="1:9">
      <c r="A104" s="347" t="s">
        <v>155</v>
      </c>
      <c r="B104" s="379"/>
      <c r="C104" s="272">
        <f>SUM(C101:C103)</f>
        <v>0.21332891229256845</v>
      </c>
    </row>
    <row r="106" spans="1:9">
      <c r="A106" s="262" t="s">
        <v>229</v>
      </c>
      <c r="B106" s="262"/>
      <c r="C106" s="262"/>
      <c r="D106" s="262"/>
      <c r="E106" s="262"/>
      <c r="F106" s="262"/>
      <c r="G106" s="262"/>
      <c r="H106" s="263"/>
      <c r="I106" t="s">
        <v>212</v>
      </c>
    </row>
    <row r="107" spans="1:9">
      <c r="A107" s="243" t="s">
        <v>219</v>
      </c>
      <c r="B107" s="243" t="s">
        <v>226</v>
      </c>
      <c r="C107" s="242" t="s">
        <v>227</v>
      </c>
    </row>
    <row r="108" spans="1:9">
      <c r="A108" s="273" t="s">
        <v>228</v>
      </c>
      <c r="B108" s="273">
        <f>B10</f>
        <v>1.5</v>
      </c>
      <c r="C108" s="265">
        <f t="shared" ref="C108" si="1">-10*LOG10(1-((B108-1)/(B108+1))^2)</f>
        <v>0.17728766960431602</v>
      </c>
    </row>
    <row r="109" spans="1:9">
      <c r="A109" s="371" t="s">
        <v>155</v>
      </c>
      <c r="B109" s="372"/>
      <c r="C109" s="266">
        <f>SUM(C108:C108)</f>
        <v>0.17728766960431602</v>
      </c>
    </row>
  </sheetData>
  <mergeCells count="12">
    <mergeCell ref="A109:B109"/>
    <mergeCell ref="A50:C50"/>
    <mergeCell ref="A55:C55"/>
    <mergeCell ref="A104:B104"/>
    <mergeCell ref="A34:C34"/>
    <mergeCell ref="A42:C42"/>
    <mergeCell ref="A1:C1"/>
    <mergeCell ref="A27:C27"/>
    <mergeCell ref="A13:C13"/>
    <mergeCell ref="A14:C14"/>
    <mergeCell ref="A17:C17"/>
    <mergeCell ref="A22:C22"/>
  </mergeCells>
  <hyperlinks>
    <hyperlink ref="D13" r:id="rId1" xr:uid="{2ADDA913-CE16-44B5-999D-80D822BED6E4}"/>
    <hyperlink ref="D42" r:id="rId2" xr:uid="{64F1895A-3AA1-46B8-9DE8-E5DA932492D2}"/>
    <hyperlink ref="D2" r:id="rId3" xr:uid="{944029F6-5349-4128-BF88-23B41A91E4E1}"/>
    <hyperlink ref="A62" r:id="rId4" xr:uid="{CB7F00BD-5C7B-42FD-B4E4-EDF39460584B}"/>
    <hyperlink ref="D27" r:id="rId5" xr:uid="{241C305D-51C8-433B-9254-126DEC4D4A05}"/>
    <hyperlink ref="D55" r:id="rId6" xr:uid="{62752A8D-3B53-424C-8B3F-33C04BC11B20}"/>
    <hyperlink ref="D50" r:id="rId7" xr:uid="{C36F641A-793C-4748-9131-9674FEC40597}"/>
  </hyperlinks>
  <pageMargins left="0.7" right="0.7" top="0.75" bottom="0.75" header="0.3" footer="0.3"/>
  <pageSetup orientation="portrait" horizontalDpi="0" verticalDpi="0" r:id="rId8"/>
  <drawing r:id="rId9"/>
  <extLst>
    <ext xmlns:x14="http://schemas.microsoft.com/office/spreadsheetml/2009/9/main" uri="{CCE6A557-97BC-4b89-ADB6-D9C93CAAB3DF}">
      <x14:dataValidations xmlns:xm="http://schemas.microsoft.com/office/excel/2006/main" count="1">
        <x14:dataValidation type="list" allowBlank="1" showInputMessage="1" showErrorMessage="1" xr:uid="{A6496636-EB43-4F13-BC5C-6D2FB8C6CC63}">
          <x14:formula1>
            <xm:f>'Backend Data'!$L$3:$L$5</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7067-752B-462A-966B-5FCF4BBE7274}">
  <sheetPr>
    <tabColor rgb="FFE1CDFF"/>
  </sheetPr>
  <dimension ref="A1:Q40"/>
  <sheetViews>
    <sheetView zoomScale="130" zoomScaleNormal="130" workbookViewId="0">
      <selection activeCell="I12" sqref="I12"/>
    </sheetView>
  </sheetViews>
  <sheetFormatPr defaultRowHeight="14.45"/>
  <cols>
    <col min="1" max="1" width="26.85546875" customWidth="1"/>
    <col min="2" max="3" width="26.28515625" customWidth="1"/>
    <col min="4" max="4" width="17.7109375" customWidth="1"/>
    <col min="5" max="5" width="16.5703125" customWidth="1"/>
    <col min="6" max="6" width="17.7109375" customWidth="1"/>
    <col min="7" max="7" width="16" customWidth="1"/>
    <col min="8" max="9" width="14.5703125" customWidth="1"/>
    <col min="16" max="16" width="25" customWidth="1"/>
  </cols>
  <sheetData>
    <row r="1" spans="1:17">
      <c r="A1" s="355" t="s">
        <v>230</v>
      </c>
      <c r="B1" s="355"/>
      <c r="C1" s="355"/>
      <c r="E1" t="s">
        <v>231</v>
      </c>
      <c r="F1" s="246" t="s">
        <v>232</v>
      </c>
      <c r="G1" s="202" t="s">
        <v>233</v>
      </c>
    </row>
    <row r="2" spans="1:17">
      <c r="A2" s="170" t="s">
        <v>85</v>
      </c>
      <c r="B2" s="170" t="s">
        <v>234</v>
      </c>
      <c r="C2" s="170"/>
    </row>
    <row r="3" spans="1:17">
      <c r="A3" s="170" t="s">
        <v>87</v>
      </c>
      <c r="B3" s="170" t="s">
        <v>183</v>
      </c>
      <c r="C3" s="170" t="s">
        <v>14</v>
      </c>
      <c r="D3" s="188"/>
      <c r="F3" t="s">
        <v>235</v>
      </c>
      <c r="P3" t="s">
        <v>236</v>
      </c>
    </row>
    <row r="4" spans="1:17">
      <c r="A4" s="170" t="s">
        <v>89</v>
      </c>
      <c r="B4" s="170">
        <v>16.559999999999999</v>
      </c>
      <c r="C4" s="170" t="s">
        <v>90</v>
      </c>
      <c r="D4" s="188"/>
      <c r="F4" t="s">
        <v>237</v>
      </c>
      <c r="P4" t="s">
        <v>238</v>
      </c>
      <c r="Q4" s="171" t="s">
        <v>239</v>
      </c>
    </row>
    <row r="5" spans="1:17">
      <c r="A5" s="170" t="s">
        <v>93</v>
      </c>
      <c r="B5" s="170">
        <v>28.8</v>
      </c>
      <c r="C5" s="170" t="s">
        <v>94</v>
      </c>
      <c r="D5" s="188"/>
      <c r="F5" t="s">
        <v>240</v>
      </c>
      <c r="G5" s="171" t="s">
        <v>241</v>
      </c>
      <c r="P5" t="s">
        <v>242</v>
      </c>
      <c r="Q5" s="171" t="s">
        <v>243</v>
      </c>
    </row>
    <row r="6" spans="1:17">
      <c r="A6" s="170" t="s">
        <v>96</v>
      </c>
      <c r="B6" s="123" t="s">
        <v>97</v>
      </c>
      <c r="C6" s="170"/>
      <c r="D6" s="188"/>
      <c r="F6" t="s">
        <v>244</v>
      </c>
      <c r="G6" s="171" t="s">
        <v>245</v>
      </c>
    </row>
    <row r="7" spans="1:17">
      <c r="A7" s="170" t="s">
        <v>98</v>
      </c>
      <c r="B7" s="170">
        <v>50</v>
      </c>
      <c r="C7" s="170" t="s">
        <v>99</v>
      </c>
      <c r="D7" s="188"/>
    </row>
    <row r="8" spans="1:17">
      <c r="A8" s="170" t="s">
        <v>100</v>
      </c>
      <c r="B8" s="170" t="s">
        <v>162</v>
      </c>
      <c r="C8" s="170"/>
      <c r="D8" s="188"/>
    </row>
    <row r="9" spans="1:17">
      <c r="A9" s="170" t="s">
        <v>163</v>
      </c>
      <c r="B9" s="170">
        <v>3.15</v>
      </c>
      <c r="C9" s="170" t="s">
        <v>43</v>
      </c>
      <c r="D9" s="188"/>
      <c r="F9" t="s">
        <v>246</v>
      </c>
    </row>
    <row r="10" spans="1:17">
      <c r="A10" s="214" t="s">
        <v>102</v>
      </c>
      <c r="B10" s="214">
        <v>1.5</v>
      </c>
      <c r="C10" s="214" t="s">
        <v>103</v>
      </c>
      <c r="D10" s="188" t="s">
        <v>247</v>
      </c>
    </row>
    <row r="11" spans="1:17">
      <c r="A11" s="213" t="s">
        <v>165</v>
      </c>
      <c r="B11" s="213">
        <v>1000</v>
      </c>
      <c r="C11" s="213" t="s">
        <v>112</v>
      </c>
      <c r="D11" s="188"/>
    </row>
    <row r="13" spans="1:17">
      <c r="A13" s="356" t="s">
        <v>248</v>
      </c>
      <c r="B13" s="357"/>
      <c r="C13" s="357"/>
      <c r="D13" s="171" t="s">
        <v>249</v>
      </c>
    </row>
    <row r="14" spans="1:17">
      <c r="A14" s="361" t="s">
        <v>108</v>
      </c>
      <c r="B14" s="362"/>
      <c r="C14" s="363"/>
    </row>
    <row r="15" spans="1:17">
      <c r="A15" s="174" t="s">
        <v>109</v>
      </c>
      <c r="B15" s="175" t="s">
        <v>250</v>
      </c>
      <c r="C15" s="175" t="s">
        <v>14</v>
      </c>
    </row>
    <row r="16" spans="1:17">
      <c r="A16" s="174" t="s">
        <v>169</v>
      </c>
      <c r="B16" s="175">
        <v>3.9800000000000002E-2</v>
      </c>
      <c r="C16" s="175" t="s">
        <v>112</v>
      </c>
      <c r="D16" t="s">
        <v>251</v>
      </c>
    </row>
    <row r="17" spans="1:9">
      <c r="A17" s="358" t="s">
        <v>114</v>
      </c>
      <c r="B17" s="359"/>
      <c r="C17" s="360"/>
    </row>
    <row r="18" spans="1:9">
      <c r="A18" s="174" t="s">
        <v>109</v>
      </c>
      <c r="B18" s="175" t="s">
        <v>110</v>
      </c>
      <c r="C18" s="175" t="s">
        <v>14</v>
      </c>
    </row>
    <row r="19" spans="1:9">
      <c r="A19" s="174" t="s">
        <v>115</v>
      </c>
      <c r="B19" s="175">
        <v>-123</v>
      </c>
      <c r="C19" s="175" t="s">
        <v>116</v>
      </c>
      <c r="D19" t="s">
        <v>252</v>
      </c>
    </row>
    <row r="20" spans="1:9">
      <c r="A20" s="174" t="s">
        <v>117</v>
      </c>
      <c r="B20" s="175"/>
      <c r="C20" s="175" t="s">
        <v>25</v>
      </c>
      <c r="D20" t="s">
        <v>253</v>
      </c>
    </row>
    <row r="21" spans="1:9">
      <c r="A21" s="174" t="s">
        <v>119</v>
      </c>
      <c r="B21" s="175"/>
      <c r="C21" s="179" t="s">
        <v>25</v>
      </c>
    </row>
    <row r="22" spans="1:9">
      <c r="A22" s="358" t="s">
        <v>121</v>
      </c>
      <c r="B22" s="359"/>
      <c r="C22" s="360"/>
    </row>
    <row r="23" spans="1:9">
      <c r="A23" s="174" t="s">
        <v>122</v>
      </c>
      <c r="B23" s="175"/>
      <c r="C23" s="175"/>
    </row>
    <row r="24" spans="1:9">
      <c r="A24" s="174" t="s">
        <v>124</v>
      </c>
      <c r="B24" s="175" t="s">
        <v>125</v>
      </c>
      <c r="C24" s="175"/>
    </row>
    <row r="25" spans="1:9">
      <c r="A25" s="173" t="s">
        <v>126</v>
      </c>
      <c r="B25" s="175"/>
      <c r="C25" s="175" t="s">
        <v>128</v>
      </c>
    </row>
    <row r="28" spans="1:9">
      <c r="A28" s="350" t="s">
        <v>142</v>
      </c>
      <c r="B28" s="351"/>
      <c r="C28" s="351"/>
      <c r="D28" s="351"/>
      <c r="E28" s="351"/>
      <c r="F28" s="351"/>
      <c r="G28" s="351"/>
      <c r="H28" s="352"/>
    </row>
    <row r="29" spans="1:9">
      <c r="A29" s="353" t="s">
        <v>143</v>
      </c>
      <c r="B29" s="353"/>
      <c r="C29" s="353"/>
      <c r="D29" s="353"/>
      <c r="E29" s="353"/>
      <c r="F29" s="353"/>
      <c r="G29" s="353"/>
      <c r="H29" s="354"/>
    </row>
    <row r="30" spans="1:9">
      <c r="A30" s="242" t="s">
        <v>144</v>
      </c>
      <c r="B30" s="242" t="s">
        <v>134</v>
      </c>
      <c r="C30" s="243" t="s">
        <v>145</v>
      </c>
      <c r="D30" s="243" t="s">
        <v>146</v>
      </c>
      <c r="E30" s="243" t="s">
        <v>147</v>
      </c>
      <c r="F30" s="243" t="s">
        <v>148</v>
      </c>
      <c r="G30" s="243" t="s">
        <v>149</v>
      </c>
      <c r="H30" s="243" t="s">
        <v>150</v>
      </c>
    </row>
    <row r="31" spans="1:9">
      <c r="A31" s="245" t="s">
        <v>151</v>
      </c>
      <c r="B31" s="238" t="s">
        <v>254</v>
      </c>
      <c r="C31" s="238">
        <v>5</v>
      </c>
      <c r="D31" s="209">
        <v>8.8999999999999996E-2</v>
      </c>
      <c r="E31" s="209" t="s">
        <v>162</v>
      </c>
      <c r="F31" s="209" t="s">
        <v>162</v>
      </c>
      <c r="G31" s="209">
        <v>0.15</v>
      </c>
      <c r="H31" s="209">
        <v>0.15</v>
      </c>
      <c r="I31" t="s">
        <v>255</v>
      </c>
    </row>
    <row r="32" spans="1:9">
      <c r="A32" s="233" t="s">
        <v>152</v>
      </c>
      <c r="B32" s="237">
        <f>SUMPRODUCT(C31:C31,D31:D31)</f>
        <v>0.44499999999999995</v>
      </c>
    </row>
    <row r="33" spans="1:3">
      <c r="A33" s="236" t="s">
        <v>153</v>
      </c>
      <c r="B33" s="235">
        <f>SUM(G31:H31)</f>
        <v>0.3</v>
      </c>
    </row>
    <row r="35" spans="1:3">
      <c r="A35" s="171" t="s">
        <v>256</v>
      </c>
    </row>
    <row r="36" spans="1:3">
      <c r="A36" s="171" t="s">
        <v>202</v>
      </c>
    </row>
    <row r="37" spans="1:3">
      <c r="A37" t="s">
        <v>257</v>
      </c>
    </row>
    <row r="39" spans="1:3">
      <c r="A39" s="237" t="s">
        <v>154</v>
      </c>
      <c r="B39" s="261">
        <f>SUM(B38:B38)</f>
        <v>0</v>
      </c>
    </row>
    <row r="40" spans="1:3">
      <c r="A40" s="347" t="s">
        <v>155</v>
      </c>
      <c r="B40" s="348"/>
      <c r="C40" s="287">
        <f>SUM(C37:C39)</f>
        <v>0</v>
      </c>
    </row>
  </sheetData>
  <mergeCells count="8">
    <mergeCell ref="A40:B40"/>
    <mergeCell ref="A28:H28"/>
    <mergeCell ref="A29:H29"/>
    <mergeCell ref="A1:C1"/>
    <mergeCell ref="A13:C13"/>
    <mergeCell ref="A14:C14"/>
    <mergeCell ref="A17:C17"/>
    <mergeCell ref="A22:C22"/>
  </mergeCells>
  <hyperlinks>
    <hyperlink ref="G1" r:id="rId1" xr:uid="{8DCCD945-D36F-4A49-93DC-5D43478BB85C}"/>
    <hyperlink ref="D13" r:id="rId2" xr:uid="{E7C3B7EC-0613-489D-B367-C9640293EF76}"/>
    <hyperlink ref="A36" r:id="rId3" xr:uid="{C117C7DF-7867-4E89-BB1F-198BB2FB72CE}"/>
    <hyperlink ref="A35" r:id="rId4" xr:uid="{A90C8EC3-0DC4-4862-8887-56AC16161C59}"/>
    <hyperlink ref="G5" r:id="rId5" xr:uid="{DB040E2A-0136-41C9-B4A9-5AD378C2EC41}"/>
    <hyperlink ref="G6" r:id="rId6" xr:uid="{C8EDEABA-C958-493C-A513-715991425940}"/>
    <hyperlink ref="Q4" r:id="rId7" xr:uid="{8345632B-FA10-41CF-BAA0-618493AC4C1B}"/>
    <hyperlink ref="Q5" r:id="rId8" xr:uid="{E49B417E-6E3D-4E0B-AF69-A018AAA13D1D}"/>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279F6C8-A129-492D-93F1-7C86ABE0C780}">
          <x14:formula1>
            <xm:f>'Backend Data'!$L$3:$L$5</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123"/>
  <sheetViews>
    <sheetView zoomScale="90" zoomScaleNormal="90" workbookViewId="0">
      <selection activeCell="T45" sqref="T45"/>
    </sheetView>
  </sheetViews>
  <sheetFormatPr defaultColWidth="0" defaultRowHeight="14.65" customHeight="1" zeroHeight="1"/>
  <cols>
    <col min="1" max="17" width="3.28515625" customWidth="1"/>
    <col min="18" max="21" width="10.28515625" customWidth="1"/>
    <col min="22" max="26" width="8.7109375" customWidth="1"/>
    <col min="27" max="43" width="3.28515625" customWidth="1"/>
    <col min="44" max="16384" width="8.7109375" hidden="1"/>
  </cols>
  <sheetData>
    <row r="1" spans="1:43" s="1" customFormat="1" ht="14.65" customHeight="1" thickBot="1">
      <c r="U1" s="2"/>
    </row>
    <row r="2" spans="1:43" s="1" customFormat="1" ht="14.65" customHeight="1" thickBot="1">
      <c r="R2" s="335" t="s">
        <v>0</v>
      </c>
      <c r="S2" s="336"/>
      <c r="T2" s="336"/>
      <c r="U2" s="336"/>
      <c r="V2" s="336"/>
      <c r="W2" s="336"/>
      <c r="X2" s="336"/>
      <c r="Y2" s="336"/>
      <c r="Z2" s="337"/>
    </row>
    <row r="3" spans="1:43"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5">
      <c r="A4" s="1"/>
      <c r="B4" s="1"/>
      <c r="C4" s="1"/>
      <c r="D4" s="1"/>
      <c r="E4" s="1"/>
      <c r="F4" s="1"/>
      <c r="G4" s="1"/>
      <c r="H4" s="1"/>
      <c r="I4" s="1"/>
      <c r="J4" s="1"/>
      <c r="K4" s="1"/>
      <c r="L4" s="1"/>
      <c r="M4" s="1"/>
      <c r="N4" s="1"/>
      <c r="O4" s="1"/>
      <c r="P4" s="26"/>
      <c r="Q4" s="27"/>
      <c r="R4" s="27"/>
      <c r="S4" s="27"/>
      <c r="T4" s="27"/>
      <c r="U4" s="27"/>
      <c r="V4" s="27"/>
      <c r="W4" s="27"/>
      <c r="X4" s="27"/>
      <c r="Y4" s="27"/>
      <c r="Z4" s="27"/>
      <c r="AA4" s="27"/>
      <c r="AB4" s="28"/>
      <c r="AC4" s="29"/>
      <c r="AD4" s="1"/>
      <c r="AE4" s="1"/>
      <c r="AF4" s="1"/>
      <c r="AG4" s="1"/>
      <c r="AH4" s="1"/>
      <c r="AI4" s="1"/>
      <c r="AJ4" s="1"/>
      <c r="AK4" s="1"/>
      <c r="AL4" s="1"/>
      <c r="AM4" s="1"/>
      <c r="AN4" s="1"/>
      <c r="AO4" s="1"/>
      <c r="AP4" s="1"/>
      <c r="AQ4" s="1"/>
    </row>
    <row r="5" spans="1:43" ht="15" thickBot="1">
      <c r="A5" s="1"/>
      <c r="B5" s="1"/>
      <c r="C5" s="1"/>
      <c r="D5" s="1"/>
      <c r="E5" s="1"/>
      <c r="F5" s="1"/>
      <c r="G5" s="1"/>
      <c r="H5" s="1"/>
      <c r="I5" s="1"/>
      <c r="J5" s="1"/>
      <c r="K5" s="1"/>
      <c r="L5" s="1"/>
      <c r="M5" s="1"/>
      <c r="N5" s="1"/>
      <c r="O5" s="1"/>
      <c r="P5" s="30"/>
      <c r="Q5" s="31"/>
      <c r="R5" s="31"/>
      <c r="S5" s="31"/>
      <c r="T5" s="31"/>
      <c r="U5" s="31"/>
      <c r="V5" s="31"/>
      <c r="W5" s="31"/>
      <c r="X5" s="31"/>
      <c r="Y5" s="31"/>
      <c r="Z5" s="31"/>
      <c r="AA5" s="31"/>
      <c r="AB5" s="32"/>
      <c r="AC5" s="29"/>
      <c r="AD5" s="1"/>
      <c r="AE5" s="1"/>
      <c r="AF5" s="1"/>
      <c r="AG5" s="1"/>
      <c r="AH5" s="1"/>
      <c r="AI5" s="1"/>
      <c r="AJ5" s="1"/>
      <c r="AK5" s="1"/>
      <c r="AL5" s="1"/>
      <c r="AM5" s="1"/>
      <c r="AN5" s="1"/>
      <c r="AO5" s="1"/>
      <c r="AP5" s="1"/>
      <c r="AQ5" s="1"/>
    </row>
    <row r="6" spans="1:43" ht="30.6" thickBot="1">
      <c r="A6" s="1"/>
      <c r="B6" s="1"/>
      <c r="C6" s="1"/>
      <c r="D6" s="1"/>
      <c r="E6" s="1"/>
      <c r="F6" s="1"/>
      <c r="G6" s="1"/>
      <c r="H6" s="1"/>
      <c r="I6" s="1"/>
      <c r="J6" s="1"/>
      <c r="K6" s="1"/>
      <c r="L6" s="1"/>
      <c r="M6" s="1"/>
      <c r="N6" s="1"/>
      <c r="O6" s="1"/>
      <c r="P6" s="30"/>
      <c r="Q6" s="31"/>
      <c r="R6" s="328" t="s">
        <v>258</v>
      </c>
      <c r="S6" s="329"/>
      <c r="T6" s="329"/>
      <c r="U6" s="329"/>
      <c r="V6" s="329"/>
      <c r="W6" s="329"/>
      <c r="X6" s="329"/>
      <c r="Y6" s="329"/>
      <c r="Z6" s="330"/>
      <c r="AA6" s="31"/>
      <c r="AB6" s="32"/>
      <c r="AC6" s="29"/>
      <c r="AD6" s="1"/>
      <c r="AE6" s="1"/>
      <c r="AF6" s="1"/>
      <c r="AG6" s="1"/>
      <c r="AH6" s="1"/>
      <c r="AI6" s="1"/>
      <c r="AJ6" s="1"/>
      <c r="AK6" s="1"/>
      <c r="AL6" s="1"/>
      <c r="AM6" s="1"/>
      <c r="AN6" s="1"/>
      <c r="AO6" s="1"/>
      <c r="AP6" s="1"/>
      <c r="AQ6" s="1"/>
    </row>
    <row r="7" spans="1:43" ht="14.45">
      <c r="A7" s="1"/>
      <c r="B7" s="1"/>
      <c r="C7" s="1"/>
      <c r="D7" s="1"/>
      <c r="E7" s="1"/>
      <c r="F7" s="1"/>
      <c r="G7" s="1"/>
      <c r="H7" s="1"/>
      <c r="I7" s="1"/>
      <c r="J7" s="1"/>
      <c r="K7" s="1"/>
      <c r="L7" s="1"/>
      <c r="M7" s="1"/>
      <c r="N7" s="1"/>
      <c r="O7" s="1"/>
      <c r="P7" s="30"/>
      <c r="Q7" s="31"/>
      <c r="R7" s="31"/>
      <c r="S7" s="31"/>
      <c r="T7" s="31"/>
      <c r="U7" s="31"/>
      <c r="V7" s="31"/>
      <c r="W7" s="31"/>
      <c r="X7" s="31"/>
      <c r="Y7" s="31"/>
      <c r="Z7" s="31"/>
      <c r="AA7" s="31"/>
      <c r="AB7" s="32"/>
      <c r="AC7" s="29"/>
      <c r="AD7" s="1"/>
      <c r="AE7" s="1"/>
      <c r="AF7" s="1"/>
      <c r="AG7" s="1"/>
      <c r="AH7" s="1"/>
      <c r="AI7" s="1"/>
      <c r="AJ7" s="1"/>
      <c r="AK7" s="1"/>
      <c r="AL7" s="1"/>
      <c r="AM7" s="1"/>
      <c r="AN7" s="1"/>
      <c r="AO7" s="1"/>
      <c r="AP7" s="1"/>
      <c r="AQ7" s="1"/>
    </row>
    <row r="8" spans="1:43" ht="14.45">
      <c r="A8" s="1"/>
      <c r="B8" s="1"/>
      <c r="C8" s="1"/>
      <c r="D8" s="1"/>
      <c r="E8" s="1"/>
      <c r="F8" s="1"/>
      <c r="G8" s="1"/>
      <c r="H8" s="1"/>
      <c r="I8" s="1"/>
      <c r="J8" s="1"/>
      <c r="K8" s="1"/>
      <c r="L8" s="1"/>
      <c r="M8" s="1"/>
      <c r="N8" s="1"/>
      <c r="O8" s="1"/>
      <c r="P8" s="30"/>
      <c r="Q8" s="31"/>
      <c r="R8" s="31"/>
      <c r="S8" s="31"/>
      <c r="T8" s="31"/>
      <c r="U8" s="31"/>
      <c r="V8" s="31"/>
      <c r="W8" s="31"/>
      <c r="X8" s="31"/>
      <c r="Y8" s="31"/>
      <c r="Z8" s="31"/>
      <c r="AA8" s="31"/>
      <c r="AB8" s="32"/>
      <c r="AC8" s="29"/>
      <c r="AD8" s="1"/>
      <c r="AE8" s="1"/>
      <c r="AF8" s="1"/>
      <c r="AG8" s="1"/>
      <c r="AH8" s="1"/>
      <c r="AI8" s="1"/>
      <c r="AJ8" s="1"/>
      <c r="AK8" s="1"/>
      <c r="AL8" s="1"/>
      <c r="AM8" s="1"/>
      <c r="AN8" s="1"/>
      <c r="AO8" s="1"/>
      <c r="AP8" s="1"/>
      <c r="AQ8" s="1"/>
    </row>
    <row r="9" spans="1:43" ht="14.45">
      <c r="A9" s="1"/>
      <c r="B9" s="1"/>
      <c r="C9" s="1"/>
      <c r="D9" s="1"/>
      <c r="E9" s="1"/>
      <c r="F9" s="1"/>
      <c r="G9" s="1"/>
      <c r="H9" s="1"/>
      <c r="I9" s="1"/>
      <c r="J9" s="1"/>
      <c r="K9" s="1"/>
      <c r="L9" s="1"/>
      <c r="M9" s="1"/>
      <c r="N9" s="1"/>
      <c r="O9" s="1"/>
      <c r="P9" s="30"/>
      <c r="Q9" s="31"/>
      <c r="R9" s="31"/>
      <c r="S9" s="31"/>
      <c r="T9" s="31"/>
      <c r="U9" s="31"/>
      <c r="V9" s="31"/>
      <c r="W9" s="31"/>
      <c r="X9" s="31"/>
      <c r="Y9" s="31"/>
      <c r="Z9" s="31"/>
      <c r="AA9" s="31"/>
      <c r="AB9" s="32"/>
      <c r="AC9" s="29"/>
      <c r="AD9" s="1"/>
      <c r="AE9" s="1"/>
      <c r="AF9" s="1"/>
      <c r="AG9" s="1"/>
      <c r="AH9" s="1"/>
      <c r="AI9" s="1"/>
      <c r="AJ9" s="1"/>
      <c r="AK9" s="1"/>
      <c r="AL9" s="1"/>
      <c r="AM9" s="1"/>
      <c r="AN9" s="1"/>
      <c r="AO9" s="1"/>
      <c r="AP9" s="1"/>
      <c r="AQ9" s="1"/>
    </row>
    <row r="10" spans="1:43" ht="14.4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29"/>
      <c r="AD10" s="400" t="s">
        <v>259</v>
      </c>
      <c r="AE10" s="400"/>
      <c r="AF10" s="400"/>
      <c r="AG10" s="400"/>
      <c r="AH10" s="400"/>
      <c r="AI10" s="1"/>
      <c r="AJ10" s="1"/>
      <c r="AK10" s="1"/>
      <c r="AL10" s="1"/>
      <c r="AM10" s="1"/>
      <c r="AN10" s="1"/>
      <c r="AO10" s="1"/>
      <c r="AP10" s="1"/>
      <c r="AQ10" s="1"/>
    </row>
    <row r="11" spans="1:43" ht="14.4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29"/>
      <c r="AD11" s="1"/>
      <c r="AE11" s="1"/>
      <c r="AF11" s="1"/>
      <c r="AG11" s="1"/>
      <c r="AH11" s="1"/>
      <c r="AI11" s="1"/>
      <c r="AJ11" s="1"/>
      <c r="AK11" s="1"/>
      <c r="AL11" s="1"/>
      <c r="AM11" s="1"/>
      <c r="AN11" s="1"/>
      <c r="AO11" s="1"/>
      <c r="AP11" s="1"/>
      <c r="AQ11" s="1"/>
    </row>
    <row r="12" spans="1:43" ht="14.4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29"/>
      <c r="AD12" s="1"/>
      <c r="AE12" s="1"/>
      <c r="AF12" s="1"/>
      <c r="AG12" s="1"/>
      <c r="AH12" s="1"/>
      <c r="AI12" s="1"/>
      <c r="AJ12" s="1"/>
      <c r="AK12" s="1"/>
      <c r="AL12" s="1"/>
      <c r="AM12" s="1"/>
      <c r="AN12" s="1"/>
      <c r="AO12" s="1"/>
      <c r="AP12" s="1"/>
      <c r="AQ12" s="1"/>
    </row>
    <row r="13" spans="1:43" ht="14.4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29"/>
      <c r="AD13" s="1"/>
      <c r="AE13" s="1"/>
      <c r="AF13" s="1"/>
      <c r="AG13" s="1"/>
      <c r="AH13" s="1"/>
      <c r="AI13" s="1"/>
      <c r="AJ13" s="1"/>
      <c r="AK13" s="1"/>
      <c r="AL13" s="1"/>
      <c r="AM13" s="1"/>
      <c r="AN13" s="1"/>
      <c r="AO13" s="1"/>
      <c r="AP13" s="1"/>
      <c r="AQ13" s="1"/>
    </row>
    <row r="14" spans="1:43" ht="14.45">
      <c r="A14" s="1"/>
      <c r="B14" s="1"/>
      <c r="C14" s="1"/>
      <c r="D14" s="1"/>
      <c r="E14" s="1"/>
      <c r="F14" s="1"/>
      <c r="G14" s="1"/>
      <c r="H14" s="1"/>
      <c r="I14" s="1"/>
      <c r="J14" s="1"/>
      <c r="K14" s="1"/>
      <c r="L14" s="1"/>
      <c r="M14" s="1"/>
      <c r="N14" s="1"/>
      <c r="O14" s="1"/>
      <c r="P14" s="30"/>
      <c r="Q14" s="31"/>
      <c r="R14" s="386" t="s">
        <v>260</v>
      </c>
      <c r="S14" s="386"/>
      <c r="T14" s="386"/>
      <c r="U14" s="110"/>
      <c r="V14" s="386" t="s">
        <v>261</v>
      </c>
      <c r="W14" s="386"/>
      <c r="X14" s="386"/>
      <c r="Y14" s="31"/>
      <c r="Z14" s="31"/>
      <c r="AA14" s="31"/>
      <c r="AB14" s="32"/>
      <c r="AC14" s="29"/>
      <c r="AD14" s="1"/>
      <c r="AE14" s="1"/>
      <c r="AF14" s="1"/>
      <c r="AG14" s="1"/>
      <c r="AH14" s="1"/>
      <c r="AI14" s="1"/>
      <c r="AJ14" s="1"/>
      <c r="AK14" s="1"/>
      <c r="AL14" s="1"/>
      <c r="AM14" s="1"/>
      <c r="AN14" s="1"/>
      <c r="AO14" s="1"/>
      <c r="AP14" s="1"/>
      <c r="AQ14" s="1"/>
    </row>
    <row r="15" spans="1:43" ht="14.45">
      <c r="A15" s="1"/>
      <c r="B15" s="1"/>
      <c r="C15" s="1"/>
      <c r="D15" s="1"/>
      <c r="E15" s="1"/>
      <c r="F15" s="1"/>
      <c r="G15" s="1"/>
      <c r="H15" s="1"/>
      <c r="I15" s="1"/>
      <c r="J15" s="1"/>
      <c r="K15" s="1"/>
      <c r="L15" s="1"/>
      <c r="M15" s="1"/>
      <c r="N15" s="1"/>
      <c r="O15" s="1"/>
      <c r="P15" s="30"/>
      <c r="Q15" s="31"/>
      <c r="R15" s="387" t="s">
        <v>262</v>
      </c>
      <c r="S15" s="387"/>
      <c r="T15" s="221">
        <f>'Groundstation hardware'!B44</f>
        <v>46.5</v>
      </c>
      <c r="U15" s="31" t="s">
        <v>112</v>
      </c>
      <c r="V15" s="388" t="s">
        <v>261</v>
      </c>
      <c r="W15" s="388"/>
      <c r="X15" s="401"/>
      <c r="Y15" s="239">
        <f>'Groundstation hardware'!B72</f>
        <v>0.75000000000000011</v>
      </c>
      <c r="Z15" s="31" t="s">
        <v>25</v>
      </c>
      <c r="AA15" s="31"/>
      <c r="AB15" s="32"/>
      <c r="AC15" s="29"/>
      <c r="AD15" s="1"/>
      <c r="AE15" s="1"/>
      <c r="AF15" s="1"/>
      <c r="AG15" s="1"/>
      <c r="AH15" s="1"/>
      <c r="AI15" s="1"/>
      <c r="AJ15" s="1"/>
      <c r="AK15" s="1"/>
      <c r="AL15" s="1"/>
      <c r="AM15" s="1"/>
      <c r="AN15" s="1"/>
      <c r="AO15" s="1"/>
      <c r="AP15" s="1"/>
      <c r="AQ15" s="1"/>
    </row>
    <row r="16" spans="1:43" ht="14.45">
      <c r="A16" s="1"/>
      <c r="B16" s="1"/>
      <c r="C16" s="1"/>
      <c r="D16" s="1"/>
      <c r="E16" s="1"/>
      <c r="F16" s="1"/>
      <c r="G16" s="1"/>
      <c r="H16" s="1"/>
      <c r="I16" s="1"/>
      <c r="J16" s="1"/>
      <c r="K16" s="1"/>
      <c r="L16" s="1"/>
      <c r="M16" s="1"/>
      <c r="N16" s="1"/>
      <c r="O16" s="1"/>
      <c r="P16" s="30"/>
      <c r="Q16" s="31"/>
      <c r="R16" s="387"/>
      <c r="S16" s="387"/>
      <c r="T16" s="205">
        <f>10*LOG10(T15)</f>
        <v>16.674529528899541</v>
      </c>
      <c r="U16" s="31" t="s">
        <v>263</v>
      </c>
      <c r="V16" s="31"/>
      <c r="W16" s="31"/>
      <c r="X16" s="31"/>
      <c r="Y16" s="31"/>
      <c r="Z16" s="31"/>
      <c r="AA16" s="31"/>
      <c r="AB16" s="32"/>
      <c r="AC16" s="29"/>
      <c r="AD16" s="1"/>
      <c r="AE16" s="1"/>
      <c r="AF16" s="1"/>
      <c r="AG16" s="1"/>
      <c r="AH16" s="1"/>
      <c r="AI16" s="1"/>
      <c r="AJ16" s="1"/>
      <c r="AK16" s="1"/>
      <c r="AL16" s="1"/>
      <c r="AM16" s="1"/>
      <c r="AN16" s="1"/>
      <c r="AO16" s="1"/>
      <c r="AP16" s="1"/>
      <c r="AQ16" s="1"/>
    </row>
    <row r="17" spans="1:43" ht="14.45">
      <c r="A17" s="1"/>
      <c r="B17" s="1"/>
      <c r="C17" s="1"/>
      <c r="D17" s="1"/>
      <c r="E17" s="1"/>
      <c r="F17" s="1"/>
      <c r="G17" s="1"/>
      <c r="H17" s="1"/>
      <c r="I17" s="1"/>
      <c r="J17" s="1"/>
      <c r="K17" s="1"/>
      <c r="L17" s="1"/>
      <c r="M17" s="1"/>
      <c r="N17" s="1"/>
      <c r="O17" s="1"/>
      <c r="P17" s="30"/>
      <c r="Q17" s="31"/>
      <c r="R17" s="387"/>
      <c r="S17" s="387"/>
      <c r="T17" s="143">
        <f>T16+30</f>
        <v>46.674529528899541</v>
      </c>
      <c r="U17" s="31" t="s">
        <v>116</v>
      </c>
      <c r="V17" s="31"/>
      <c r="W17" s="31"/>
      <c r="X17" s="31"/>
      <c r="Y17" s="31"/>
      <c r="Z17" s="31"/>
      <c r="AA17" s="31"/>
      <c r="AB17" s="32"/>
      <c r="AC17" s="29"/>
      <c r="AD17" s="1"/>
      <c r="AE17" s="1"/>
      <c r="AF17" s="1"/>
      <c r="AG17" s="1"/>
      <c r="AH17" s="1"/>
      <c r="AI17" s="1"/>
      <c r="AJ17" s="1"/>
      <c r="AK17" s="1"/>
      <c r="AL17" s="1"/>
      <c r="AM17" s="1"/>
      <c r="AN17" s="1"/>
      <c r="AO17" s="1"/>
      <c r="AP17" s="1"/>
      <c r="AQ17" s="1"/>
    </row>
    <row r="18" spans="1:43" ht="14.45">
      <c r="A18" s="1"/>
      <c r="B18" s="1"/>
      <c r="C18" s="1"/>
      <c r="D18" s="1"/>
      <c r="E18" s="1"/>
      <c r="F18" s="1"/>
      <c r="G18" s="1"/>
      <c r="H18" s="1"/>
      <c r="I18" s="1"/>
      <c r="J18" s="1"/>
      <c r="K18" s="1"/>
      <c r="L18" s="1"/>
      <c r="M18" s="1"/>
      <c r="N18" s="1"/>
      <c r="O18" s="1"/>
      <c r="P18" s="30"/>
      <c r="Q18" s="31"/>
      <c r="R18" s="31"/>
      <c r="S18" s="31"/>
      <c r="T18" s="31"/>
      <c r="U18" s="31"/>
      <c r="V18" s="31"/>
      <c r="W18" s="31"/>
      <c r="X18" s="31"/>
      <c r="Y18" s="31"/>
      <c r="Z18" s="31"/>
      <c r="AA18" s="31"/>
      <c r="AB18" s="32"/>
      <c r="AC18" s="29"/>
      <c r="AD18" s="1"/>
      <c r="AE18" s="1"/>
      <c r="AF18" s="1"/>
      <c r="AG18" s="1"/>
      <c r="AH18" s="1"/>
      <c r="AI18" s="1"/>
      <c r="AJ18" s="1"/>
      <c r="AK18" s="1"/>
      <c r="AL18" s="1"/>
      <c r="AM18" s="1"/>
      <c r="AN18" s="1"/>
      <c r="AO18" s="1"/>
      <c r="AP18" s="1"/>
      <c r="AQ18" s="1"/>
    </row>
    <row r="19" spans="1:43" ht="14.45">
      <c r="A19" s="1"/>
      <c r="B19" s="1"/>
      <c r="C19" s="1"/>
      <c r="D19" s="1"/>
      <c r="E19" s="1"/>
      <c r="F19" s="1"/>
      <c r="G19" s="1"/>
      <c r="H19" s="1"/>
      <c r="I19" s="1"/>
      <c r="J19" s="1"/>
      <c r="K19" s="1"/>
      <c r="L19" s="1"/>
      <c r="M19" s="1"/>
      <c r="N19" s="1"/>
      <c r="O19" s="1"/>
      <c r="P19" s="30"/>
      <c r="Q19" s="31"/>
      <c r="R19" s="386" t="s">
        <v>264</v>
      </c>
      <c r="S19" s="386"/>
      <c r="T19" s="386"/>
      <c r="U19" s="110"/>
      <c r="V19" s="31"/>
      <c r="W19" s="31"/>
      <c r="X19" s="31"/>
      <c r="Y19" s="31"/>
      <c r="Z19" s="31"/>
      <c r="AA19" s="31"/>
      <c r="AB19" s="32"/>
      <c r="AC19" s="29"/>
      <c r="AD19" s="1"/>
      <c r="AE19" s="1"/>
      <c r="AF19" s="1"/>
      <c r="AG19" s="1"/>
      <c r="AH19" s="1"/>
      <c r="AI19" s="1"/>
      <c r="AJ19" s="1"/>
      <c r="AK19" s="1"/>
      <c r="AL19" s="1"/>
      <c r="AM19" s="1"/>
      <c r="AN19" s="1"/>
      <c r="AO19" s="1"/>
      <c r="AP19" s="1"/>
      <c r="AQ19" s="1"/>
    </row>
    <row r="20" spans="1:43" ht="14.45">
      <c r="A20" s="1"/>
      <c r="B20" s="1"/>
      <c r="C20" s="1"/>
      <c r="D20" s="1"/>
      <c r="E20" s="1"/>
      <c r="F20" s="1"/>
      <c r="G20" s="1"/>
      <c r="H20" s="1"/>
      <c r="I20" s="1"/>
      <c r="J20" s="1"/>
      <c r="K20" s="1"/>
      <c r="L20" s="1"/>
      <c r="M20" s="1"/>
      <c r="N20" s="1"/>
      <c r="O20" s="1"/>
      <c r="P20" s="30"/>
      <c r="Q20" s="31"/>
      <c r="R20" s="388" t="s">
        <v>265</v>
      </c>
      <c r="S20" s="389"/>
      <c r="T20" s="150">
        <f>'Groundstation hardware'!B71</f>
        <v>1.0234999999999999</v>
      </c>
      <c r="U20" s="31" t="s">
        <v>25</v>
      </c>
      <c r="V20" s="31"/>
      <c r="W20" s="31"/>
      <c r="X20" s="31"/>
      <c r="Y20" s="31"/>
      <c r="Z20" s="31"/>
      <c r="AA20" s="31"/>
      <c r="AB20" s="32"/>
      <c r="AC20" s="29"/>
      <c r="AD20" s="1"/>
      <c r="AE20" s="1"/>
      <c r="AF20" s="1"/>
      <c r="AG20" s="1"/>
      <c r="AH20" s="1"/>
      <c r="AI20" s="1"/>
      <c r="AJ20" s="1"/>
      <c r="AK20" s="1"/>
      <c r="AL20" s="1"/>
      <c r="AM20" s="1"/>
      <c r="AN20" s="1"/>
      <c r="AO20" s="1"/>
      <c r="AP20" s="1"/>
      <c r="AQ20" s="1"/>
    </row>
    <row r="21" spans="1:43" ht="14.45">
      <c r="A21" s="1"/>
      <c r="B21" s="1"/>
      <c r="C21" s="1"/>
      <c r="D21" s="1"/>
      <c r="E21" s="1"/>
      <c r="F21" s="1"/>
      <c r="G21" s="1"/>
      <c r="H21" s="1"/>
      <c r="I21" s="1"/>
      <c r="J21" s="1"/>
      <c r="K21" s="1"/>
      <c r="L21" s="1"/>
      <c r="M21" s="1"/>
      <c r="N21" s="1"/>
      <c r="O21" s="1"/>
      <c r="P21" s="30"/>
      <c r="Q21" s="31"/>
      <c r="R21" s="31"/>
      <c r="S21" s="31"/>
      <c r="T21" s="31"/>
      <c r="U21" s="31"/>
      <c r="V21" s="31"/>
      <c r="W21" s="31"/>
      <c r="X21" s="31"/>
      <c r="Y21" s="31"/>
      <c r="Z21" s="31"/>
      <c r="AA21" s="31"/>
      <c r="AB21" s="32"/>
      <c r="AC21" s="29"/>
      <c r="AD21" s="1"/>
      <c r="AE21" s="1"/>
      <c r="AF21" s="1"/>
      <c r="AG21" s="1"/>
      <c r="AH21" s="1"/>
      <c r="AI21" s="1"/>
      <c r="AJ21" s="1"/>
      <c r="AK21" s="1"/>
      <c r="AL21" s="1"/>
      <c r="AM21" s="1"/>
      <c r="AN21" s="1"/>
      <c r="AO21" s="1"/>
      <c r="AP21" s="1"/>
      <c r="AQ21" s="1"/>
    </row>
    <row r="22" spans="1:43" ht="14.45">
      <c r="A22" s="1"/>
      <c r="B22" s="1"/>
      <c r="C22" s="1"/>
      <c r="D22" s="1"/>
      <c r="E22" s="1"/>
      <c r="F22" s="1"/>
      <c r="G22" s="1"/>
      <c r="H22" s="1"/>
      <c r="I22" s="1"/>
      <c r="J22" s="1"/>
      <c r="K22" s="1"/>
      <c r="L22" s="1"/>
      <c r="M22" s="1"/>
      <c r="N22" s="1"/>
      <c r="O22" s="1"/>
      <c r="P22" s="30"/>
      <c r="Q22" s="31"/>
      <c r="R22" s="31"/>
      <c r="S22" s="31"/>
      <c r="T22" s="31"/>
      <c r="U22" s="31"/>
      <c r="V22" s="31"/>
      <c r="W22" s="31"/>
      <c r="X22" s="31"/>
      <c r="Y22" s="31"/>
      <c r="Z22" s="31"/>
      <c r="AA22" s="31"/>
      <c r="AB22" s="32"/>
      <c r="AC22" s="29"/>
      <c r="AD22" s="1"/>
      <c r="AE22" s="1"/>
      <c r="AF22" s="1"/>
      <c r="AG22" s="1"/>
      <c r="AH22" s="1"/>
      <c r="AI22" s="1"/>
      <c r="AJ22" s="1"/>
      <c r="AK22" s="1"/>
      <c r="AL22" s="1"/>
      <c r="AM22" s="1"/>
      <c r="AN22" s="1"/>
      <c r="AO22" s="1"/>
      <c r="AP22" s="1"/>
      <c r="AQ22" s="1"/>
    </row>
    <row r="23" spans="1:43" ht="14.45">
      <c r="A23" s="1"/>
      <c r="B23" s="1"/>
      <c r="C23" s="1"/>
      <c r="D23" s="1"/>
      <c r="E23" s="1"/>
      <c r="F23" s="1"/>
      <c r="G23" s="1"/>
      <c r="H23" s="1"/>
      <c r="I23" s="1"/>
      <c r="J23" s="1"/>
      <c r="K23" s="1"/>
      <c r="L23" s="1"/>
      <c r="M23" s="1"/>
      <c r="N23" s="1"/>
      <c r="O23" s="1"/>
      <c r="P23" s="30"/>
      <c r="Q23" s="31"/>
      <c r="R23" s="386" t="s">
        <v>266</v>
      </c>
      <c r="S23" s="386"/>
      <c r="T23" s="386"/>
      <c r="U23" s="386"/>
      <c r="V23" s="386"/>
      <c r="W23" s="386"/>
      <c r="X23" s="386"/>
      <c r="Y23" s="110"/>
      <c r="Z23" s="110"/>
      <c r="AA23" s="31"/>
      <c r="AB23" s="32"/>
      <c r="AC23" s="29"/>
      <c r="AD23" s="1"/>
      <c r="AE23" s="1"/>
      <c r="AF23" s="1"/>
      <c r="AG23" s="1"/>
      <c r="AH23" s="1"/>
      <c r="AI23" s="1"/>
      <c r="AJ23" s="1"/>
      <c r="AK23" s="1"/>
      <c r="AL23" s="1"/>
      <c r="AM23" s="1"/>
      <c r="AN23" s="1"/>
      <c r="AO23" s="1"/>
      <c r="AP23" s="1"/>
      <c r="AQ23" s="1"/>
    </row>
    <row r="24" spans="1:43" ht="14.45">
      <c r="A24" s="1"/>
      <c r="B24" s="1"/>
      <c r="C24" s="1"/>
      <c r="D24" s="1"/>
      <c r="E24" s="1"/>
      <c r="F24" s="1"/>
      <c r="G24" s="1"/>
      <c r="H24" s="1"/>
      <c r="I24" s="1"/>
      <c r="J24" s="1"/>
      <c r="K24" s="1"/>
      <c r="L24" s="1"/>
      <c r="M24" s="1"/>
      <c r="N24" s="1"/>
      <c r="O24" s="1"/>
      <c r="P24" s="30"/>
      <c r="Q24" s="31"/>
      <c r="R24" s="388" t="s">
        <v>267</v>
      </c>
      <c r="S24" s="388"/>
      <c r="T24" s="388"/>
      <c r="U24" s="388"/>
      <c r="V24" s="390">
        <f>'Groundstation hardware'!B92</f>
        <v>0.6</v>
      </c>
      <c r="W24" s="390"/>
      <c r="X24" s="390"/>
      <c r="Y24" s="31" t="s">
        <v>25</v>
      </c>
      <c r="Z24" s="31"/>
      <c r="AA24" s="31"/>
      <c r="AB24" s="32"/>
      <c r="AC24" s="29"/>
      <c r="AD24" s="1"/>
      <c r="AE24" s="1"/>
      <c r="AF24" s="1"/>
      <c r="AG24" s="1"/>
      <c r="AH24" s="1"/>
      <c r="AI24" s="1"/>
      <c r="AJ24" s="1"/>
      <c r="AK24" s="1"/>
      <c r="AL24" s="1"/>
      <c r="AM24" s="1"/>
      <c r="AN24" s="1"/>
      <c r="AO24" s="1"/>
      <c r="AP24" s="1"/>
      <c r="AQ24" s="1"/>
    </row>
    <row r="25" spans="1:43" ht="14.45">
      <c r="A25" s="1"/>
      <c r="B25" s="1"/>
      <c r="C25" s="1"/>
      <c r="D25" s="1"/>
      <c r="E25" s="1"/>
      <c r="F25" s="1"/>
      <c r="G25" s="1"/>
      <c r="H25" s="1"/>
      <c r="I25" s="1"/>
      <c r="J25" s="1"/>
      <c r="K25" s="1"/>
      <c r="L25" s="1"/>
      <c r="M25" s="1"/>
      <c r="N25" s="1"/>
      <c r="O25" s="1"/>
      <c r="P25" s="30"/>
      <c r="Q25" s="31"/>
      <c r="R25" s="388" t="s">
        <v>268</v>
      </c>
      <c r="S25" s="388"/>
      <c r="T25" s="388"/>
      <c r="U25" s="388"/>
      <c r="V25" s="393">
        <f>'Groundstation hardware'!C104</f>
        <v>0.21332891229256845</v>
      </c>
      <c r="W25" s="393"/>
      <c r="X25" s="393"/>
      <c r="Y25" s="31" t="s">
        <v>25</v>
      </c>
      <c r="Z25" s="31"/>
      <c r="AA25" s="31"/>
      <c r="AB25" s="32"/>
      <c r="AC25" s="29"/>
      <c r="AD25" s="1"/>
      <c r="AE25" s="1"/>
      <c r="AF25" s="1"/>
      <c r="AG25" s="1"/>
      <c r="AH25" s="1"/>
      <c r="AI25" s="1"/>
      <c r="AJ25" s="1"/>
      <c r="AK25" s="1"/>
      <c r="AL25" s="1"/>
      <c r="AM25" s="1"/>
      <c r="AN25" s="1"/>
      <c r="AO25" s="1"/>
      <c r="AP25" s="1"/>
      <c r="AQ25" s="1"/>
    </row>
    <row r="26" spans="1:43" ht="14.45">
      <c r="A26" s="1"/>
      <c r="B26" s="1"/>
      <c r="C26" s="1"/>
      <c r="D26" s="1"/>
      <c r="E26" s="1"/>
      <c r="F26" s="1"/>
      <c r="G26" s="1"/>
      <c r="H26" s="1"/>
      <c r="I26" s="1"/>
      <c r="J26" s="1"/>
      <c r="K26" s="1"/>
      <c r="L26" s="1"/>
      <c r="M26" s="1"/>
      <c r="N26" s="1"/>
      <c r="O26" s="1"/>
      <c r="P26" s="30"/>
      <c r="Q26" s="31"/>
      <c r="R26" s="31"/>
      <c r="S26" s="31"/>
      <c r="T26" s="31"/>
      <c r="U26" s="31"/>
      <c r="V26" s="31"/>
      <c r="W26" s="31"/>
      <c r="X26" s="31"/>
      <c r="Y26" s="31"/>
      <c r="Z26" s="31"/>
      <c r="AA26" s="31"/>
      <c r="AB26" s="32"/>
      <c r="AC26" s="29"/>
      <c r="AD26" s="1"/>
      <c r="AE26" s="1"/>
      <c r="AF26" s="1"/>
      <c r="AG26" s="1"/>
      <c r="AH26" s="1"/>
      <c r="AI26" s="1"/>
      <c r="AJ26" s="1"/>
      <c r="AK26" s="1"/>
      <c r="AL26" s="1"/>
      <c r="AM26" s="1"/>
      <c r="AN26" s="1"/>
      <c r="AO26" s="1"/>
      <c r="AP26" s="1"/>
      <c r="AQ26" s="1"/>
    </row>
    <row r="27" spans="1:43" ht="14.45">
      <c r="A27" s="1"/>
      <c r="B27" s="1"/>
      <c r="C27" s="1"/>
      <c r="D27" s="1"/>
      <c r="E27" s="1"/>
      <c r="F27" s="1"/>
      <c r="G27" s="1"/>
      <c r="H27" s="1"/>
      <c r="I27" s="1"/>
      <c r="J27" s="1"/>
      <c r="K27" s="1"/>
      <c r="L27" s="1"/>
      <c r="M27" s="1"/>
      <c r="N27" s="1"/>
      <c r="O27" s="1"/>
      <c r="P27" s="30"/>
      <c r="Q27" s="31"/>
      <c r="R27" s="31"/>
      <c r="S27" s="31"/>
      <c r="T27" s="386" t="s">
        <v>269</v>
      </c>
      <c r="U27" s="386"/>
      <c r="V27" s="386"/>
      <c r="W27" s="386"/>
      <c r="X27" s="110"/>
      <c r="Y27" s="31"/>
      <c r="Z27" s="31"/>
      <c r="AA27" s="45"/>
      <c r="AB27" s="32"/>
      <c r="AC27" s="29"/>
      <c r="AD27" s="1"/>
      <c r="AE27" s="1"/>
      <c r="AF27" s="1"/>
      <c r="AG27" s="1"/>
      <c r="AH27" s="1"/>
      <c r="AI27" s="1"/>
      <c r="AJ27" s="1"/>
      <c r="AK27" s="1"/>
      <c r="AL27" s="1"/>
      <c r="AM27" s="1"/>
      <c r="AN27" s="1"/>
      <c r="AO27" s="1"/>
      <c r="AP27" s="1"/>
      <c r="AQ27" s="1"/>
    </row>
    <row r="28" spans="1:43" ht="14.45">
      <c r="A28" s="1"/>
      <c r="B28" s="1"/>
      <c r="C28" s="1"/>
      <c r="D28" s="1"/>
      <c r="E28" s="1"/>
      <c r="F28" s="1"/>
      <c r="G28" s="1"/>
      <c r="H28" s="1"/>
      <c r="I28" s="1"/>
      <c r="J28" s="1"/>
      <c r="K28" s="1"/>
      <c r="L28" s="1"/>
      <c r="M28" s="1"/>
      <c r="N28" s="1"/>
      <c r="O28" s="1"/>
      <c r="P28" s="30"/>
      <c r="Q28" s="31"/>
      <c r="R28" s="31"/>
      <c r="S28" s="31"/>
      <c r="T28" s="388" t="s">
        <v>270</v>
      </c>
      <c r="U28" s="389"/>
      <c r="V28" s="391">
        <f>SUM(V24:X25)+T20+Y15</f>
        <v>2.5868289122925683</v>
      </c>
      <c r="W28" s="391"/>
      <c r="X28" s="31" t="s">
        <v>25</v>
      </c>
      <c r="Y28" s="31"/>
      <c r="Z28" s="31"/>
      <c r="AA28" s="31"/>
      <c r="AB28" s="32"/>
      <c r="AC28" s="29"/>
      <c r="AD28" s="1"/>
      <c r="AE28" s="1"/>
      <c r="AF28" s="1"/>
      <c r="AG28" s="1"/>
      <c r="AH28" s="1"/>
      <c r="AI28" s="1"/>
      <c r="AJ28" s="1"/>
      <c r="AK28" s="1"/>
      <c r="AL28" s="1"/>
      <c r="AM28" s="1"/>
      <c r="AN28" s="1"/>
      <c r="AO28" s="1"/>
      <c r="AP28" s="1"/>
      <c r="AQ28" s="1"/>
    </row>
    <row r="29" spans="1:43" ht="14.45">
      <c r="A29" s="1"/>
      <c r="B29" s="1"/>
      <c r="C29" s="1"/>
      <c r="D29" s="1"/>
      <c r="E29" s="1"/>
      <c r="F29" s="1"/>
      <c r="G29" s="1"/>
      <c r="H29" s="1"/>
      <c r="I29" s="1"/>
      <c r="J29" s="1"/>
      <c r="K29" s="1"/>
      <c r="L29" s="1"/>
      <c r="M29" s="1"/>
      <c r="N29" s="1"/>
      <c r="O29" s="1"/>
      <c r="P29" s="30"/>
      <c r="Q29" s="31"/>
      <c r="R29" s="31"/>
      <c r="S29" s="31"/>
      <c r="T29" s="388" t="s">
        <v>271</v>
      </c>
      <c r="U29" s="389"/>
      <c r="V29" s="391">
        <f>T16-V28</f>
        <v>14.087700616606973</v>
      </c>
      <c r="W29" s="392"/>
      <c r="X29" s="31" t="s">
        <v>263</v>
      </c>
      <c r="Y29" s="31"/>
      <c r="Z29" s="31"/>
      <c r="AA29" s="31"/>
      <c r="AB29" s="32"/>
      <c r="AC29" s="29"/>
      <c r="AD29" s="1"/>
      <c r="AE29" s="1"/>
      <c r="AF29" s="1"/>
      <c r="AG29" s="1"/>
      <c r="AH29" s="1"/>
      <c r="AI29" s="1"/>
      <c r="AJ29" s="1"/>
      <c r="AK29" s="1"/>
      <c r="AL29" s="1"/>
      <c r="AM29" s="1"/>
      <c r="AN29" s="1"/>
      <c r="AO29" s="1"/>
      <c r="AP29" s="1"/>
      <c r="AQ29" s="1"/>
    </row>
    <row r="30" spans="1:43" ht="14.45">
      <c r="A30" s="1"/>
      <c r="B30" s="1"/>
      <c r="C30" s="1"/>
      <c r="D30" s="1"/>
      <c r="E30" s="1"/>
      <c r="F30" s="1"/>
      <c r="G30" s="1"/>
      <c r="H30" s="1"/>
      <c r="I30" s="1"/>
      <c r="J30" s="1"/>
      <c r="K30" s="1"/>
      <c r="L30" s="1"/>
      <c r="M30" s="1"/>
      <c r="N30" s="1"/>
      <c r="O30" s="1"/>
      <c r="P30" s="30"/>
      <c r="Q30" s="31"/>
      <c r="R30" s="31"/>
      <c r="S30" s="31"/>
      <c r="T30" s="31"/>
      <c r="U30" s="31"/>
      <c r="V30" s="31"/>
      <c r="W30" s="31"/>
      <c r="X30" s="31"/>
      <c r="Y30" s="31"/>
      <c r="Z30" s="31"/>
      <c r="AA30" s="31"/>
      <c r="AB30" s="32"/>
      <c r="AC30" s="29"/>
      <c r="AD30" s="1"/>
      <c r="AE30" s="1"/>
      <c r="AF30" s="1"/>
      <c r="AG30" s="1"/>
      <c r="AH30" s="1"/>
      <c r="AI30" s="1"/>
      <c r="AJ30" s="1"/>
      <c r="AK30" s="1"/>
      <c r="AL30" s="1"/>
      <c r="AM30" s="1"/>
      <c r="AN30" s="1"/>
      <c r="AO30" s="1"/>
      <c r="AP30" s="1"/>
      <c r="AQ30" s="1"/>
    </row>
    <row r="31" spans="1:43" ht="15" thickBot="1">
      <c r="A31" s="1"/>
      <c r="B31" s="1"/>
      <c r="C31" s="1"/>
      <c r="D31" s="1"/>
      <c r="E31" s="1"/>
      <c r="F31" s="1"/>
      <c r="G31" s="1"/>
      <c r="H31" s="1"/>
      <c r="I31" s="1"/>
      <c r="J31" s="1"/>
      <c r="K31" s="1"/>
      <c r="L31" s="1"/>
      <c r="M31" s="1"/>
      <c r="N31" s="1"/>
      <c r="O31" s="1"/>
      <c r="P31" s="33"/>
      <c r="Q31" s="34"/>
      <c r="R31" s="34"/>
      <c r="S31" s="34"/>
      <c r="T31" s="34"/>
      <c r="U31" s="34"/>
      <c r="V31" s="34"/>
      <c r="W31" s="34"/>
      <c r="X31" s="34"/>
      <c r="Y31" s="34"/>
      <c r="Z31" s="34"/>
      <c r="AA31" s="34"/>
      <c r="AB31" s="35"/>
      <c r="AC31" s="29"/>
      <c r="AD31" s="1"/>
      <c r="AE31" s="1"/>
      <c r="AF31" s="1"/>
      <c r="AG31" s="1"/>
      <c r="AH31" s="1"/>
      <c r="AI31" s="1"/>
      <c r="AJ31" s="1"/>
      <c r="AK31" s="1"/>
      <c r="AL31" s="1"/>
      <c r="AM31" s="1"/>
      <c r="AN31" s="1"/>
      <c r="AO31" s="1"/>
      <c r="AP31" s="1"/>
      <c r="AQ31" s="1"/>
    </row>
    <row r="32" spans="1:43" ht="14.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15" thickBo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14.45">
      <c r="A34" s="1"/>
      <c r="B34" s="1"/>
      <c r="C34" s="1"/>
      <c r="D34" s="1"/>
      <c r="E34" s="1"/>
      <c r="F34" s="1"/>
      <c r="G34" s="1"/>
      <c r="H34" s="1"/>
      <c r="I34" s="1"/>
      <c r="J34" s="1"/>
      <c r="K34" s="1"/>
      <c r="L34" s="1"/>
      <c r="M34" s="1"/>
      <c r="N34" s="1"/>
      <c r="O34" s="1"/>
      <c r="P34" s="36"/>
      <c r="Q34" s="37"/>
      <c r="R34" s="37"/>
      <c r="S34" s="37"/>
      <c r="T34" s="37"/>
      <c r="U34" s="37"/>
      <c r="V34" s="37"/>
      <c r="W34" s="37"/>
      <c r="X34" s="37"/>
      <c r="Y34" s="37"/>
      <c r="Z34" s="37"/>
      <c r="AA34" s="37"/>
      <c r="AB34" s="38"/>
      <c r="AC34" s="29"/>
      <c r="AD34" s="1"/>
      <c r="AE34" s="1"/>
      <c r="AF34" s="1"/>
      <c r="AG34" s="1"/>
      <c r="AH34" s="1"/>
      <c r="AI34" s="1"/>
      <c r="AJ34" s="1"/>
      <c r="AK34" s="1"/>
      <c r="AL34" s="1"/>
      <c r="AM34" s="1"/>
      <c r="AN34" s="1"/>
      <c r="AO34" s="1"/>
      <c r="AP34" s="1"/>
      <c r="AQ34" s="1"/>
    </row>
    <row r="35" spans="1:43" ht="14.45">
      <c r="A35" s="1"/>
      <c r="B35" s="1"/>
      <c r="C35" s="1"/>
      <c r="D35" s="1"/>
      <c r="E35" s="1"/>
      <c r="F35" s="1"/>
      <c r="G35" s="1"/>
      <c r="H35" s="1"/>
      <c r="I35" s="1"/>
      <c r="J35" s="1"/>
      <c r="K35" s="1"/>
      <c r="L35" s="1"/>
      <c r="M35" s="1"/>
      <c r="N35" s="1"/>
      <c r="O35" s="1"/>
      <c r="P35" s="39"/>
      <c r="Q35" s="40"/>
      <c r="R35" s="40"/>
      <c r="S35" s="40"/>
      <c r="T35" s="40"/>
      <c r="U35" s="40"/>
      <c r="V35" s="40"/>
      <c r="W35" s="40"/>
      <c r="X35" s="40"/>
      <c r="Y35" s="40"/>
      <c r="Z35" s="40"/>
      <c r="AA35" s="40"/>
      <c r="AB35" s="41"/>
      <c r="AC35" s="29"/>
      <c r="AD35" s="1"/>
      <c r="AE35" s="1"/>
      <c r="AF35" s="1"/>
      <c r="AG35" s="1"/>
      <c r="AH35" s="1"/>
      <c r="AI35" s="1"/>
      <c r="AJ35" s="1"/>
      <c r="AK35" s="1"/>
      <c r="AL35" s="1"/>
      <c r="AM35" s="1"/>
      <c r="AN35" s="1"/>
      <c r="AO35" s="1"/>
      <c r="AP35" s="1"/>
      <c r="AQ35" s="1"/>
    </row>
    <row r="36" spans="1:43" ht="30.6" thickBot="1">
      <c r="A36" s="1"/>
      <c r="B36" s="1"/>
      <c r="C36" s="1"/>
      <c r="D36" s="1"/>
      <c r="E36" s="1"/>
      <c r="F36" s="1"/>
      <c r="G36" s="1"/>
      <c r="H36" s="1"/>
      <c r="I36" s="1"/>
      <c r="J36" s="1"/>
      <c r="K36" s="1"/>
      <c r="L36" s="1"/>
      <c r="M36" s="1"/>
      <c r="N36" s="1"/>
      <c r="O36" s="1"/>
      <c r="P36" s="39"/>
      <c r="Q36" s="40"/>
      <c r="R36" s="328" t="s">
        <v>272</v>
      </c>
      <c r="S36" s="329"/>
      <c r="T36" s="329"/>
      <c r="U36" s="329"/>
      <c r="V36" s="329"/>
      <c r="W36" s="329"/>
      <c r="X36" s="329"/>
      <c r="Y36" s="329"/>
      <c r="Z36" s="330"/>
      <c r="AA36" s="40"/>
      <c r="AB36" s="41"/>
      <c r="AC36" s="29"/>
      <c r="AD36" s="1"/>
      <c r="AE36" s="1"/>
      <c r="AF36" s="1"/>
      <c r="AG36" s="1"/>
      <c r="AH36" s="1"/>
      <c r="AI36" s="1"/>
      <c r="AJ36" s="1"/>
      <c r="AK36" s="1"/>
      <c r="AL36" s="1"/>
      <c r="AM36" s="1"/>
      <c r="AN36" s="1"/>
      <c r="AO36" s="1"/>
      <c r="AP36" s="1"/>
      <c r="AQ36" s="1"/>
    </row>
    <row r="37" spans="1:43" ht="14.45">
      <c r="A37" s="1"/>
      <c r="B37" s="1"/>
      <c r="C37" s="1"/>
      <c r="D37" s="1"/>
      <c r="E37" s="1"/>
      <c r="F37" s="1"/>
      <c r="G37" s="1"/>
      <c r="H37" s="1"/>
      <c r="I37" s="1"/>
      <c r="J37" s="1"/>
      <c r="K37" s="1"/>
      <c r="L37" s="1"/>
      <c r="M37" s="1"/>
      <c r="N37" s="1"/>
      <c r="O37" s="1"/>
      <c r="P37" s="39"/>
      <c r="Q37" s="40"/>
      <c r="R37" s="40"/>
      <c r="S37" s="40"/>
      <c r="T37" s="40"/>
      <c r="U37" s="40"/>
      <c r="V37" s="40"/>
      <c r="W37" s="40"/>
      <c r="X37" s="40"/>
      <c r="Y37" s="40"/>
      <c r="Z37" s="40"/>
      <c r="AA37" s="40"/>
      <c r="AB37" s="41"/>
      <c r="AC37" s="29"/>
      <c r="AD37" s="1"/>
      <c r="AE37" s="1"/>
      <c r="AF37" s="1"/>
      <c r="AG37" s="1"/>
      <c r="AH37" s="1"/>
      <c r="AI37" s="1"/>
      <c r="AJ37" s="1"/>
      <c r="AK37" s="1"/>
      <c r="AL37" s="1"/>
      <c r="AM37" s="1"/>
      <c r="AN37" s="1"/>
      <c r="AO37" s="1"/>
      <c r="AP37" s="1"/>
      <c r="AQ37" s="1"/>
    </row>
    <row r="38" spans="1:43" ht="14.45">
      <c r="A38" s="1"/>
      <c r="B38" s="1"/>
      <c r="C38" s="1"/>
      <c r="D38" s="1"/>
      <c r="E38" s="1"/>
      <c r="F38" s="1"/>
      <c r="G38" s="1"/>
      <c r="H38" s="1"/>
      <c r="I38" s="1"/>
      <c r="J38" s="1"/>
      <c r="K38" s="1"/>
      <c r="L38" s="1"/>
      <c r="M38" s="1"/>
      <c r="N38" s="1"/>
      <c r="O38" s="1"/>
      <c r="P38" s="39"/>
      <c r="Q38" s="40"/>
      <c r="R38" s="40"/>
      <c r="S38" s="40"/>
      <c r="T38" s="40"/>
      <c r="U38" s="40"/>
      <c r="V38" s="40"/>
      <c r="W38" s="40"/>
      <c r="X38" s="40"/>
      <c r="Y38" s="40"/>
      <c r="Z38" s="40"/>
      <c r="AA38" s="40"/>
      <c r="AB38" s="41"/>
      <c r="AC38" s="29"/>
      <c r="AD38" s="1"/>
      <c r="AE38" s="1"/>
      <c r="AF38" s="1"/>
      <c r="AG38" s="1"/>
      <c r="AH38" s="1"/>
      <c r="AI38" s="1"/>
      <c r="AJ38" s="1"/>
      <c r="AK38" s="1"/>
      <c r="AL38" s="1"/>
      <c r="AM38" s="1"/>
      <c r="AN38" s="1"/>
      <c r="AO38" s="1"/>
      <c r="AP38" s="1"/>
      <c r="AQ38" s="1"/>
    </row>
    <row r="39" spans="1:43" ht="14.45">
      <c r="A39" s="1"/>
      <c r="B39" s="1"/>
      <c r="C39" s="1"/>
      <c r="D39" s="1"/>
      <c r="E39" s="1"/>
      <c r="F39" s="1"/>
      <c r="G39" s="1"/>
      <c r="H39" s="1"/>
      <c r="I39" s="1"/>
      <c r="J39" s="1"/>
      <c r="K39" s="1"/>
      <c r="L39" s="1"/>
      <c r="M39" s="1"/>
      <c r="N39" s="1"/>
      <c r="O39" s="1"/>
      <c r="P39" s="39"/>
      <c r="Q39" s="40"/>
      <c r="R39" s="40"/>
      <c r="S39" s="40"/>
      <c r="T39" s="40"/>
      <c r="U39" s="40"/>
      <c r="V39" s="40"/>
      <c r="W39" s="40"/>
      <c r="X39" s="40"/>
      <c r="Y39" s="40"/>
      <c r="Z39" s="40"/>
      <c r="AA39" s="40"/>
      <c r="AB39" s="41"/>
      <c r="AC39" s="29"/>
      <c r="AD39" s="1"/>
      <c r="AE39" s="1"/>
      <c r="AF39" s="1"/>
      <c r="AG39" s="1"/>
      <c r="AH39" s="1"/>
      <c r="AI39" s="1"/>
      <c r="AJ39" s="1"/>
      <c r="AK39" s="1"/>
      <c r="AL39" s="1"/>
      <c r="AM39" s="1"/>
      <c r="AN39" s="1"/>
      <c r="AO39" s="1"/>
      <c r="AP39" s="1"/>
      <c r="AQ39" s="1"/>
    </row>
    <row r="40" spans="1:43" ht="14.45">
      <c r="A40" s="1"/>
      <c r="B40" s="1"/>
      <c r="C40" s="1"/>
      <c r="D40" s="1"/>
      <c r="E40" s="1"/>
      <c r="F40" s="1"/>
      <c r="G40" s="1"/>
      <c r="H40" s="1"/>
      <c r="I40" s="1"/>
      <c r="J40" s="1"/>
      <c r="K40" s="1"/>
      <c r="L40" s="1"/>
      <c r="M40" s="1"/>
      <c r="N40" s="1"/>
      <c r="O40" s="1"/>
      <c r="P40" s="39"/>
      <c r="Q40" s="40"/>
      <c r="R40" s="40"/>
      <c r="S40" s="40"/>
      <c r="T40" s="40"/>
      <c r="U40" s="40"/>
      <c r="V40" s="40"/>
      <c r="W40" s="40"/>
      <c r="X40" s="40"/>
      <c r="Y40" s="40"/>
      <c r="Z40" s="40"/>
      <c r="AA40" s="40"/>
      <c r="AB40" s="41"/>
      <c r="AC40" s="29"/>
      <c r="AD40" s="1"/>
      <c r="AE40" s="1"/>
      <c r="AF40" s="1"/>
      <c r="AG40" s="1"/>
      <c r="AH40" s="1"/>
      <c r="AI40" s="1"/>
      <c r="AJ40" s="1"/>
      <c r="AK40" s="1"/>
      <c r="AL40" s="1"/>
      <c r="AM40" s="1"/>
      <c r="AN40" s="1"/>
      <c r="AO40" s="1"/>
      <c r="AP40" s="1"/>
      <c r="AQ40" s="1"/>
    </row>
    <row r="41" spans="1:43" ht="14.45">
      <c r="A41" s="1"/>
      <c r="B41" s="1"/>
      <c r="C41" s="1"/>
      <c r="D41" s="1"/>
      <c r="E41" s="1"/>
      <c r="F41" s="1"/>
      <c r="G41" s="1"/>
      <c r="H41" s="1"/>
      <c r="I41" s="1"/>
      <c r="J41" s="1"/>
      <c r="K41" s="1"/>
      <c r="L41" s="1"/>
      <c r="M41" s="1"/>
      <c r="N41" s="1"/>
      <c r="O41" s="1"/>
      <c r="P41" s="39"/>
      <c r="Q41" s="40"/>
      <c r="R41" s="40"/>
      <c r="S41" s="40"/>
      <c r="T41" s="40"/>
      <c r="U41" s="40"/>
      <c r="V41" s="40"/>
      <c r="W41" s="40"/>
      <c r="X41" s="40"/>
      <c r="Y41" s="40"/>
      <c r="Z41" s="40"/>
      <c r="AA41" s="40"/>
      <c r="AB41" s="41"/>
      <c r="AC41" s="29"/>
      <c r="AD41" s="1"/>
      <c r="AE41" s="1"/>
      <c r="AF41" s="1"/>
      <c r="AG41" s="1"/>
      <c r="AH41" s="1"/>
      <c r="AI41" s="1"/>
      <c r="AJ41" s="1"/>
      <c r="AK41" s="1"/>
      <c r="AL41" s="1"/>
      <c r="AM41" s="1"/>
      <c r="AN41" s="1"/>
      <c r="AO41" s="1"/>
      <c r="AP41" s="1"/>
      <c r="AQ41" s="1"/>
    </row>
    <row r="42" spans="1:43" ht="14.45">
      <c r="A42" s="1"/>
      <c r="B42" s="1"/>
      <c r="C42" s="1"/>
      <c r="D42" s="1"/>
      <c r="E42" s="1"/>
      <c r="F42" s="1"/>
      <c r="G42" s="1"/>
      <c r="H42" s="1"/>
      <c r="I42" s="1"/>
      <c r="J42" s="1"/>
      <c r="K42" s="1"/>
      <c r="L42" s="1"/>
      <c r="M42" s="1"/>
      <c r="N42" s="1"/>
      <c r="O42" s="1"/>
      <c r="P42" s="39"/>
      <c r="Q42" s="40"/>
      <c r="R42" s="40"/>
      <c r="S42" s="40"/>
      <c r="T42" s="40"/>
      <c r="U42" s="40"/>
      <c r="V42" s="40"/>
      <c r="W42" s="40"/>
      <c r="X42" s="40"/>
      <c r="Y42" s="40"/>
      <c r="Z42" s="40"/>
      <c r="AA42" s="40"/>
      <c r="AB42" s="41"/>
      <c r="AC42" s="29"/>
      <c r="AD42" s="1"/>
      <c r="AE42" s="1"/>
      <c r="AF42" s="1"/>
      <c r="AG42" s="1"/>
      <c r="AH42" s="1"/>
      <c r="AI42" s="1"/>
      <c r="AJ42" s="1"/>
      <c r="AK42" s="1"/>
      <c r="AL42" s="1"/>
      <c r="AM42" s="1"/>
      <c r="AN42" s="1"/>
      <c r="AO42" s="1"/>
      <c r="AP42" s="1"/>
      <c r="AQ42" s="1"/>
    </row>
    <row r="43" spans="1:43" ht="14.45">
      <c r="A43" s="1"/>
      <c r="B43" s="1"/>
      <c r="C43" s="1"/>
      <c r="D43" s="1"/>
      <c r="E43" s="1"/>
      <c r="F43" s="1"/>
      <c r="G43" s="1"/>
      <c r="H43" s="1"/>
      <c r="I43" s="1"/>
      <c r="J43" s="1"/>
      <c r="K43" s="1"/>
      <c r="L43" s="1"/>
      <c r="M43" s="1"/>
      <c r="N43" s="1"/>
      <c r="O43" s="1"/>
      <c r="P43" s="39"/>
      <c r="Q43" s="40"/>
      <c r="R43" s="40"/>
      <c r="S43" s="40"/>
      <c r="T43" s="40"/>
      <c r="U43" s="40"/>
      <c r="V43" s="40"/>
      <c r="W43" s="40"/>
      <c r="X43" s="40"/>
      <c r="Y43" s="40"/>
      <c r="Z43" s="40"/>
      <c r="AA43" s="40"/>
      <c r="AB43" s="41"/>
      <c r="AC43" s="29"/>
      <c r="AD43" s="1"/>
      <c r="AE43" s="1"/>
      <c r="AF43" s="1"/>
      <c r="AG43" s="1"/>
      <c r="AH43" s="1"/>
      <c r="AI43" s="1"/>
      <c r="AJ43" s="1"/>
      <c r="AK43" s="1"/>
      <c r="AL43" s="1"/>
      <c r="AM43" s="1"/>
      <c r="AN43" s="1"/>
      <c r="AO43" s="1"/>
      <c r="AP43" s="1"/>
      <c r="AQ43" s="1"/>
    </row>
    <row r="44" spans="1:43" ht="14.45">
      <c r="A44" s="1"/>
      <c r="B44" s="1"/>
      <c r="C44" s="1"/>
      <c r="D44" s="1"/>
      <c r="E44" s="1"/>
      <c r="F44" s="1"/>
      <c r="G44" s="1"/>
      <c r="H44" s="1"/>
      <c r="I44" s="1"/>
      <c r="J44" s="1"/>
      <c r="K44" s="1"/>
      <c r="L44" s="1"/>
      <c r="M44" s="1"/>
      <c r="N44" s="1"/>
      <c r="O44" s="1"/>
      <c r="P44" s="39"/>
      <c r="Q44" s="40"/>
      <c r="R44" s="394" t="s">
        <v>260</v>
      </c>
      <c r="S44" s="394"/>
      <c r="T44" s="394"/>
      <c r="U44" s="122"/>
      <c r="V44" s="40"/>
      <c r="W44" s="122" t="s">
        <v>261</v>
      </c>
      <c r="X44" s="40"/>
      <c r="Y44" s="40"/>
      <c r="Z44" s="40"/>
      <c r="AA44" s="40"/>
      <c r="AB44" s="41"/>
      <c r="AC44" s="29"/>
      <c r="AD44" s="1"/>
      <c r="AE44" s="1"/>
      <c r="AF44" s="1"/>
      <c r="AG44" s="1"/>
      <c r="AH44" s="1"/>
      <c r="AI44" s="1"/>
      <c r="AJ44" s="1"/>
      <c r="AK44" s="1"/>
      <c r="AL44" s="1"/>
      <c r="AM44" s="1"/>
      <c r="AN44" s="1"/>
      <c r="AO44" s="1"/>
      <c r="AP44" s="1"/>
      <c r="AQ44" s="1"/>
    </row>
    <row r="45" spans="1:43" ht="14.45">
      <c r="A45" s="1"/>
      <c r="B45" s="1"/>
      <c r="C45" s="1"/>
      <c r="D45" s="1"/>
      <c r="E45" s="1"/>
      <c r="F45" s="1"/>
      <c r="G45" s="1"/>
      <c r="H45" s="1"/>
      <c r="I45" s="1"/>
      <c r="J45" s="1"/>
      <c r="K45" s="1"/>
      <c r="L45" s="1"/>
      <c r="M45" s="1"/>
      <c r="N45" s="1"/>
      <c r="O45" s="1"/>
      <c r="P45" s="39"/>
      <c r="Q45" s="40"/>
      <c r="R45" s="399" t="s">
        <v>262</v>
      </c>
      <c r="S45" s="399"/>
      <c r="T45" s="286">
        <f>'CubeSat hardware'!B15</f>
        <v>1</v>
      </c>
      <c r="U45" s="40" t="s">
        <v>112</v>
      </c>
      <c r="V45" s="395" t="s">
        <v>261</v>
      </c>
      <c r="W45" s="395"/>
      <c r="X45" s="402"/>
      <c r="Y45" s="239">
        <f>'CubeSat hardware'!B41</f>
        <v>0.74</v>
      </c>
      <c r="Z45" s="40" t="s">
        <v>25</v>
      </c>
      <c r="AA45" s="40"/>
      <c r="AB45" s="41"/>
      <c r="AC45" s="29"/>
      <c r="AD45" s="1"/>
      <c r="AE45" s="1"/>
      <c r="AF45" s="1"/>
      <c r="AG45" s="1"/>
      <c r="AH45" s="1"/>
      <c r="AI45" s="1"/>
      <c r="AJ45" s="1"/>
      <c r="AK45" s="1"/>
      <c r="AL45" s="1"/>
      <c r="AM45" s="1"/>
      <c r="AN45" s="1"/>
      <c r="AO45" s="1"/>
      <c r="AP45" s="1"/>
      <c r="AQ45" s="1"/>
    </row>
    <row r="46" spans="1:43" ht="14.45">
      <c r="A46" s="1"/>
      <c r="B46" s="1"/>
      <c r="C46" s="1"/>
      <c r="D46" s="1"/>
      <c r="E46" s="1"/>
      <c r="F46" s="1"/>
      <c r="G46" s="1"/>
      <c r="H46" s="1"/>
      <c r="I46" s="1"/>
      <c r="J46" s="1"/>
      <c r="K46" s="1"/>
      <c r="L46" s="1"/>
      <c r="M46" s="1"/>
      <c r="N46" s="1"/>
      <c r="O46" s="1"/>
      <c r="P46" s="39"/>
      <c r="Q46" s="40"/>
      <c r="R46" s="399"/>
      <c r="S46" s="399"/>
      <c r="T46" s="205">
        <f>10*LOG10(T45)</f>
        <v>0</v>
      </c>
      <c r="U46" s="40" t="s">
        <v>263</v>
      </c>
      <c r="V46" s="40"/>
      <c r="W46" s="395"/>
      <c r="X46" s="395"/>
      <c r="Y46" s="40"/>
      <c r="Z46" s="40"/>
      <c r="AA46" s="40"/>
      <c r="AB46" s="41"/>
      <c r="AC46" s="29"/>
      <c r="AD46" s="1"/>
      <c r="AE46" s="1"/>
      <c r="AF46" s="1"/>
      <c r="AG46" s="1"/>
      <c r="AH46" s="1"/>
      <c r="AI46" s="1"/>
      <c r="AJ46" s="1"/>
      <c r="AK46" s="1"/>
      <c r="AL46" s="1"/>
      <c r="AM46" s="1"/>
      <c r="AN46" s="1"/>
      <c r="AO46" s="1"/>
      <c r="AP46" s="1"/>
      <c r="AQ46" s="1"/>
    </row>
    <row r="47" spans="1:43" ht="14.45">
      <c r="A47" s="1"/>
      <c r="B47" s="1"/>
      <c r="C47" s="1"/>
      <c r="D47" s="1"/>
      <c r="E47" s="1"/>
      <c r="F47" s="1"/>
      <c r="G47" s="1"/>
      <c r="H47" s="1"/>
      <c r="I47" s="1"/>
      <c r="J47" s="1"/>
      <c r="K47" s="1"/>
      <c r="L47" s="1"/>
      <c r="M47" s="1"/>
      <c r="N47" s="1"/>
      <c r="O47" s="1"/>
      <c r="P47" s="39"/>
      <c r="Q47" s="40"/>
      <c r="R47" s="399"/>
      <c r="S47" s="399"/>
      <c r="T47" s="143">
        <f>T46+30</f>
        <v>30</v>
      </c>
      <c r="U47" s="40" t="s">
        <v>116</v>
      </c>
      <c r="V47" s="40"/>
      <c r="W47" s="395"/>
      <c r="X47" s="395"/>
      <c r="Y47" s="40"/>
      <c r="Z47" s="40"/>
      <c r="AA47" s="40"/>
      <c r="AB47" s="41"/>
      <c r="AC47" s="29"/>
      <c r="AD47" s="1"/>
      <c r="AE47" s="1"/>
      <c r="AF47" s="1"/>
      <c r="AG47" s="1"/>
      <c r="AH47" s="1"/>
      <c r="AI47" s="1"/>
      <c r="AJ47" s="1"/>
      <c r="AK47" s="1"/>
      <c r="AL47" s="1"/>
      <c r="AM47" s="1"/>
      <c r="AN47" s="1"/>
      <c r="AO47" s="1"/>
      <c r="AP47" s="1"/>
      <c r="AQ47" s="1"/>
    </row>
    <row r="48" spans="1:43" ht="14.45">
      <c r="A48" s="1"/>
      <c r="B48" s="1"/>
      <c r="C48" s="1"/>
      <c r="D48" s="1"/>
      <c r="E48" s="1"/>
      <c r="F48" s="1"/>
      <c r="G48" s="1"/>
      <c r="H48" s="1"/>
      <c r="I48" s="1"/>
      <c r="J48" s="1"/>
      <c r="K48" s="1"/>
      <c r="L48" s="1"/>
      <c r="M48" s="1"/>
      <c r="N48" s="1"/>
      <c r="O48" s="1"/>
      <c r="P48" s="39"/>
      <c r="Q48" s="40"/>
      <c r="R48" s="199"/>
      <c r="S48" s="199"/>
      <c r="T48" s="40"/>
      <c r="U48" s="40"/>
      <c r="V48" s="40"/>
      <c r="W48" s="198"/>
      <c r="X48" s="198"/>
      <c r="Y48" s="40"/>
      <c r="Z48" s="40"/>
      <c r="AA48" s="40"/>
      <c r="AB48" s="41"/>
      <c r="AC48" s="29"/>
      <c r="AD48" s="1"/>
      <c r="AE48" s="1"/>
      <c r="AF48" s="1"/>
      <c r="AG48" s="1"/>
      <c r="AH48" s="1"/>
      <c r="AI48" s="1"/>
      <c r="AJ48" s="1"/>
      <c r="AK48" s="1"/>
      <c r="AL48" s="1"/>
      <c r="AM48" s="1"/>
      <c r="AN48" s="1"/>
      <c r="AO48" s="1"/>
      <c r="AP48" s="1"/>
      <c r="AQ48" s="1"/>
    </row>
    <row r="49" spans="1:43" ht="14.45">
      <c r="A49" s="1"/>
      <c r="B49" s="1"/>
      <c r="C49" s="1"/>
      <c r="D49" s="1"/>
      <c r="E49" s="1"/>
      <c r="F49" s="1"/>
      <c r="G49" s="1"/>
      <c r="H49" s="1"/>
      <c r="I49" s="1"/>
      <c r="J49" s="1"/>
      <c r="K49" s="1"/>
      <c r="L49" s="1"/>
      <c r="M49" s="1"/>
      <c r="N49" s="1"/>
      <c r="O49" s="1"/>
      <c r="P49" s="39"/>
      <c r="Q49" s="40"/>
      <c r="R49" s="394" t="s">
        <v>264</v>
      </c>
      <c r="S49" s="394"/>
      <c r="T49" s="394"/>
      <c r="U49" s="122"/>
      <c r="V49" s="40"/>
      <c r="W49" s="198"/>
      <c r="X49" s="198"/>
      <c r="Y49" s="40"/>
      <c r="Z49" s="40"/>
      <c r="AA49" s="40"/>
      <c r="AB49" s="41"/>
      <c r="AC49" s="29"/>
      <c r="AD49" s="1"/>
      <c r="AE49" s="1"/>
      <c r="AF49" s="1"/>
      <c r="AG49" s="1"/>
      <c r="AH49" s="1"/>
      <c r="AI49" s="1"/>
      <c r="AJ49" s="1"/>
      <c r="AK49" s="1"/>
      <c r="AL49" s="1"/>
      <c r="AM49" s="1"/>
      <c r="AN49" s="1"/>
      <c r="AO49" s="1"/>
      <c r="AP49" s="1"/>
      <c r="AQ49" s="1"/>
    </row>
    <row r="50" spans="1:43" ht="14.45">
      <c r="A50" s="1"/>
      <c r="B50" s="1"/>
      <c r="C50" s="1"/>
      <c r="D50" s="1"/>
      <c r="E50" s="1"/>
      <c r="F50" s="1"/>
      <c r="G50" s="1"/>
      <c r="H50" s="1"/>
      <c r="I50" s="1"/>
      <c r="J50" s="1"/>
      <c r="K50" s="1"/>
      <c r="L50" s="1"/>
      <c r="M50" s="1"/>
      <c r="N50" s="1"/>
      <c r="O50" s="1"/>
      <c r="P50" s="39"/>
      <c r="Q50" s="40"/>
      <c r="R50" s="395" t="s">
        <v>265</v>
      </c>
      <c r="S50" s="403"/>
      <c r="T50" s="150">
        <f>'CubeSat hardware'!B40</f>
        <v>0.1</v>
      </c>
      <c r="U50" s="40" t="s">
        <v>25</v>
      </c>
      <c r="V50" s="40"/>
      <c r="W50" s="198"/>
      <c r="X50" s="198"/>
      <c r="Y50" s="40"/>
      <c r="Z50" s="40"/>
      <c r="AA50" s="40"/>
      <c r="AB50" s="41"/>
      <c r="AC50" s="29"/>
      <c r="AD50" s="1"/>
      <c r="AE50" s="1"/>
      <c r="AF50" s="1"/>
      <c r="AG50" s="1"/>
      <c r="AH50" s="1"/>
      <c r="AI50" s="1"/>
      <c r="AJ50" s="1"/>
      <c r="AK50" s="1"/>
      <c r="AL50" s="1"/>
      <c r="AM50" s="1"/>
      <c r="AN50" s="1"/>
      <c r="AO50" s="1"/>
      <c r="AP50" s="1"/>
      <c r="AQ50" s="1"/>
    </row>
    <row r="51" spans="1:43" ht="14.45">
      <c r="A51" s="1"/>
      <c r="B51" s="1"/>
      <c r="C51" s="1"/>
      <c r="D51" s="1"/>
      <c r="E51" s="1"/>
      <c r="F51" s="1"/>
      <c r="G51" s="1"/>
      <c r="H51" s="1"/>
      <c r="I51" s="1"/>
      <c r="J51" s="1"/>
      <c r="K51" s="1"/>
      <c r="L51" s="1"/>
      <c r="M51" s="1"/>
      <c r="N51" s="1"/>
      <c r="O51" s="1"/>
      <c r="P51" s="39"/>
      <c r="Q51" s="40"/>
      <c r="R51" s="40"/>
      <c r="S51" s="40"/>
      <c r="T51" s="40"/>
      <c r="U51" s="40"/>
      <c r="V51" s="40"/>
      <c r="W51" s="395"/>
      <c r="X51" s="395"/>
      <c r="Y51" s="40"/>
      <c r="Z51" s="40"/>
      <c r="AA51" s="40"/>
      <c r="AB51" s="41"/>
      <c r="AC51" s="29"/>
      <c r="AD51" s="1"/>
      <c r="AE51" s="1"/>
      <c r="AF51" s="1"/>
      <c r="AG51" s="1"/>
      <c r="AH51" s="1"/>
      <c r="AI51" s="1"/>
      <c r="AJ51" s="1"/>
      <c r="AK51" s="1"/>
      <c r="AL51" s="1"/>
      <c r="AM51" s="1"/>
      <c r="AN51" s="1"/>
      <c r="AO51" s="1"/>
      <c r="AP51" s="1"/>
      <c r="AQ51" s="1"/>
    </row>
    <row r="52" spans="1:43" ht="14.45">
      <c r="A52" s="1"/>
      <c r="B52" s="1"/>
      <c r="C52" s="1"/>
      <c r="D52" s="1"/>
      <c r="E52" s="1"/>
      <c r="F52" s="1"/>
      <c r="G52" s="1"/>
      <c r="H52" s="1"/>
      <c r="I52" s="1"/>
      <c r="J52" s="1"/>
      <c r="K52" s="1"/>
      <c r="L52" s="1"/>
      <c r="M52" s="1"/>
      <c r="N52" s="1"/>
      <c r="O52" s="1"/>
      <c r="P52" s="39"/>
      <c r="Q52" s="40"/>
      <c r="R52" s="394" t="s">
        <v>266</v>
      </c>
      <c r="S52" s="394"/>
      <c r="T52" s="394"/>
      <c r="U52" s="394"/>
      <c r="V52" s="394"/>
      <c r="W52" s="394"/>
      <c r="X52" s="394"/>
      <c r="Y52" s="122"/>
      <c r="Z52" s="122"/>
      <c r="AA52" s="40"/>
      <c r="AB52" s="41"/>
      <c r="AC52" s="29"/>
      <c r="AD52" s="1"/>
      <c r="AE52" s="1"/>
      <c r="AF52" s="1"/>
      <c r="AG52" s="1"/>
      <c r="AH52" s="1"/>
      <c r="AI52" s="1"/>
      <c r="AJ52" s="1"/>
      <c r="AK52" s="1"/>
      <c r="AL52" s="1"/>
      <c r="AM52" s="1"/>
      <c r="AN52" s="1"/>
      <c r="AO52" s="1"/>
      <c r="AP52" s="1"/>
      <c r="AQ52" s="1"/>
    </row>
    <row r="53" spans="1:43" ht="14.45">
      <c r="A53" s="1"/>
      <c r="B53" s="1"/>
      <c r="C53" s="1"/>
      <c r="D53" s="1"/>
      <c r="E53" s="1"/>
      <c r="F53" s="1"/>
      <c r="G53" s="1"/>
      <c r="H53" s="1"/>
      <c r="I53" s="1"/>
      <c r="J53" s="1"/>
      <c r="K53" s="1"/>
      <c r="L53" s="1"/>
      <c r="M53" s="1"/>
      <c r="N53" s="1"/>
      <c r="O53" s="1"/>
      <c r="P53" s="39"/>
      <c r="Q53" s="40"/>
      <c r="R53" s="395" t="s">
        <v>267</v>
      </c>
      <c r="S53" s="395"/>
      <c r="T53" s="395"/>
      <c r="U53" s="395"/>
      <c r="V53" s="390">
        <f>'CubeSat hardware'!B44</f>
        <v>0</v>
      </c>
      <c r="W53" s="390"/>
      <c r="X53" s="390"/>
      <c r="Y53" s="40" t="s">
        <v>25</v>
      </c>
      <c r="Z53" s="40"/>
      <c r="AA53" s="40"/>
      <c r="AB53" s="41"/>
      <c r="AC53" s="29"/>
      <c r="AD53" s="1"/>
      <c r="AE53" s="1"/>
      <c r="AF53" s="1"/>
      <c r="AG53" s="1"/>
      <c r="AH53" s="1"/>
      <c r="AI53" s="1"/>
      <c r="AJ53" s="1"/>
      <c r="AK53" s="1"/>
      <c r="AL53" s="1"/>
      <c r="AM53" s="1"/>
      <c r="AN53" s="1"/>
      <c r="AO53" s="1"/>
      <c r="AP53" s="1"/>
      <c r="AQ53" s="1"/>
    </row>
    <row r="54" spans="1:43" ht="14.45">
      <c r="A54" s="1"/>
      <c r="B54" s="1"/>
      <c r="C54" s="1"/>
      <c r="D54" s="1"/>
      <c r="E54" s="1"/>
      <c r="F54" s="1"/>
      <c r="G54" s="1"/>
      <c r="H54" s="1"/>
      <c r="I54" s="1"/>
      <c r="J54" s="1"/>
      <c r="K54" s="1"/>
      <c r="L54" s="1"/>
      <c r="M54" s="1"/>
      <c r="N54" s="1"/>
      <c r="O54" s="1"/>
      <c r="P54" s="39"/>
      <c r="Q54" s="40"/>
      <c r="R54" s="395" t="s">
        <v>268</v>
      </c>
      <c r="S54" s="395"/>
      <c r="T54" s="395"/>
      <c r="U54" s="395"/>
      <c r="V54" s="393">
        <f>'CubeSat hardware'!C45</f>
        <v>0</v>
      </c>
      <c r="W54" s="393"/>
      <c r="X54" s="393"/>
      <c r="Y54" s="40" t="s">
        <v>25</v>
      </c>
      <c r="Z54" s="40"/>
      <c r="AA54" s="40"/>
      <c r="AB54" s="41"/>
      <c r="AC54" s="29"/>
      <c r="AD54" s="1"/>
      <c r="AE54" s="1"/>
      <c r="AF54" s="1"/>
      <c r="AG54" s="1"/>
      <c r="AH54" s="1"/>
      <c r="AI54" s="1"/>
      <c r="AJ54" s="1"/>
      <c r="AK54" s="1"/>
      <c r="AL54" s="1"/>
      <c r="AM54" s="1"/>
      <c r="AN54" s="1"/>
      <c r="AO54" s="1"/>
      <c r="AP54" s="1"/>
      <c r="AQ54" s="1"/>
    </row>
    <row r="55" spans="1:43" ht="14.4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29"/>
      <c r="AD55" s="1"/>
      <c r="AE55" s="1"/>
      <c r="AF55" s="1"/>
      <c r="AG55" s="1"/>
      <c r="AH55" s="1"/>
      <c r="AI55" s="1"/>
      <c r="AJ55" s="1"/>
      <c r="AK55" s="1"/>
      <c r="AL55" s="1"/>
      <c r="AM55" s="1"/>
      <c r="AN55" s="1"/>
      <c r="AO55" s="1"/>
      <c r="AP55" s="1"/>
      <c r="AQ55" s="1"/>
    </row>
    <row r="56" spans="1:43" ht="14.45">
      <c r="A56" s="1"/>
      <c r="B56" s="1"/>
      <c r="C56" s="1"/>
      <c r="D56" s="1"/>
      <c r="E56" s="1"/>
      <c r="F56" s="1"/>
      <c r="G56" s="1"/>
      <c r="H56" s="1"/>
      <c r="I56" s="1"/>
      <c r="J56" s="1"/>
      <c r="K56" s="1"/>
      <c r="L56" s="1"/>
      <c r="M56" s="1"/>
      <c r="N56" s="1"/>
      <c r="O56" s="1"/>
      <c r="P56" s="39"/>
      <c r="Q56" s="40"/>
      <c r="R56" s="40"/>
      <c r="S56" s="40"/>
      <c r="T56" s="394" t="s">
        <v>269</v>
      </c>
      <c r="U56" s="394"/>
      <c r="V56" s="394"/>
      <c r="W56" s="394"/>
      <c r="X56" s="394"/>
      <c r="Y56" s="40"/>
      <c r="Z56" s="40"/>
      <c r="AA56" s="40"/>
      <c r="AB56" s="41"/>
      <c r="AC56" s="29"/>
      <c r="AD56" s="1"/>
      <c r="AE56" s="1"/>
      <c r="AF56" s="1"/>
      <c r="AG56" s="1"/>
      <c r="AH56" s="1"/>
      <c r="AI56" s="1"/>
      <c r="AJ56" s="1"/>
      <c r="AK56" s="1"/>
      <c r="AL56" s="1"/>
      <c r="AM56" s="1"/>
      <c r="AN56" s="1"/>
      <c r="AO56" s="1"/>
      <c r="AP56" s="1"/>
      <c r="AQ56" s="1"/>
    </row>
    <row r="57" spans="1:43" ht="15.75" customHeight="1">
      <c r="A57" s="1"/>
      <c r="B57" s="1"/>
      <c r="C57" s="1"/>
      <c r="D57" s="1"/>
      <c r="E57" s="1"/>
      <c r="F57" s="1"/>
      <c r="G57" s="1"/>
      <c r="H57" s="1"/>
      <c r="I57" s="1"/>
      <c r="J57" s="1"/>
      <c r="K57" s="1"/>
      <c r="L57" s="1"/>
      <c r="M57" s="1"/>
      <c r="N57" s="1"/>
      <c r="O57" s="1"/>
      <c r="P57" s="39"/>
      <c r="Q57" s="40"/>
      <c r="R57" s="40"/>
      <c r="S57" s="40"/>
      <c r="T57" s="395" t="s">
        <v>270</v>
      </c>
      <c r="U57" s="395"/>
      <c r="V57" s="398">
        <f>SUM(V53:X54)+T50+Y45</f>
        <v>0.84</v>
      </c>
      <c r="W57" s="398"/>
      <c r="X57" s="40" t="s">
        <v>25</v>
      </c>
      <c r="Y57" s="40"/>
      <c r="Z57" s="40"/>
      <c r="AA57" s="40"/>
      <c r="AB57" s="41"/>
      <c r="AC57" s="29"/>
      <c r="AD57" s="1"/>
      <c r="AE57" s="1"/>
      <c r="AF57" s="1"/>
      <c r="AG57" s="1"/>
      <c r="AH57" s="1"/>
      <c r="AI57" s="1"/>
      <c r="AJ57" s="1"/>
      <c r="AK57" s="1"/>
      <c r="AL57" s="1"/>
      <c r="AM57" s="1"/>
      <c r="AN57" s="1"/>
      <c r="AO57" s="1"/>
      <c r="AP57" s="1"/>
      <c r="AQ57" s="1"/>
    </row>
    <row r="58" spans="1:43" ht="14.45">
      <c r="A58" s="1"/>
      <c r="B58" s="1"/>
      <c r="C58" s="1"/>
      <c r="D58" s="1"/>
      <c r="E58" s="1"/>
      <c r="F58" s="1"/>
      <c r="G58" s="1"/>
      <c r="H58" s="1"/>
      <c r="I58" s="1"/>
      <c r="J58" s="1"/>
      <c r="K58" s="1"/>
      <c r="L58" s="1"/>
      <c r="M58" s="1"/>
      <c r="N58" s="1"/>
      <c r="O58" s="1"/>
      <c r="P58" s="39"/>
      <c r="Q58" s="40"/>
      <c r="R58" s="40"/>
      <c r="S58" s="40"/>
      <c r="T58" s="395" t="s">
        <v>271</v>
      </c>
      <c r="U58" s="395"/>
      <c r="V58" s="396">
        <f>T46-V57</f>
        <v>-0.84</v>
      </c>
      <c r="W58" s="397"/>
      <c r="X58" s="40" t="s">
        <v>263</v>
      </c>
      <c r="Y58" s="40"/>
      <c r="Z58" s="40"/>
      <c r="AA58" s="40"/>
      <c r="AB58" s="41"/>
      <c r="AC58" s="29"/>
      <c r="AD58" s="1"/>
      <c r="AE58" s="1"/>
      <c r="AF58" s="1"/>
      <c r="AG58" s="1"/>
      <c r="AH58" s="1"/>
      <c r="AI58" s="1"/>
      <c r="AJ58" s="1"/>
      <c r="AK58" s="1"/>
      <c r="AL58" s="1"/>
      <c r="AM58" s="1"/>
      <c r="AN58" s="1"/>
      <c r="AO58" s="1"/>
      <c r="AP58" s="1"/>
      <c r="AQ58" s="1"/>
    </row>
    <row r="59" spans="1:43" ht="14.45">
      <c r="A59" s="1"/>
      <c r="B59" s="1"/>
      <c r="C59" s="1"/>
      <c r="D59" s="1"/>
      <c r="E59" s="1"/>
      <c r="F59" s="1"/>
      <c r="G59" s="1"/>
      <c r="H59" s="1"/>
      <c r="I59" s="1"/>
      <c r="J59" s="1"/>
      <c r="K59" s="1"/>
      <c r="L59" s="1"/>
      <c r="M59" s="1"/>
      <c r="N59" s="1"/>
      <c r="O59" s="1"/>
      <c r="P59" s="39"/>
      <c r="Q59" s="40"/>
      <c r="R59" s="40"/>
      <c r="S59" s="40"/>
      <c r="T59" s="40"/>
      <c r="U59" s="40"/>
      <c r="V59" s="40"/>
      <c r="W59" s="40"/>
      <c r="X59" s="40"/>
      <c r="Y59" s="40"/>
      <c r="Z59" s="40"/>
      <c r="AA59" s="40"/>
      <c r="AB59" s="41"/>
      <c r="AC59" s="29"/>
      <c r="AD59" s="1"/>
      <c r="AE59" s="1"/>
      <c r="AF59" s="1"/>
      <c r="AG59" s="1"/>
      <c r="AH59" s="1"/>
      <c r="AI59" s="1"/>
      <c r="AJ59" s="1"/>
      <c r="AK59" s="1"/>
      <c r="AL59" s="1"/>
      <c r="AM59" s="1"/>
      <c r="AN59" s="1"/>
      <c r="AO59" s="1"/>
      <c r="AP59" s="1"/>
      <c r="AQ59" s="1"/>
    </row>
    <row r="60" spans="1:43" ht="15" thickBot="1">
      <c r="A60" s="1"/>
      <c r="B60" s="1"/>
      <c r="C60" s="1"/>
      <c r="D60" s="1"/>
      <c r="E60" s="1"/>
      <c r="F60" s="1"/>
      <c r="G60" s="1"/>
      <c r="H60" s="1"/>
      <c r="I60" s="1"/>
      <c r="J60" s="1"/>
      <c r="K60" s="1"/>
      <c r="L60" s="1"/>
      <c r="M60" s="1"/>
      <c r="N60" s="1"/>
      <c r="O60" s="1"/>
      <c r="P60" s="42"/>
      <c r="Q60" s="43"/>
      <c r="R60" s="43"/>
      <c r="S60" s="43"/>
      <c r="T60" s="43"/>
      <c r="U60" s="43"/>
      <c r="V60" s="43"/>
      <c r="W60" s="43"/>
      <c r="X60" s="43"/>
      <c r="Y60" s="43"/>
      <c r="Z60" s="43"/>
      <c r="AA60" s="43"/>
      <c r="AB60" s="44"/>
      <c r="AC60" s="29"/>
      <c r="AD60" s="1"/>
      <c r="AE60" s="1"/>
      <c r="AF60" s="1"/>
      <c r="AG60" s="1"/>
      <c r="AH60" s="1"/>
      <c r="AI60" s="1"/>
      <c r="AJ60" s="1"/>
      <c r="AK60" s="1"/>
      <c r="AL60" s="1"/>
      <c r="AM60" s="1"/>
      <c r="AN60" s="1"/>
      <c r="AO60" s="1"/>
      <c r="AP60" s="1"/>
      <c r="AQ60" s="1"/>
    </row>
    <row r="61" spans="1:43" ht="14.45">
      <c r="A61" s="1"/>
      <c r="B61" s="1"/>
      <c r="C61" s="1"/>
      <c r="D61" s="1"/>
      <c r="E61" s="1"/>
      <c r="F61" s="1"/>
      <c r="G61" s="1"/>
      <c r="H61" s="1"/>
      <c r="I61" s="1"/>
      <c r="J61" s="1"/>
      <c r="K61" s="1"/>
      <c r="L61" s="1"/>
      <c r="M61" s="1"/>
      <c r="N61" s="1"/>
      <c r="O61" s="1"/>
      <c r="P61" s="204"/>
      <c r="Q61" s="204"/>
      <c r="R61" s="204"/>
      <c r="S61" s="204"/>
      <c r="T61" s="204"/>
      <c r="U61" s="204"/>
      <c r="V61" s="204"/>
      <c r="W61" s="204"/>
      <c r="X61" s="204"/>
      <c r="Y61" s="204"/>
      <c r="Z61" s="204"/>
      <c r="AA61" s="204"/>
      <c r="AB61" s="204"/>
      <c r="AC61" s="1"/>
      <c r="AD61" s="1"/>
      <c r="AE61" s="1"/>
      <c r="AF61" s="1"/>
      <c r="AG61" s="1"/>
      <c r="AH61" s="1"/>
      <c r="AI61" s="1"/>
      <c r="AJ61" s="1"/>
      <c r="AK61" s="1"/>
      <c r="AL61" s="1"/>
      <c r="AM61" s="1"/>
      <c r="AN61" s="1"/>
      <c r="AO61" s="1"/>
      <c r="AP61" s="1"/>
      <c r="AQ61" s="1"/>
    </row>
    <row r="62" spans="1:43" ht="15" thickBot="1">
      <c r="A62" s="1"/>
      <c r="B62" s="1"/>
      <c r="C62" s="1"/>
      <c r="D62" s="1"/>
      <c r="E62" s="1"/>
      <c r="F62" s="1"/>
      <c r="G62" s="1"/>
      <c r="H62" s="1"/>
      <c r="I62" s="1"/>
      <c r="J62" s="1"/>
      <c r="K62" s="1"/>
      <c r="L62" s="1"/>
      <c r="M62" s="1"/>
      <c r="N62" s="1"/>
      <c r="O62" s="1"/>
      <c r="P62" s="204"/>
      <c r="Q62" s="204"/>
      <c r="R62" s="204"/>
      <c r="S62" s="204"/>
      <c r="T62" s="204"/>
      <c r="U62" s="204"/>
      <c r="V62" s="204"/>
      <c r="W62" s="204"/>
      <c r="X62" s="204"/>
      <c r="Y62" s="204"/>
      <c r="Z62" s="204"/>
      <c r="AA62" s="204"/>
      <c r="AB62" s="204"/>
      <c r="AC62" s="1"/>
      <c r="AD62" s="1"/>
      <c r="AE62" s="1"/>
      <c r="AF62" s="1"/>
      <c r="AG62" s="1"/>
      <c r="AH62" s="1"/>
      <c r="AI62" s="1"/>
      <c r="AJ62" s="1"/>
      <c r="AK62" s="1"/>
      <c r="AL62" s="1"/>
      <c r="AM62" s="1"/>
      <c r="AN62" s="1"/>
      <c r="AO62" s="1"/>
      <c r="AP62" s="1"/>
      <c r="AQ62" s="1"/>
    </row>
    <row r="63" spans="1:43" ht="14.45">
      <c r="A63" s="1"/>
      <c r="B63" s="1"/>
      <c r="C63" s="1"/>
      <c r="D63" s="1"/>
      <c r="E63" s="1"/>
      <c r="F63" s="1"/>
      <c r="G63" s="1"/>
      <c r="H63" s="1"/>
      <c r="I63" s="1"/>
      <c r="J63" s="1"/>
      <c r="K63" s="1"/>
      <c r="L63" s="1"/>
      <c r="M63" s="1"/>
      <c r="N63" s="1"/>
      <c r="O63" s="1"/>
      <c r="P63" s="26"/>
      <c r="Q63" s="27"/>
      <c r="R63" s="27"/>
      <c r="S63" s="27"/>
      <c r="T63" s="27"/>
      <c r="U63" s="27"/>
      <c r="V63" s="27"/>
      <c r="W63" s="27"/>
      <c r="X63" s="27"/>
      <c r="Y63" s="27"/>
      <c r="Z63" s="27"/>
      <c r="AA63" s="27"/>
      <c r="AB63" s="28"/>
      <c r="AC63" s="1"/>
      <c r="AD63" s="1"/>
      <c r="AE63" s="1"/>
      <c r="AF63" s="1"/>
      <c r="AG63" s="1"/>
      <c r="AH63" s="1"/>
      <c r="AI63" s="1"/>
      <c r="AJ63" s="1"/>
      <c r="AK63" s="1"/>
      <c r="AL63" s="1"/>
      <c r="AM63" s="1"/>
      <c r="AN63" s="1"/>
      <c r="AO63" s="1"/>
      <c r="AP63" s="1"/>
      <c r="AQ63" s="1"/>
    </row>
    <row r="64" spans="1:43" ht="15" thickBot="1">
      <c r="A64" s="1"/>
      <c r="B64" s="1"/>
      <c r="C64" s="1"/>
      <c r="D64" s="1"/>
      <c r="E64" s="1"/>
      <c r="F64" s="1"/>
      <c r="G64" s="1"/>
      <c r="H64" s="1"/>
      <c r="I64" s="1"/>
      <c r="J64" s="1"/>
      <c r="K64" s="1"/>
      <c r="L64" s="1"/>
      <c r="M64" s="1"/>
      <c r="N64" s="1"/>
      <c r="O64" s="1"/>
      <c r="P64" s="30"/>
      <c r="Q64" s="31"/>
      <c r="R64" s="31"/>
      <c r="S64" s="31"/>
      <c r="T64" s="31"/>
      <c r="U64" s="31"/>
      <c r="V64" s="31"/>
      <c r="W64" s="31"/>
      <c r="X64" s="31"/>
      <c r="Y64" s="31"/>
      <c r="Z64" s="31"/>
      <c r="AA64" s="31"/>
      <c r="AB64" s="32"/>
      <c r="AC64" s="1"/>
      <c r="AD64" s="1"/>
      <c r="AE64" s="1"/>
      <c r="AF64" s="1"/>
      <c r="AG64" s="1"/>
      <c r="AH64" s="1"/>
      <c r="AI64" s="1"/>
      <c r="AJ64" s="1"/>
      <c r="AK64" s="1"/>
      <c r="AL64" s="1"/>
      <c r="AM64" s="1"/>
      <c r="AN64" s="1"/>
      <c r="AO64" s="1"/>
      <c r="AP64" s="1"/>
      <c r="AQ64" s="1"/>
    </row>
    <row r="65" spans="1:43" ht="30.6" thickBot="1">
      <c r="A65" s="1"/>
      <c r="B65" s="1"/>
      <c r="C65" s="1"/>
      <c r="D65" s="1"/>
      <c r="E65" s="1"/>
      <c r="F65" s="1"/>
      <c r="G65" s="1"/>
      <c r="H65" s="1"/>
      <c r="I65" s="1"/>
      <c r="J65" s="1"/>
      <c r="K65" s="1"/>
      <c r="L65" s="1"/>
      <c r="M65" s="1"/>
      <c r="N65" s="1"/>
      <c r="O65" s="1"/>
      <c r="P65" s="30"/>
      <c r="Q65" s="31"/>
      <c r="R65" s="328" t="s">
        <v>273</v>
      </c>
      <c r="S65" s="329"/>
      <c r="T65" s="329"/>
      <c r="U65" s="329"/>
      <c r="V65" s="329"/>
      <c r="W65" s="329"/>
      <c r="X65" s="329"/>
      <c r="Y65" s="329"/>
      <c r="Z65" s="330"/>
      <c r="AA65" s="31"/>
      <c r="AB65" s="32"/>
      <c r="AC65" s="1"/>
      <c r="AD65" s="1"/>
      <c r="AE65" s="1"/>
      <c r="AF65" s="1"/>
      <c r="AG65" s="1"/>
      <c r="AH65" s="1"/>
      <c r="AI65" s="1"/>
      <c r="AJ65" s="1"/>
      <c r="AK65" s="1"/>
      <c r="AL65" s="1"/>
      <c r="AM65" s="1"/>
      <c r="AN65" s="1"/>
      <c r="AO65" s="1"/>
      <c r="AP65" s="1"/>
      <c r="AQ65" s="1"/>
    </row>
    <row r="66" spans="1:43" ht="14.45">
      <c r="A66" s="1"/>
      <c r="B66" s="1"/>
      <c r="C66" s="1"/>
      <c r="D66" s="1"/>
      <c r="E66" s="1"/>
      <c r="F66" s="1"/>
      <c r="G66" s="1"/>
      <c r="H66" s="1"/>
      <c r="I66" s="1"/>
      <c r="J66" s="1"/>
      <c r="K66" s="1"/>
      <c r="L66" s="1"/>
      <c r="M66" s="1"/>
      <c r="N66" s="1"/>
      <c r="O66" s="1"/>
      <c r="P66" s="30"/>
      <c r="Q66" s="31"/>
      <c r="R66" s="31"/>
      <c r="S66" s="31"/>
      <c r="T66" s="31"/>
      <c r="U66" s="31"/>
      <c r="V66" s="31"/>
      <c r="W66" s="31"/>
      <c r="X66" s="31"/>
      <c r="Y66" s="31"/>
      <c r="Z66" s="31"/>
      <c r="AA66" s="31"/>
      <c r="AB66" s="32"/>
      <c r="AC66" s="1"/>
      <c r="AD66" s="1"/>
      <c r="AE66" s="1"/>
      <c r="AF66" s="1"/>
      <c r="AG66" s="1"/>
      <c r="AH66" s="1"/>
      <c r="AI66" s="1"/>
      <c r="AJ66" s="1"/>
      <c r="AK66" s="1"/>
      <c r="AL66" s="1"/>
      <c r="AM66" s="1"/>
      <c r="AN66" s="1"/>
      <c r="AO66" s="1"/>
      <c r="AP66" s="1"/>
      <c r="AQ66" s="1"/>
    </row>
    <row r="67" spans="1:43" ht="14.45">
      <c r="A67" s="1"/>
      <c r="B67" s="1"/>
      <c r="C67" s="1"/>
      <c r="D67" s="1"/>
      <c r="E67" s="1"/>
      <c r="F67" s="1"/>
      <c r="G67" s="1"/>
      <c r="H67" s="1"/>
      <c r="I67" s="1"/>
      <c r="J67" s="1"/>
      <c r="K67" s="1"/>
      <c r="L67" s="1"/>
      <c r="M67" s="1"/>
      <c r="N67" s="1"/>
      <c r="O67" s="1"/>
      <c r="P67" s="30"/>
      <c r="Q67" s="31"/>
      <c r="R67" s="31"/>
      <c r="S67" s="31"/>
      <c r="T67" s="31"/>
      <c r="U67" s="31"/>
      <c r="V67" s="31"/>
      <c r="W67" s="31"/>
      <c r="X67" s="31"/>
      <c r="Y67" s="31"/>
      <c r="Z67" s="31"/>
      <c r="AA67" s="31"/>
      <c r="AB67" s="32"/>
      <c r="AC67" s="1"/>
      <c r="AD67" s="1"/>
      <c r="AE67" s="1"/>
      <c r="AF67" s="1"/>
      <c r="AG67" s="1"/>
      <c r="AH67" s="1"/>
      <c r="AI67" s="1"/>
      <c r="AJ67" s="1"/>
      <c r="AK67" s="1"/>
      <c r="AL67" s="1"/>
      <c r="AM67" s="1"/>
      <c r="AN67" s="1"/>
      <c r="AO67" s="1"/>
      <c r="AP67" s="1"/>
      <c r="AQ67" s="1"/>
    </row>
    <row r="68" spans="1:43" ht="14.45">
      <c r="A68" s="1"/>
      <c r="B68" s="1"/>
      <c r="C68" s="1"/>
      <c r="D68" s="1"/>
      <c r="E68" s="1"/>
      <c r="F68" s="1"/>
      <c r="G68" s="1"/>
      <c r="H68" s="1"/>
      <c r="I68" s="1"/>
      <c r="J68" s="1"/>
      <c r="K68" s="1"/>
      <c r="L68" s="1"/>
      <c r="M68" s="1"/>
      <c r="N68" s="1"/>
      <c r="O68" s="1"/>
      <c r="P68" s="30"/>
      <c r="Q68" s="31"/>
      <c r="R68" s="31"/>
      <c r="S68" s="31"/>
      <c r="T68" s="31"/>
      <c r="U68" s="31"/>
      <c r="V68" s="31"/>
      <c r="W68" s="31"/>
      <c r="X68" s="31"/>
      <c r="Y68" s="31"/>
      <c r="Z68" s="31"/>
      <c r="AA68" s="31"/>
      <c r="AB68" s="32"/>
      <c r="AC68" s="1"/>
      <c r="AD68" s="1"/>
      <c r="AE68" s="1"/>
      <c r="AF68" s="1"/>
      <c r="AG68" s="1"/>
      <c r="AH68" s="1"/>
      <c r="AI68" s="1"/>
      <c r="AJ68" s="1"/>
      <c r="AK68" s="1"/>
      <c r="AL68" s="1"/>
      <c r="AM68" s="1"/>
      <c r="AN68" s="1"/>
      <c r="AO68" s="1"/>
      <c r="AP68" s="1"/>
      <c r="AQ68" s="1"/>
    </row>
    <row r="69" spans="1:43" ht="14.45">
      <c r="A69" s="1"/>
      <c r="B69" s="1"/>
      <c r="C69" s="1"/>
      <c r="D69" s="1"/>
      <c r="E69" s="1"/>
      <c r="F69" s="1"/>
      <c r="G69" s="1"/>
      <c r="H69" s="1"/>
      <c r="I69" s="1"/>
      <c r="J69" s="1"/>
      <c r="K69" s="1"/>
      <c r="L69" s="1"/>
      <c r="M69" s="1"/>
      <c r="N69" s="1"/>
      <c r="O69" s="1"/>
      <c r="P69" s="30"/>
      <c r="Q69" s="31"/>
      <c r="R69" s="31"/>
      <c r="S69" s="31"/>
      <c r="T69" s="31"/>
      <c r="U69" s="31"/>
      <c r="V69" s="31"/>
      <c r="W69" s="31"/>
      <c r="X69" s="31"/>
      <c r="Y69" s="31"/>
      <c r="Z69" s="31"/>
      <c r="AA69" s="31"/>
      <c r="AB69" s="32"/>
      <c r="AC69" s="1"/>
      <c r="AD69" s="400" t="s">
        <v>259</v>
      </c>
      <c r="AE69" s="400"/>
      <c r="AF69" s="400"/>
      <c r="AG69" s="400"/>
      <c r="AH69" s="400"/>
      <c r="AI69" s="1"/>
      <c r="AJ69" s="1"/>
      <c r="AK69" s="1"/>
      <c r="AL69" s="1"/>
      <c r="AM69" s="1"/>
      <c r="AN69" s="1"/>
      <c r="AO69" s="1"/>
      <c r="AP69" s="1"/>
      <c r="AQ69" s="1"/>
    </row>
    <row r="70" spans="1:43" ht="14.45">
      <c r="A70" s="1"/>
      <c r="B70" s="1"/>
      <c r="C70" s="1"/>
      <c r="D70" s="1"/>
      <c r="E70" s="1"/>
      <c r="F70" s="1"/>
      <c r="G70" s="1"/>
      <c r="H70" s="1"/>
      <c r="I70" s="1"/>
      <c r="J70" s="1"/>
      <c r="K70" s="1"/>
      <c r="L70" s="1"/>
      <c r="M70" s="1"/>
      <c r="N70" s="1"/>
      <c r="O70" s="1"/>
      <c r="P70" s="30"/>
      <c r="Q70" s="31"/>
      <c r="R70" s="31"/>
      <c r="S70" s="31"/>
      <c r="T70" s="31"/>
      <c r="U70" s="31"/>
      <c r="V70" s="31"/>
      <c r="W70" s="31"/>
      <c r="X70" s="31"/>
      <c r="Y70" s="31"/>
      <c r="Z70" s="31"/>
      <c r="AA70" s="31"/>
      <c r="AB70" s="32"/>
      <c r="AC70" s="1"/>
      <c r="AD70" s="1"/>
      <c r="AE70" s="1"/>
      <c r="AF70" s="1"/>
      <c r="AG70" s="1"/>
      <c r="AH70" s="1"/>
      <c r="AI70" s="1"/>
      <c r="AJ70" s="1"/>
      <c r="AK70" s="1"/>
      <c r="AL70" s="1"/>
      <c r="AM70" s="1"/>
      <c r="AN70" s="1"/>
      <c r="AO70" s="1"/>
      <c r="AP70" s="1"/>
      <c r="AQ70" s="1"/>
    </row>
    <row r="71" spans="1:43" ht="14.45">
      <c r="A71" s="1"/>
      <c r="B71" s="1"/>
      <c r="C71" s="1"/>
      <c r="D71" s="1"/>
      <c r="E71" s="1"/>
      <c r="F71" s="1"/>
      <c r="G71" s="1"/>
      <c r="H71" s="1"/>
      <c r="I71" s="1"/>
      <c r="J71" s="1"/>
      <c r="K71" s="1"/>
      <c r="L71" s="1"/>
      <c r="M71" s="1"/>
      <c r="N71" s="1"/>
      <c r="O71" s="1"/>
      <c r="P71" s="30"/>
      <c r="Q71" s="31"/>
      <c r="R71" s="31"/>
      <c r="S71" s="31"/>
      <c r="T71" s="31"/>
      <c r="U71" s="31"/>
      <c r="V71" s="31"/>
      <c r="W71" s="31"/>
      <c r="X71" s="31"/>
      <c r="Y71" s="31"/>
      <c r="Z71" s="31"/>
      <c r="AA71" s="31"/>
      <c r="AB71" s="32"/>
      <c r="AC71" s="1"/>
      <c r="AD71" s="1"/>
      <c r="AE71" s="1"/>
      <c r="AF71" s="1"/>
      <c r="AG71" s="1"/>
      <c r="AH71" s="1"/>
      <c r="AI71" s="1"/>
      <c r="AJ71" s="1"/>
      <c r="AK71" s="1"/>
      <c r="AL71" s="1"/>
      <c r="AM71" s="1"/>
      <c r="AN71" s="1"/>
      <c r="AO71" s="1"/>
      <c r="AP71" s="1"/>
      <c r="AQ71" s="1"/>
    </row>
    <row r="72" spans="1:43" ht="14.45">
      <c r="A72" s="1"/>
      <c r="B72" s="1"/>
      <c r="C72" s="1"/>
      <c r="D72" s="1"/>
      <c r="E72" s="1"/>
      <c r="F72" s="1"/>
      <c r="G72" s="1"/>
      <c r="H72" s="1"/>
      <c r="I72" s="1"/>
      <c r="J72" s="1"/>
      <c r="K72" s="1"/>
      <c r="L72" s="1"/>
      <c r="M72" s="1"/>
      <c r="N72" s="1"/>
      <c r="O72" s="1"/>
      <c r="P72" s="30"/>
      <c r="Q72" s="31"/>
      <c r="R72" s="31"/>
      <c r="S72" s="31"/>
      <c r="T72" s="31"/>
      <c r="U72" s="31"/>
      <c r="V72" s="31"/>
      <c r="W72" s="31"/>
      <c r="X72" s="31"/>
      <c r="Y72" s="31"/>
      <c r="Z72" s="31"/>
      <c r="AA72" s="31"/>
      <c r="AB72" s="32"/>
      <c r="AC72" s="1"/>
      <c r="AD72" s="1"/>
      <c r="AE72" s="1"/>
      <c r="AF72" s="1"/>
      <c r="AG72" s="1"/>
      <c r="AH72" s="1"/>
      <c r="AI72" s="1"/>
      <c r="AJ72" s="1"/>
      <c r="AK72" s="1"/>
      <c r="AL72" s="1"/>
      <c r="AM72" s="1"/>
      <c r="AN72" s="1"/>
      <c r="AO72" s="1"/>
      <c r="AP72" s="1"/>
      <c r="AQ72" s="1"/>
    </row>
    <row r="73" spans="1:43" ht="14.45">
      <c r="A73" s="1"/>
      <c r="B73" s="1"/>
      <c r="C73" s="1"/>
      <c r="D73" s="1"/>
      <c r="E73" s="1"/>
      <c r="F73" s="1"/>
      <c r="G73" s="1"/>
      <c r="H73" s="1"/>
      <c r="I73" s="1"/>
      <c r="J73" s="1"/>
      <c r="K73" s="1"/>
      <c r="L73" s="1"/>
      <c r="M73" s="1"/>
      <c r="N73" s="1"/>
      <c r="O73" s="1"/>
      <c r="P73" s="30"/>
      <c r="Q73" s="31"/>
      <c r="R73" s="386" t="s">
        <v>260</v>
      </c>
      <c r="S73" s="386"/>
      <c r="T73" s="386"/>
      <c r="U73" s="110"/>
      <c r="V73" s="31"/>
      <c r="W73" s="110" t="s">
        <v>261</v>
      </c>
      <c r="X73" s="31"/>
      <c r="Y73" s="31"/>
      <c r="Z73" s="31"/>
      <c r="AA73" s="31"/>
      <c r="AB73" s="32"/>
      <c r="AC73" s="1"/>
      <c r="AD73" s="1"/>
      <c r="AE73" s="1"/>
      <c r="AF73" s="1"/>
      <c r="AG73" s="1"/>
      <c r="AH73" s="1"/>
      <c r="AI73" s="1"/>
      <c r="AJ73" s="1"/>
      <c r="AK73" s="1"/>
      <c r="AL73" s="1"/>
      <c r="AM73" s="1"/>
      <c r="AN73" s="1"/>
      <c r="AO73" s="1"/>
      <c r="AP73" s="1"/>
      <c r="AQ73" s="1"/>
    </row>
    <row r="74" spans="1:43" ht="14.45">
      <c r="A74" s="1"/>
      <c r="B74" s="1"/>
      <c r="C74" s="1"/>
      <c r="D74" s="1"/>
      <c r="E74" s="1"/>
      <c r="F74" s="1"/>
      <c r="G74" s="1"/>
      <c r="H74" s="1"/>
      <c r="I74" s="1"/>
      <c r="J74" s="1"/>
      <c r="K74" s="1"/>
      <c r="L74" s="1"/>
      <c r="M74" s="1"/>
      <c r="N74" s="1"/>
      <c r="O74" s="1"/>
      <c r="P74" s="30"/>
      <c r="Q74" s="31"/>
      <c r="R74" s="387" t="s">
        <v>262</v>
      </c>
      <c r="S74" s="387"/>
      <c r="T74" s="221">
        <f>'MTU hardware'!B16</f>
        <v>3.9800000000000002E-2</v>
      </c>
      <c r="U74" s="31" t="s">
        <v>112</v>
      </c>
      <c r="V74" s="388" t="s">
        <v>261</v>
      </c>
      <c r="W74" s="388"/>
      <c r="X74" s="388"/>
      <c r="Y74" s="239">
        <f>'MTU hardware'!B33</f>
        <v>0.3</v>
      </c>
      <c r="Z74" s="31" t="s">
        <v>25</v>
      </c>
      <c r="AA74" s="31"/>
      <c r="AB74" s="32"/>
      <c r="AC74" s="1"/>
      <c r="AD74" s="1"/>
      <c r="AE74" s="1"/>
      <c r="AF74" s="1"/>
      <c r="AG74" s="1"/>
      <c r="AH74" s="1"/>
      <c r="AI74" s="1"/>
      <c r="AJ74" s="1"/>
      <c r="AK74" s="1"/>
      <c r="AL74" s="1"/>
      <c r="AM74" s="1"/>
      <c r="AN74" s="1"/>
      <c r="AO74" s="1"/>
      <c r="AP74" s="1"/>
      <c r="AQ74" s="1"/>
    </row>
    <row r="75" spans="1:43" ht="14.45">
      <c r="A75" s="1"/>
      <c r="B75" s="1"/>
      <c r="C75" s="1"/>
      <c r="D75" s="1"/>
      <c r="E75" s="1"/>
      <c r="F75" s="1"/>
      <c r="G75" s="1"/>
      <c r="H75" s="1"/>
      <c r="I75" s="1"/>
      <c r="J75" s="1"/>
      <c r="K75" s="1"/>
      <c r="L75" s="1"/>
      <c r="M75" s="1"/>
      <c r="N75" s="1"/>
      <c r="O75" s="1"/>
      <c r="P75" s="30"/>
      <c r="Q75" s="31"/>
      <c r="R75" s="387"/>
      <c r="S75" s="387"/>
      <c r="T75" s="205">
        <f>10*LOG10(T74)</f>
        <v>-14.001169279263122</v>
      </c>
      <c r="U75" s="31" t="s">
        <v>263</v>
      </c>
      <c r="V75" s="31"/>
      <c r="W75" s="31"/>
      <c r="X75" s="31"/>
      <c r="Y75" s="31"/>
      <c r="Z75" s="31"/>
      <c r="AA75" s="31"/>
      <c r="AB75" s="32"/>
      <c r="AC75" s="1"/>
      <c r="AD75" s="1"/>
      <c r="AE75" s="1"/>
      <c r="AF75" s="1"/>
      <c r="AG75" s="1"/>
      <c r="AH75" s="1"/>
      <c r="AI75" s="1"/>
      <c r="AJ75" s="1"/>
      <c r="AK75" s="1"/>
      <c r="AL75" s="1"/>
      <c r="AM75" s="1"/>
      <c r="AN75" s="1"/>
      <c r="AO75" s="1"/>
      <c r="AP75" s="1"/>
      <c r="AQ75" s="1"/>
    </row>
    <row r="76" spans="1:43" ht="14.45">
      <c r="A76" s="1"/>
      <c r="B76" s="1"/>
      <c r="C76" s="1"/>
      <c r="D76" s="1"/>
      <c r="E76" s="1"/>
      <c r="F76" s="1"/>
      <c r="G76" s="1"/>
      <c r="H76" s="1"/>
      <c r="I76" s="1"/>
      <c r="J76" s="1"/>
      <c r="K76" s="1"/>
      <c r="L76" s="1"/>
      <c r="M76" s="1"/>
      <c r="N76" s="1"/>
      <c r="O76" s="1"/>
      <c r="P76" s="30"/>
      <c r="Q76" s="31"/>
      <c r="R76" s="387"/>
      <c r="S76" s="387"/>
      <c r="T76" s="143">
        <f>T75+30</f>
        <v>15.998830720736878</v>
      </c>
      <c r="U76" s="31" t="s">
        <v>116</v>
      </c>
      <c r="V76" s="31"/>
      <c r="W76" s="31"/>
      <c r="X76" s="31"/>
      <c r="Y76" s="31"/>
      <c r="Z76" s="31"/>
      <c r="AA76" s="31"/>
      <c r="AB76" s="32"/>
      <c r="AC76" s="1"/>
      <c r="AD76" s="1"/>
      <c r="AE76" s="1"/>
      <c r="AF76" s="1"/>
      <c r="AG76" s="1"/>
      <c r="AH76" s="1"/>
      <c r="AI76" s="1"/>
      <c r="AJ76" s="1"/>
      <c r="AK76" s="1"/>
      <c r="AL76" s="1"/>
      <c r="AM76" s="1"/>
      <c r="AN76" s="1"/>
      <c r="AO76" s="1"/>
      <c r="AP76" s="1"/>
      <c r="AQ76" s="1"/>
    </row>
    <row r="77" spans="1:43" ht="14.45">
      <c r="A77" s="1"/>
      <c r="B77" s="1"/>
      <c r="C77" s="1"/>
      <c r="D77" s="1"/>
      <c r="E77" s="1"/>
      <c r="F77" s="1"/>
      <c r="G77" s="1"/>
      <c r="H77" s="1"/>
      <c r="I77" s="1"/>
      <c r="J77" s="1"/>
      <c r="K77" s="1"/>
      <c r="L77" s="1"/>
      <c r="M77" s="1"/>
      <c r="N77" s="1"/>
      <c r="O77" s="1"/>
      <c r="P77" s="30"/>
      <c r="Q77" s="31"/>
      <c r="R77" s="31"/>
      <c r="S77" s="31"/>
      <c r="T77" s="31"/>
      <c r="U77" s="31"/>
      <c r="V77" s="31"/>
      <c r="W77" s="31"/>
      <c r="X77" s="31"/>
      <c r="Y77" s="31"/>
      <c r="Z77" s="31"/>
      <c r="AA77" s="31"/>
      <c r="AB77" s="32"/>
      <c r="AC77" s="1"/>
      <c r="AD77" s="1"/>
      <c r="AE77" s="1"/>
      <c r="AF77" s="1"/>
      <c r="AG77" s="1"/>
      <c r="AH77" s="1"/>
      <c r="AI77" s="1"/>
      <c r="AJ77" s="1"/>
      <c r="AK77" s="1"/>
      <c r="AL77" s="1"/>
      <c r="AM77" s="1"/>
      <c r="AN77" s="1"/>
      <c r="AO77" s="1"/>
      <c r="AP77" s="1"/>
      <c r="AQ77" s="1"/>
    </row>
    <row r="78" spans="1:43" ht="14.45">
      <c r="A78" s="1"/>
      <c r="B78" s="1"/>
      <c r="C78" s="1"/>
      <c r="D78" s="1"/>
      <c r="E78" s="1"/>
      <c r="F78" s="1"/>
      <c r="G78" s="1"/>
      <c r="H78" s="1"/>
      <c r="I78" s="1"/>
      <c r="J78" s="1"/>
      <c r="K78" s="1"/>
      <c r="L78" s="1"/>
      <c r="M78" s="1"/>
      <c r="N78" s="1"/>
      <c r="O78" s="1"/>
      <c r="P78" s="30"/>
      <c r="Q78" s="31"/>
      <c r="R78" s="386" t="s">
        <v>264</v>
      </c>
      <c r="S78" s="386"/>
      <c r="T78" s="386"/>
      <c r="U78" s="110"/>
      <c r="V78" s="31"/>
      <c r="W78" s="31"/>
      <c r="X78" s="31"/>
      <c r="Y78" s="31"/>
      <c r="Z78" s="31"/>
      <c r="AA78" s="31"/>
      <c r="AB78" s="32"/>
      <c r="AC78" s="1"/>
      <c r="AD78" s="1"/>
      <c r="AE78" s="1"/>
      <c r="AF78" s="1"/>
      <c r="AG78" s="1"/>
      <c r="AH78" s="1"/>
      <c r="AI78" s="1"/>
      <c r="AJ78" s="1"/>
      <c r="AK78" s="1"/>
      <c r="AL78" s="1"/>
      <c r="AM78" s="1"/>
      <c r="AN78" s="1"/>
      <c r="AO78" s="1"/>
      <c r="AP78" s="1"/>
      <c r="AQ78" s="1"/>
    </row>
    <row r="79" spans="1:43" ht="14.45">
      <c r="A79" s="1"/>
      <c r="B79" s="1"/>
      <c r="C79" s="1"/>
      <c r="D79" s="1"/>
      <c r="E79" s="1"/>
      <c r="F79" s="1"/>
      <c r="G79" s="1"/>
      <c r="H79" s="1"/>
      <c r="I79" s="1"/>
      <c r="J79" s="1"/>
      <c r="K79" s="1"/>
      <c r="L79" s="1"/>
      <c r="M79" s="1"/>
      <c r="N79" s="1"/>
      <c r="O79" s="1"/>
      <c r="P79" s="30"/>
      <c r="Q79" s="31"/>
      <c r="R79" s="388" t="s">
        <v>265</v>
      </c>
      <c r="S79" s="389"/>
      <c r="T79" s="150">
        <f>'MTU hardware'!B32</f>
        <v>0.44499999999999995</v>
      </c>
      <c r="U79" s="31" t="s">
        <v>25</v>
      </c>
      <c r="V79" s="31"/>
      <c r="W79" s="31"/>
      <c r="X79" s="31"/>
      <c r="Y79" s="31"/>
      <c r="Z79" s="31"/>
      <c r="AA79" s="31"/>
      <c r="AB79" s="32"/>
      <c r="AC79" s="1"/>
      <c r="AD79" s="1"/>
      <c r="AE79" s="1"/>
      <c r="AF79" s="1"/>
      <c r="AG79" s="1"/>
      <c r="AH79" s="1"/>
      <c r="AI79" s="1"/>
      <c r="AJ79" s="1"/>
      <c r="AK79" s="1"/>
      <c r="AL79" s="1"/>
      <c r="AM79" s="1"/>
      <c r="AN79" s="1"/>
      <c r="AO79" s="1"/>
      <c r="AP79" s="1"/>
      <c r="AQ79" s="1"/>
    </row>
    <row r="80" spans="1:43" ht="14.45">
      <c r="A80" s="1"/>
      <c r="B80" s="1"/>
      <c r="C80" s="1"/>
      <c r="D80" s="1"/>
      <c r="E80" s="1"/>
      <c r="F80" s="1"/>
      <c r="G80" s="1"/>
      <c r="H80" s="1"/>
      <c r="I80" s="1"/>
      <c r="J80" s="1"/>
      <c r="K80" s="1"/>
      <c r="L80" s="1"/>
      <c r="M80" s="1"/>
      <c r="N80" s="1"/>
      <c r="O80" s="1"/>
      <c r="P80" s="30"/>
      <c r="Q80" s="31"/>
      <c r="R80" s="31"/>
      <c r="S80" s="31"/>
      <c r="T80" s="31"/>
      <c r="U80" s="31"/>
      <c r="V80" s="31"/>
      <c r="W80" s="31"/>
      <c r="X80" s="31"/>
      <c r="Y80" s="31"/>
      <c r="Z80" s="31"/>
      <c r="AA80" s="31"/>
      <c r="AB80" s="32"/>
      <c r="AC80" s="1"/>
      <c r="AD80" s="1"/>
      <c r="AE80" s="1"/>
      <c r="AF80" s="1"/>
      <c r="AG80" s="1"/>
      <c r="AH80" s="1"/>
      <c r="AI80" s="1"/>
      <c r="AJ80" s="1"/>
      <c r="AK80" s="1"/>
      <c r="AL80" s="1"/>
      <c r="AM80" s="1"/>
      <c r="AN80" s="1"/>
      <c r="AO80" s="1"/>
      <c r="AP80" s="1"/>
      <c r="AQ80" s="1"/>
    </row>
    <row r="81" spans="1:43" ht="14.45">
      <c r="A81" s="1"/>
      <c r="B81" s="1"/>
      <c r="C81" s="1"/>
      <c r="D81" s="1"/>
      <c r="E81" s="1"/>
      <c r="F81" s="1"/>
      <c r="G81" s="1"/>
      <c r="H81" s="1"/>
      <c r="I81" s="1"/>
      <c r="J81" s="1"/>
      <c r="K81" s="1"/>
      <c r="L81" s="1"/>
      <c r="M81" s="1"/>
      <c r="N81" s="1"/>
      <c r="O81" s="1"/>
      <c r="P81" s="30"/>
      <c r="Q81" s="31"/>
      <c r="R81" s="31"/>
      <c r="S81" s="31"/>
      <c r="T81" s="31"/>
      <c r="U81" s="31"/>
      <c r="V81" s="31"/>
      <c r="W81" s="31"/>
      <c r="X81" s="31"/>
      <c r="Y81" s="31"/>
      <c r="Z81" s="31"/>
      <c r="AA81" s="31"/>
      <c r="AB81" s="32"/>
      <c r="AC81" s="1"/>
      <c r="AD81" s="1"/>
      <c r="AE81" s="1"/>
      <c r="AF81" s="1"/>
      <c r="AG81" s="1"/>
      <c r="AH81" s="1"/>
      <c r="AI81" s="1"/>
      <c r="AJ81" s="1"/>
      <c r="AK81" s="1"/>
      <c r="AL81" s="1"/>
      <c r="AM81" s="1"/>
      <c r="AN81" s="1"/>
      <c r="AO81" s="1"/>
      <c r="AP81" s="1"/>
      <c r="AQ81" s="1"/>
    </row>
    <row r="82" spans="1:43" ht="14.45">
      <c r="A82" s="1"/>
      <c r="B82" s="1"/>
      <c r="C82" s="1"/>
      <c r="D82" s="1"/>
      <c r="E82" s="1"/>
      <c r="F82" s="1"/>
      <c r="G82" s="1"/>
      <c r="H82" s="1"/>
      <c r="I82" s="1"/>
      <c r="J82" s="1"/>
      <c r="K82" s="1"/>
      <c r="L82" s="1"/>
      <c r="M82" s="1"/>
      <c r="N82" s="1"/>
      <c r="O82" s="1"/>
      <c r="P82" s="30"/>
      <c r="Q82" s="31"/>
      <c r="R82" s="386" t="s">
        <v>266</v>
      </c>
      <c r="S82" s="386"/>
      <c r="T82" s="386"/>
      <c r="U82" s="386"/>
      <c r="V82" s="386"/>
      <c r="W82" s="386"/>
      <c r="X82" s="386"/>
      <c r="Y82" s="110"/>
      <c r="Z82" s="110"/>
      <c r="AA82" s="31"/>
      <c r="AB82" s="32"/>
      <c r="AC82" s="1"/>
      <c r="AD82" s="1"/>
      <c r="AE82" s="1"/>
      <c r="AF82" s="1"/>
      <c r="AG82" s="1"/>
      <c r="AH82" s="1"/>
      <c r="AI82" s="1"/>
      <c r="AJ82" s="1"/>
      <c r="AK82" s="1"/>
      <c r="AL82" s="1"/>
      <c r="AM82" s="1"/>
      <c r="AN82" s="1"/>
      <c r="AO82" s="1"/>
      <c r="AP82" s="1"/>
      <c r="AQ82" s="1"/>
    </row>
    <row r="83" spans="1:43" ht="14.45">
      <c r="A83" s="1"/>
      <c r="B83" s="1"/>
      <c r="C83" s="1"/>
      <c r="D83" s="1"/>
      <c r="E83" s="1"/>
      <c r="F83" s="1"/>
      <c r="G83" s="1"/>
      <c r="H83" s="1"/>
      <c r="I83" s="1"/>
      <c r="J83" s="1"/>
      <c r="K83" s="1"/>
      <c r="L83" s="1"/>
      <c r="M83" s="1"/>
      <c r="N83" s="1"/>
      <c r="O83" s="1"/>
      <c r="P83" s="30"/>
      <c r="Q83" s="31"/>
      <c r="R83" s="388" t="s">
        <v>267</v>
      </c>
      <c r="S83" s="388"/>
      <c r="T83" s="388"/>
      <c r="U83" s="389"/>
      <c r="V83" s="390">
        <f>'MTU hardware'!B39</f>
        <v>0</v>
      </c>
      <c r="W83" s="390"/>
      <c r="X83" s="390"/>
      <c r="Y83" s="31" t="s">
        <v>25</v>
      </c>
      <c r="Z83" s="31"/>
      <c r="AA83" s="31"/>
      <c r="AB83" s="32"/>
      <c r="AC83" s="1"/>
      <c r="AD83" s="1"/>
      <c r="AE83" s="1"/>
      <c r="AF83" s="1"/>
      <c r="AG83" s="1"/>
      <c r="AH83" s="1"/>
      <c r="AI83" s="1"/>
      <c r="AJ83" s="1"/>
      <c r="AK83" s="1"/>
      <c r="AL83" s="1"/>
      <c r="AM83" s="1"/>
      <c r="AN83" s="1"/>
      <c r="AO83" s="1"/>
      <c r="AP83" s="1"/>
      <c r="AQ83" s="1"/>
    </row>
    <row r="84" spans="1:43" ht="14.45">
      <c r="A84" s="1"/>
      <c r="B84" s="1"/>
      <c r="C84" s="1"/>
      <c r="D84" s="1"/>
      <c r="E84" s="1"/>
      <c r="F84" s="1"/>
      <c r="G84" s="1"/>
      <c r="H84" s="1"/>
      <c r="I84" s="1"/>
      <c r="J84" s="1"/>
      <c r="K84" s="1"/>
      <c r="L84" s="1"/>
      <c r="M84" s="1"/>
      <c r="N84" s="1"/>
      <c r="O84" s="1"/>
      <c r="P84" s="30"/>
      <c r="Q84" s="31"/>
      <c r="R84" s="388" t="s">
        <v>268</v>
      </c>
      <c r="S84" s="388"/>
      <c r="T84" s="388"/>
      <c r="U84" s="389"/>
      <c r="V84" s="393">
        <f>'MTU hardware'!C40</f>
        <v>0</v>
      </c>
      <c r="W84" s="393"/>
      <c r="X84" s="393"/>
      <c r="Y84" s="31" t="s">
        <v>25</v>
      </c>
      <c r="Z84" s="31"/>
      <c r="AA84" s="31"/>
      <c r="AB84" s="32"/>
      <c r="AC84" s="1"/>
      <c r="AD84" s="1"/>
      <c r="AE84" s="1"/>
      <c r="AF84" s="1"/>
      <c r="AG84" s="1"/>
      <c r="AH84" s="1"/>
      <c r="AI84" s="1"/>
      <c r="AJ84" s="1"/>
      <c r="AK84" s="1"/>
      <c r="AL84" s="1"/>
      <c r="AM84" s="1"/>
      <c r="AN84" s="1"/>
      <c r="AO84" s="1"/>
      <c r="AP84" s="1"/>
      <c r="AQ84" s="1"/>
    </row>
    <row r="85" spans="1:43" ht="14.45">
      <c r="A85" s="1"/>
      <c r="B85" s="1"/>
      <c r="C85" s="1"/>
      <c r="D85" s="1"/>
      <c r="E85" s="1"/>
      <c r="F85" s="1"/>
      <c r="G85" s="1"/>
      <c r="H85" s="1"/>
      <c r="I85" s="1"/>
      <c r="J85" s="1"/>
      <c r="K85" s="1"/>
      <c r="L85" s="1"/>
      <c r="M85" s="1"/>
      <c r="N85" s="1"/>
      <c r="O85" s="1"/>
      <c r="P85" s="30"/>
      <c r="Q85" s="31"/>
      <c r="R85" s="31"/>
      <c r="S85" s="31"/>
      <c r="T85" s="31"/>
      <c r="U85" s="31"/>
      <c r="V85" s="31"/>
      <c r="W85" s="31"/>
      <c r="X85" s="31"/>
      <c r="Y85" s="31"/>
      <c r="Z85" s="31"/>
      <c r="AA85" s="31"/>
      <c r="AB85" s="32"/>
      <c r="AC85" s="1"/>
      <c r="AD85" s="1"/>
      <c r="AE85" s="1"/>
      <c r="AF85" s="1"/>
      <c r="AG85" s="1"/>
      <c r="AH85" s="1"/>
      <c r="AI85" s="1"/>
      <c r="AJ85" s="1"/>
      <c r="AK85" s="1"/>
      <c r="AL85" s="1"/>
      <c r="AM85" s="1"/>
      <c r="AN85" s="1"/>
      <c r="AO85" s="1"/>
      <c r="AP85" s="1"/>
      <c r="AQ85" s="1"/>
    </row>
    <row r="86" spans="1:43" ht="14.45">
      <c r="A86" s="1"/>
      <c r="B86" s="1"/>
      <c r="C86" s="1"/>
      <c r="D86" s="1"/>
      <c r="E86" s="1"/>
      <c r="F86" s="1"/>
      <c r="G86" s="1"/>
      <c r="H86" s="1"/>
      <c r="I86" s="1"/>
      <c r="J86" s="1"/>
      <c r="K86" s="1"/>
      <c r="L86" s="1"/>
      <c r="M86" s="1"/>
      <c r="N86" s="1"/>
      <c r="O86" s="1"/>
      <c r="P86" s="30"/>
      <c r="Q86" s="31"/>
      <c r="R86" s="31"/>
      <c r="S86" s="31"/>
      <c r="T86" s="386" t="s">
        <v>269</v>
      </c>
      <c r="U86" s="386"/>
      <c r="V86" s="386"/>
      <c r="W86" s="386"/>
      <c r="X86" s="110"/>
      <c r="Y86" s="31"/>
      <c r="Z86" s="31"/>
      <c r="AA86" s="45"/>
      <c r="AB86" s="32"/>
      <c r="AC86" s="1"/>
      <c r="AD86" s="1"/>
      <c r="AE86" s="1"/>
      <c r="AF86" s="1"/>
      <c r="AG86" s="1"/>
      <c r="AH86" s="1"/>
      <c r="AI86" s="1"/>
      <c r="AJ86" s="1"/>
      <c r="AK86" s="1"/>
      <c r="AL86" s="1"/>
      <c r="AM86" s="1"/>
      <c r="AN86" s="1"/>
      <c r="AO86" s="1"/>
      <c r="AP86" s="1"/>
      <c r="AQ86" s="1"/>
    </row>
    <row r="87" spans="1:43" ht="14.45">
      <c r="A87" s="1"/>
      <c r="B87" s="1"/>
      <c r="C87" s="1"/>
      <c r="D87" s="1"/>
      <c r="E87" s="1"/>
      <c r="F87" s="1"/>
      <c r="G87" s="1"/>
      <c r="H87" s="1"/>
      <c r="I87" s="1"/>
      <c r="J87" s="1"/>
      <c r="K87" s="1"/>
      <c r="L87" s="1"/>
      <c r="M87" s="1"/>
      <c r="N87" s="1"/>
      <c r="O87" s="1"/>
      <c r="P87" s="30"/>
      <c r="Q87" s="31"/>
      <c r="R87" s="31"/>
      <c r="S87" s="31"/>
      <c r="T87" s="388" t="s">
        <v>270</v>
      </c>
      <c r="U87" s="389"/>
      <c r="V87" s="391">
        <f>T79+SUM(V83:X84)+Y74</f>
        <v>0.74499999999999988</v>
      </c>
      <c r="W87" s="391"/>
      <c r="X87" s="31" t="s">
        <v>25</v>
      </c>
      <c r="Y87" s="31"/>
      <c r="Z87" s="31"/>
      <c r="AA87" s="31"/>
      <c r="AB87" s="32"/>
      <c r="AC87" s="1"/>
      <c r="AD87" s="1"/>
      <c r="AE87" s="1"/>
      <c r="AF87" s="1"/>
      <c r="AG87" s="1"/>
      <c r="AH87" s="1"/>
      <c r="AI87" s="1"/>
      <c r="AJ87" s="1"/>
      <c r="AK87" s="1"/>
      <c r="AL87" s="1"/>
      <c r="AM87" s="1"/>
      <c r="AN87" s="1"/>
      <c r="AO87" s="1"/>
      <c r="AP87" s="1"/>
      <c r="AQ87" s="1"/>
    </row>
    <row r="88" spans="1:43" ht="14.45">
      <c r="A88" s="1"/>
      <c r="B88" s="1"/>
      <c r="C88" s="1"/>
      <c r="D88" s="1"/>
      <c r="E88" s="1"/>
      <c r="F88" s="1"/>
      <c r="G88" s="1"/>
      <c r="H88" s="1"/>
      <c r="I88" s="1"/>
      <c r="J88" s="1"/>
      <c r="K88" s="1"/>
      <c r="L88" s="1"/>
      <c r="M88" s="1"/>
      <c r="N88" s="1"/>
      <c r="O88" s="1"/>
      <c r="P88" s="30"/>
      <c r="Q88" s="31"/>
      <c r="R88" s="31"/>
      <c r="S88" s="31"/>
      <c r="T88" s="388" t="s">
        <v>271</v>
      </c>
      <c r="U88" s="389"/>
      <c r="V88" s="391">
        <f>T75-V87</f>
        <v>-14.746169279263121</v>
      </c>
      <c r="W88" s="392"/>
      <c r="X88" s="31" t="s">
        <v>263</v>
      </c>
      <c r="Y88" s="31"/>
      <c r="Z88" s="31"/>
      <c r="AA88" s="31"/>
      <c r="AB88" s="32"/>
      <c r="AC88" s="1"/>
      <c r="AD88" s="1"/>
      <c r="AE88" s="1"/>
      <c r="AF88" s="1"/>
      <c r="AG88" s="1"/>
      <c r="AH88" s="1"/>
      <c r="AI88" s="1"/>
      <c r="AJ88" s="1"/>
      <c r="AK88" s="1"/>
      <c r="AL88" s="1"/>
      <c r="AM88" s="1"/>
      <c r="AN88" s="1"/>
      <c r="AO88" s="1"/>
      <c r="AP88" s="1"/>
      <c r="AQ88" s="1"/>
    </row>
    <row r="89" spans="1:43" ht="14.45">
      <c r="A89" s="1"/>
      <c r="B89" s="1"/>
      <c r="C89" s="1"/>
      <c r="D89" s="1"/>
      <c r="E89" s="1"/>
      <c r="F89" s="1"/>
      <c r="G89" s="1"/>
      <c r="H89" s="1"/>
      <c r="I89" s="1"/>
      <c r="J89" s="1"/>
      <c r="K89" s="1"/>
      <c r="L89" s="1"/>
      <c r="M89" s="1"/>
      <c r="N89" s="1"/>
      <c r="O89" s="1"/>
      <c r="P89" s="30"/>
      <c r="Q89" s="31"/>
      <c r="R89" s="31"/>
      <c r="S89" s="31"/>
      <c r="T89" s="31"/>
      <c r="U89" s="31"/>
      <c r="V89" s="31"/>
      <c r="W89" s="31"/>
      <c r="X89" s="31"/>
      <c r="Y89" s="31"/>
      <c r="Z89" s="31"/>
      <c r="AA89" s="31"/>
      <c r="AB89" s="32"/>
      <c r="AC89" s="1"/>
      <c r="AD89" s="1"/>
      <c r="AE89" s="1"/>
      <c r="AF89" s="1"/>
      <c r="AG89" s="1"/>
      <c r="AH89" s="1"/>
      <c r="AI89" s="1"/>
      <c r="AJ89" s="1"/>
      <c r="AK89" s="1"/>
      <c r="AL89" s="1"/>
      <c r="AM89" s="1"/>
      <c r="AN89" s="1"/>
      <c r="AO89" s="1"/>
      <c r="AP89" s="1"/>
      <c r="AQ89" s="1"/>
    </row>
    <row r="90" spans="1:43" ht="15" thickBot="1">
      <c r="A90" s="1"/>
      <c r="B90" s="1"/>
      <c r="C90" s="1"/>
      <c r="D90" s="1"/>
      <c r="E90" s="1"/>
      <c r="F90" s="1"/>
      <c r="G90" s="1"/>
      <c r="H90" s="1"/>
      <c r="I90" s="1"/>
      <c r="J90" s="1"/>
      <c r="K90" s="1"/>
      <c r="L90" s="1"/>
      <c r="M90" s="1"/>
      <c r="N90" s="1"/>
      <c r="O90" s="1"/>
      <c r="P90" s="33"/>
      <c r="Q90" s="34"/>
      <c r="R90" s="34"/>
      <c r="S90" s="34"/>
      <c r="T90" s="34"/>
      <c r="U90" s="34"/>
      <c r="V90" s="34"/>
      <c r="W90" s="34"/>
      <c r="X90" s="34"/>
      <c r="Y90" s="34"/>
      <c r="Z90" s="34"/>
      <c r="AA90" s="34"/>
      <c r="AB90" s="35"/>
      <c r="AC90" s="1"/>
      <c r="AD90" s="1"/>
      <c r="AE90" s="1"/>
      <c r="AF90" s="1"/>
      <c r="AG90" s="1"/>
      <c r="AH90" s="1"/>
      <c r="AI90" s="1"/>
      <c r="AJ90" s="1"/>
      <c r="AK90" s="1"/>
      <c r="AL90" s="1"/>
      <c r="AM90" s="1"/>
      <c r="AN90" s="1"/>
      <c r="AO90" s="1"/>
      <c r="AP90" s="1"/>
      <c r="AQ90" s="1"/>
    </row>
    <row r="91" spans="1:43" ht="14.45">
      <c r="A91" s="1"/>
      <c r="B91" s="1"/>
      <c r="C91" s="1"/>
      <c r="D91" s="1"/>
      <c r="E91" s="1"/>
      <c r="F91" s="1"/>
      <c r="G91" s="1"/>
      <c r="H91" s="1"/>
      <c r="I91" s="1"/>
      <c r="J91" s="1"/>
      <c r="K91" s="1"/>
      <c r="L91" s="1"/>
      <c r="M91" s="1"/>
      <c r="N91" s="1"/>
      <c r="O91" s="1"/>
      <c r="P91" s="204"/>
      <c r="Q91" s="204"/>
      <c r="R91" s="204"/>
      <c r="S91" s="204"/>
      <c r="T91" s="204"/>
      <c r="U91" s="204"/>
      <c r="V91" s="204"/>
      <c r="W91" s="204"/>
      <c r="X91" s="204"/>
      <c r="Y91" s="204"/>
      <c r="Z91" s="204"/>
      <c r="AA91" s="204"/>
      <c r="AB91" s="204"/>
      <c r="AC91" s="1"/>
      <c r="AD91" s="1"/>
      <c r="AE91" s="1"/>
      <c r="AF91" s="1"/>
      <c r="AG91" s="1"/>
      <c r="AH91" s="1"/>
      <c r="AI91" s="1"/>
      <c r="AJ91" s="1"/>
      <c r="AK91" s="1"/>
      <c r="AL91" s="1"/>
      <c r="AM91" s="1"/>
      <c r="AN91" s="1"/>
      <c r="AO91" s="1"/>
      <c r="AP91" s="1"/>
      <c r="AQ91" s="1"/>
    </row>
    <row r="92" spans="1:43" ht="14.45">
      <c r="A92" s="1"/>
      <c r="B92" s="1"/>
      <c r="C92" s="1"/>
      <c r="D92" s="1"/>
      <c r="E92" s="1"/>
      <c r="F92" s="1"/>
      <c r="G92" s="1"/>
      <c r="H92" s="1"/>
      <c r="I92" s="1"/>
      <c r="J92" s="1"/>
      <c r="K92" s="1"/>
      <c r="L92" s="1"/>
      <c r="M92" s="1"/>
      <c r="N92" s="1"/>
      <c r="O92" s="1"/>
      <c r="P92" s="204"/>
      <c r="Q92" s="204"/>
      <c r="R92" s="204"/>
      <c r="S92" s="204"/>
      <c r="T92" s="204"/>
      <c r="U92" s="204"/>
      <c r="V92" s="204"/>
      <c r="W92" s="204"/>
      <c r="X92" s="204"/>
      <c r="Y92" s="204"/>
      <c r="Z92" s="204"/>
      <c r="AA92" s="204"/>
      <c r="AB92" s="204"/>
      <c r="AC92" s="1"/>
      <c r="AD92" s="1"/>
      <c r="AE92" s="1"/>
      <c r="AF92" s="1"/>
      <c r="AG92" s="1"/>
      <c r="AH92" s="1"/>
      <c r="AI92" s="1"/>
      <c r="AJ92" s="1"/>
      <c r="AK92" s="1"/>
      <c r="AL92" s="1"/>
      <c r="AM92" s="1"/>
      <c r="AN92" s="1"/>
      <c r="AO92" s="1"/>
      <c r="AP92" s="1"/>
      <c r="AQ92" s="1"/>
    </row>
    <row r="93" spans="1:43" ht="14.45">
      <c r="A93" s="1"/>
      <c r="B93" s="1"/>
      <c r="C93" s="1"/>
      <c r="D93" s="1"/>
      <c r="E93" s="1"/>
      <c r="F93" s="1"/>
      <c r="G93" s="1"/>
      <c r="H93" s="1"/>
      <c r="I93" s="1"/>
      <c r="J93" s="1"/>
      <c r="K93" s="1"/>
      <c r="L93" s="1"/>
      <c r="M93" s="1"/>
      <c r="N93" s="1"/>
      <c r="O93" s="1"/>
      <c r="P93" s="204"/>
      <c r="Q93" s="204"/>
      <c r="R93" s="204"/>
      <c r="S93" s="204"/>
      <c r="T93" s="204"/>
      <c r="U93" s="204"/>
      <c r="V93" s="204"/>
      <c r="W93" s="204"/>
      <c r="X93" s="204"/>
      <c r="Y93" s="204"/>
      <c r="Z93" s="204"/>
      <c r="AA93" s="204"/>
      <c r="AB93" s="204"/>
      <c r="AC93" s="1"/>
      <c r="AD93" s="1"/>
      <c r="AE93" s="1"/>
      <c r="AF93" s="1"/>
      <c r="AG93" s="1"/>
      <c r="AH93" s="1"/>
      <c r="AI93" s="1"/>
      <c r="AJ93" s="1"/>
      <c r="AK93" s="1"/>
      <c r="AL93" s="1"/>
      <c r="AM93" s="1"/>
      <c r="AN93" s="1"/>
      <c r="AO93" s="1"/>
      <c r="AP93" s="1"/>
      <c r="AQ93" s="1"/>
    </row>
    <row r="94" spans="1:43" ht="14.45">
      <c r="A94" s="1"/>
      <c r="B94" s="1"/>
      <c r="C94" s="1"/>
      <c r="D94" s="1"/>
      <c r="E94" s="1"/>
      <c r="F94" s="1"/>
      <c r="G94" s="1"/>
      <c r="H94" s="1"/>
      <c r="I94" s="1"/>
      <c r="J94" s="1"/>
      <c r="K94" s="1"/>
      <c r="L94" s="1"/>
      <c r="M94" s="1"/>
      <c r="N94" s="1"/>
      <c r="O94" s="1"/>
      <c r="P94" s="204"/>
      <c r="Q94" s="204"/>
      <c r="R94" s="204"/>
      <c r="S94" s="204"/>
      <c r="T94" s="204"/>
      <c r="U94" s="204"/>
      <c r="V94" s="204"/>
      <c r="W94" s="204"/>
      <c r="X94" s="204"/>
      <c r="Y94" s="204"/>
      <c r="Z94" s="204"/>
      <c r="AA94" s="204"/>
      <c r="AB94" s="204"/>
      <c r="AC94" s="1"/>
      <c r="AD94" s="1"/>
      <c r="AE94" s="1"/>
      <c r="AF94" s="1"/>
      <c r="AG94" s="1"/>
      <c r="AH94" s="1"/>
      <c r="AI94" s="1"/>
      <c r="AJ94" s="1"/>
      <c r="AK94" s="1"/>
      <c r="AL94" s="1"/>
      <c r="AM94" s="1"/>
      <c r="AN94" s="1"/>
      <c r="AO94" s="1"/>
      <c r="AP94" s="1"/>
      <c r="AQ94" s="1"/>
    </row>
    <row r="95" spans="1:43" ht="14.45">
      <c r="A95" s="1"/>
      <c r="B95" s="1"/>
      <c r="C95" s="1"/>
      <c r="D95" s="1"/>
      <c r="E95" s="1"/>
      <c r="F95" s="1"/>
      <c r="G95" s="1"/>
      <c r="H95" s="1"/>
      <c r="I95" s="1"/>
      <c r="J95" s="1"/>
      <c r="K95" s="1"/>
      <c r="L95" s="1"/>
      <c r="M95" s="1"/>
      <c r="N95" s="1"/>
      <c r="O95" s="1"/>
      <c r="P95" s="204"/>
      <c r="Q95" s="204"/>
      <c r="R95" s="204"/>
      <c r="S95" s="204"/>
      <c r="T95" s="204"/>
      <c r="U95" s="204"/>
      <c r="V95" s="204"/>
      <c r="W95" s="204"/>
      <c r="X95" s="204"/>
      <c r="Y95" s="204"/>
      <c r="Z95" s="204"/>
      <c r="AA95" s="204"/>
      <c r="AB95" s="204"/>
      <c r="AC95" s="1"/>
      <c r="AD95" s="1"/>
      <c r="AE95" s="1"/>
      <c r="AF95" s="1"/>
      <c r="AG95" s="1"/>
      <c r="AH95" s="1"/>
      <c r="AI95" s="1"/>
      <c r="AJ95" s="1"/>
      <c r="AK95" s="1"/>
      <c r="AL95" s="1"/>
      <c r="AM95" s="1"/>
      <c r="AN95" s="1"/>
      <c r="AO95" s="1"/>
      <c r="AP95" s="1"/>
      <c r="AQ95" s="1"/>
    </row>
    <row r="96" spans="1:43" ht="14.45">
      <c r="A96" s="1"/>
      <c r="B96" s="1"/>
      <c r="C96" s="1"/>
      <c r="D96" s="1"/>
      <c r="E96" s="1"/>
      <c r="F96" s="1"/>
      <c r="G96" s="1"/>
      <c r="H96" s="1"/>
      <c r="I96" s="1"/>
      <c r="J96" s="1"/>
      <c r="K96" s="1"/>
      <c r="L96" s="1"/>
      <c r="M96" s="1"/>
      <c r="N96" s="1"/>
      <c r="O96" s="1"/>
      <c r="P96" s="204"/>
      <c r="Q96" s="204"/>
      <c r="R96" s="204"/>
      <c r="S96" s="204"/>
      <c r="T96" s="204"/>
      <c r="U96" s="204"/>
      <c r="V96" s="204"/>
      <c r="W96" s="204"/>
      <c r="X96" s="204"/>
      <c r="Y96" s="204"/>
      <c r="Z96" s="204"/>
      <c r="AA96" s="204"/>
      <c r="AB96" s="204"/>
      <c r="AC96" s="1"/>
      <c r="AD96" s="1"/>
      <c r="AE96" s="1"/>
      <c r="AF96" s="1"/>
      <c r="AG96" s="1"/>
      <c r="AH96" s="1"/>
      <c r="AI96" s="1"/>
      <c r="AJ96" s="1"/>
      <c r="AK96" s="1"/>
      <c r="AL96" s="1"/>
      <c r="AM96" s="1"/>
      <c r="AN96" s="1"/>
      <c r="AO96" s="1"/>
      <c r="AP96" s="1"/>
      <c r="AQ96" s="1"/>
    </row>
    <row r="97" spans="1:43" ht="14.45">
      <c r="A97" s="1"/>
      <c r="B97" s="1"/>
      <c r="C97" s="1"/>
      <c r="D97" s="1"/>
      <c r="E97" s="1"/>
      <c r="F97" s="1"/>
      <c r="G97" s="1"/>
      <c r="H97" s="1"/>
      <c r="I97" s="1"/>
      <c r="J97" s="1"/>
      <c r="K97" s="1"/>
      <c r="L97" s="1"/>
      <c r="M97" s="1"/>
      <c r="N97" s="1"/>
      <c r="O97" s="1"/>
      <c r="P97" s="204"/>
      <c r="Q97" s="204"/>
      <c r="R97" s="204"/>
      <c r="S97" s="204"/>
      <c r="T97" s="204"/>
      <c r="U97" s="204"/>
      <c r="V97" s="204"/>
      <c r="W97" s="204"/>
      <c r="X97" s="204"/>
      <c r="Y97" s="204"/>
      <c r="Z97" s="204"/>
      <c r="AA97" s="204"/>
      <c r="AB97" s="204"/>
      <c r="AC97" s="1"/>
      <c r="AD97" s="1"/>
      <c r="AE97" s="1"/>
      <c r="AF97" s="1"/>
      <c r="AG97" s="1"/>
      <c r="AH97" s="1"/>
      <c r="AI97" s="1"/>
      <c r="AJ97" s="1"/>
      <c r="AK97" s="1"/>
      <c r="AL97" s="1"/>
      <c r="AM97" s="1"/>
      <c r="AN97" s="1"/>
      <c r="AO97" s="1"/>
      <c r="AP97" s="1"/>
      <c r="AQ97" s="1"/>
    </row>
    <row r="98" spans="1:43" ht="14.45">
      <c r="A98" s="1"/>
      <c r="B98" s="1"/>
      <c r="C98" s="1"/>
      <c r="D98" s="1"/>
      <c r="E98" s="1"/>
      <c r="F98" s="1"/>
      <c r="G98" s="1"/>
      <c r="H98" s="1"/>
      <c r="I98" s="1"/>
      <c r="J98" s="1"/>
      <c r="K98" s="1"/>
      <c r="L98" s="1"/>
      <c r="M98" s="1"/>
      <c r="N98" s="1"/>
      <c r="O98" s="1"/>
      <c r="P98" s="204"/>
      <c r="Q98" s="204"/>
      <c r="R98" s="204"/>
      <c r="S98" s="204"/>
      <c r="T98" s="204"/>
      <c r="U98" s="204"/>
      <c r="V98" s="204"/>
      <c r="W98" s="204"/>
      <c r="X98" s="204"/>
      <c r="Y98" s="204"/>
      <c r="Z98" s="204"/>
      <c r="AA98" s="204"/>
      <c r="AB98" s="204"/>
      <c r="AC98" s="1"/>
      <c r="AD98" s="1"/>
      <c r="AE98" s="1"/>
      <c r="AF98" s="1"/>
      <c r="AG98" s="1"/>
      <c r="AH98" s="1"/>
      <c r="AI98" s="1"/>
      <c r="AJ98" s="1"/>
      <c r="AK98" s="1"/>
      <c r="AL98" s="1"/>
      <c r="AM98" s="1"/>
      <c r="AN98" s="1"/>
      <c r="AO98" s="1"/>
      <c r="AP98" s="1"/>
      <c r="AQ98" s="1"/>
    </row>
    <row r="99" spans="1:43" ht="14.45">
      <c r="A99" s="1"/>
      <c r="B99" s="1"/>
      <c r="C99" s="1"/>
      <c r="D99" s="1"/>
      <c r="E99" s="1"/>
      <c r="F99" s="1"/>
      <c r="G99" s="1"/>
      <c r="H99" s="1"/>
      <c r="I99" s="1"/>
      <c r="J99" s="1"/>
      <c r="K99" s="1"/>
      <c r="L99" s="1"/>
      <c r="M99" s="1"/>
      <c r="N99" s="1"/>
      <c r="O99" s="1"/>
      <c r="P99" s="204"/>
      <c r="Q99" s="204"/>
      <c r="R99" s="204"/>
      <c r="S99" s="204"/>
      <c r="T99" s="204"/>
      <c r="U99" s="204"/>
      <c r="V99" s="204"/>
      <c r="W99" s="204"/>
      <c r="X99" s="204"/>
      <c r="Y99" s="204"/>
      <c r="Z99" s="204"/>
      <c r="AA99" s="204"/>
      <c r="AB99" s="204"/>
      <c r="AC99" s="1"/>
      <c r="AD99" s="1"/>
      <c r="AE99" s="1"/>
      <c r="AF99" s="1"/>
      <c r="AG99" s="1"/>
      <c r="AH99" s="1"/>
      <c r="AI99" s="1"/>
      <c r="AJ99" s="1"/>
      <c r="AK99" s="1"/>
      <c r="AL99" s="1"/>
      <c r="AM99" s="1"/>
      <c r="AN99" s="1"/>
      <c r="AO99" s="1"/>
      <c r="AP99" s="1"/>
      <c r="AQ99" s="1"/>
    </row>
    <row r="100" spans="1:43" ht="14.45">
      <c r="A100" s="1"/>
      <c r="B100" s="1"/>
      <c r="C100" s="1"/>
      <c r="D100" s="1"/>
      <c r="E100" s="1"/>
      <c r="F100" s="1"/>
      <c r="G100" s="1"/>
      <c r="H100" s="1"/>
      <c r="I100" s="1"/>
      <c r="J100" s="1"/>
      <c r="K100" s="1"/>
      <c r="L100" s="1"/>
      <c r="M100" s="1"/>
      <c r="N100" s="1"/>
      <c r="O100" s="1"/>
      <c r="P100" s="204"/>
      <c r="Q100" s="204"/>
      <c r="R100" s="204"/>
      <c r="S100" s="204"/>
      <c r="T100" s="204"/>
      <c r="U100" s="204"/>
      <c r="V100" s="204"/>
      <c r="W100" s="204"/>
      <c r="X100" s="204"/>
      <c r="Y100" s="204"/>
      <c r="Z100" s="204"/>
      <c r="AA100" s="204"/>
      <c r="AB100" s="204"/>
      <c r="AC100" s="1"/>
      <c r="AD100" s="1"/>
      <c r="AE100" s="1"/>
      <c r="AF100" s="1"/>
      <c r="AG100" s="1"/>
      <c r="AH100" s="1"/>
      <c r="AI100" s="1"/>
      <c r="AJ100" s="1"/>
      <c r="AK100" s="1"/>
      <c r="AL100" s="1"/>
      <c r="AM100" s="1"/>
      <c r="AN100" s="1"/>
      <c r="AO100" s="1"/>
      <c r="AP100" s="1"/>
      <c r="AQ100" s="1"/>
    </row>
    <row r="101" spans="1:43" ht="14.45">
      <c r="A101" s="1"/>
      <c r="B101" s="1"/>
      <c r="C101" s="1"/>
      <c r="D101" s="1"/>
      <c r="E101" s="1"/>
      <c r="F101" s="1"/>
      <c r="G101" s="1"/>
      <c r="H101" s="1"/>
      <c r="I101" s="1"/>
      <c r="J101" s="1"/>
      <c r="K101" s="1"/>
      <c r="L101" s="1"/>
      <c r="M101" s="1"/>
      <c r="N101" s="1"/>
      <c r="O101" s="1"/>
      <c r="P101" s="204"/>
      <c r="Q101" s="204"/>
      <c r="R101" s="204"/>
      <c r="S101" s="204"/>
      <c r="T101" s="204"/>
      <c r="U101" s="204"/>
      <c r="V101" s="204"/>
      <c r="W101" s="204"/>
      <c r="X101" s="204"/>
      <c r="Y101" s="204"/>
      <c r="Z101" s="204"/>
      <c r="AA101" s="204"/>
      <c r="AB101" s="204"/>
      <c r="AC101" s="1"/>
      <c r="AD101" s="1"/>
      <c r="AE101" s="1"/>
      <c r="AF101" s="1"/>
      <c r="AG101" s="1"/>
      <c r="AH101" s="1"/>
      <c r="AI101" s="1"/>
      <c r="AJ101" s="1"/>
      <c r="AK101" s="1"/>
      <c r="AL101" s="1"/>
      <c r="AM101" s="1"/>
      <c r="AN101" s="1"/>
      <c r="AO101" s="1"/>
      <c r="AP101" s="1"/>
      <c r="AQ101" s="1"/>
    </row>
    <row r="102" spans="1:43" ht="14.45">
      <c r="A102" s="1"/>
      <c r="B102" s="1"/>
      <c r="C102" s="1"/>
      <c r="D102" s="1"/>
      <c r="E102" s="1"/>
      <c r="F102" s="1"/>
      <c r="G102" s="1"/>
      <c r="H102" s="1"/>
      <c r="I102" s="1"/>
      <c r="J102" s="1"/>
      <c r="K102" s="1"/>
      <c r="L102" s="1"/>
      <c r="M102" s="1"/>
      <c r="N102" s="1"/>
      <c r="O102" s="1"/>
      <c r="P102" s="204"/>
      <c r="Q102" s="204"/>
      <c r="R102" s="204"/>
      <c r="S102" s="204"/>
      <c r="T102" s="204"/>
      <c r="U102" s="204"/>
      <c r="V102" s="204"/>
      <c r="W102" s="204"/>
      <c r="X102" s="204"/>
      <c r="Y102" s="204"/>
      <c r="Z102" s="204"/>
      <c r="AA102" s="204"/>
      <c r="AB102" s="204"/>
      <c r="AC102" s="1"/>
      <c r="AD102" s="1"/>
      <c r="AE102" s="1"/>
      <c r="AF102" s="1"/>
      <c r="AG102" s="1"/>
      <c r="AH102" s="1"/>
      <c r="AI102" s="1"/>
      <c r="AJ102" s="1"/>
      <c r="AK102" s="1"/>
      <c r="AL102" s="1"/>
      <c r="AM102" s="1"/>
      <c r="AN102" s="1"/>
      <c r="AO102" s="1"/>
      <c r="AP102" s="1"/>
      <c r="AQ102" s="1"/>
    </row>
    <row r="103" spans="1:43" ht="14.45">
      <c r="A103" s="1"/>
      <c r="B103" s="1"/>
      <c r="C103" s="1"/>
      <c r="D103" s="1"/>
      <c r="E103" s="1"/>
      <c r="F103" s="1"/>
      <c r="G103" s="1"/>
      <c r="H103" s="1"/>
      <c r="I103" s="1"/>
      <c r="J103" s="1"/>
      <c r="K103" s="1"/>
      <c r="L103" s="1"/>
      <c r="M103" s="1"/>
      <c r="N103" s="1"/>
      <c r="O103" s="1"/>
      <c r="P103" s="204"/>
      <c r="Q103" s="204"/>
      <c r="R103" s="204"/>
      <c r="S103" s="204"/>
      <c r="T103" s="204"/>
      <c r="U103" s="204"/>
      <c r="V103" s="204"/>
      <c r="W103" s="204"/>
      <c r="X103" s="204"/>
      <c r="Y103" s="204"/>
      <c r="Z103" s="204"/>
      <c r="AA103" s="204"/>
      <c r="AB103" s="204"/>
      <c r="AC103" s="1"/>
      <c r="AD103" s="1"/>
      <c r="AE103" s="1"/>
      <c r="AF103" s="1"/>
      <c r="AG103" s="1"/>
      <c r="AH103" s="1"/>
      <c r="AI103" s="1"/>
      <c r="AJ103" s="1"/>
      <c r="AK103" s="1"/>
      <c r="AL103" s="1"/>
      <c r="AM103" s="1"/>
      <c r="AN103" s="1"/>
      <c r="AO103" s="1"/>
      <c r="AP103" s="1"/>
      <c r="AQ103" s="1"/>
    </row>
    <row r="104" spans="1:43" ht="14.45">
      <c r="A104" s="1"/>
      <c r="B104" s="1"/>
      <c r="C104" s="1"/>
      <c r="D104" s="1"/>
      <c r="E104" s="1"/>
      <c r="F104" s="1"/>
      <c r="G104" s="1"/>
      <c r="H104" s="1"/>
      <c r="I104" s="1"/>
      <c r="J104" s="1"/>
      <c r="K104" s="1"/>
      <c r="L104" s="1"/>
      <c r="M104" s="1"/>
      <c r="N104" s="1"/>
      <c r="O104" s="1"/>
      <c r="P104" s="204"/>
      <c r="Q104" s="204"/>
      <c r="R104" s="204"/>
      <c r="S104" s="204"/>
      <c r="T104" s="204"/>
      <c r="U104" s="204"/>
      <c r="V104" s="204"/>
      <c r="W104" s="204"/>
      <c r="X104" s="204"/>
      <c r="Y104" s="204"/>
      <c r="Z104" s="204"/>
      <c r="AA104" s="204"/>
      <c r="AB104" s="204"/>
      <c r="AC104" s="1"/>
      <c r="AD104" s="1"/>
      <c r="AE104" s="1"/>
      <c r="AF104" s="1"/>
      <c r="AG104" s="1"/>
      <c r="AH104" s="1"/>
      <c r="AI104" s="1"/>
      <c r="AJ104" s="1"/>
      <c r="AK104" s="1"/>
      <c r="AL104" s="1"/>
      <c r="AM104" s="1"/>
      <c r="AN104" s="1"/>
      <c r="AO104" s="1"/>
      <c r="AP104" s="1"/>
      <c r="AQ104" s="1"/>
    </row>
    <row r="105" spans="1:43" ht="14.45">
      <c r="A105" s="1"/>
      <c r="B105" s="1"/>
      <c r="C105" s="1"/>
      <c r="D105" s="1"/>
      <c r="E105" s="1"/>
      <c r="F105" s="1"/>
      <c r="G105" s="1"/>
      <c r="H105" s="1"/>
      <c r="I105" s="1"/>
      <c r="J105" s="1"/>
      <c r="K105" s="1"/>
      <c r="L105" s="1"/>
      <c r="M105" s="1"/>
      <c r="N105" s="1"/>
      <c r="O105" s="1"/>
      <c r="P105" s="204"/>
      <c r="Q105" s="204"/>
      <c r="R105" s="204"/>
      <c r="S105" s="204"/>
      <c r="T105" s="204"/>
      <c r="U105" s="204"/>
      <c r="V105" s="204"/>
      <c r="W105" s="204"/>
      <c r="X105" s="204"/>
      <c r="Y105" s="204"/>
      <c r="Z105" s="204"/>
      <c r="AA105" s="204"/>
      <c r="AB105" s="204"/>
      <c r="AC105" s="1"/>
      <c r="AD105" s="1"/>
      <c r="AE105" s="1"/>
      <c r="AF105" s="1"/>
      <c r="AG105" s="1"/>
      <c r="AH105" s="1"/>
      <c r="AI105" s="1"/>
      <c r="AJ105" s="1"/>
      <c r="AK105" s="1"/>
      <c r="AL105" s="1"/>
      <c r="AM105" s="1"/>
      <c r="AN105" s="1"/>
      <c r="AO105" s="1"/>
      <c r="AP105" s="1"/>
      <c r="AQ105" s="1"/>
    </row>
    <row r="106" spans="1:43" ht="14.45">
      <c r="A106" s="1"/>
      <c r="B106" s="1"/>
      <c r="C106" s="1"/>
      <c r="D106" s="1"/>
      <c r="E106" s="1"/>
      <c r="F106" s="1"/>
      <c r="G106" s="1"/>
      <c r="H106" s="1"/>
      <c r="I106" s="1"/>
      <c r="J106" s="1"/>
      <c r="K106" s="1"/>
      <c r="L106" s="1"/>
      <c r="M106" s="1"/>
      <c r="N106" s="1"/>
      <c r="O106" s="1"/>
      <c r="P106" s="204"/>
      <c r="Q106" s="204"/>
      <c r="R106" s="204"/>
      <c r="S106" s="204"/>
      <c r="T106" s="204"/>
      <c r="U106" s="204"/>
      <c r="V106" s="204"/>
      <c r="W106" s="204"/>
      <c r="X106" s="204"/>
      <c r="Y106" s="204"/>
      <c r="Z106" s="204"/>
      <c r="AA106" s="204"/>
      <c r="AB106" s="204"/>
      <c r="AC106" s="1"/>
      <c r="AD106" s="1"/>
      <c r="AE106" s="1"/>
      <c r="AF106" s="1"/>
      <c r="AG106" s="1"/>
      <c r="AH106" s="1"/>
      <c r="AI106" s="1"/>
      <c r="AJ106" s="1"/>
      <c r="AK106" s="1"/>
      <c r="AL106" s="1"/>
      <c r="AM106" s="1"/>
      <c r="AN106" s="1"/>
      <c r="AO106" s="1"/>
      <c r="AP106" s="1"/>
      <c r="AQ106" s="1"/>
    </row>
    <row r="107" spans="1:43" ht="14.45">
      <c r="A107" s="1"/>
      <c r="B107" s="1"/>
      <c r="C107" s="1"/>
      <c r="D107" s="1"/>
      <c r="E107" s="1"/>
      <c r="F107" s="1"/>
      <c r="G107" s="1"/>
      <c r="H107" s="1"/>
      <c r="I107" s="1"/>
      <c r="J107" s="1"/>
      <c r="K107" s="1"/>
      <c r="L107" s="1"/>
      <c r="M107" s="1"/>
      <c r="N107" s="1"/>
      <c r="O107" s="1"/>
      <c r="P107" s="204"/>
      <c r="Q107" s="204"/>
      <c r="R107" s="204"/>
      <c r="S107" s="204"/>
      <c r="T107" s="204"/>
      <c r="U107" s="204"/>
      <c r="V107" s="204"/>
      <c r="W107" s="204"/>
      <c r="X107" s="204"/>
      <c r="Y107" s="204"/>
      <c r="Z107" s="204"/>
      <c r="AA107" s="204"/>
      <c r="AB107" s="204"/>
      <c r="AC107" s="1"/>
      <c r="AD107" s="1"/>
      <c r="AE107" s="1"/>
      <c r="AF107" s="1"/>
      <c r="AG107" s="1"/>
      <c r="AH107" s="1"/>
      <c r="AI107" s="1"/>
      <c r="AJ107" s="1"/>
      <c r="AK107" s="1"/>
      <c r="AL107" s="1"/>
      <c r="AM107" s="1"/>
      <c r="AN107" s="1"/>
      <c r="AO107" s="1"/>
      <c r="AP107" s="1"/>
      <c r="AQ107" s="1"/>
    </row>
    <row r="108" spans="1:43" ht="14.45">
      <c r="A108" s="1"/>
      <c r="B108" s="1"/>
      <c r="C108" s="1"/>
      <c r="D108" s="1"/>
      <c r="E108" s="1"/>
      <c r="F108" s="1"/>
      <c r="G108" s="1"/>
      <c r="H108" s="1"/>
      <c r="I108" s="1"/>
      <c r="J108" s="1"/>
      <c r="K108" s="1"/>
      <c r="L108" s="1"/>
      <c r="M108" s="1"/>
      <c r="N108" s="1"/>
      <c r="O108" s="1"/>
      <c r="P108" s="204"/>
      <c r="Q108" s="204"/>
      <c r="R108" s="204"/>
      <c r="S108" s="204"/>
      <c r="T108" s="204"/>
      <c r="U108" s="204"/>
      <c r="V108" s="204"/>
      <c r="W108" s="204"/>
      <c r="X108" s="204"/>
      <c r="Y108" s="204"/>
      <c r="Z108" s="204"/>
      <c r="AA108" s="204"/>
      <c r="AB108" s="204"/>
      <c r="AC108" s="1"/>
      <c r="AD108" s="1"/>
      <c r="AE108" s="1"/>
      <c r="AF108" s="1"/>
      <c r="AG108" s="1"/>
      <c r="AH108" s="1"/>
      <c r="AI108" s="1"/>
      <c r="AJ108" s="1"/>
      <c r="AK108" s="1"/>
      <c r="AL108" s="1"/>
      <c r="AM108" s="1"/>
      <c r="AN108" s="1"/>
      <c r="AO108" s="1"/>
      <c r="AP108" s="1"/>
      <c r="AQ108" s="1"/>
    </row>
    <row r="109" spans="1:43" ht="14.45">
      <c r="A109" s="1"/>
      <c r="B109" s="1"/>
      <c r="C109" s="1"/>
      <c r="D109" s="1"/>
      <c r="E109" s="1"/>
      <c r="F109" s="1"/>
      <c r="G109" s="1"/>
      <c r="H109" s="1"/>
      <c r="I109" s="1"/>
      <c r="J109" s="1"/>
      <c r="K109" s="1"/>
      <c r="L109" s="1"/>
      <c r="M109" s="1"/>
      <c r="N109" s="1"/>
      <c r="O109" s="1"/>
      <c r="P109" s="204"/>
      <c r="Q109" s="204"/>
      <c r="R109" s="204"/>
      <c r="S109" s="204"/>
      <c r="T109" s="204"/>
      <c r="U109" s="204"/>
      <c r="V109" s="204"/>
      <c r="W109" s="204"/>
      <c r="X109" s="204"/>
      <c r="Y109" s="204"/>
      <c r="Z109" s="204"/>
      <c r="AA109" s="204"/>
      <c r="AB109" s="204"/>
      <c r="AC109" s="1"/>
      <c r="AD109" s="1"/>
      <c r="AE109" s="1"/>
      <c r="AF109" s="1"/>
      <c r="AG109" s="1"/>
      <c r="AH109" s="1"/>
      <c r="AI109" s="1"/>
      <c r="AJ109" s="1"/>
      <c r="AK109" s="1"/>
      <c r="AL109" s="1"/>
      <c r="AM109" s="1"/>
      <c r="AN109" s="1"/>
      <c r="AO109" s="1"/>
      <c r="AP109" s="1"/>
      <c r="AQ109" s="1"/>
    </row>
    <row r="110" spans="1:43" ht="14.45" hidden="1">
      <c r="A110" s="1"/>
      <c r="B110" s="1"/>
      <c r="C110" s="1"/>
      <c r="D110" s="1"/>
      <c r="E110" s="1"/>
      <c r="F110" s="1"/>
      <c r="G110" s="1"/>
      <c r="H110" s="1"/>
      <c r="I110" s="1"/>
      <c r="J110" s="1"/>
      <c r="K110" s="1"/>
      <c r="L110" s="1"/>
      <c r="M110" s="1"/>
      <c r="N110" s="1"/>
      <c r="O110" s="1"/>
      <c r="P110" s="204"/>
      <c r="Q110" s="204"/>
      <c r="R110" s="204"/>
      <c r="S110" s="204"/>
      <c r="T110" s="204"/>
      <c r="U110" s="204"/>
      <c r="V110" s="204"/>
      <c r="W110" s="204"/>
      <c r="X110" s="204"/>
      <c r="Y110" s="204"/>
      <c r="Z110" s="204"/>
      <c r="AA110" s="204"/>
      <c r="AB110" s="204"/>
      <c r="AC110" s="1"/>
      <c r="AD110" s="1"/>
      <c r="AE110" s="1"/>
      <c r="AF110" s="1"/>
      <c r="AG110" s="1"/>
      <c r="AH110" s="1"/>
      <c r="AI110" s="1"/>
      <c r="AJ110" s="1"/>
      <c r="AK110" s="1"/>
      <c r="AL110" s="1"/>
      <c r="AM110" s="1"/>
      <c r="AN110" s="1"/>
      <c r="AO110" s="1"/>
      <c r="AP110" s="1"/>
      <c r="AQ110" s="1"/>
    </row>
    <row r="111" spans="1:43" ht="14.45" hidden="1">
      <c r="A111" s="1"/>
      <c r="B111" s="1"/>
      <c r="C111" s="1"/>
      <c r="D111" s="1"/>
      <c r="E111" s="1"/>
      <c r="F111" s="1"/>
      <c r="G111" s="1"/>
      <c r="H111" s="1"/>
      <c r="I111" s="1"/>
      <c r="J111" s="1"/>
      <c r="K111" s="1"/>
      <c r="L111" s="1"/>
      <c r="M111" s="1"/>
      <c r="N111" s="1"/>
      <c r="O111" s="1"/>
      <c r="P111" s="204"/>
      <c r="Q111" s="204"/>
      <c r="R111" s="204"/>
      <c r="S111" s="204"/>
      <c r="T111" s="204"/>
      <c r="U111" s="204"/>
      <c r="V111" s="204"/>
      <c r="W111" s="204"/>
      <c r="X111" s="204"/>
      <c r="Y111" s="204"/>
      <c r="Z111" s="204"/>
      <c r="AA111" s="204"/>
      <c r="AB111" s="204"/>
      <c r="AC111" s="1"/>
      <c r="AD111" s="1"/>
      <c r="AE111" s="1"/>
      <c r="AF111" s="1"/>
      <c r="AG111" s="1"/>
      <c r="AH111" s="1"/>
      <c r="AI111" s="1"/>
      <c r="AJ111" s="1"/>
      <c r="AK111" s="1"/>
      <c r="AL111" s="1"/>
      <c r="AM111" s="1"/>
      <c r="AN111" s="1"/>
      <c r="AO111" s="1"/>
      <c r="AP111" s="1"/>
      <c r="AQ111" s="1"/>
    </row>
    <row r="112" spans="1:43" ht="14.45" hidden="1">
      <c r="A112" s="1"/>
      <c r="B112" s="1"/>
      <c r="C112" s="1"/>
      <c r="D112" s="1"/>
      <c r="E112" s="1"/>
      <c r="F112" s="1"/>
      <c r="G112" s="1"/>
      <c r="H112" s="1"/>
      <c r="I112" s="1"/>
      <c r="J112" s="1"/>
      <c r="K112" s="1"/>
      <c r="L112" s="1"/>
      <c r="M112" s="1"/>
      <c r="N112" s="1"/>
      <c r="O112" s="1"/>
      <c r="P112" s="204"/>
      <c r="Q112" s="204"/>
      <c r="R112" s="204"/>
      <c r="S112" s="204"/>
      <c r="T112" s="204"/>
      <c r="U112" s="204"/>
      <c r="V112" s="204"/>
      <c r="W112" s="204"/>
      <c r="X112" s="204"/>
      <c r="Y112" s="204"/>
      <c r="Z112" s="204"/>
      <c r="AA112" s="204"/>
      <c r="AB112" s="204"/>
      <c r="AC112" s="1"/>
      <c r="AD112" s="1"/>
      <c r="AE112" s="1"/>
      <c r="AF112" s="1"/>
      <c r="AG112" s="1"/>
      <c r="AH112" s="1"/>
      <c r="AI112" s="1"/>
      <c r="AJ112" s="1"/>
      <c r="AK112" s="1"/>
      <c r="AL112" s="1"/>
      <c r="AM112" s="1"/>
      <c r="AN112" s="1"/>
      <c r="AO112" s="1"/>
      <c r="AP112" s="1"/>
      <c r="AQ112" s="1"/>
    </row>
    <row r="113" spans="1:43" ht="14.45" hidden="1">
      <c r="A113" s="1"/>
      <c r="B113" s="1"/>
      <c r="C113" s="1"/>
      <c r="D113" s="1"/>
      <c r="E113" s="1"/>
      <c r="F113" s="1"/>
      <c r="G113" s="1"/>
      <c r="H113" s="1"/>
      <c r="I113" s="1"/>
      <c r="J113" s="1"/>
      <c r="K113" s="1"/>
      <c r="L113" s="1"/>
      <c r="M113" s="1"/>
      <c r="N113" s="1"/>
      <c r="O113" s="1"/>
      <c r="P113" s="204"/>
      <c r="Q113" s="204"/>
      <c r="R113" s="204"/>
      <c r="S113" s="204"/>
      <c r="T113" s="204"/>
      <c r="U113" s="204"/>
      <c r="V113" s="204"/>
      <c r="W113" s="204"/>
      <c r="X113" s="204"/>
      <c r="Y113" s="204"/>
      <c r="Z113" s="204"/>
      <c r="AA113" s="204"/>
      <c r="AB113" s="204"/>
      <c r="AC113" s="1"/>
      <c r="AD113" s="1"/>
      <c r="AE113" s="1"/>
      <c r="AF113" s="1"/>
      <c r="AG113" s="1"/>
      <c r="AH113" s="1"/>
      <c r="AI113" s="1"/>
      <c r="AJ113" s="1"/>
      <c r="AK113" s="1"/>
      <c r="AL113" s="1"/>
      <c r="AM113" s="1"/>
      <c r="AN113" s="1"/>
      <c r="AO113" s="1"/>
      <c r="AP113" s="1"/>
      <c r="AQ113" s="1"/>
    </row>
    <row r="114" spans="1:43" ht="14.45" hidden="1">
      <c r="A114" s="1"/>
      <c r="B114" s="1"/>
      <c r="C114" s="1"/>
      <c r="D114" s="1"/>
      <c r="E114" s="1"/>
      <c r="F114" s="1"/>
      <c r="G114" s="1"/>
      <c r="H114" s="1"/>
      <c r="I114" s="1"/>
      <c r="J114" s="1"/>
      <c r="K114" s="1"/>
      <c r="L114" s="1"/>
      <c r="M114" s="1"/>
      <c r="N114" s="1"/>
      <c r="O114" s="1"/>
      <c r="P114" s="204"/>
      <c r="Q114" s="204"/>
      <c r="R114" s="204"/>
      <c r="S114" s="204"/>
      <c r="T114" s="204"/>
      <c r="U114" s="204"/>
      <c r="V114" s="204"/>
      <c r="W114" s="204"/>
      <c r="X114" s="204"/>
      <c r="Y114" s="204"/>
      <c r="Z114" s="204"/>
      <c r="AA114" s="204"/>
      <c r="AB114" s="204"/>
      <c r="AC114" s="1"/>
      <c r="AD114" s="1"/>
      <c r="AE114" s="1"/>
      <c r="AF114" s="1"/>
      <c r="AG114" s="1"/>
      <c r="AH114" s="1"/>
      <c r="AI114" s="1"/>
      <c r="AJ114" s="1"/>
      <c r="AK114" s="1"/>
      <c r="AL114" s="1"/>
      <c r="AM114" s="1"/>
      <c r="AN114" s="1"/>
      <c r="AO114" s="1"/>
      <c r="AP114" s="1"/>
      <c r="AQ114" s="1"/>
    </row>
    <row r="115" spans="1:43" ht="14.45" hidden="1">
      <c r="A115" s="1"/>
      <c r="B115" s="1"/>
      <c r="C115" s="1"/>
      <c r="D115" s="1"/>
      <c r="E115" s="1"/>
      <c r="F115" s="1"/>
      <c r="G115" s="1"/>
      <c r="H115" s="1"/>
      <c r="I115" s="1"/>
      <c r="J115" s="1"/>
      <c r="K115" s="1"/>
      <c r="L115" s="1"/>
      <c r="M115" s="1"/>
      <c r="N115" s="1"/>
      <c r="O115" s="1"/>
      <c r="P115" s="204"/>
      <c r="Q115" s="204"/>
      <c r="R115" s="204"/>
      <c r="S115" s="204"/>
      <c r="T115" s="204"/>
      <c r="U115" s="204"/>
      <c r="V115" s="204"/>
      <c r="W115" s="204"/>
      <c r="X115" s="204"/>
      <c r="Y115" s="204"/>
      <c r="Z115" s="204"/>
      <c r="AA115" s="204"/>
      <c r="AB115" s="204"/>
      <c r="AC115" s="1"/>
      <c r="AD115" s="1"/>
      <c r="AE115" s="1"/>
      <c r="AF115" s="1"/>
      <c r="AG115" s="1"/>
      <c r="AH115" s="1"/>
      <c r="AI115" s="1"/>
      <c r="AJ115" s="1"/>
      <c r="AK115" s="1"/>
      <c r="AL115" s="1"/>
      <c r="AM115" s="1"/>
      <c r="AN115" s="1"/>
      <c r="AO115" s="1"/>
      <c r="AP115" s="1"/>
      <c r="AQ115" s="1"/>
    </row>
    <row r="116" spans="1:43" ht="16.149999999999999" hidden="1"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4.65" customHeight="1"/>
    <row r="118" spans="1:43" ht="14.65" customHeight="1"/>
    <row r="119" spans="1:43" ht="14.65" customHeight="1"/>
    <row r="120" spans="1:43" ht="14.65" customHeight="1"/>
    <row r="121" spans="1:43" ht="14.65" customHeight="1"/>
    <row r="122" spans="1:43" ht="14.65" customHeight="1"/>
    <row r="123" spans="1:43" ht="14.65" customHeight="1"/>
  </sheetData>
  <mergeCells count="55">
    <mergeCell ref="AD10:AH10"/>
    <mergeCell ref="AD69:AH69"/>
    <mergeCell ref="V15:X15"/>
    <mergeCell ref="V14:X14"/>
    <mergeCell ref="R83:U83"/>
    <mergeCell ref="R23:X23"/>
    <mergeCell ref="V45:X45"/>
    <mergeCell ref="R49:T49"/>
    <mergeCell ref="R50:S50"/>
    <mergeCell ref="T29:U29"/>
    <mergeCell ref="V29:W29"/>
    <mergeCell ref="R36:Z36"/>
    <mergeCell ref="R20:S20"/>
    <mergeCell ref="R19:T19"/>
    <mergeCell ref="R53:U53"/>
    <mergeCell ref="V53:X53"/>
    <mergeCell ref="R2:Z2"/>
    <mergeCell ref="R6:Z6"/>
    <mergeCell ref="R15:S17"/>
    <mergeCell ref="R14:T14"/>
    <mergeCell ref="R45:S47"/>
    <mergeCell ref="W47:X47"/>
    <mergeCell ref="R44:T44"/>
    <mergeCell ref="T28:U28"/>
    <mergeCell ref="V28:W28"/>
    <mergeCell ref="T27:W27"/>
    <mergeCell ref="R24:U24"/>
    <mergeCell ref="V24:X24"/>
    <mergeCell ref="R25:U25"/>
    <mergeCell ref="V25:X25"/>
    <mergeCell ref="V54:X54"/>
    <mergeCell ref="R52:X52"/>
    <mergeCell ref="W46:X46"/>
    <mergeCell ref="W51:X51"/>
    <mergeCell ref="V58:W58"/>
    <mergeCell ref="R54:U54"/>
    <mergeCell ref="T56:X56"/>
    <mergeCell ref="T57:U57"/>
    <mergeCell ref="V57:W57"/>
    <mergeCell ref="T58:U58"/>
    <mergeCell ref="R82:X82"/>
    <mergeCell ref="V74:X74"/>
    <mergeCell ref="V83:X83"/>
    <mergeCell ref="T88:U88"/>
    <mergeCell ref="V88:W88"/>
    <mergeCell ref="V84:X84"/>
    <mergeCell ref="R84:U84"/>
    <mergeCell ref="T86:W86"/>
    <mergeCell ref="T87:U87"/>
    <mergeCell ref="V87:W87"/>
    <mergeCell ref="R65:Z65"/>
    <mergeCell ref="R73:T73"/>
    <mergeCell ref="R74:S76"/>
    <mergeCell ref="R78:T78"/>
    <mergeCell ref="R79:S79"/>
  </mergeCells>
  <pageMargins left="0.7" right="0.7" top="0.75" bottom="0.75" header="0.3" footer="0.3"/>
  <pageSetup orientation="portrait" horizontalDpi="0"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108"/>
  <sheetViews>
    <sheetView topLeftCell="M8" zoomScaleNormal="100" workbookViewId="0">
      <selection activeCell="W21" sqref="W21"/>
    </sheetView>
  </sheetViews>
  <sheetFormatPr defaultColWidth="0" defaultRowHeight="14.45" zeroHeight="1"/>
  <cols>
    <col min="1" max="17" width="3.28515625" customWidth="1"/>
    <col min="18" max="18" width="8.7109375" customWidth="1"/>
    <col min="19" max="19" width="16.140625" bestFit="1" customWidth="1"/>
    <col min="20" max="20" width="15.7109375" customWidth="1"/>
    <col min="21" max="21" width="8.5703125" customWidth="1"/>
    <col min="22" max="22" width="18" bestFit="1" customWidth="1"/>
    <col min="23" max="23" width="10" bestFit="1" customWidth="1"/>
    <col min="24" max="24" width="15.85546875" bestFit="1" customWidth="1"/>
    <col min="25" max="41" width="3.28515625" customWidth="1"/>
    <col min="42" max="50" width="3.28515625" hidden="1" customWidth="1"/>
  </cols>
  <sheetData>
    <row r="1" spans="1:50" ht="1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149999999999999" thickBot="1">
      <c r="A2" s="1"/>
      <c r="B2" s="1"/>
      <c r="C2" s="1"/>
      <c r="D2" s="1"/>
      <c r="E2" s="1"/>
      <c r="F2" s="1"/>
      <c r="G2" s="1"/>
      <c r="H2" s="1"/>
      <c r="I2" s="1"/>
      <c r="J2" s="1"/>
      <c r="K2" s="1"/>
      <c r="L2" s="1"/>
      <c r="M2" s="1"/>
      <c r="N2" s="1"/>
      <c r="O2" s="1"/>
      <c r="P2" s="1"/>
      <c r="Q2" s="1"/>
      <c r="R2" s="335" t="s">
        <v>0</v>
      </c>
      <c r="S2" s="336"/>
      <c r="T2" s="336"/>
      <c r="U2" s="336"/>
      <c r="V2" s="336"/>
      <c r="W2" s="336"/>
      <c r="X2" s="336"/>
      <c r="Y2" s="153"/>
      <c r="Z2" s="154"/>
      <c r="AA2" s="154"/>
      <c r="AB2" s="154"/>
      <c r="AC2" s="154"/>
      <c r="AD2" s="154"/>
      <c r="AE2" s="154"/>
      <c r="AF2" s="154"/>
      <c r="AG2" s="154"/>
      <c r="AH2" s="1"/>
      <c r="AI2" s="1"/>
      <c r="AJ2" s="1"/>
      <c r="AK2" s="1"/>
      <c r="AL2" s="1"/>
      <c r="AM2" s="1"/>
      <c r="AN2" s="1"/>
      <c r="AO2" s="1"/>
      <c r="AP2" s="1"/>
      <c r="AQ2" s="1"/>
      <c r="AR2" s="1"/>
      <c r="AS2" s="1"/>
      <c r="AT2" s="1"/>
      <c r="AU2" s="1"/>
      <c r="AV2" s="1"/>
      <c r="AW2" s="1"/>
      <c r="AX2" s="1"/>
    </row>
    <row r="3" spans="1:50" ht="15" thickBot="1">
      <c r="A3" s="1" t="s">
        <v>274</v>
      </c>
      <c r="B3" s="1"/>
      <c r="C3" s="1"/>
      <c r="D3" s="1"/>
      <c r="E3" s="1"/>
      <c r="F3" s="1"/>
      <c r="G3" s="1"/>
      <c r="H3" s="1"/>
      <c r="I3" s="1"/>
      <c r="J3" s="1"/>
      <c r="K3" s="1"/>
      <c r="L3" s="1"/>
      <c r="M3" s="1"/>
      <c r="N3" s="1"/>
      <c r="O3" s="1"/>
      <c r="P3" s="1"/>
      <c r="Q3" s="1"/>
      <c r="R3" s="1"/>
      <c r="S3" s="1"/>
      <c r="T3" s="1"/>
      <c r="U3" s="1"/>
      <c r="V3" s="1"/>
      <c r="W3" s="1"/>
      <c r="X3" s="1"/>
      <c r="Y3" s="1"/>
      <c r="Z3" s="1"/>
      <c r="AA3" s="1"/>
      <c r="AB3" s="1"/>
      <c r="AC3" s="1" t="s">
        <v>274</v>
      </c>
      <c r="AD3" s="1"/>
      <c r="AE3" s="1"/>
      <c r="AF3" s="1"/>
      <c r="AG3" s="1"/>
      <c r="AH3" s="1"/>
      <c r="AI3" s="1"/>
      <c r="AJ3" s="1"/>
      <c r="AK3" s="1"/>
      <c r="AL3" s="1"/>
      <c r="AM3" s="1"/>
      <c r="AN3" s="1"/>
      <c r="AO3" s="1"/>
      <c r="AP3" s="1"/>
      <c r="AQ3" s="1"/>
      <c r="AR3" s="1"/>
      <c r="AS3" s="1"/>
      <c r="AT3" s="1"/>
      <c r="AU3" s="1"/>
      <c r="AV3" s="1"/>
      <c r="AW3" s="1"/>
      <c r="AX3" s="1"/>
    </row>
    <row r="4" spans="1:50">
      <c r="A4" s="1"/>
      <c r="B4" s="1"/>
      <c r="C4" s="1"/>
      <c r="D4" s="1"/>
      <c r="E4" s="1"/>
      <c r="F4" s="1"/>
      <c r="G4" s="1"/>
      <c r="H4" s="1"/>
      <c r="I4" s="1"/>
      <c r="J4" s="1"/>
      <c r="K4" s="1"/>
      <c r="L4" s="1"/>
      <c r="M4" s="1"/>
      <c r="N4" s="1"/>
      <c r="O4" s="1"/>
      <c r="P4" s="26"/>
      <c r="Q4" s="27"/>
      <c r="R4" s="27"/>
      <c r="S4" s="27"/>
      <c r="T4" s="27"/>
      <c r="U4" s="27"/>
      <c r="V4" s="27"/>
      <c r="W4" s="27"/>
      <c r="X4" s="27"/>
      <c r="Y4" s="27"/>
      <c r="Z4" s="28"/>
      <c r="AA4" s="141"/>
      <c r="AB4" s="141"/>
      <c r="AC4" s="1"/>
      <c r="AD4" s="1"/>
      <c r="AE4" s="1"/>
      <c r="AF4" s="1"/>
      <c r="AG4" s="1"/>
      <c r="AH4" s="1"/>
      <c r="AI4" s="1"/>
      <c r="AJ4" s="1"/>
      <c r="AK4" s="1"/>
      <c r="AL4" s="1"/>
      <c r="AM4" s="1"/>
      <c r="AN4" s="1"/>
      <c r="AO4" s="1"/>
      <c r="AP4" s="1"/>
      <c r="AQ4" s="1"/>
      <c r="AR4" s="1"/>
      <c r="AS4" s="1"/>
      <c r="AT4" s="1"/>
      <c r="AU4" s="1"/>
      <c r="AV4" s="1"/>
      <c r="AW4" s="1"/>
      <c r="AX4" s="1"/>
    </row>
    <row r="5" spans="1:50" ht="15" thickBot="1">
      <c r="A5" s="1"/>
      <c r="B5" s="1"/>
      <c r="C5" s="1"/>
      <c r="D5" s="1"/>
      <c r="E5" s="1"/>
      <c r="F5" s="1"/>
      <c r="G5" s="1"/>
      <c r="H5" s="1"/>
      <c r="I5" s="1"/>
      <c r="J5" s="1"/>
      <c r="K5" s="1"/>
      <c r="L5" s="1"/>
      <c r="M5" s="1"/>
      <c r="N5" s="1"/>
      <c r="O5" s="1"/>
      <c r="P5" s="30"/>
      <c r="Q5" s="31"/>
      <c r="R5" s="31"/>
      <c r="S5" s="159"/>
      <c r="T5" s="31"/>
      <c r="U5" s="31"/>
      <c r="V5" s="31"/>
      <c r="W5" s="31"/>
      <c r="X5" s="31"/>
      <c r="Y5" s="31"/>
      <c r="Z5" s="32"/>
      <c r="AA5" s="141"/>
      <c r="AB5" s="141"/>
      <c r="AC5" s="1"/>
      <c r="AD5" s="1"/>
      <c r="AE5" s="1"/>
      <c r="AF5" s="1"/>
      <c r="AG5" s="1"/>
      <c r="AH5" s="1"/>
      <c r="AI5" s="1"/>
      <c r="AJ5" s="1"/>
      <c r="AK5" s="1"/>
      <c r="AL5" s="1"/>
      <c r="AM5" s="1"/>
      <c r="AN5" s="1"/>
      <c r="AO5" s="1"/>
      <c r="AP5" s="1"/>
      <c r="AQ5" s="1"/>
      <c r="AR5" s="1"/>
      <c r="AS5" s="1"/>
      <c r="AT5" s="1"/>
      <c r="AU5" s="1"/>
      <c r="AV5" s="1"/>
      <c r="AW5" s="1"/>
      <c r="AX5" s="1"/>
    </row>
    <row r="6" spans="1:50" ht="30.6" thickBot="1">
      <c r="A6" s="1"/>
      <c r="B6" s="1"/>
      <c r="C6" s="1"/>
      <c r="D6" s="1"/>
      <c r="E6" s="1"/>
      <c r="F6" s="1"/>
      <c r="G6" s="1"/>
      <c r="H6" s="1"/>
      <c r="I6" s="1"/>
      <c r="J6" s="1"/>
      <c r="K6" s="1"/>
      <c r="L6" s="1"/>
      <c r="M6" s="1"/>
      <c r="N6" s="1"/>
      <c r="O6" s="1"/>
      <c r="P6" s="30"/>
      <c r="Q6" s="31"/>
      <c r="R6" s="328" t="s">
        <v>275</v>
      </c>
      <c r="S6" s="329"/>
      <c r="T6" s="329"/>
      <c r="U6" s="329"/>
      <c r="V6" s="329"/>
      <c r="W6" s="329"/>
      <c r="X6" s="330"/>
      <c r="Y6" s="30"/>
      <c r="Z6" s="32"/>
      <c r="AA6" s="141"/>
      <c r="AB6" s="141"/>
      <c r="AC6" s="1"/>
      <c r="AD6" s="1"/>
      <c r="AE6" s="1"/>
      <c r="AF6" s="1"/>
      <c r="AG6" s="1"/>
      <c r="AH6" s="1"/>
      <c r="AI6" s="1"/>
      <c r="AJ6" s="1"/>
      <c r="AK6" s="1"/>
      <c r="AL6" s="1"/>
      <c r="AM6" s="1"/>
      <c r="AN6" s="1"/>
      <c r="AO6" s="1"/>
      <c r="AP6" s="1"/>
      <c r="AQ6" s="1"/>
      <c r="AR6" s="1"/>
      <c r="AS6" s="1"/>
      <c r="AT6" s="1"/>
      <c r="AU6" s="1"/>
      <c r="AV6" s="1"/>
      <c r="AW6" s="1"/>
      <c r="AX6" s="1"/>
    </row>
    <row r="7" spans="1:50">
      <c r="A7" s="1"/>
      <c r="B7" s="1"/>
      <c r="C7" s="1"/>
      <c r="D7" s="1"/>
      <c r="E7" s="1"/>
      <c r="F7" s="1"/>
      <c r="G7" s="1"/>
      <c r="H7" s="1"/>
      <c r="I7" s="1"/>
      <c r="J7" s="1"/>
      <c r="K7" s="1"/>
      <c r="L7" s="1"/>
      <c r="M7" s="1"/>
      <c r="N7" s="1"/>
      <c r="O7" s="1"/>
      <c r="P7" s="30"/>
      <c r="Q7" s="31"/>
      <c r="R7" s="31"/>
      <c r="S7" s="31"/>
      <c r="T7" s="31"/>
      <c r="U7" s="31"/>
      <c r="V7" s="31"/>
      <c r="W7" s="31"/>
      <c r="X7" s="31"/>
      <c r="Y7" s="31"/>
      <c r="Z7" s="32"/>
      <c r="AA7" s="141"/>
      <c r="AB7" s="141"/>
      <c r="AC7" s="1"/>
      <c r="AD7" s="1"/>
      <c r="AE7" s="1"/>
      <c r="AF7" s="1"/>
      <c r="AG7" s="1"/>
      <c r="AH7" s="1"/>
      <c r="AI7" s="1"/>
      <c r="AJ7" s="1"/>
      <c r="AK7" s="1"/>
      <c r="AL7" s="1"/>
      <c r="AM7" s="1"/>
      <c r="AN7" s="1"/>
      <c r="AO7" s="1"/>
      <c r="AP7" s="1"/>
      <c r="AQ7" s="1"/>
      <c r="AR7" s="1"/>
      <c r="AS7" s="1"/>
      <c r="AT7" s="1"/>
      <c r="AU7" s="1"/>
      <c r="AV7" s="1"/>
      <c r="AW7" s="1"/>
      <c r="AX7" s="1"/>
    </row>
    <row r="8" spans="1:50">
      <c r="A8" s="1"/>
      <c r="B8" s="1"/>
      <c r="C8" s="1"/>
      <c r="D8" s="1"/>
      <c r="E8" s="1"/>
      <c r="F8" s="1"/>
      <c r="G8" s="1"/>
      <c r="H8" s="1"/>
      <c r="I8" s="1"/>
      <c r="J8" s="1"/>
      <c r="K8" s="1"/>
      <c r="L8" s="1"/>
      <c r="M8" s="1"/>
      <c r="N8" s="1"/>
      <c r="O8" s="1"/>
      <c r="P8" s="30"/>
      <c r="Q8" s="31"/>
      <c r="R8" s="388" t="s">
        <v>13</v>
      </c>
      <c r="S8" s="388"/>
      <c r="T8" s="150">
        <f>Inputs!$V$15</f>
        <v>437.15</v>
      </c>
      <c r="U8" s="31" t="s">
        <v>14</v>
      </c>
      <c r="V8" s="147"/>
      <c r="W8" s="31"/>
      <c r="X8" s="48"/>
      <c r="Y8" s="31"/>
      <c r="Z8" s="32"/>
      <c r="AA8" s="141"/>
      <c r="AB8" s="141"/>
      <c r="AC8" s="1"/>
      <c r="AD8" s="1"/>
      <c r="AE8" s="1"/>
      <c r="AF8" s="1"/>
      <c r="AG8" s="1"/>
      <c r="AH8" s="1"/>
      <c r="AI8" s="1"/>
      <c r="AJ8" s="1"/>
      <c r="AK8" s="1"/>
      <c r="AL8" s="1"/>
      <c r="AM8" s="1"/>
      <c r="AN8" s="1"/>
      <c r="AO8" s="1"/>
      <c r="AP8" s="1"/>
      <c r="AQ8" s="1"/>
      <c r="AR8" s="1"/>
      <c r="AS8" s="1"/>
      <c r="AT8" s="1"/>
      <c r="AU8" s="1"/>
      <c r="AV8" s="1"/>
      <c r="AW8" s="1"/>
      <c r="AX8" s="1"/>
    </row>
    <row r="9" spans="1:50">
      <c r="A9" s="1"/>
      <c r="B9" s="1"/>
      <c r="C9" s="1"/>
      <c r="D9" s="1"/>
      <c r="E9" s="1"/>
      <c r="F9" s="1"/>
      <c r="G9" s="1"/>
      <c r="H9" s="1"/>
      <c r="I9" s="1"/>
      <c r="J9" s="1"/>
      <c r="K9" s="1"/>
      <c r="L9" s="1"/>
      <c r="M9" s="1"/>
      <c r="N9" s="1"/>
      <c r="O9" s="1"/>
      <c r="P9" s="30"/>
      <c r="Q9" s="31"/>
      <c r="R9" s="388" t="s">
        <v>276</v>
      </c>
      <c r="S9" s="388"/>
      <c r="T9" s="152">
        <f>Orbit!$V$27</f>
        <v>0.68578853482786228</v>
      </c>
      <c r="U9" s="31" t="s">
        <v>43</v>
      </c>
      <c r="V9" s="31"/>
      <c r="W9" s="48"/>
      <c r="X9" s="48"/>
      <c r="Y9" s="31"/>
      <c r="Z9" s="32"/>
      <c r="AA9" s="141"/>
      <c r="AB9" s="141"/>
      <c r="AC9" s="1"/>
      <c r="AD9" s="1"/>
      <c r="AE9" s="1"/>
      <c r="AF9" s="1"/>
      <c r="AG9" s="1"/>
      <c r="AH9" s="1"/>
      <c r="AI9" s="1"/>
      <c r="AJ9" s="1"/>
      <c r="AK9" s="1"/>
      <c r="AL9" s="1"/>
      <c r="AM9" s="1"/>
      <c r="AN9" s="1"/>
      <c r="AO9" s="1"/>
      <c r="AP9" s="1"/>
      <c r="AQ9" s="1"/>
      <c r="AR9" s="1"/>
      <c r="AS9" s="1"/>
      <c r="AT9" s="1"/>
      <c r="AU9" s="1"/>
      <c r="AV9" s="1"/>
      <c r="AW9" s="1"/>
      <c r="AX9" s="1"/>
    </row>
    <row r="10" spans="1:50">
      <c r="A10" s="1"/>
      <c r="B10" s="1"/>
      <c r="C10" s="1"/>
      <c r="D10" s="1"/>
      <c r="E10" s="1"/>
      <c r="F10" s="1"/>
      <c r="G10" s="1"/>
      <c r="H10" s="1"/>
      <c r="I10" s="1"/>
      <c r="J10" s="1"/>
      <c r="K10" s="1"/>
      <c r="L10" s="1"/>
      <c r="M10" s="1"/>
      <c r="N10" s="1"/>
      <c r="O10" s="1"/>
      <c r="P10" s="30"/>
      <c r="Q10" s="31"/>
      <c r="R10" s="31"/>
      <c r="S10" s="31"/>
      <c r="T10" s="31"/>
      <c r="U10" s="31"/>
      <c r="V10" s="31"/>
      <c r="W10" s="48"/>
      <c r="X10" s="48"/>
      <c r="Y10" s="31"/>
      <c r="Z10" s="32"/>
      <c r="AA10" s="141"/>
      <c r="AB10" s="141"/>
      <c r="AC10" s="1"/>
      <c r="AD10" s="1"/>
      <c r="AE10" s="1"/>
      <c r="AF10" s="1"/>
      <c r="AG10" s="1"/>
      <c r="AH10" s="1"/>
      <c r="AI10" s="1"/>
      <c r="AJ10" s="1"/>
      <c r="AK10" s="1"/>
      <c r="AL10" s="1"/>
      <c r="AM10" s="1"/>
      <c r="AN10" s="1"/>
      <c r="AO10" s="1"/>
      <c r="AP10" s="1"/>
      <c r="AQ10" s="1"/>
      <c r="AR10" s="1"/>
      <c r="AS10" s="1"/>
      <c r="AT10" s="1"/>
      <c r="AU10" s="1"/>
      <c r="AV10" s="1"/>
      <c r="AW10" s="1"/>
      <c r="AX10" s="1"/>
    </row>
    <row r="11" spans="1:50" ht="14.45" customHeight="1">
      <c r="A11" s="1"/>
      <c r="B11" s="1"/>
      <c r="C11" s="1"/>
      <c r="D11" s="1"/>
      <c r="E11" s="1"/>
      <c r="F11" s="1"/>
      <c r="G11" s="1"/>
      <c r="H11" s="1"/>
      <c r="I11" s="1"/>
      <c r="J11" s="1"/>
      <c r="K11" s="1"/>
      <c r="L11" s="1"/>
      <c r="M11" s="1"/>
      <c r="N11" s="1"/>
      <c r="O11" s="1"/>
      <c r="P11" s="30"/>
      <c r="Q11" s="31"/>
      <c r="R11" s="388" t="s">
        <v>277</v>
      </c>
      <c r="S11" s="388"/>
      <c r="T11" s="211" t="str">
        <f>'Groundstation hardware'!$B$2</f>
        <v>Yagi array</v>
      </c>
      <c r="U11" s="31"/>
      <c r="V11" s="31"/>
      <c r="W11" s="31"/>
      <c r="X11" s="31"/>
      <c r="Y11" s="31"/>
      <c r="Z11" s="32"/>
      <c r="AA11" s="141"/>
      <c r="AB11" s="141"/>
      <c r="AC11" s="1"/>
      <c r="AD11" s="1"/>
      <c r="AE11" s="1"/>
      <c r="AF11" s="1"/>
      <c r="AG11" s="1"/>
      <c r="AH11" s="1"/>
      <c r="AI11" s="1"/>
      <c r="AJ11" s="1"/>
      <c r="AK11" s="1"/>
      <c r="AL11" s="1"/>
      <c r="AM11" s="1"/>
      <c r="AN11" s="1"/>
      <c r="AO11" s="1"/>
      <c r="AP11" s="1"/>
      <c r="AQ11" s="1"/>
      <c r="AR11" s="1"/>
      <c r="AS11" s="1"/>
      <c r="AT11" s="1"/>
      <c r="AU11" s="1"/>
      <c r="AV11" s="1"/>
      <c r="AW11" s="1"/>
      <c r="AX11" s="1"/>
    </row>
    <row r="12" spans="1:50">
      <c r="A12" s="1"/>
      <c r="B12" s="1"/>
      <c r="C12" s="1"/>
      <c r="D12" s="1"/>
      <c r="E12" s="1"/>
      <c r="F12" s="1"/>
      <c r="G12" s="1"/>
      <c r="H12" s="1"/>
      <c r="I12" s="1"/>
      <c r="J12" s="1"/>
      <c r="K12" s="1"/>
      <c r="L12" s="1"/>
      <c r="M12" s="1"/>
      <c r="N12" s="1"/>
      <c r="O12" s="1"/>
      <c r="P12" s="30"/>
      <c r="Q12" s="31"/>
      <c r="R12" s="388" t="s">
        <v>96</v>
      </c>
      <c r="S12" s="388"/>
      <c r="T12" s="206" t="str">
        <f>'Groundstation hardware'!$B$6</f>
        <v>RHCP</v>
      </c>
      <c r="U12" s="31"/>
      <c r="V12" s="45" t="s">
        <v>89</v>
      </c>
      <c r="W12" s="206">
        <f>'Groundstation hardware'!$B$4</f>
        <v>15</v>
      </c>
      <c r="X12" s="59" t="s">
        <v>90</v>
      </c>
      <c r="Y12" s="31"/>
      <c r="Z12" s="32"/>
      <c r="AA12" s="141"/>
      <c r="AB12" s="141"/>
      <c r="AC12" s="1"/>
      <c r="AD12" s="1"/>
      <c r="AE12" s="1"/>
      <c r="AF12" s="1"/>
      <c r="AG12" s="1"/>
      <c r="AH12" s="1"/>
      <c r="AI12" s="1"/>
      <c r="AJ12" s="1"/>
      <c r="AK12" s="1"/>
      <c r="AL12" s="1"/>
      <c r="AM12" s="1"/>
      <c r="AN12" s="1"/>
      <c r="AO12" s="1"/>
      <c r="AP12" s="1"/>
      <c r="AQ12" s="1"/>
      <c r="AR12" s="1"/>
      <c r="AS12" s="1"/>
      <c r="AT12" s="1"/>
      <c r="AU12" s="1"/>
      <c r="AV12" s="1"/>
      <c r="AW12" s="1"/>
      <c r="AX12" s="1"/>
    </row>
    <row r="13" spans="1:50">
      <c r="A13" s="1"/>
      <c r="B13" s="1"/>
      <c r="C13" s="1"/>
      <c r="D13" s="1"/>
      <c r="E13" s="1"/>
      <c r="F13" s="1"/>
      <c r="G13" s="1"/>
      <c r="H13" s="1"/>
      <c r="I13" s="1"/>
      <c r="J13" s="1"/>
      <c r="K13" s="1"/>
      <c r="L13" s="1"/>
      <c r="M13" s="1"/>
      <c r="N13" s="1"/>
      <c r="O13" s="1"/>
      <c r="P13" s="30"/>
      <c r="Q13" s="31"/>
      <c r="R13" s="388" t="s">
        <v>278</v>
      </c>
      <c r="S13" s="388"/>
      <c r="T13" s="212">
        <f>'Groundstation hardware'!$B$9</f>
        <v>1.75</v>
      </c>
      <c r="U13" s="31" t="s">
        <v>43</v>
      </c>
      <c r="V13" s="45" t="s">
        <v>279</v>
      </c>
      <c r="W13" s="206">
        <f>'Groundstation hardware'!$B$5</f>
        <v>14</v>
      </c>
      <c r="X13" s="31" t="s">
        <v>28</v>
      </c>
      <c r="Y13" s="31"/>
      <c r="Z13" s="32"/>
      <c r="AA13" s="141"/>
      <c r="AB13" s="141"/>
      <c r="AC13" s="1"/>
      <c r="AD13" s="1"/>
      <c r="AE13" s="1"/>
      <c r="AF13" s="1"/>
      <c r="AG13" s="1"/>
      <c r="AH13" s="1"/>
      <c r="AI13" s="1"/>
      <c r="AJ13" s="1"/>
      <c r="AK13" s="1"/>
      <c r="AL13" s="1"/>
      <c r="AM13" s="1"/>
      <c r="AN13" s="1"/>
      <c r="AO13" s="1"/>
      <c r="AP13" s="1"/>
      <c r="AQ13" s="1"/>
      <c r="AR13" s="1"/>
      <c r="AS13" s="1"/>
      <c r="AT13" s="1"/>
      <c r="AU13" s="1"/>
      <c r="AV13" s="1"/>
      <c r="AW13" s="1"/>
      <c r="AX13" s="1"/>
    </row>
    <row r="14" spans="1:50" ht="15" thickBot="1">
      <c r="A14" s="1"/>
      <c r="B14" s="1"/>
      <c r="C14" s="1"/>
      <c r="D14" s="1"/>
      <c r="E14" s="1"/>
      <c r="F14" s="1"/>
      <c r="G14" s="1"/>
      <c r="H14" s="1"/>
      <c r="I14" s="1"/>
      <c r="J14" s="1"/>
      <c r="K14" s="1"/>
      <c r="L14" s="1"/>
      <c r="M14" s="1"/>
      <c r="N14" s="1"/>
      <c r="O14" s="1"/>
      <c r="P14" s="30"/>
      <c r="Q14" s="31"/>
      <c r="R14" s="31"/>
      <c r="S14" s="31"/>
      <c r="T14" s="31"/>
      <c r="U14" s="31"/>
      <c r="V14" s="31"/>
      <c r="W14" s="31"/>
      <c r="X14" s="31"/>
      <c r="Y14" s="31"/>
      <c r="Z14" s="32"/>
      <c r="AA14" s="141"/>
      <c r="AB14" s="141"/>
      <c r="AC14" s="1"/>
      <c r="AD14" s="1"/>
      <c r="AE14" s="1"/>
      <c r="AF14" s="1"/>
      <c r="AG14" s="1"/>
      <c r="AH14" s="1"/>
      <c r="AI14" s="1"/>
      <c r="AJ14" s="1"/>
      <c r="AK14" s="1"/>
      <c r="AL14" s="1"/>
      <c r="AM14" s="1"/>
      <c r="AN14" s="1"/>
      <c r="AO14" s="1"/>
      <c r="AP14" s="1"/>
      <c r="AQ14" s="1"/>
      <c r="AR14" s="1"/>
      <c r="AS14" s="1"/>
      <c r="AT14" s="1"/>
      <c r="AU14" s="1"/>
      <c r="AV14" s="1"/>
      <c r="AW14" s="1"/>
      <c r="AX14" s="1"/>
    </row>
    <row r="15" spans="1:50" ht="30.6" thickBot="1">
      <c r="A15" s="1"/>
      <c r="B15" s="1"/>
      <c r="C15" s="1"/>
      <c r="D15" s="1"/>
      <c r="E15" s="1"/>
      <c r="F15" s="1"/>
      <c r="G15" s="1"/>
      <c r="H15" s="1"/>
      <c r="I15" s="1"/>
      <c r="J15" s="1"/>
      <c r="K15" s="1"/>
      <c r="L15" s="1"/>
      <c r="M15" s="1"/>
      <c r="N15" s="1"/>
      <c r="O15" s="1"/>
      <c r="P15" s="30"/>
      <c r="Q15" s="31"/>
      <c r="R15" s="328" t="s">
        <v>280</v>
      </c>
      <c r="S15" s="329"/>
      <c r="T15" s="329"/>
      <c r="U15" s="329"/>
      <c r="V15" s="329"/>
      <c r="W15" s="329"/>
      <c r="X15" s="330"/>
      <c r="Y15" s="30"/>
      <c r="Z15" s="32"/>
      <c r="AA15" s="141"/>
      <c r="AB15" s="141"/>
      <c r="AC15" s="1"/>
      <c r="AD15" s="1"/>
      <c r="AE15" s="1"/>
      <c r="AF15" s="1"/>
      <c r="AG15" s="1"/>
      <c r="AH15" s="1"/>
      <c r="AI15" s="1"/>
      <c r="AJ15" s="1"/>
      <c r="AK15" s="1"/>
      <c r="AL15" s="1"/>
      <c r="AM15" s="1"/>
      <c r="AN15" s="1"/>
      <c r="AO15" s="1"/>
      <c r="AP15" s="1"/>
      <c r="AQ15" s="1"/>
      <c r="AR15" s="1"/>
      <c r="AS15" s="1"/>
      <c r="AT15" s="1"/>
      <c r="AU15" s="1"/>
      <c r="AV15" s="1"/>
      <c r="AW15" s="1"/>
      <c r="AX15" s="1"/>
    </row>
    <row r="16" spans="1:50">
      <c r="A16" s="1"/>
      <c r="B16" s="1"/>
      <c r="C16" s="1"/>
      <c r="D16" s="1"/>
      <c r="E16" s="1"/>
      <c r="F16" s="1"/>
      <c r="G16" s="1"/>
      <c r="H16" s="1"/>
      <c r="I16" s="1"/>
      <c r="J16" s="1"/>
      <c r="K16" s="1"/>
      <c r="L16" s="1"/>
      <c r="M16" s="1"/>
      <c r="N16" s="1"/>
      <c r="O16" s="1"/>
      <c r="P16" s="30"/>
      <c r="Q16" s="31"/>
      <c r="R16" s="31"/>
      <c r="S16" s="31"/>
      <c r="T16" s="31"/>
      <c r="U16" s="31"/>
      <c r="V16" s="31"/>
      <c r="W16" s="31"/>
      <c r="X16" s="31"/>
      <c r="Y16" s="31"/>
      <c r="Z16" s="32"/>
      <c r="AA16" s="141"/>
      <c r="AB16" s="141"/>
      <c r="AC16" s="1"/>
      <c r="AD16" s="1"/>
      <c r="AE16" s="1"/>
      <c r="AF16" s="1"/>
      <c r="AG16" s="1"/>
      <c r="AH16" s="1"/>
      <c r="AI16" s="1"/>
      <c r="AJ16" s="1"/>
      <c r="AK16" s="1"/>
      <c r="AL16" s="1"/>
      <c r="AM16" s="1"/>
      <c r="AN16" s="1"/>
      <c r="AO16" s="1"/>
      <c r="AP16" s="1"/>
      <c r="AQ16" s="1"/>
      <c r="AR16" s="1"/>
      <c r="AS16" s="1"/>
      <c r="AT16" s="1"/>
      <c r="AU16" s="1"/>
      <c r="AV16" s="1"/>
      <c r="AW16" s="1"/>
      <c r="AX16" s="1"/>
    </row>
    <row r="17" spans="1:50">
      <c r="A17" s="1"/>
      <c r="B17" s="1"/>
      <c r="C17" s="1"/>
      <c r="D17" s="1"/>
      <c r="E17" s="1"/>
      <c r="F17" s="1"/>
      <c r="G17" s="1"/>
      <c r="H17" s="1"/>
      <c r="I17" s="1"/>
      <c r="J17" s="1"/>
      <c r="K17" s="1"/>
      <c r="L17" s="1"/>
      <c r="M17" s="1"/>
      <c r="N17" s="1"/>
      <c r="O17" s="1"/>
      <c r="P17" s="30"/>
      <c r="Q17" s="31"/>
      <c r="R17" s="388" t="s">
        <v>13</v>
      </c>
      <c r="S17" s="388"/>
      <c r="T17" s="150">
        <f>Inputs!$V$15</f>
        <v>437.15</v>
      </c>
      <c r="U17" s="31" t="s">
        <v>14</v>
      </c>
      <c r="V17" s="31"/>
      <c r="W17" s="48"/>
      <c r="X17" s="48"/>
      <c r="Y17" s="31"/>
      <c r="Z17" s="32"/>
      <c r="AA17" s="141"/>
      <c r="AB17" s="141"/>
      <c r="AC17" s="1"/>
      <c r="AD17" s="1"/>
      <c r="AE17" s="1"/>
      <c r="AF17" s="1"/>
      <c r="AG17" s="1"/>
      <c r="AH17" s="1"/>
      <c r="AI17" s="1"/>
      <c r="AJ17" s="1"/>
      <c r="AK17" s="1"/>
      <c r="AL17" s="1"/>
      <c r="AM17" s="1"/>
      <c r="AN17" s="1"/>
      <c r="AO17" s="1"/>
      <c r="AP17" s="1"/>
      <c r="AQ17" s="1"/>
      <c r="AR17" s="1"/>
      <c r="AS17" s="1"/>
      <c r="AT17" s="1"/>
      <c r="AU17" s="1"/>
      <c r="AV17" s="1"/>
      <c r="AW17" s="1"/>
      <c r="AX17" s="1"/>
    </row>
    <row r="18" spans="1:50">
      <c r="A18" s="1"/>
      <c r="B18" s="1"/>
      <c r="C18" s="1"/>
      <c r="D18" s="1"/>
      <c r="E18" s="1"/>
      <c r="F18" s="1"/>
      <c r="G18" s="1"/>
      <c r="H18" s="1"/>
      <c r="I18" s="1"/>
      <c r="J18" s="1"/>
      <c r="K18" s="1"/>
      <c r="L18" s="1"/>
      <c r="M18" s="1"/>
      <c r="N18" s="1"/>
      <c r="O18" s="1"/>
      <c r="P18" s="30"/>
      <c r="Q18" s="31"/>
      <c r="R18" s="388" t="s">
        <v>276</v>
      </c>
      <c r="S18" s="388"/>
      <c r="T18" s="152">
        <f>Orbit!$V$28</f>
        <v>0.68578853482786228</v>
      </c>
      <c r="U18" s="31" t="s">
        <v>43</v>
      </c>
      <c r="V18" s="31"/>
      <c r="W18" s="48"/>
      <c r="X18" s="48"/>
      <c r="Y18" s="31"/>
      <c r="Z18" s="32"/>
      <c r="AA18" s="141"/>
      <c r="AB18" s="141"/>
      <c r="AC18" s="1"/>
      <c r="AD18" s="1"/>
      <c r="AE18" s="1"/>
      <c r="AF18" s="1"/>
      <c r="AG18" s="1"/>
      <c r="AH18" s="1"/>
      <c r="AI18" s="1"/>
      <c r="AJ18" s="1"/>
      <c r="AK18" s="1"/>
      <c r="AL18" s="1"/>
      <c r="AM18" s="1"/>
      <c r="AN18" s="1"/>
      <c r="AO18" s="1"/>
      <c r="AP18" s="1"/>
      <c r="AQ18" s="1"/>
      <c r="AR18" s="1"/>
      <c r="AS18" s="1"/>
      <c r="AT18" s="1"/>
      <c r="AU18" s="1"/>
      <c r="AV18" s="1"/>
      <c r="AW18" s="1"/>
      <c r="AX18" s="1"/>
    </row>
    <row r="19" spans="1:50">
      <c r="A19" s="1"/>
      <c r="B19" s="1"/>
      <c r="C19" s="1"/>
      <c r="D19" s="1"/>
      <c r="E19" s="1"/>
      <c r="F19" s="1"/>
      <c r="G19" s="1"/>
      <c r="H19" s="1"/>
      <c r="I19" s="1"/>
      <c r="J19" s="1"/>
      <c r="K19" s="1"/>
      <c r="L19" s="1"/>
      <c r="M19" s="1"/>
      <c r="N19" s="1"/>
      <c r="O19" s="1"/>
      <c r="P19" s="30"/>
      <c r="Q19" s="31"/>
      <c r="R19" s="31"/>
      <c r="S19" s="31"/>
      <c r="T19" s="31"/>
      <c r="U19" s="31"/>
      <c r="V19" s="31"/>
      <c r="W19" s="31"/>
      <c r="X19" s="31"/>
      <c r="Y19" s="31"/>
      <c r="Z19" s="32"/>
      <c r="AA19" s="141"/>
      <c r="AB19" s="141"/>
      <c r="AC19" s="1"/>
      <c r="AD19" s="1"/>
      <c r="AE19" s="1"/>
      <c r="AF19" s="1"/>
      <c r="AG19" s="1"/>
      <c r="AH19" s="1"/>
      <c r="AI19" s="1"/>
      <c r="AJ19" s="1"/>
      <c r="AK19" s="1"/>
      <c r="AL19" s="1"/>
      <c r="AM19" s="1"/>
      <c r="AN19" s="1"/>
      <c r="AO19" s="1"/>
      <c r="AP19" s="1"/>
      <c r="AQ19" s="1"/>
      <c r="AR19" s="1"/>
      <c r="AS19" s="1"/>
      <c r="AT19" s="1"/>
      <c r="AU19" s="1"/>
      <c r="AV19" s="1"/>
      <c r="AW19" s="1"/>
      <c r="AX19" s="1"/>
    </row>
    <row r="20" spans="1:50" ht="14.45" customHeight="1">
      <c r="A20" s="1"/>
      <c r="B20" s="1"/>
      <c r="C20" s="1"/>
      <c r="D20" s="1"/>
      <c r="E20" s="1"/>
      <c r="F20" s="1"/>
      <c r="G20" s="1"/>
      <c r="H20" s="1"/>
      <c r="I20" s="1"/>
      <c r="J20" s="1"/>
      <c r="K20" s="1"/>
      <c r="L20" s="1"/>
      <c r="M20" s="1"/>
      <c r="N20" s="1"/>
      <c r="O20" s="1"/>
      <c r="P20" s="30"/>
      <c r="Q20" s="31"/>
      <c r="R20" s="388" t="s">
        <v>277</v>
      </c>
      <c r="S20" s="388"/>
      <c r="T20" s="207" t="str">
        <f>'CubeSat hardware'!$B$2</f>
        <v>Quad monopole</v>
      </c>
      <c r="U20" s="31"/>
      <c r="V20" s="31"/>
      <c r="W20" s="31"/>
      <c r="X20" s="31"/>
      <c r="Y20" s="31"/>
      <c r="Z20" s="32"/>
      <c r="AA20" s="141"/>
      <c r="AB20" s="141"/>
      <c r="AC20" s="1"/>
      <c r="AD20" s="1"/>
      <c r="AE20" s="1"/>
      <c r="AF20" s="1"/>
      <c r="AG20" s="1"/>
      <c r="AH20" s="1"/>
      <c r="AI20" s="1"/>
      <c r="AJ20" s="1"/>
      <c r="AK20" s="1"/>
      <c r="AL20" s="1"/>
      <c r="AM20" s="1"/>
      <c r="AN20" s="1"/>
      <c r="AO20" s="1"/>
      <c r="AP20" s="1"/>
      <c r="AQ20" s="1"/>
      <c r="AR20" s="1"/>
      <c r="AS20" s="1"/>
      <c r="AT20" s="1"/>
      <c r="AU20" s="1"/>
      <c r="AV20" s="1"/>
      <c r="AW20" s="1"/>
      <c r="AX20" s="1"/>
    </row>
    <row r="21" spans="1:50">
      <c r="A21" s="1"/>
      <c r="B21" s="1"/>
      <c r="C21" s="1"/>
      <c r="D21" s="1"/>
      <c r="E21" s="1"/>
      <c r="F21" s="1"/>
      <c r="G21" s="1"/>
      <c r="H21" s="1"/>
      <c r="I21" s="1"/>
      <c r="J21" s="1"/>
      <c r="K21" s="1"/>
      <c r="L21" s="1"/>
      <c r="M21" s="1"/>
      <c r="N21" s="1"/>
      <c r="O21" s="1"/>
      <c r="P21" s="30"/>
      <c r="Q21" s="31"/>
      <c r="R21" s="388" t="s">
        <v>96</v>
      </c>
      <c r="S21" s="388"/>
      <c r="T21" s="208" t="str">
        <f>'CubeSat hardware'!$B$6</f>
        <v>RHCP</v>
      </c>
      <c r="U21" s="31"/>
      <c r="V21" s="45" t="s">
        <v>89</v>
      </c>
      <c r="W21" s="206">
        <f>'CubeSat hardware'!$B$4</f>
        <v>1E-4</v>
      </c>
      <c r="X21" s="59" t="s">
        <v>90</v>
      </c>
      <c r="Y21" s="31"/>
      <c r="Z21" s="32"/>
      <c r="AA21" s="141"/>
      <c r="AB21" s="141"/>
      <c r="AC21" s="1"/>
      <c r="AD21" s="1"/>
      <c r="AE21" s="1"/>
      <c r="AF21" s="1"/>
      <c r="AG21" s="1"/>
      <c r="AH21" s="1"/>
      <c r="AI21" s="1"/>
      <c r="AJ21" s="1"/>
      <c r="AK21" s="1"/>
      <c r="AL21" s="1"/>
      <c r="AM21" s="1"/>
      <c r="AN21" s="1"/>
      <c r="AO21" s="1"/>
      <c r="AP21" s="1"/>
      <c r="AQ21" s="1"/>
      <c r="AR21" s="1"/>
      <c r="AS21" s="1"/>
      <c r="AT21" s="1"/>
      <c r="AU21" s="1"/>
      <c r="AV21" s="1"/>
      <c r="AW21" s="1"/>
      <c r="AX21" s="1"/>
    </row>
    <row r="22" spans="1:50">
      <c r="A22" s="1"/>
      <c r="B22" s="1"/>
      <c r="C22" s="1"/>
      <c r="D22" s="1"/>
      <c r="E22" s="1"/>
      <c r="F22" s="1"/>
      <c r="G22" s="1"/>
      <c r="H22" s="1"/>
      <c r="I22" s="1"/>
      <c r="J22" s="1"/>
      <c r="K22" s="1"/>
      <c r="L22" s="1"/>
      <c r="M22" s="1"/>
      <c r="N22" s="1"/>
      <c r="O22" s="1"/>
      <c r="P22" s="30"/>
      <c r="Q22" s="31"/>
      <c r="R22" s="388"/>
      <c r="S22" s="388"/>
      <c r="T22" s="149"/>
      <c r="U22" s="31"/>
      <c r="V22" s="45" t="s">
        <v>279</v>
      </c>
      <c r="W22" s="206">
        <f>'CubeSat hardware'!$B$5</f>
        <v>90</v>
      </c>
      <c r="X22" s="31" t="s">
        <v>28</v>
      </c>
      <c r="Y22" s="31"/>
      <c r="Z22" s="32"/>
      <c r="AA22" s="141"/>
      <c r="AB22" s="141"/>
      <c r="AC22" s="1"/>
      <c r="AD22" s="1"/>
      <c r="AE22" s="1"/>
      <c r="AF22" s="1"/>
      <c r="AG22" s="1"/>
      <c r="AH22" s="1"/>
      <c r="AI22" s="1"/>
      <c r="AJ22" s="1"/>
      <c r="AK22" s="1"/>
      <c r="AL22" s="1"/>
      <c r="AM22" s="1"/>
      <c r="AN22" s="1"/>
      <c r="AO22" s="1"/>
      <c r="AP22" s="1"/>
      <c r="AQ22" s="1"/>
      <c r="AR22" s="1"/>
      <c r="AS22" s="1"/>
      <c r="AT22" s="1"/>
      <c r="AU22" s="1"/>
      <c r="AV22" s="1"/>
      <c r="AW22" s="1"/>
      <c r="AX22" s="1"/>
    </row>
    <row r="23" spans="1:50">
      <c r="A23" s="1"/>
      <c r="B23" s="1"/>
      <c r="C23" s="1"/>
      <c r="D23" s="1"/>
      <c r="E23" s="1"/>
      <c r="F23" s="1"/>
      <c r="G23" s="1"/>
      <c r="H23" s="1"/>
      <c r="I23" s="1"/>
      <c r="J23" s="1"/>
      <c r="K23" s="1"/>
      <c r="L23" s="1"/>
      <c r="M23" s="1"/>
      <c r="N23" s="1"/>
      <c r="O23" s="1"/>
      <c r="P23" s="30"/>
      <c r="Q23" s="31"/>
      <c r="R23" s="45"/>
      <c r="S23" s="45"/>
      <c r="T23" s="149"/>
      <c r="U23" s="31"/>
      <c r="V23" s="45"/>
      <c r="W23" s="148"/>
      <c r="X23" s="31"/>
      <c r="Y23" s="31"/>
      <c r="Z23" s="32"/>
      <c r="AA23" s="141"/>
      <c r="AB23" s="141"/>
      <c r="AC23" s="1"/>
      <c r="AD23" s="1"/>
      <c r="AE23" s="1"/>
      <c r="AF23" s="1"/>
      <c r="AG23" s="1"/>
      <c r="AH23" s="1"/>
      <c r="AI23" s="1"/>
      <c r="AJ23" s="1"/>
      <c r="AK23" s="1"/>
      <c r="AL23" s="1"/>
      <c r="AM23" s="1"/>
      <c r="AN23" s="1"/>
      <c r="AO23" s="1"/>
      <c r="AP23" s="1"/>
      <c r="AQ23" s="1"/>
      <c r="AR23" s="1"/>
      <c r="AS23" s="1"/>
      <c r="AT23" s="1"/>
      <c r="AU23" s="1"/>
      <c r="AV23" s="1"/>
      <c r="AW23" s="1"/>
      <c r="AX23" s="1"/>
    </row>
    <row r="24" spans="1:50" ht="15" thickBot="1">
      <c r="A24" s="155"/>
      <c r="B24" s="156"/>
      <c r="C24" s="157"/>
      <c r="D24" s="141"/>
      <c r="E24" s="141"/>
      <c r="F24" s="1"/>
      <c r="G24" s="1"/>
      <c r="H24" s="1"/>
      <c r="I24" s="1"/>
      <c r="J24" s="1"/>
      <c r="K24" s="1"/>
      <c r="L24" s="1"/>
      <c r="M24" s="1"/>
      <c r="N24" s="1"/>
      <c r="O24" s="1"/>
      <c r="P24" s="33"/>
      <c r="Q24" s="34"/>
      <c r="R24" s="34"/>
      <c r="S24" s="34"/>
      <c r="T24" s="34"/>
      <c r="U24" s="34"/>
      <c r="V24" s="34"/>
      <c r="W24" s="34"/>
      <c r="X24" s="34"/>
      <c r="Y24" s="34"/>
      <c r="Z24" s="35"/>
      <c r="AA24" s="141"/>
      <c r="AB24" s="141"/>
      <c r="AC24" s="1"/>
      <c r="AD24" s="1"/>
      <c r="AE24" s="1"/>
      <c r="AF24" s="1"/>
      <c r="AG24" s="1"/>
      <c r="AH24" s="1"/>
      <c r="AI24" s="1"/>
      <c r="AJ24" s="1"/>
      <c r="AK24" s="1"/>
      <c r="AL24" s="1"/>
      <c r="AM24" s="1"/>
      <c r="AN24" s="1"/>
      <c r="AO24" s="1"/>
      <c r="AP24" s="1"/>
      <c r="AQ24" s="1"/>
      <c r="AR24" s="1"/>
      <c r="AS24" s="1"/>
      <c r="AT24" s="1"/>
      <c r="AU24" s="1"/>
      <c r="AV24" s="1"/>
      <c r="AW24" s="1"/>
      <c r="AX24" s="1"/>
    </row>
    <row r="25" spans="1:50">
      <c r="A25" s="155"/>
      <c r="B25" s="156"/>
      <c r="C25" s="141"/>
      <c r="D25" s="141"/>
      <c r="E25" s="14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c r="A26" s="141"/>
      <c r="B26" s="141"/>
      <c r="C26" s="141"/>
      <c r="D26" s="141"/>
      <c r="E26" s="14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c r="A27" s="1"/>
      <c r="B27" s="1"/>
      <c r="C27" s="1"/>
      <c r="D27" s="1"/>
      <c r="E27" s="1"/>
      <c r="F27" s="1"/>
      <c r="G27" s="1"/>
      <c r="H27" s="1"/>
      <c r="I27" s="1"/>
      <c r="J27" s="1"/>
      <c r="K27" s="1"/>
      <c r="L27" s="1"/>
      <c r="M27" s="1"/>
      <c r="N27" s="1"/>
      <c r="O27" s="1"/>
      <c r="P27" s="36"/>
      <c r="Q27" s="37"/>
      <c r="R27" s="37"/>
      <c r="S27" s="37"/>
      <c r="T27" s="37"/>
      <c r="U27" s="37"/>
      <c r="V27" s="37"/>
      <c r="W27" s="37"/>
      <c r="X27" s="37"/>
      <c r="Y27" s="37"/>
      <c r="Z27" s="38"/>
      <c r="AA27" s="141"/>
      <c r="AB27" s="141"/>
      <c r="AC27" s="1"/>
      <c r="AD27" s="1"/>
      <c r="AE27" s="1"/>
      <c r="AF27" s="1"/>
      <c r="AG27" s="1"/>
      <c r="AH27" s="1"/>
      <c r="AI27" s="1"/>
      <c r="AJ27" s="1"/>
      <c r="AK27" s="1"/>
      <c r="AL27" s="1"/>
      <c r="AM27" s="1"/>
      <c r="AN27" s="1"/>
      <c r="AO27" s="1"/>
      <c r="AP27" s="1"/>
      <c r="AQ27" s="1"/>
      <c r="AR27" s="1"/>
      <c r="AS27" s="1"/>
      <c r="AT27" s="1"/>
      <c r="AU27" s="1"/>
      <c r="AV27" s="1"/>
      <c r="AW27" s="1"/>
      <c r="AX27" s="1"/>
    </row>
    <row r="28" spans="1:50" ht="15" thickBot="1">
      <c r="A28" s="1"/>
      <c r="B28" s="1"/>
      <c r="C28" s="1"/>
      <c r="D28" s="1"/>
      <c r="E28" s="1"/>
      <c r="F28" s="1"/>
      <c r="G28" s="1"/>
      <c r="H28" s="1"/>
      <c r="I28" s="1"/>
      <c r="J28" s="1"/>
      <c r="K28" s="1"/>
      <c r="L28" s="1"/>
      <c r="M28" s="1"/>
      <c r="N28" s="1"/>
      <c r="O28" s="1"/>
      <c r="P28" s="39"/>
      <c r="Q28" s="40"/>
      <c r="R28" s="40"/>
      <c r="S28" s="40"/>
      <c r="T28" s="40"/>
      <c r="U28" s="40"/>
      <c r="V28" s="40"/>
      <c r="W28" s="40"/>
      <c r="X28" s="43"/>
      <c r="Y28" s="40"/>
      <c r="Z28" s="41"/>
      <c r="AA28" s="141"/>
      <c r="AB28" s="141"/>
      <c r="AC28" s="1"/>
      <c r="AD28" s="1"/>
      <c r="AE28" s="1"/>
      <c r="AF28" s="1"/>
      <c r="AG28" s="1"/>
      <c r="AH28" s="1"/>
      <c r="AI28" s="1"/>
      <c r="AJ28" s="1"/>
      <c r="AK28" s="1"/>
      <c r="AL28" s="1"/>
      <c r="AM28" s="1"/>
      <c r="AN28" s="1"/>
      <c r="AO28" s="1"/>
      <c r="AP28" s="1"/>
      <c r="AQ28" s="1"/>
      <c r="AR28" s="1"/>
      <c r="AS28" s="1"/>
      <c r="AT28" s="1"/>
      <c r="AU28" s="1"/>
      <c r="AV28" s="1"/>
      <c r="AW28" s="1"/>
      <c r="AX28" s="1"/>
    </row>
    <row r="29" spans="1:50" ht="30.6" thickBot="1">
      <c r="A29" s="1"/>
      <c r="B29" s="1"/>
      <c r="C29" s="1"/>
      <c r="D29" s="1"/>
      <c r="E29" s="1"/>
      <c r="F29" s="1"/>
      <c r="G29" s="1"/>
      <c r="H29" s="1"/>
      <c r="I29" s="1"/>
      <c r="J29" s="1"/>
      <c r="K29" s="1"/>
      <c r="L29" s="1"/>
      <c r="M29" s="1"/>
      <c r="N29" s="1"/>
      <c r="O29" s="1"/>
      <c r="P29" s="39"/>
      <c r="Q29" s="40"/>
      <c r="R29" s="328" t="s">
        <v>281</v>
      </c>
      <c r="S29" s="329"/>
      <c r="T29" s="329"/>
      <c r="U29" s="329"/>
      <c r="V29" s="329"/>
      <c r="W29" s="329"/>
      <c r="X29" s="330"/>
      <c r="Y29" s="39"/>
      <c r="Z29" s="41"/>
      <c r="AA29" s="141"/>
      <c r="AB29" s="141"/>
      <c r="AC29" s="1"/>
      <c r="AD29" s="1"/>
      <c r="AE29" s="1"/>
      <c r="AF29" s="1"/>
      <c r="AG29" s="1"/>
      <c r="AH29" s="1"/>
      <c r="AI29" s="1"/>
      <c r="AJ29" s="1"/>
      <c r="AK29" s="1"/>
      <c r="AL29" s="1"/>
      <c r="AM29" s="1"/>
      <c r="AN29" s="1"/>
      <c r="AO29" s="1"/>
      <c r="AP29" s="1"/>
      <c r="AQ29" s="1"/>
      <c r="AR29" s="1"/>
      <c r="AS29" s="1"/>
      <c r="AT29" s="1"/>
      <c r="AU29" s="1"/>
      <c r="AV29" s="1"/>
      <c r="AW29" s="1"/>
      <c r="AX29" s="1"/>
    </row>
    <row r="30" spans="1:50">
      <c r="A30" s="1"/>
      <c r="B30" s="1"/>
      <c r="C30" s="1"/>
      <c r="D30" s="1"/>
      <c r="E30" s="1"/>
      <c r="F30" s="1"/>
      <c r="G30" s="1"/>
      <c r="H30" s="1"/>
      <c r="I30" s="1"/>
      <c r="J30" s="1"/>
      <c r="K30" s="1"/>
      <c r="L30" s="1"/>
      <c r="M30" s="1"/>
      <c r="N30" s="1"/>
      <c r="O30" s="1"/>
      <c r="P30" s="39"/>
      <c r="Q30" s="40"/>
      <c r="R30" s="40"/>
      <c r="S30" s="40"/>
      <c r="T30" s="40"/>
      <c r="U30" s="40"/>
      <c r="V30" s="40"/>
      <c r="W30" s="40"/>
      <c r="X30" s="37"/>
      <c r="Y30" s="40"/>
      <c r="Z30" s="41"/>
      <c r="AA30" s="141"/>
      <c r="AB30" s="141"/>
      <c r="AC30" s="1"/>
      <c r="AD30" s="1"/>
      <c r="AE30" s="1"/>
      <c r="AF30" s="1"/>
      <c r="AG30" s="1"/>
      <c r="AH30" s="1"/>
      <c r="AI30" s="1"/>
      <c r="AJ30" s="1"/>
      <c r="AK30" s="1"/>
      <c r="AL30" s="1"/>
      <c r="AM30" s="1"/>
      <c r="AN30" s="1"/>
      <c r="AO30" s="1"/>
      <c r="AP30" s="1"/>
      <c r="AQ30" s="1"/>
      <c r="AR30" s="1"/>
      <c r="AS30" s="1"/>
      <c r="AT30" s="1"/>
      <c r="AU30" s="1"/>
      <c r="AV30" s="1"/>
      <c r="AW30" s="1"/>
      <c r="AX30" s="1"/>
    </row>
    <row r="31" spans="1:50">
      <c r="A31" s="1"/>
      <c r="B31" s="1"/>
      <c r="C31" s="1"/>
      <c r="D31" s="1"/>
      <c r="E31" s="1"/>
      <c r="F31" s="1"/>
      <c r="G31" s="1"/>
      <c r="H31" s="1"/>
      <c r="I31" s="1"/>
      <c r="J31" s="1"/>
      <c r="K31" s="1"/>
      <c r="L31" s="1"/>
      <c r="M31" s="1"/>
      <c r="N31" s="1"/>
      <c r="O31" s="1"/>
      <c r="P31" s="39"/>
      <c r="Q31" s="40"/>
      <c r="R31" s="395" t="s">
        <v>16</v>
      </c>
      <c r="S31" s="395"/>
      <c r="T31" s="150">
        <f>Inputs!$V$16</f>
        <v>437.15</v>
      </c>
      <c r="U31" s="40" t="s">
        <v>14</v>
      </c>
      <c r="V31" s="198" t="s">
        <v>89</v>
      </c>
      <c r="W31" s="206">
        <f>'Groundstation hardware'!$B$4</f>
        <v>15</v>
      </c>
      <c r="X31" s="40" t="s">
        <v>90</v>
      </c>
      <c r="Y31" s="40"/>
      <c r="Z31" s="41"/>
      <c r="AA31" s="141"/>
      <c r="AB31" s="141"/>
      <c r="AC31" s="1"/>
      <c r="AD31" s="1"/>
      <c r="AE31" s="1"/>
      <c r="AF31" s="1"/>
      <c r="AG31" s="1"/>
      <c r="AH31" s="1"/>
      <c r="AI31" s="1"/>
      <c r="AJ31" s="1"/>
      <c r="AK31" s="1"/>
      <c r="AL31" s="1"/>
      <c r="AM31" s="1"/>
      <c r="AN31" s="1"/>
      <c r="AO31" s="1"/>
      <c r="AP31" s="1"/>
      <c r="AQ31" s="1"/>
      <c r="AR31" s="1"/>
      <c r="AS31" s="1"/>
      <c r="AT31" s="1"/>
      <c r="AU31" s="1"/>
      <c r="AV31" s="1"/>
      <c r="AW31" s="1"/>
      <c r="AX31" s="1"/>
    </row>
    <row r="32" spans="1:50">
      <c r="A32" s="1"/>
      <c r="B32" s="1"/>
      <c r="C32" s="1"/>
      <c r="D32" s="1"/>
      <c r="E32" s="1"/>
      <c r="F32" s="1"/>
      <c r="G32" s="1"/>
      <c r="H32" s="1"/>
      <c r="I32" s="1"/>
      <c r="J32" s="1"/>
      <c r="K32" s="1"/>
      <c r="L32" s="1"/>
      <c r="M32" s="1"/>
      <c r="N32" s="1"/>
      <c r="O32" s="1"/>
      <c r="P32" s="39"/>
      <c r="Q32" s="40"/>
      <c r="R32" s="395" t="s">
        <v>276</v>
      </c>
      <c r="S32" s="395"/>
      <c r="T32" s="152">
        <f>Orbit!$V$27</f>
        <v>0.68578853482786228</v>
      </c>
      <c r="U32" s="40" t="s">
        <v>43</v>
      </c>
      <c r="V32" s="198" t="s">
        <v>279</v>
      </c>
      <c r="W32" s="206">
        <f>'Groundstation hardware'!$B$5</f>
        <v>14</v>
      </c>
      <c r="X32" s="40" t="s">
        <v>28</v>
      </c>
      <c r="Y32" s="40"/>
      <c r="Z32" s="41"/>
      <c r="AA32" s="141"/>
      <c r="AB32" s="141"/>
      <c r="AC32" s="1"/>
      <c r="AD32" s="1"/>
      <c r="AE32" s="1"/>
      <c r="AF32" s="1"/>
      <c r="AG32" s="1"/>
      <c r="AH32" s="1"/>
      <c r="AI32" s="1"/>
      <c r="AJ32" s="1"/>
      <c r="AK32" s="1"/>
      <c r="AL32" s="1"/>
      <c r="AM32" s="1"/>
      <c r="AN32" s="1"/>
      <c r="AO32" s="1"/>
      <c r="AP32" s="1"/>
      <c r="AQ32" s="1"/>
      <c r="AR32" s="1"/>
      <c r="AS32" s="1"/>
      <c r="AT32" s="1"/>
      <c r="AU32" s="1"/>
      <c r="AV32" s="1"/>
      <c r="AW32" s="1"/>
      <c r="AX32" s="1"/>
    </row>
    <row r="33" spans="1:50">
      <c r="A33" s="1"/>
      <c r="B33" s="1"/>
      <c r="C33" s="1"/>
      <c r="D33" s="1"/>
      <c r="E33" s="1"/>
      <c r="F33" s="1"/>
      <c r="G33" s="1"/>
      <c r="H33" s="1"/>
      <c r="I33" s="1"/>
      <c r="J33" s="1"/>
      <c r="K33" s="1"/>
      <c r="L33" s="1"/>
      <c r="M33" s="1"/>
      <c r="N33" s="1"/>
      <c r="O33" s="1"/>
      <c r="P33" s="39"/>
      <c r="Q33" s="40"/>
      <c r="R33" s="198"/>
      <c r="S33" s="198"/>
      <c r="T33" s="146"/>
      <c r="U33" s="146"/>
      <c r="V33" s="198" t="s">
        <v>96</v>
      </c>
      <c r="W33" s="206" t="str">
        <f>'Groundstation hardware'!$B$6</f>
        <v>RHCP</v>
      </c>
      <c r="X33" s="40"/>
      <c r="Y33" s="40"/>
      <c r="Z33" s="41"/>
      <c r="AA33" s="141"/>
      <c r="AB33" s="141"/>
      <c r="AC33" s="1"/>
      <c r="AD33" s="1"/>
      <c r="AE33" s="1"/>
      <c r="AF33" s="1"/>
      <c r="AG33" s="1"/>
      <c r="AH33" s="1"/>
      <c r="AI33" s="1"/>
      <c r="AJ33" s="1"/>
      <c r="AK33" s="1"/>
      <c r="AL33" s="1"/>
      <c r="AM33" s="1"/>
      <c r="AN33" s="1"/>
      <c r="AO33" s="1"/>
      <c r="AP33" s="1"/>
      <c r="AQ33" s="1"/>
      <c r="AR33" s="1"/>
      <c r="AS33" s="1"/>
      <c r="AT33" s="1"/>
      <c r="AU33" s="1"/>
      <c r="AV33" s="1"/>
      <c r="AW33" s="1"/>
      <c r="AX33" s="1"/>
    </row>
    <row r="34" spans="1:50">
      <c r="A34" s="1"/>
      <c r="B34" s="1"/>
      <c r="C34" s="1"/>
      <c r="D34" s="1"/>
      <c r="E34" s="1"/>
      <c r="F34" s="1"/>
      <c r="G34" s="1"/>
      <c r="H34" s="1"/>
      <c r="I34" s="1"/>
      <c r="J34" s="1"/>
      <c r="K34" s="1"/>
      <c r="L34" s="1"/>
      <c r="M34" s="1"/>
      <c r="N34" s="1"/>
      <c r="O34" s="1"/>
      <c r="P34" s="39"/>
      <c r="Q34" s="40"/>
      <c r="R34" s="40"/>
      <c r="S34" s="40"/>
      <c r="T34" s="40"/>
      <c r="U34" s="40"/>
      <c r="V34" s="40"/>
      <c r="W34" s="40"/>
      <c r="X34" s="40"/>
      <c r="Y34" s="40"/>
      <c r="Z34" s="41"/>
      <c r="AA34" s="141"/>
      <c r="AB34" s="141"/>
      <c r="AC34" s="1"/>
      <c r="AD34" s="1"/>
      <c r="AE34" s="1"/>
      <c r="AF34" s="1"/>
      <c r="AG34" s="1"/>
      <c r="AH34" s="1"/>
      <c r="AI34" s="1"/>
      <c r="AJ34" s="1"/>
      <c r="AK34" s="1"/>
      <c r="AL34" s="1"/>
      <c r="AM34" s="1"/>
      <c r="AN34" s="1"/>
      <c r="AO34" s="1"/>
      <c r="AP34" s="1"/>
      <c r="AQ34" s="1"/>
      <c r="AR34" s="1"/>
      <c r="AS34" s="1"/>
      <c r="AT34" s="1"/>
      <c r="AU34" s="1"/>
      <c r="AV34" s="1"/>
      <c r="AW34" s="1"/>
      <c r="AX34" s="1"/>
    </row>
    <row r="35" spans="1:50" ht="15" thickBot="1">
      <c r="A35" s="1"/>
      <c r="B35" s="1"/>
      <c r="C35" s="1"/>
      <c r="D35" s="1"/>
      <c r="E35" s="1"/>
      <c r="F35" s="1"/>
      <c r="G35" s="1"/>
      <c r="H35" s="1"/>
      <c r="I35" s="1"/>
      <c r="J35" s="1"/>
      <c r="K35" s="1"/>
      <c r="L35" s="1"/>
      <c r="M35" s="1"/>
      <c r="N35" s="1"/>
      <c r="O35" s="1"/>
      <c r="P35" s="39"/>
      <c r="Q35" s="40"/>
      <c r="R35" s="198"/>
      <c r="S35" s="40"/>
      <c r="T35" s="40"/>
      <c r="U35" s="40"/>
      <c r="V35" s="40"/>
      <c r="W35" s="40"/>
      <c r="X35" s="43"/>
      <c r="Y35" s="40"/>
      <c r="Z35" s="41"/>
      <c r="AA35" s="141"/>
      <c r="AB35" s="141"/>
      <c r="AC35" s="1"/>
      <c r="AD35" s="1"/>
      <c r="AE35" s="1"/>
      <c r="AF35" s="1"/>
      <c r="AG35" s="1"/>
      <c r="AH35" s="1"/>
      <c r="AI35" s="1"/>
      <c r="AJ35" s="1"/>
      <c r="AK35" s="1"/>
      <c r="AL35" s="1"/>
      <c r="AM35" s="1"/>
      <c r="AN35" s="1"/>
      <c r="AO35" s="1"/>
      <c r="AP35" s="1"/>
      <c r="AQ35" s="1"/>
      <c r="AR35" s="1"/>
      <c r="AS35" s="1"/>
      <c r="AT35" s="1"/>
      <c r="AU35" s="1"/>
      <c r="AV35" s="1"/>
      <c r="AW35" s="1"/>
      <c r="AX35" s="1"/>
    </row>
    <row r="36" spans="1:50" ht="30.6" thickBot="1">
      <c r="A36" s="1"/>
      <c r="B36" s="1"/>
      <c r="C36" s="1"/>
      <c r="D36" s="1"/>
      <c r="E36" s="1"/>
      <c r="F36" s="1"/>
      <c r="G36" s="1"/>
      <c r="H36" s="1"/>
      <c r="I36" s="1"/>
      <c r="J36" s="1"/>
      <c r="K36" s="1"/>
      <c r="L36" s="1"/>
      <c r="M36" s="1"/>
      <c r="N36" s="1"/>
      <c r="O36" s="1"/>
      <c r="P36" s="39"/>
      <c r="Q36" s="40"/>
      <c r="R36" s="328" t="s">
        <v>282</v>
      </c>
      <c r="S36" s="329"/>
      <c r="T36" s="329"/>
      <c r="U36" s="329"/>
      <c r="V36" s="329"/>
      <c r="W36" s="329"/>
      <c r="X36" s="330"/>
      <c r="Y36" s="39"/>
      <c r="Z36" s="41"/>
      <c r="AA36" s="141"/>
      <c r="AB36" s="141"/>
      <c r="AC36" s="1"/>
      <c r="AD36" s="1"/>
      <c r="AE36" s="1"/>
      <c r="AF36" s="1"/>
      <c r="AG36" s="1"/>
      <c r="AH36" s="1"/>
      <c r="AI36" s="1"/>
      <c r="AJ36" s="1"/>
      <c r="AK36" s="1"/>
      <c r="AL36" s="1"/>
      <c r="AM36" s="1"/>
      <c r="AN36" s="1"/>
      <c r="AO36" s="1"/>
      <c r="AP36" s="1"/>
      <c r="AQ36" s="1"/>
      <c r="AR36" s="1"/>
      <c r="AS36" s="1"/>
      <c r="AT36" s="1"/>
      <c r="AU36" s="1"/>
      <c r="AV36" s="1"/>
      <c r="AW36" s="1"/>
      <c r="AX36" s="1"/>
    </row>
    <row r="37" spans="1:50">
      <c r="A37" s="1"/>
      <c r="B37" s="1"/>
      <c r="C37" s="1"/>
      <c r="D37" s="1"/>
      <c r="E37" s="1"/>
      <c r="F37" s="1"/>
      <c r="G37" s="1"/>
      <c r="H37" s="1"/>
      <c r="I37" s="1"/>
      <c r="J37" s="1"/>
      <c r="K37" s="1"/>
      <c r="L37" s="1"/>
      <c r="M37" s="1"/>
      <c r="N37" s="1"/>
      <c r="O37" s="1"/>
      <c r="P37" s="39"/>
      <c r="Q37" s="40"/>
      <c r="R37" s="40"/>
      <c r="S37" s="40"/>
      <c r="T37" s="40"/>
      <c r="U37" s="40"/>
      <c r="V37" s="40"/>
      <c r="W37" s="40"/>
      <c r="X37" s="37"/>
      <c r="Y37" s="40"/>
      <c r="Z37" s="41"/>
      <c r="AA37" s="141"/>
      <c r="AB37" s="141"/>
      <c r="AC37" s="1"/>
      <c r="AD37" s="1"/>
      <c r="AE37" s="1"/>
      <c r="AF37" s="1"/>
      <c r="AG37" s="1"/>
      <c r="AH37" s="1"/>
      <c r="AI37" s="1"/>
      <c r="AJ37" s="1"/>
      <c r="AK37" s="1"/>
      <c r="AL37" s="1"/>
      <c r="AM37" s="1"/>
      <c r="AN37" s="1"/>
      <c r="AO37" s="1"/>
      <c r="AP37" s="1"/>
      <c r="AQ37" s="1"/>
      <c r="AR37" s="1"/>
      <c r="AS37" s="1"/>
      <c r="AT37" s="1"/>
      <c r="AU37" s="1"/>
      <c r="AV37" s="1"/>
      <c r="AW37" s="1"/>
      <c r="AX37" s="1"/>
    </row>
    <row r="38" spans="1:50">
      <c r="A38" s="1"/>
      <c r="B38" s="1"/>
      <c r="C38" s="1"/>
      <c r="D38" s="1"/>
      <c r="E38" s="1"/>
      <c r="F38" s="1"/>
      <c r="G38" s="1"/>
      <c r="H38" s="1"/>
      <c r="I38" s="1"/>
      <c r="J38" s="1"/>
      <c r="K38" s="1"/>
      <c r="L38" s="1"/>
      <c r="M38" s="1"/>
      <c r="N38" s="1"/>
      <c r="O38" s="1"/>
      <c r="P38" s="39"/>
      <c r="Q38" s="40"/>
      <c r="R38" s="395" t="s">
        <v>283</v>
      </c>
      <c r="S38" s="395"/>
      <c r="T38" s="151">
        <f>Inputs!$V$16</f>
        <v>437.15</v>
      </c>
      <c r="U38" s="40" t="s">
        <v>14</v>
      </c>
      <c r="V38" s="198" t="s">
        <v>89</v>
      </c>
      <c r="W38" s="206">
        <f>'CubeSat hardware'!$B$4</f>
        <v>1E-4</v>
      </c>
      <c r="X38" s="40" t="s">
        <v>90</v>
      </c>
      <c r="Y38" s="40"/>
      <c r="Z38" s="41"/>
      <c r="AA38" s="141"/>
      <c r="AB38" s="141"/>
      <c r="AC38" s="1"/>
      <c r="AD38" s="1"/>
      <c r="AE38" s="1"/>
      <c r="AF38" s="1"/>
      <c r="AG38" s="1"/>
      <c r="AH38" s="1"/>
      <c r="AI38" s="1"/>
      <c r="AJ38" s="1"/>
      <c r="AK38" s="1"/>
      <c r="AL38" s="1"/>
      <c r="AM38" s="1"/>
      <c r="AN38" s="1"/>
      <c r="AO38" s="1"/>
      <c r="AP38" s="1"/>
      <c r="AQ38" s="1"/>
      <c r="AR38" s="1"/>
      <c r="AS38" s="1"/>
      <c r="AT38" s="1"/>
      <c r="AU38" s="1"/>
      <c r="AV38" s="1"/>
      <c r="AW38" s="1"/>
      <c r="AX38" s="1"/>
    </row>
    <row r="39" spans="1:50">
      <c r="A39" s="1"/>
      <c r="B39" s="1"/>
      <c r="C39" s="1"/>
      <c r="D39" s="1"/>
      <c r="E39" s="1"/>
      <c r="F39" s="1"/>
      <c r="G39" s="1"/>
      <c r="H39" s="1"/>
      <c r="I39" s="1"/>
      <c r="J39" s="1"/>
      <c r="K39" s="1"/>
      <c r="L39" s="1"/>
      <c r="M39" s="1"/>
      <c r="N39" s="1"/>
      <c r="O39" s="1"/>
      <c r="P39" s="39"/>
      <c r="Q39" s="40"/>
      <c r="R39" s="395" t="s">
        <v>284</v>
      </c>
      <c r="S39" s="395"/>
      <c r="T39" s="152">
        <f>Orbit!$V$28</f>
        <v>0.68578853482786228</v>
      </c>
      <c r="U39" s="40" t="s">
        <v>43</v>
      </c>
      <c r="V39" s="198" t="s">
        <v>279</v>
      </c>
      <c r="W39" s="206">
        <f>'CubeSat hardware'!$B$5</f>
        <v>90</v>
      </c>
      <c r="X39" s="40" t="s">
        <v>28</v>
      </c>
      <c r="Y39" s="40"/>
      <c r="Z39" s="41"/>
      <c r="AA39" s="141"/>
      <c r="AB39" s="141"/>
      <c r="AC39" s="1"/>
      <c r="AD39" s="1"/>
      <c r="AE39" s="1"/>
      <c r="AF39" s="1"/>
      <c r="AG39" s="1"/>
      <c r="AH39" s="1"/>
      <c r="AI39" s="1"/>
      <c r="AJ39" s="1"/>
      <c r="AK39" s="1"/>
      <c r="AL39" s="1"/>
      <c r="AM39" s="1"/>
      <c r="AN39" s="1"/>
      <c r="AO39" s="1"/>
      <c r="AP39" s="1"/>
      <c r="AQ39" s="1"/>
      <c r="AR39" s="1"/>
      <c r="AS39" s="1"/>
      <c r="AT39" s="1"/>
      <c r="AU39" s="1"/>
      <c r="AV39" s="1"/>
      <c r="AW39" s="1"/>
      <c r="AX39" s="1"/>
    </row>
    <row r="40" spans="1:50">
      <c r="A40" s="1"/>
      <c r="B40" s="1"/>
      <c r="C40" s="1"/>
      <c r="D40" s="1"/>
      <c r="E40" s="1"/>
      <c r="F40" s="1"/>
      <c r="G40" s="1"/>
      <c r="H40" s="1"/>
      <c r="I40" s="1"/>
      <c r="J40" s="1"/>
      <c r="K40" s="1"/>
      <c r="L40" s="1"/>
      <c r="M40" s="1"/>
      <c r="N40" s="1"/>
      <c r="O40" s="1"/>
      <c r="P40" s="39"/>
      <c r="Q40" s="40"/>
      <c r="R40" s="198"/>
      <c r="S40" s="198"/>
      <c r="T40" s="40"/>
      <c r="U40" s="40"/>
      <c r="V40" s="198" t="s">
        <v>96</v>
      </c>
      <c r="W40" s="208" t="str">
        <f>'CubeSat hardware'!$B$6</f>
        <v>RHCP</v>
      </c>
      <c r="X40" s="40"/>
      <c r="Y40" s="40"/>
      <c r="Z40" s="41"/>
      <c r="AA40" s="141"/>
      <c r="AB40" s="141"/>
      <c r="AC40" s="1"/>
      <c r="AD40" s="1"/>
      <c r="AE40" s="1"/>
      <c r="AF40" s="1"/>
      <c r="AG40" s="1"/>
      <c r="AH40" s="1"/>
      <c r="AI40" s="1"/>
      <c r="AJ40" s="1"/>
      <c r="AK40" s="1"/>
      <c r="AL40" s="1"/>
      <c r="AM40" s="1"/>
      <c r="AN40" s="1"/>
      <c r="AO40" s="1"/>
      <c r="AP40" s="1"/>
      <c r="AQ40" s="1"/>
      <c r="AR40" s="1"/>
      <c r="AS40" s="1"/>
      <c r="AT40" s="1"/>
      <c r="AU40" s="1"/>
      <c r="AV40" s="1"/>
      <c r="AW40" s="1"/>
      <c r="AX40" s="1"/>
    </row>
    <row r="41" spans="1:50">
      <c r="A41" s="1"/>
      <c r="B41" s="1"/>
      <c r="C41" s="1"/>
      <c r="D41" s="1"/>
      <c r="E41" s="1"/>
      <c r="F41" s="1"/>
      <c r="G41" s="1"/>
      <c r="H41" s="1"/>
      <c r="I41" s="1"/>
      <c r="J41" s="1"/>
      <c r="K41" s="1"/>
      <c r="L41" s="1"/>
      <c r="M41" s="1"/>
      <c r="N41" s="1"/>
      <c r="O41" s="1"/>
      <c r="P41" s="39"/>
      <c r="Q41" s="40"/>
      <c r="R41" s="40"/>
      <c r="S41" s="40"/>
      <c r="T41" s="40"/>
      <c r="U41" s="40"/>
      <c r="V41" s="40"/>
      <c r="W41" s="40"/>
      <c r="X41" s="40"/>
      <c r="Y41" s="40"/>
      <c r="Z41" s="41"/>
      <c r="AA41" s="141"/>
      <c r="AB41" s="141"/>
      <c r="AC41" s="1"/>
      <c r="AD41" s="1"/>
      <c r="AE41" s="1"/>
      <c r="AF41" s="1"/>
      <c r="AG41" s="1"/>
      <c r="AH41" s="1"/>
      <c r="AI41" s="1"/>
      <c r="AJ41" s="1"/>
      <c r="AK41" s="1"/>
      <c r="AL41" s="1"/>
      <c r="AM41" s="1"/>
      <c r="AN41" s="1"/>
      <c r="AO41" s="1"/>
      <c r="AP41" s="1"/>
      <c r="AQ41" s="1"/>
      <c r="AR41" s="1"/>
      <c r="AS41" s="1"/>
      <c r="AT41" s="1"/>
      <c r="AU41" s="1"/>
      <c r="AV41" s="1"/>
      <c r="AW41" s="1"/>
      <c r="AX41" s="1"/>
    </row>
    <row r="42" spans="1:50" ht="15" thickBot="1">
      <c r="A42" s="1"/>
      <c r="B42" s="1"/>
      <c r="C42" s="1"/>
      <c r="D42" s="1"/>
      <c r="E42" s="1"/>
      <c r="F42" s="1"/>
      <c r="G42" s="1"/>
      <c r="H42" s="1"/>
      <c r="I42" s="1"/>
      <c r="J42" s="1"/>
      <c r="K42" s="1"/>
      <c r="L42" s="1"/>
      <c r="M42" s="1"/>
      <c r="N42" s="1"/>
      <c r="O42" s="1"/>
      <c r="P42" s="42"/>
      <c r="Q42" s="43"/>
      <c r="R42" s="43"/>
      <c r="S42" s="43"/>
      <c r="T42" s="43"/>
      <c r="U42" s="43"/>
      <c r="V42" s="43"/>
      <c r="W42" s="43"/>
      <c r="X42" s="43"/>
      <c r="Y42" s="43"/>
      <c r="Z42" s="44"/>
      <c r="AA42" s="141"/>
      <c r="AB42" s="141"/>
      <c r="AC42" s="1"/>
      <c r="AD42" s="1"/>
      <c r="AE42" s="1"/>
      <c r="AF42" s="1"/>
      <c r="AG42" s="1"/>
      <c r="AH42" s="1"/>
      <c r="AI42" s="1"/>
      <c r="AJ42" s="1"/>
      <c r="AK42" s="1"/>
      <c r="AL42" s="1"/>
      <c r="AM42" s="1"/>
      <c r="AN42" s="1"/>
      <c r="AO42" s="1"/>
      <c r="AP42" s="1"/>
      <c r="AQ42" s="1"/>
      <c r="AR42" s="1"/>
      <c r="AS42" s="1"/>
      <c r="AT42" s="1"/>
      <c r="AU42" s="1"/>
      <c r="AV42" s="1"/>
      <c r="AW42" s="1"/>
      <c r="AX42" s="1"/>
    </row>
    <row r="43" spans="1:50">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ht="15" thickBo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c r="A45" s="1"/>
      <c r="B45" s="1"/>
      <c r="C45" s="1"/>
      <c r="D45" s="1"/>
      <c r="E45" s="1"/>
      <c r="F45" s="1"/>
      <c r="G45" s="1"/>
      <c r="H45" s="1"/>
      <c r="I45" s="1"/>
      <c r="J45" s="1"/>
      <c r="K45" s="1"/>
      <c r="L45" s="1"/>
      <c r="M45" s="1"/>
      <c r="N45" s="1"/>
      <c r="O45" s="1"/>
      <c r="P45" s="26"/>
      <c r="Q45" s="27"/>
      <c r="R45" s="27"/>
      <c r="S45" s="27"/>
      <c r="T45" s="27"/>
      <c r="U45" s="27"/>
      <c r="V45" s="27"/>
      <c r="W45" s="27"/>
      <c r="X45" s="27"/>
      <c r="Y45" s="27"/>
      <c r="Z45" s="28"/>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50" ht="15" thickBot="1">
      <c r="A46" s="1"/>
      <c r="B46" s="1"/>
      <c r="C46" s="1"/>
      <c r="D46" s="1"/>
      <c r="E46" s="1"/>
      <c r="F46" s="1"/>
      <c r="G46" s="1"/>
      <c r="H46" s="1"/>
      <c r="I46" s="1"/>
      <c r="J46" s="1"/>
      <c r="K46" s="1"/>
      <c r="L46" s="1"/>
      <c r="M46" s="1"/>
      <c r="N46" s="1"/>
      <c r="O46" s="1"/>
      <c r="P46" s="30"/>
      <c r="Q46" s="31"/>
      <c r="R46" s="31"/>
      <c r="S46" s="159"/>
      <c r="T46" s="31"/>
      <c r="U46" s="31"/>
      <c r="V46" s="31"/>
      <c r="W46" s="31"/>
      <c r="X46" s="31"/>
      <c r="Y46" s="31"/>
      <c r="Z46" s="32"/>
      <c r="AA46" s="1"/>
      <c r="AB46" s="1"/>
      <c r="AC46" s="1"/>
      <c r="AD46" s="1"/>
      <c r="AE46" s="1"/>
      <c r="AF46" s="1"/>
      <c r="AG46" s="1"/>
      <c r="AH46" s="1"/>
      <c r="AI46" s="1"/>
      <c r="AJ46" s="1"/>
      <c r="AK46" s="1"/>
      <c r="AL46" s="1"/>
      <c r="AM46" s="1"/>
      <c r="AN46" s="1"/>
      <c r="AO46" s="1"/>
      <c r="AP46" s="1"/>
      <c r="AQ46" s="1"/>
      <c r="AR46" s="1"/>
      <c r="AS46" s="1"/>
      <c r="AT46" s="1"/>
      <c r="AU46" s="1"/>
      <c r="AV46" s="1"/>
      <c r="AW46" s="1"/>
      <c r="AX46" s="1"/>
    </row>
    <row r="47" spans="1:50" ht="30.6" thickBot="1">
      <c r="A47" s="1"/>
      <c r="B47" s="1"/>
      <c r="C47" s="1"/>
      <c r="D47" s="1"/>
      <c r="E47" s="1"/>
      <c r="F47" s="1"/>
      <c r="G47" s="1"/>
      <c r="H47" s="1"/>
      <c r="I47" s="1"/>
      <c r="J47" s="1"/>
      <c r="K47" s="1"/>
      <c r="L47" s="1"/>
      <c r="M47" s="1"/>
      <c r="N47" s="1"/>
      <c r="O47" s="1"/>
      <c r="P47" s="30"/>
      <c r="Q47" s="31"/>
      <c r="R47" s="328" t="s">
        <v>285</v>
      </c>
      <c r="S47" s="329"/>
      <c r="T47" s="329"/>
      <c r="U47" s="329"/>
      <c r="V47" s="329"/>
      <c r="W47" s="329"/>
      <c r="X47" s="330"/>
      <c r="Y47" s="30"/>
      <c r="Z47" s="32"/>
      <c r="AA47" s="1"/>
      <c r="AB47" s="1"/>
      <c r="AC47" s="1"/>
      <c r="AD47" s="1"/>
      <c r="AE47" s="1"/>
      <c r="AF47" s="1"/>
      <c r="AG47" s="1"/>
      <c r="AH47" s="1"/>
      <c r="AI47" s="1"/>
      <c r="AJ47" s="1"/>
      <c r="AK47" s="1"/>
      <c r="AL47" s="1"/>
      <c r="AM47" s="1"/>
      <c r="AN47" s="1"/>
      <c r="AO47" s="1"/>
      <c r="AP47" s="1"/>
      <c r="AQ47" s="1"/>
      <c r="AR47" s="1"/>
      <c r="AS47" s="1"/>
      <c r="AT47" s="1"/>
      <c r="AU47" s="1"/>
      <c r="AV47" s="1"/>
      <c r="AW47" s="1"/>
      <c r="AX47" s="1"/>
    </row>
    <row r="48" spans="1:50">
      <c r="A48" s="1"/>
      <c r="B48" s="1"/>
      <c r="C48" s="1"/>
      <c r="D48" s="1"/>
      <c r="E48" s="1"/>
      <c r="F48" s="1"/>
      <c r="G48" s="1"/>
      <c r="H48" s="1"/>
      <c r="I48" s="1"/>
      <c r="J48" s="1"/>
      <c r="K48" s="1"/>
      <c r="L48" s="1"/>
      <c r="M48" s="1"/>
      <c r="N48" s="1"/>
      <c r="O48" s="1"/>
      <c r="P48" s="30"/>
      <c r="Q48" s="31"/>
      <c r="R48" s="31"/>
      <c r="S48" s="31"/>
      <c r="T48" s="31"/>
      <c r="U48" s="31"/>
      <c r="V48" s="31"/>
      <c r="W48" s="31"/>
      <c r="X48" s="31"/>
      <c r="Y48" s="31"/>
      <c r="Z48" s="32"/>
      <c r="AA48" s="1"/>
      <c r="AB48" s="1"/>
      <c r="AC48" s="1"/>
      <c r="AD48" s="1"/>
      <c r="AE48" s="1"/>
      <c r="AF48" s="1"/>
      <c r="AG48" s="1"/>
      <c r="AH48" s="1"/>
      <c r="AI48" s="1"/>
      <c r="AJ48" s="1"/>
      <c r="AK48" s="1"/>
      <c r="AL48" s="1"/>
      <c r="AM48" s="1"/>
      <c r="AN48" s="1"/>
      <c r="AO48" s="1"/>
      <c r="AP48" s="1"/>
      <c r="AQ48" s="1"/>
      <c r="AR48" s="1"/>
      <c r="AS48" s="1"/>
      <c r="AT48" s="1"/>
      <c r="AU48" s="1"/>
      <c r="AV48" s="1"/>
      <c r="AW48" s="1"/>
      <c r="AX48" s="1"/>
    </row>
    <row r="49" spans="1:50">
      <c r="A49" s="1"/>
      <c r="B49" s="1"/>
      <c r="C49" s="1"/>
      <c r="D49" s="1"/>
      <c r="E49" s="1"/>
      <c r="F49" s="1"/>
      <c r="G49" s="1"/>
      <c r="H49" s="1"/>
      <c r="I49" s="1"/>
      <c r="J49" s="1"/>
      <c r="K49" s="1"/>
      <c r="L49" s="1"/>
      <c r="M49" s="1"/>
      <c r="N49" s="1"/>
      <c r="O49" s="1"/>
      <c r="P49" s="30"/>
      <c r="Q49" s="31"/>
      <c r="R49" s="388" t="s">
        <v>13</v>
      </c>
      <c r="S49" s="388"/>
      <c r="T49" s="150">
        <f>Inputs!$V$15</f>
        <v>437.15</v>
      </c>
      <c r="U49" s="31" t="s">
        <v>14</v>
      </c>
      <c r="V49" s="147"/>
      <c r="W49" s="31"/>
      <c r="X49" s="48"/>
      <c r="Y49" s="31"/>
      <c r="Z49" s="32"/>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1:50">
      <c r="A50" s="1"/>
      <c r="B50" s="1"/>
      <c r="C50" s="1"/>
      <c r="D50" s="1"/>
      <c r="E50" s="1"/>
      <c r="F50" s="1"/>
      <c r="G50" s="1"/>
      <c r="H50" s="1"/>
      <c r="I50" s="1"/>
      <c r="J50" s="1"/>
      <c r="K50" s="1"/>
      <c r="L50" s="1"/>
      <c r="M50" s="1"/>
      <c r="N50" s="1"/>
      <c r="O50" s="1"/>
      <c r="P50" s="30"/>
      <c r="Q50" s="31"/>
      <c r="R50" s="388" t="s">
        <v>276</v>
      </c>
      <c r="S50" s="388"/>
      <c r="T50" s="152">
        <f>Orbit!$V$27</f>
        <v>0.68578853482786228</v>
      </c>
      <c r="U50" s="31" t="s">
        <v>43</v>
      </c>
      <c r="V50" s="31"/>
      <c r="W50" s="48"/>
      <c r="X50" s="48"/>
      <c r="Y50" s="31"/>
      <c r="Z50" s="32"/>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1:50">
      <c r="A51" s="1"/>
      <c r="B51" s="1"/>
      <c r="C51" s="1"/>
      <c r="D51" s="1"/>
      <c r="E51" s="1"/>
      <c r="F51" s="1"/>
      <c r="G51" s="1"/>
      <c r="H51" s="1"/>
      <c r="I51" s="1"/>
      <c r="J51" s="1"/>
      <c r="K51" s="1"/>
      <c r="L51" s="1"/>
      <c r="M51" s="1"/>
      <c r="N51" s="1"/>
      <c r="O51" s="1"/>
      <c r="P51" s="30"/>
      <c r="Q51" s="31"/>
      <c r="R51" s="31"/>
      <c r="S51" s="31"/>
      <c r="T51" s="31"/>
      <c r="U51" s="31"/>
      <c r="V51" s="31"/>
      <c r="W51" s="48"/>
      <c r="X51" s="48"/>
      <c r="Y51" s="31"/>
      <c r="Z51" s="32"/>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1:50">
      <c r="A52" s="1"/>
      <c r="B52" s="1"/>
      <c r="C52" s="1"/>
      <c r="D52" s="1"/>
      <c r="E52" s="1"/>
      <c r="F52" s="1"/>
      <c r="G52" s="1"/>
      <c r="H52" s="1"/>
      <c r="I52" s="1"/>
      <c r="J52" s="1"/>
      <c r="K52" s="1"/>
      <c r="L52" s="1"/>
      <c r="M52" s="1"/>
      <c r="N52" s="1"/>
      <c r="O52" s="1"/>
      <c r="P52" s="30"/>
      <c r="Q52" s="31"/>
      <c r="R52" s="388" t="s">
        <v>277</v>
      </c>
      <c r="S52" s="388"/>
      <c r="T52" s="211" t="s">
        <v>158</v>
      </c>
      <c r="U52" s="31"/>
      <c r="V52" s="31"/>
      <c r="W52" s="31"/>
      <c r="X52" s="31"/>
      <c r="Y52" s="31"/>
      <c r="Z52" s="32"/>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1:50">
      <c r="A53" s="1"/>
      <c r="B53" s="1"/>
      <c r="C53" s="1"/>
      <c r="D53" s="1"/>
      <c r="E53" s="1"/>
      <c r="F53" s="1"/>
      <c r="G53" s="1"/>
      <c r="H53" s="1"/>
      <c r="I53" s="1"/>
      <c r="J53" s="1"/>
      <c r="K53" s="1"/>
      <c r="L53" s="1"/>
      <c r="M53" s="1"/>
      <c r="N53" s="1"/>
      <c r="O53" s="1"/>
      <c r="P53" s="30"/>
      <c r="Q53" s="31"/>
      <c r="R53" s="388" t="s">
        <v>96</v>
      </c>
      <c r="S53" s="388"/>
      <c r="T53" s="206" t="str">
        <f>'MTU hardware'!$B$6</f>
        <v>RHCP</v>
      </c>
      <c r="U53" s="31"/>
      <c r="V53" s="45" t="s">
        <v>89</v>
      </c>
      <c r="W53" s="206">
        <f>'MTU hardware'!$B$4</f>
        <v>16.559999999999999</v>
      </c>
      <c r="X53" s="59" t="s">
        <v>90</v>
      </c>
      <c r="Y53" s="31"/>
      <c r="Z53" s="32"/>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1:50">
      <c r="A54" s="1"/>
      <c r="B54" s="1"/>
      <c r="C54" s="1"/>
      <c r="D54" s="1"/>
      <c r="E54" s="1"/>
      <c r="F54" s="1"/>
      <c r="G54" s="1"/>
      <c r="H54" s="1"/>
      <c r="I54" s="1"/>
      <c r="J54" s="1"/>
      <c r="K54" s="1"/>
      <c r="L54" s="1"/>
      <c r="M54" s="1"/>
      <c r="N54" s="1"/>
      <c r="O54" s="1"/>
      <c r="P54" s="30"/>
      <c r="Q54" s="31"/>
      <c r="R54" s="388" t="s">
        <v>278</v>
      </c>
      <c r="S54" s="388"/>
      <c r="T54" s="218">
        <f>'MTU hardware'!$B$9</f>
        <v>3.15</v>
      </c>
      <c r="U54" s="31" t="s">
        <v>43</v>
      </c>
      <c r="V54" s="45" t="s">
        <v>279</v>
      </c>
      <c r="W54" s="206">
        <f>'MTU hardware'!$B$5</f>
        <v>28.8</v>
      </c>
      <c r="X54" s="31" t="s">
        <v>28</v>
      </c>
      <c r="Y54" s="31"/>
      <c r="Z54" s="32"/>
      <c r="AA54" s="1"/>
      <c r="AB54" s="1"/>
      <c r="AC54" s="1"/>
      <c r="AD54" s="1"/>
      <c r="AE54" s="1"/>
      <c r="AF54" s="1"/>
      <c r="AG54" s="1"/>
      <c r="AH54" s="1"/>
      <c r="AI54" s="1"/>
      <c r="AJ54" s="1"/>
      <c r="AK54" s="1"/>
      <c r="AL54" s="1"/>
      <c r="AM54" s="1"/>
      <c r="AN54" s="1"/>
      <c r="AO54" s="1"/>
      <c r="AP54" s="1"/>
      <c r="AQ54" s="1"/>
      <c r="AR54" s="1"/>
      <c r="AS54" s="1"/>
      <c r="AT54" s="1"/>
      <c r="AU54" s="1"/>
      <c r="AV54" s="1"/>
      <c r="AW54" s="1"/>
      <c r="AX54" s="1"/>
    </row>
    <row r="55" spans="1:50" ht="15" thickBot="1">
      <c r="A55" s="1"/>
      <c r="B55" s="1"/>
      <c r="C55" s="1"/>
      <c r="D55" s="1"/>
      <c r="E55" s="1"/>
      <c r="F55" s="1"/>
      <c r="G55" s="1"/>
      <c r="H55" s="1"/>
      <c r="I55" s="1"/>
      <c r="J55" s="1"/>
      <c r="K55" s="1"/>
      <c r="L55" s="1"/>
      <c r="M55" s="1"/>
      <c r="N55" s="1"/>
      <c r="O55" s="1"/>
      <c r="P55" s="30"/>
      <c r="Q55" s="31"/>
      <c r="R55" s="31"/>
      <c r="S55" s="31"/>
      <c r="T55" s="31"/>
      <c r="U55" s="31"/>
      <c r="V55" s="31"/>
      <c r="W55" s="31"/>
      <c r="X55" s="31"/>
      <c r="Y55" s="31"/>
      <c r="Z55" s="32"/>
      <c r="AA55" s="1"/>
      <c r="AB55" s="1"/>
      <c r="AC55" s="1"/>
      <c r="AD55" s="1"/>
      <c r="AE55" s="1"/>
      <c r="AF55" s="1"/>
      <c r="AG55" s="1"/>
      <c r="AH55" s="1"/>
      <c r="AI55" s="1"/>
      <c r="AJ55" s="1"/>
      <c r="AK55" s="1"/>
      <c r="AL55" s="1"/>
      <c r="AM55" s="1"/>
      <c r="AN55" s="1"/>
      <c r="AO55" s="1"/>
      <c r="AP55" s="1"/>
      <c r="AQ55" s="1"/>
      <c r="AR55" s="1"/>
      <c r="AS55" s="1"/>
      <c r="AT55" s="1"/>
      <c r="AU55" s="1"/>
      <c r="AV55" s="1"/>
      <c r="AW55" s="1"/>
      <c r="AX55" s="1"/>
    </row>
    <row r="56" spans="1:50" ht="30.6" thickBot="1">
      <c r="A56" s="1"/>
      <c r="B56" s="1"/>
      <c r="C56" s="1"/>
      <c r="D56" s="1"/>
      <c r="E56" s="1"/>
      <c r="F56" s="1"/>
      <c r="G56" s="1"/>
      <c r="H56" s="1"/>
      <c r="I56" s="1"/>
      <c r="J56" s="1"/>
      <c r="K56" s="1"/>
      <c r="L56" s="1"/>
      <c r="M56" s="1"/>
      <c r="N56" s="1"/>
      <c r="O56" s="1"/>
      <c r="P56" s="30"/>
      <c r="Q56" s="31"/>
      <c r="R56" s="328" t="s">
        <v>280</v>
      </c>
      <c r="S56" s="329"/>
      <c r="T56" s="329"/>
      <c r="U56" s="329"/>
      <c r="V56" s="329"/>
      <c r="W56" s="329"/>
      <c r="X56" s="330"/>
      <c r="Y56" s="30"/>
      <c r="Z56" s="32"/>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1:50">
      <c r="A57" s="1"/>
      <c r="B57" s="1"/>
      <c r="C57" s="1"/>
      <c r="D57" s="1"/>
      <c r="E57" s="1"/>
      <c r="F57" s="1"/>
      <c r="G57" s="1"/>
      <c r="H57" s="1"/>
      <c r="I57" s="1"/>
      <c r="J57" s="1"/>
      <c r="K57" s="1"/>
      <c r="L57" s="1"/>
      <c r="M57" s="1"/>
      <c r="N57" s="1"/>
      <c r="O57" s="1"/>
      <c r="P57" s="30"/>
      <c r="Q57" s="31"/>
      <c r="R57" s="31"/>
      <c r="S57" s="31"/>
      <c r="T57" s="31"/>
      <c r="U57" s="31"/>
      <c r="V57" s="31"/>
      <c r="W57" s="31"/>
      <c r="X57" s="31"/>
      <c r="Y57" s="31"/>
      <c r="Z57" s="32"/>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1:50">
      <c r="A58" s="1"/>
      <c r="B58" s="1"/>
      <c r="C58" s="1"/>
      <c r="D58" s="1"/>
      <c r="E58" s="1"/>
      <c r="F58" s="1"/>
      <c r="G58" s="1"/>
      <c r="H58" s="1"/>
      <c r="I58" s="1"/>
      <c r="J58" s="1"/>
      <c r="K58" s="1"/>
      <c r="L58" s="1"/>
      <c r="M58" s="1"/>
      <c r="N58" s="1"/>
      <c r="O58" s="1"/>
      <c r="P58" s="30"/>
      <c r="Q58" s="31"/>
      <c r="R58" s="388" t="s">
        <v>13</v>
      </c>
      <c r="S58" s="388"/>
      <c r="T58" s="150">
        <f>Inputs!$V$15</f>
        <v>437.15</v>
      </c>
      <c r="U58" s="31" t="s">
        <v>14</v>
      </c>
      <c r="V58" s="31"/>
      <c r="W58" s="48"/>
      <c r="X58" s="48"/>
      <c r="Y58" s="31"/>
      <c r="Z58" s="32"/>
      <c r="AA58" s="1"/>
      <c r="AB58" s="1"/>
      <c r="AC58" s="1"/>
      <c r="AD58" s="1"/>
      <c r="AE58" s="1"/>
      <c r="AF58" s="1"/>
      <c r="AG58" s="1"/>
      <c r="AH58" s="1"/>
      <c r="AI58" s="1"/>
      <c r="AJ58" s="1"/>
      <c r="AK58" s="1"/>
      <c r="AL58" s="1"/>
      <c r="AM58" s="1"/>
      <c r="AN58" s="1"/>
      <c r="AO58" s="1"/>
      <c r="AP58" s="1"/>
      <c r="AQ58" s="1"/>
      <c r="AR58" s="1"/>
      <c r="AS58" s="1"/>
      <c r="AT58" s="1"/>
      <c r="AU58" s="1"/>
      <c r="AV58" s="1"/>
      <c r="AW58" s="1"/>
      <c r="AX58" s="1"/>
    </row>
    <row r="59" spans="1:50">
      <c r="A59" s="1"/>
      <c r="B59" s="1"/>
      <c r="C59" s="1"/>
      <c r="D59" s="1"/>
      <c r="E59" s="1"/>
      <c r="F59" s="1"/>
      <c r="G59" s="1"/>
      <c r="H59" s="1"/>
      <c r="I59" s="1"/>
      <c r="J59" s="1"/>
      <c r="K59" s="1"/>
      <c r="L59" s="1"/>
      <c r="M59" s="1"/>
      <c r="N59" s="1"/>
      <c r="O59" s="1"/>
      <c r="P59" s="30"/>
      <c r="Q59" s="31"/>
      <c r="R59" s="388" t="s">
        <v>276</v>
      </c>
      <c r="S59" s="388"/>
      <c r="T59" s="152">
        <f>Orbit!$V$28</f>
        <v>0.68578853482786228</v>
      </c>
      <c r="U59" s="31" t="s">
        <v>43</v>
      </c>
      <c r="V59" s="31"/>
      <c r="W59" s="48"/>
      <c r="X59" s="48"/>
      <c r="Y59" s="31"/>
      <c r="Z59" s="32"/>
      <c r="AA59" s="1"/>
      <c r="AB59" s="1"/>
      <c r="AC59" s="1"/>
      <c r="AD59" s="1"/>
      <c r="AE59" s="1"/>
      <c r="AF59" s="1"/>
      <c r="AG59" s="1"/>
      <c r="AH59" s="1"/>
      <c r="AI59" s="1"/>
      <c r="AJ59" s="1"/>
      <c r="AK59" s="1"/>
      <c r="AL59" s="1"/>
      <c r="AM59" s="1"/>
      <c r="AN59" s="1"/>
      <c r="AO59" s="1"/>
      <c r="AP59" s="1"/>
      <c r="AQ59" s="1"/>
      <c r="AR59" s="1"/>
      <c r="AS59" s="1"/>
      <c r="AT59" s="1"/>
      <c r="AU59" s="1"/>
      <c r="AV59" s="1"/>
      <c r="AW59" s="1"/>
      <c r="AX59" s="1"/>
    </row>
    <row r="60" spans="1:50">
      <c r="A60" s="1"/>
      <c r="B60" s="1"/>
      <c r="C60" s="1"/>
      <c r="D60" s="1"/>
      <c r="E60" s="1"/>
      <c r="F60" s="1"/>
      <c r="G60" s="1"/>
      <c r="H60" s="1"/>
      <c r="I60" s="1"/>
      <c r="J60" s="1"/>
      <c r="K60" s="1"/>
      <c r="L60" s="1"/>
      <c r="M60" s="1"/>
      <c r="N60" s="1"/>
      <c r="O60" s="1"/>
      <c r="P60" s="30"/>
      <c r="Q60" s="31"/>
      <c r="R60" s="31"/>
      <c r="S60" s="31"/>
      <c r="T60" s="31"/>
      <c r="U60" s="31"/>
      <c r="V60" s="31"/>
      <c r="W60" s="31"/>
      <c r="X60" s="31"/>
      <c r="Y60" s="31"/>
      <c r="Z60" s="32"/>
      <c r="AA60" s="1"/>
      <c r="AB60" s="1"/>
      <c r="AC60" s="1"/>
      <c r="AD60" s="1"/>
      <c r="AE60" s="1"/>
      <c r="AF60" s="1"/>
      <c r="AG60" s="1"/>
      <c r="AH60" s="1"/>
      <c r="AI60" s="1"/>
      <c r="AJ60" s="1"/>
      <c r="AK60" s="1"/>
      <c r="AL60" s="1"/>
      <c r="AM60" s="1"/>
      <c r="AN60" s="1"/>
      <c r="AO60" s="1"/>
      <c r="AP60" s="1"/>
      <c r="AQ60" s="1"/>
      <c r="AR60" s="1"/>
      <c r="AS60" s="1"/>
      <c r="AT60" s="1"/>
      <c r="AU60" s="1"/>
      <c r="AV60" s="1"/>
      <c r="AW60" s="1"/>
      <c r="AX60" s="1"/>
    </row>
    <row r="61" spans="1:50">
      <c r="A61" s="1"/>
      <c r="B61" s="1"/>
      <c r="C61" s="1"/>
      <c r="D61" s="1"/>
      <c r="E61" s="1"/>
      <c r="F61" s="1"/>
      <c r="G61" s="1"/>
      <c r="H61" s="1"/>
      <c r="I61" s="1"/>
      <c r="J61" s="1"/>
      <c r="K61" s="1"/>
      <c r="L61" s="1"/>
      <c r="M61" s="1"/>
      <c r="N61" s="1"/>
      <c r="O61" s="1"/>
      <c r="P61" s="30"/>
      <c r="Q61" s="31"/>
      <c r="R61" s="388" t="s">
        <v>277</v>
      </c>
      <c r="S61" s="388"/>
      <c r="T61" s="207" t="str">
        <f>'CubeSat hardware'!$B$2</f>
        <v>Quad monopole</v>
      </c>
      <c r="U61" s="31"/>
      <c r="V61" s="31"/>
      <c r="W61" s="31"/>
      <c r="X61" s="31"/>
      <c r="Y61" s="31"/>
      <c r="Z61" s="32"/>
      <c r="AA61" s="1"/>
      <c r="AB61" s="1"/>
      <c r="AC61" s="1"/>
      <c r="AD61" s="1"/>
      <c r="AE61" s="1"/>
      <c r="AF61" s="1"/>
      <c r="AG61" s="1"/>
      <c r="AH61" s="1"/>
      <c r="AI61" s="1"/>
      <c r="AJ61" s="1"/>
      <c r="AK61" s="1"/>
      <c r="AL61" s="1"/>
      <c r="AM61" s="1"/>
      <c r="AN61" s="1"/>
      <c r="AO61" s="1"/>
      <c r="AP61" s="1"/>
      <c r="AQ61" s="1"/>
      <c r="AR61" s="1"/>
      <c r="AS61" s="1"/>
      <c r="AT61" s="1"/>
      <c r="AU61" s="1"/>
      <c r="AV61" s="1"/>
      <c r="AW61" s="1"/>
      <c r="AX61" s="1"/>
    </row>
    <row r="62" spans="1:50">
      <c r="A62" s="1"/>
      <c r="B62" s="1"/>
      <c r="C62" s="1"/>
      <c r="D62" s="1"/>
      <c r="E62" s="1"/>
      <c r="F62" s="1"/>
      <c r="G62" s="1"/>
      <c r="H62" s="1"/>
      <c r="I62" s="1"/>
      <c r="J62" s="1"/>
      <c r="K62" s="1"/>
      <c r="L62" s="1"/>
      <c r="M62" s="1"/>
      <c r="N62" s="1"/>
      <c r="O62" s="1"/>
      <c r="P62" s="30"/>
      <c r="Q62" s="31"/>
      <c r="R62" s="388" t="s">
        <v>96</v>
      </c>
      <c r="S62" s="388"/>
      <c r="T62" s="208" t="str">
        <f>'CubeSat hardware'!$B$6</f>
        <v>RHCP</v>
      </c>
      <c r="U62" s="31"/>
      <c r="V62" s="45" t="s">
        <v>89</v>
      </c>
      <c r="W62" s="206">
        <f>'CubeSat hardware'!$B$4</f>
        <v>1E-4</v>
      </c>
      <c r="X62" s="59" t="s">
        <v>90</v>
      </c>
      <c r="Y62" s="31"/>
      <c r="Z62" s="32"/>
      <c r="AA62" s="1"/>
      <c r="AB62" s="1"/>
      <c r="AC62" s="1"/>
      <c r="AD62" s="1"/>
      <c r="AE62" s="1"/>
      <c r="AF62" s="1"/>
      <c r="AG62" s="1"/>
      <c r="AH62" s="1"/>
      <c r="AI62" s="1"/>
      <c r="AJ62" s="1"/>
      <c r="AK62" s="1"/>
      <c r="AL62" s="1"/>
      <c r="AM62" s="1"/>
      <c r="AN62" s="1"/>
      <c r="AO62" s="1"/>
      <c r="AP62" s="1"/>
      <c r="AQ62" s="1"/>
      <c r="AR62" s="1"/>
      <c r="AS62" s="1"/>
      <c r="AT62" s="1"/>
      <c r="AU62" s="1"/>
      <c r="AV62" s="1"/>
      <c r="AW62" s="1"/>
      <c r="AX62" s="1"/>
    </row>
    <row r="63" spans="1:50">
      <c r="A63" s="1"/>
      <c r="B63" s="1"/>
      <c r="C63" s="1"/>
      <c r="D63" s="1"/>
      <c r="E63" s="1"/>
      <c r="F63" s="1"/>
      <c r="G63" s="1"/>
      <c r="H63" s="1"/>
      <c r="I63" s="1"/>
      <c r="J63" s="1"/>
      <c r="K63" s="1"/>
      <c r="L63" s="1"/>
      <c r="M63" s="1"/>
      <c r="N63" s="1"/>
      <c r="O63" s="1"/>
      <c r="P63" s="30"/>
      <c r="Q63" s="31"/>
      <c r="R63" s="388"/>
      <c r="S63" s="388"/>
      <c r="T63" s="149"/>
      <c r="U63" s="31"/>
      <c r="V63" s="45" t="s">
        <v>279</v>
      </c>
      <c r="W63" s="206">
        <f>'CubeSat hardware'!$B$5</f>
        <v>90</v>
      </c>
      <c r="X63" s="31" t="s">
        <v>28</v>
      </c>
      <c r="Y63" s="31"/>
      <c r="Z63" s="32"/>
      <c r="AA63" s="1"/>
      <c r="AB63" s="1"/>
      <c r="AC63" s="1"/>
      <c r="AD63" s="1"/>
      <c r="AE63" s="1"/>
      <c r="AF63" s="1"/>
      <c r="AG63" s="1"/>
      <c r="AH63" s="1"/>
      <c r="AI63" s="1"/>
      <c r="AJ63" s="1"/>
      <c r="AK63" s="1"/>
      <c r="AL63" s="1"/>
      <c r="AM63" s="1"/>
      <c r="AN63" s="1"/>
      <c r="AO63" s="1"/>
      <c r="AP63" s="1"/>
      <c r="AQ63" s="1"/>
      <c r="AR63" s="1"/>
      <c r="AS63" s="1"/>
      <c r="AT63" s="1"/>
      <c r="AU63" s="1"/>
      <c r="AV63" s="1"/>
      <c r="AW63" s="1"/>
      <c r="AX63" s="1"/>
    </row>
    <row r="64" spans="1:50">
      <c r="A64" s="1"/>
      <c r="B64" s="1"/>
      <c r="C64" s="1"/>
      <c r="D64" s="1"/>
      <c r="E64" s="1"/>
      <c r="F64" s="1"/>
      <c r="G64" s="1"/>
      <c r="H64" s="1"/>
      <c r="I64" s="1"/>
      <c r="J64" s="1"/>
      <c r="K64" s="1"/>
      <c r="L64" s="1"/>
      <c r="M64" s="1"/>
      <c r="N64" s="1"/>
      <c r="O64" s="1"/>
      <c r="P64" s="30"/>
      <c r="Q64" s="31"/>
      <c r="R64" s="45"/>
      <c r="S64" s="45"/>
      <c r="T64" s="149"/>
      <c r="U64" s="31"/>
      <c r="V64" s="45"/>
      <c r="W64" s="148"/>
      <c r="X64" s="31"/>
      <c r="Y64" s="31"/>
      <c r="Z64" s="32"/>
      <c r="AA64" s="1"/>
      <c r="AB64" s="1"/>
      <c r="AC64" s="1"/>
      <c r="AD64" s="1"/>
      <c r="AE64" s="1"/>
      <c r="AF64" s="1"/>
      <c r="AG64" s="1"/>
      <c r="AH64" s="1"/>
      <c r="AI64" s="1"/>
      <c r="AJ64" s="1"/>
      <c r="AK64" s="1"/>
      <c r="AL64" s="1"/>
      <c r="AM64" s="1"/>
      <c r="AN64" s="1"/>
      <c r="AO64" s="1"/>
      <c r="AP64" s="1"/>
      <c r="AQ64" s="1"/>
      <c r="AR64" s="1"/>
      <c r="AS64" s="1"/>
      <c r="AT64" s="1"/>
      <c r="AU64" s="1"/>
      <c r="AV64" s="1"/>
      <c r="AW64" s="1"/>
      <c r="AX64" s="1"/>
    </row>
    <row r="65" spans="1:50" ht="15" thickBot="1">
      <c r="A65" s="1"/>
      <c r="B65" s="1"/>
      <c r="C65" s="1"/>
      <c r="D65" s="1"/>
      <c r="E65" s="1"/>
      <c r="F65" s="1"/>
      <c r="G65" s="1"/>
      <c r="H65" s="1"/>
      <c r="I65" s="1"/>
      <c r="J65" s="1"/>
      <c r="K65" s="1"/>
      <c r="L65" s="1"/>
      <c r="M65" s="1"/>
      <c r="N65" s="1"/>
      <c r="O65" s="1"/>
      <c r="P65" s="33"/>
      <c r="Q65" s="34"/>
      <c r="R65" s="34"/>
      <c r="S65" s="34"/>
      <c r="T65" s="34"/>
      <c r="U65" s="34"/>
      <c r="V65" s="34"/>
      <c r="W65" s="34"/>
      <c r="X65" s="34"/>
      <c r="Y65" s="34"/>
      <c r="Z65" s="35"/>
      <c r="AA65" s="1"/>
      <c r="AB65" s="1"/>
      <c r="AC65" s="1"/>
      <c r="AD65" s="1"/>
      <c r="AE65" s="1"/>
      <c r="AF65" s="1"/>
      <c r="AG65" s="1"/>
      <c r="AH65" s="1"/>
      <c r="AI65" s="1"/>
      <c r="AJ65" s="1"/>
      <c r="AK65" s="1"/>
      <c r="AL65" s="1"/>
      <c r="AM65" s="1"/>
      <c r="AN65" s="1"/>
      <c r="AO65" s="1"/>
      <c r="AP65" s="1"/>
      <c r="AQ65" s="1"/>
      <c r="AR65" s="1"/>
      <c r="AS65" s="1"/>
      <c r="AT65" s="1"/>
      <c r="AU65" s="1"/>
      <c r="AV65" s="1"/>
      <c r="AW65" s="1"/>
      <c r="AX65" s="1"/>
    </row>
    <row r="66" spans="1:50" ht="15" thickBo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row>
    <row r="67" spans="1:50">
      <c r="A67" s="1"/>
      <c r="B67" s="1"/>
      <c r="C67" s="1"/>
      <c r="D67" s="1"/>
      <c r="E67" s="1"/>
      <c r="F67" s="1"/>
      <c r="G67" s="1"/>
      <c r="H67" s="1"/>
      <c r="I67" s="1"/>
      <c r="J67" s="1"/>
      <c r="K67" s="1"/>
      <c r="L67" s="1"/>
      <c r="M67" s="1"/>
      <c r="N67" s="1"/>
      <c r="O67" s="1"/>
      <c r="P67" s="36"/>
      <c r="Q67" s="37"/>
      <c r="R67" s="37"/>
      <c r="S67" s="37"/>
      <c r="T67" s="37"/>
      <c r="U67" s="37"/>
      <c r="V67" s="37"/>
      <c r="W67" s="37"/>
      <c r="X67" s="37"/>
      <c r="Y67" s="37"/>
      <c r="Z67" s="38"/>
      <c r="AA67" s="1"/>
      <c r="AB67" s="1"/>
      <c r="AC67" s="1"/>
      <c r="AD67" s="1"/>
      <c r="AE67" s="1"/>
      <c r="AF67" s="1"/>
      <c r="AG67" s="1"/>
      <c r="AH67" s="1"/>
      <c r="AI67" s="1"/>
      <c r="AJ67" s="1"/>
      <c r="AK67" s="1"/>
      <c r="AL67" s="1"/>
      <c r="AM67" s="1"/>
      <c r="AN67" s="1"/>
      <c r="AO67" s="1"/>
      <c r="AP67" s="1"/>
      <c r="AQ67" s="1"/>
      <c r="AR67" s="1"/>
      <c r="AS67" s="1"/>
      <c r="AT67" s="1"/>
      <c r="AU67" s="1"/>
      <c r="AV67" s="1"/>
      <c r="AW67" s="1"/>
      <c r="AX67" s="1"/>
    </row>
    <row r="68" spans="1:50" ht="15" thickBot="1">
      <c r="A68" s="1"/>
      <c r="B68" s="1"/>
      <c r="C68" s="1"/>
      <c r="D68" s="1"/>
      <c r="E68" s="1"/>
      <c r="F68" s="1"/>
      <c r="G68" s="1"/>
      <c r="H68" s="1"/>
      <c r="I68" s="1"/>
      <c r="J68" s="1"/>
      <c r="K68" s="1"/>
      <c r="L68" s="1"/>
      <c r="M68" s="1"/>
      <c r="N68" s="1"/>
      <c r="O68" s="1"/>
      <c r="P68" s="39"/>
      <c r="Q68" s="40"/>
      <c r="R68" s="40"/>
      <c r="S68" s="40"/>
      <c r="T68" s="40"/>
      <c r="U68" s="40"/>
      <c r="V68" s="40"/>
      <c r="W68" s="40"/>
      <c r="X68" s="43"/>
      <c r="Y68" s="40"/>
      <c r="Z68" s="41"/>
      <c r="AA68" s="1"/>
      <c r="AB68" s="1"/>
      <c r="AC68" s="1"/>
      <c r="AD68" s="1"/>
      <c r="AE68" s="1"/>
      <c r="AF68" s="1"/>
      <c r="AG68" s="1"/>
      <c r="AH68" s="1"/>
      <c r="AI68" s="1"/>
      <c r="AJ68" s="1"/>
      <c r="AK68" s="1"/>
      <c r="AL68" s="1"/>
      <c r="AM68" s="1"/>
      <c r="AN68" s="1"/>
      <c r="AO68" s="1"/>
      <c r="AP68" s="1"/>
      <c r="AQ68" s="1"/>
      <c r="AR68" s="1"/>
      <c r="AS68" s="1"/>
      <c r="AT68" s="1"/>
      <c r="AU68" s="1"/>
      <c r="AV68" s="1"/>
      <c r="AW68" s="1"/>
      <c r="AX68" s="1"/>
    </row>
    <row r="69" spans="1:50" ht="30.6" thickBot="1">
      <c r="A69" s="1"/>
      <c r="B69" s="1"/>
      <c r="C69" s="1"/>
      <c r="D69" s="1"/>
      <c r="E69" s="1"/>
      <c r="F69" s="1"/>
      <c r="G69" s="1"/>
      <c r="H69" s="1"/>
      <c r="I69" s="1"/>
      <c r="J69" s="1"/>
      <c r="K69" s="1"/>
      <c r="L69" s="1"/>
      <c r="M69" s="1"/>
      <c r="N69" s="1"/>
      <c r="O69" s="1"/>
      <c r="P69" s="39"/>
      <c r="Q69" s="40"/>
      <c r="R69" s="328" t="s">
        <v>286</v>
      </c>
      <c r="S69" s="329"/>
      <c r="T69" s="329"/>
      <c r="U69" s="329"/>
      <c r="V69" s="329"/>
      <c r="W69" s="329"/>
      <c r="X69" s="330"/>
      <c r="Y69" s="39"/>
      <c r="Z69" s="41"/>
      <c r="AA69" s="1"/>
      <c r="AB69" s="1"/>
      <c r="AC69" s="1"/>
      <c r="AD69" s="1"/>
      <c r="AE69" s="1"/>
      <c r="AF69" s="1"/>
      <c r="AG69" s="1"/>
      <c r="AH69" s="1"/>
      <c r="AI69" s="1"/>
      <c r="AJ69" s="1"/>
      <c r="AK69" s="1"/>
      <c r="AL69" s="1"/>
      <c r="AM69" s="1"/>
      <c r="AN69" s="1"/>
      <c r="AO69" s="1"/>
      <c r="AP69" s="1"/>
      <c r="AQ69" s="1"/>
      <c r="AR69" s="1"/>
      <c r="AS69" s="1"/>
      <c r="AT69" s="1"/>
      <c r="AU69" s="1"/>
      <c r="AV69" s="1"/>
      <c r="AW69" s="1"/>
      <c r="AX69" s="1"/>
    </row>
    <row r="70" spans="1:50">
      <c r="A70" s="1"/>
      <c r="B70" s="1"/>
      <c r="C70" s="1"/>
      <c r="D70" s="1"/>
      <c r="E70" s="1"/>
      <c r="F70" s="1"/>
      <c r="G70" s="1"/>
      <c r="H70" s="1"/>
      <c r="I70" s="1"/>
      <c r="J70" s="1"/>
      <c r="K70" s="1"/>
      <c r="L70" s="1"/>
      <c r="M70" s="1"/>
      <c r="N70" s="1"/>
      <c r="O70" s="1"/>
      <c r="P70" s="39"/>
      <c r="Q70" s="40"/>
      <c r="R70" s="40"/>
      <c r="S70" s="40"/>
      <c r="T70" s="40"/>
      <c r="U70" s="40"/>
      <c r="V70" s="40"/>
      <c r="W70" s="40"/>
      <c r="X70" s="37"/>
      <c r="Y70" s="40"/>
      <c r="Z70" s="41"/>
      <c r="AA70" s="1"/>
      <c r="AB70" s="1"/>
      <c r="AC70" s="1"/>
      <c r="AD70" s="1"/>
      <c r="AE70" s="1"/>
      <c r="AF70" s="1"/>
      <c r="AG70" s="1"/>
      <c r="AH70" s="1"/>
      <c r="AI70" s="1"/>
      <c r="AJ70" s="1"/>
      <c r="AK70" s="1"/>
      <c r="AL70" s="1"/>
      <c r="AM70" s="1"/>
      <c r="AN70" s="1"/>
      <c r="AO70" s="1"/>
      <c r="AP70" s="1"/>
      <c r="AQ70" s="1"/>
      <c r="AR70" s="1"/>
      <c r="AS70" s="1"/>
      <c r="AT70" s="1"/>
      <c r="AU70" s="1"/>
      <c r="AV70" s="1"/>
      <c r="AW70" s="1"/>
      <c r="AX70" s="1"/>
    </row>
    <row r="71" spans="1:50">
      <c r="A71" s="1"/>
      <c r="B71" s="1"/>
      <c r="C71" s="1"/>
      <c r="D71" s="1"/>
      <c r="E71" s="1"/>
      <c r="F71" s="1"/>
      <c r="G71" s="1"/>
      <c r="H71" s="1"/>
      <c r="I71" s="1"/>
      <c r="J71" s="1"/>
      <c r="K71" s="1"/>
      <c r="L71" s="1"/>
      <c r="M71" s="1"/>
      <c r="N71" s="1"/>
      <c r="O71" s="1"/>
      <c r="P71" s="39"/>
      <c r="Q71" s="40"/>
      <c r="R71" s="395" t="s">
        <v>16</v>
      </c>
      <c r="S71" s="395"/>
      <c r="T71" s="150">
        <f>Inputs!$V$16</f>
        <v>437.15</v>
      </c>
      <c r="U71" s="40" t="s">
        <v>14</v>
      </c>
      <c r="V71" s="198" t="s">
        <v>89</v>
      </c>
      <c r="W71" s="150">
        <v>13.3</v>
      </c>
      <c r="X71" s="40" t="s">
        <v>90</v>
      </c>
      <c r="Y71" s="40"/>
      <c r="Z71" s="41"/>
      <c r="AA71" s="1"/>
      <c r="AB71" s="1"/>
      <c r="AC71" s="1"/>
      <c r="AD71" s="1"/>
      <c r="AE71" s="1"/>
      <c r="AF71" s="1"/>
      <c r="AG71" s="1"/>
      <c r="AH71" s="1"/>
      <c r="AI71" s="1"/>
      <c r="AJ71" s="1"/>
      <c r="AK71" s="1"/>
      <c r="AL71" s="1"/>
      <c r="AM71" s="1"/>
      <c r="AN71" s="1"/>
      <c r="AO71" s="1"/>
      <c r="AP71" s="1"/>
      <c r="AQ71" s="1"/>
      <c r="AR71" s="1"/>
      <c r="AS71" s="1"/>
      <c r="AT71" s="1"/>
      <c r="AU71" s="1"/>
      <c r="AV71" s="1"/>
      <c r="AW71" s="1"/>
      <c r="AX71" s="1"/>
    </row>
    <row r="72" spans="1:50">
      <c r="A72" s="1"/>
      <c r="B72" s="1"/>
      <c r="C72" s="1"/>
      <c r="D72" s="1"/>
      <c r="E72" s="1"/>
      <c r="F72" s="1"/>
      <c r="G72" s="1"/>
      <c r="H72" s="1"/>
      <c r="I72" s="1"/>
      <c r="J72" s="1"/>
      <c r="K72" s="1"/>
      <c r="L72" s="1"/>
      <c r="M72" s="1"/>
      <c r="N72" s="1"/>
      <c r="O72" s="1"/>
      <c r="P72" s="39"/>
      <c r="Q72" s="40"/>
      <c r="R72" s="395" t="s">
        <v>276</v>
      </c>
      <c r="S72" s="395"/>
      <c r="T72" s="152">
        <f>Orbit!$V$27</f>
        <v>0.68578853482786228</v>
      </c>
      <c r="U72" s="40" t="s">
        <v>43</v>
      </c>
      <c r="V72" s="198" t="s">
        <v>279</v>
      </c>
      <c r="W72" s="150">
        <v>42</v>
      </c>
      <c r="X72" s="40" t="s">
        <v>28</v>
      </c>
      <c r="Y72" s="40"/>
      <c r="Z72" s="41"/>
      <c r="AA72" s="1"/>
      <c r="AB72" s="1"/>
      <c r="AC72" s="1"/>
      <c r="AD72" s="1"/>
      <c r="AE72" s="1"/>
      <c r="AF72" s="1"/>
      <c r="AG72" s="1"/>
      <c r="AH72" s="1"/>
      <c r="AI72" s="1"/>
      <c r="AJ72" s="1"/>
      <c r="AK72" s="1"/>
      <c r="AL72" s="1"/>
      <c r="AM72" s="1"/>
      <c r="AN72" s="1"/>
      <c r="AO72" s="1"/>
      <c r="AP72" s="1"/>
      <c r="AQ72" s="1"/>
      <c r="AR72" s="1"/>
      <c r="AS72" s="1"/>
      <c r="AT72" s="1"/>
      <c r="AU72" s="1"/>
      <c r="AV72" s="1"/>
      <c r="AW72" s="1"/>
      <c r="AX72" s="1"/>
    </row>
    <row r="73" spans="1:50">
      <c r="A73" s="1"/>
      <c r="B73" s="1"/>
      <c r="C73" s="1"/>
      <c r="D73" s="1"/>
      <c r="E73" s="1"/>
      <c r="F73" s="1"/>
      <c r="G73" s="1"/>
      <c r="H73" s="1"/>
      <c r="I73" s="1"/>
      <c r="J73" s="1"/>
      <c r="K73" s="1"/>
      <c r="L73" s="1"/>
      <c r="M73" s="1"/>
      <c r="N73" s="1"/>
      <c r="O73" s="1"/>
      <c r="P73" s="39"/>
      <c r="Q73" s="40"/>
      <c r="R73" s="198"/>
      <c r="S73" s="198"/>
      <c r="T73" s="146"/>
      <c r="U73" s="146"/>
      <c r="V73" s="198" t="s">
        <v>96</v>
      </c>
      <c r="W73" s="150" t="str">
        <f>T52</f>
        <v>Yagi array</v>
      </c>
      <c r="X73" s="40"/>
      <c r="Y73" s="40"/>
      <c r="Z73" s="41"/>
      <c r="AA73" s="1"/>
      <c r="AB73" s="1"/>
      <c r="AC73" s="1"/>
      <c r="AD73" s="1"/>
      <c r="AE73" s="1"/>
      <c r="AF73" s="1"/>
      <c r="AG73" s="1"/>
      <c r="AH73" s="1"/>
      <c r="AI73" s="1"/>
      <c r="AJ73" s="1"/>
      <c r="AK73" s="1"/>
      <c r="AL73" s="1"/>
      <c r="AM73" s="1"/>
      <c r="AN73" s="1"/>
      <c r="AO73" s="1"/>
      <c r="AP73" s="1"/>
      <c r="AQ73" s="1"/>
      <c r="AR73" s="1"/>
      <c r="AS73" s="1"/>
      <c r="AT73" s="1"/>
      <c r="AU73" s="1"/>
      <c r="AV73" s="1"/>
      <c r="AW73" s="1"/>
      <c r="AX73" s="1"/>
    </row>
    <row r="74" spans="1:50">
      <c r="A74" s="1"/>
      <c r="B74" s="1"/>
      <c r="C74" s="1"/>
      <c r="D74" s="1"/>
      <c r="E74" s="1"/>
      <c r="F74" s="1"/>
      <c r="G74" s="1"/>
      <c r="H74" s="1"/>
      <c r="I74" s="1"/>
      <c r="J74" s="1"/>
      <c r="K74" s="1"/>
      <c r="L74" s="1"/>
      <c r="M74" s="1"/>
      <c r="N74" s="1"/>
      <c r="O74" s="1"/>
      <c r="P74" s="39"/>
      <c r="Q74" s="40"/>
      <c r="R74" s="40"/>
      <c r="S74" s="40"/>
      <c r="T74" s="40"/>
      <c r="U74" s="40"/>
      <c r="V74" s="40"/>
      <c r="W74" s="40"/>
      <c r="X74" s="40"/>
      <c r="Y74" s="40"/>
      <c r="Z74" s="41"/>
      <c r="AA74" s="1"/>
      <c r="AB74" s="1"/>
      <c r="AC74" s="1"/>
      <c r="AD74" s="1"/>
      <c r="AE74" s="1"/>
      <c r="AF74" s="1"/>
      <c r="AG74" s="1"/>
      <c r="AH74" s="1"/>
      <c r="AI74" s="1"/>
      <c r="AJ74" s="1"/>
      <c r="AK74" s="1"/>
      <c r="AL74" s="1"/>
      <c r="AM74" s="1"/>
      <c r="AN74" s="1"/>
      <c r="AO74" s="1"/>
      <c r="AP74" s="1"/>
      <c r="AQ74" s="1"/>
      <c r="AR74" s="1"/>
      <c r="AS74" s="1"/>
      <c r="AT74" s="1"/>
      <c r="AU74" s="1"/>
      <c r="AV74" s="1"/>
      <c r="AW74" s="1"/>
      <c r="AX74" s="1"/>
    </row>
    <row r="75" spans="1:50" ht="15" thickBot="1">
      <c r="A75" s="1"/>
      <c r="B75" s="1"/>
      <c r="C75" s="1"/>
      <c r="D75" s="1"/>
      <c r="E75" s="1"/>
      <c r="F75" s="1"/>
      <c r="G75" s="1"/>
      <c r="H75" s="1"/>
      <c r="I75" s="1"/>
      <c r="J75" s="1"/>
      <c r="K75" s="1"/>
      <c r="L75" s="1"/>
      <c r="M75" s="1"/>
      <c r="N75" s="1"/>
      <c r="O75" s="1"/>
      <c r="P75" s="39"/>
      <c r="Q75" s="40"/>
      <c r="R75" s="198"/>
      <c r="S75" s="40"/>
      <c r="T75" s="40"/>
      <c r="U75" s="40"/>
      <c r="V75" s="40"/>
      <c r="W75" s="40"/>
      <c r="X75" s="43"/>
      <c r="Y75" s="40"/>
      <c r="Z75" s="41"/>
      <c r="AA75" s="1"/>
      <c r="AB75" s="1"/>
      <c r="AC75" s="1"/>
      <c r="AD75" s="1"/>
      <c r="AE75" s="1"/>
      <c r="AF75" s="1"/>
      <c r="AG75" s="1"/>
      <c r="AH75" s="1"/>
      <c r="AI75" s="1"/>
      <c r="AJ75" s="1"/>
      <c r="AK75" s="1"/>
      <c r="AL75" s="1"/>
      <c r="AM75" s="1"/>
      <c r="AN75" s="1"/>
      <c r="AO75" s="1"/>
      <c r="AP75" s="1"/>
      <c r="AQ75" s="1"/>
      <c r="AR75" s="1"/>
      <c r="AS75" s="1"/>
      <c r="AT75" s="1"/>
      <c r="AU75" s="1"/>
      <c r="AV75" s="1"/>
      <c r="AW75" s="1"/>
      <c r="AX75" s="1"/>
    </row>
    <row r="76" spans="1:50" ht="30.6" thickBot="1">
      <c r="A76" s="1"/>
      <c r="B76" s="1"/>
      <c r="C76" s="1"/>
      <c r="D76" s="1"/>
      <c r="E76" s="1"/>
      <c r="F76" s="1"/>
      <c r="G76" s="1"/>
      <c r="H76" s="1"/>
      <c r="I76" s="1"/>
      <c r="J76" s="1"/>
      <c r="K76" s="1"/>
      <c r="L76" s="1"/>
      <c r="M76" s="1"/>
      <c r="N76" s="1"/>
      <c r="O76" s="1"/>
      <c r="P76" s="39"/>
      <c r="Q76" s="40"/>
      <c r="R76" s="328" t="s">
        <v>282</v>
      </c>
      <c r="S76" s="329"/>
      <c r="T76" s="329"/>
      <c r="U76" s="329"/>
      <c r="V76" s="329"/>
      <c r="W76" s="329"/>
      <c r="X76" s="330"/>
      <c r="Y76" s="39"/>
      <c r="Z76" s="4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1:50">
      <c r="A77" s="1"/>
      <c r="B77" s="1"/>
      <c r="C77" s="1"/>
      <c r="D77" s="1"/>
      <c r="E77" s="1"/>
      <c r="F77" s="1"/>
      <c r="G77" s="1"/>
      <c r="H77" s="1"/>
      <c r="I77" s="1"/>
      <c r="J77" s="1"/>
      <c r="K77" s="1"/>
      <c r="L77" s="1"/>
      <c r="M77" s="1"/>
      <c r="N77" s="1"/>
      <c r="O77" s="1"/>
      <c r="P77" s="39"/>
      <c r="Q77" s="40"/>
      <c r="R77" s="40"/>
      <c r="S77" s="40"/>
      <c r="T77" s="40"/>
      <c r="U77" s="40"/>
      <c r="V77" s="40"/>
      <c r="W77" s="40"/>
      <c r="X77" s="37"/>
      <c r="Y77" s="40"/>
      <c r="Z77" s="4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1:50">
      <c r="A78" s="1"/>
      <c r="B78" s="1"/>
      <c r="C78" s="1"/>
      <c r="D78" s="1"/>
      <c r="E78" s="1"/>
      <c r="F78" s="1"/>
      <c r="G78" s="1"/>
      <c r="H78" s="1"/>
      <c r="I78" s="1"/>
      <c r="J78" s="1"/>
      <c r="K78" s="1"/>
      <c r="L78" s="1"/>
      <c r="M78" s="1"/>
      <c r="N78" s="1"/>
      <c r="O78" s="1"/>
      <c r="P78" s="39"/>
      <c r="Q78" s="40"/>
      <c r="R78" s="395" t="s">
        <v>283</v>
      </c>
      <c r="S78" s="395"/>
      <c r="T78" s="151">
        <f>Inputs!$V$16</f>
        <v>437.15</v>
      </c>
      <c r="U78" s="40" t="s">
        <v>14</v>
      </c>
      <c r="V78" s="198" t="s">
        <v>89</v>
      </c>
      <c r="W78" s="206">
        <f>'CubeSat hardware'!$B$4</f>
        <v>1E-4</v>
      </c>
      <c r="X78" s="40" t="s">
        <v>90</v>
      </c>
      <c r="Y78" s="40"/>
      <c r="Z78" s="4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1:50">
      <c r="A79" s="1"/>
      <c r="B79" s="1"/>
      <c r="C79" s="1"/>
      <c r="D79" s="1"/>
      <c r="E79" s="1"/>
      <c r="F79" s="1"/>
      <c r="G79" s="1"/>
      <c r="H79" s="1"/>
      <c r="I79" s="1"/>
      <c r="J79" s="1"/>
      <c r="K79" s="1"/>
      <c r="L79" s="1"/>
      <c r="M79" s="1"/>
      <c r="N79" s="1"/>
      <c r="O79" s="1"/>
      <c r="P79" s="39"/>
      <c r="Q79" s="40"/>
      <c r="R79" s="395" t="s">
        <v>284</v>
      </c>
      <c r="S79" s="395"/>
      <c r="T79" s="152">
        <f>Orbit!$V$28</f>
        <v>0.68578853482786228</v>
      </c>
      <c r="U79" s="40" t="s">
        <v>43</v>
      </c>
      <c r="V79" s="198" t="s">
        <v>279</v>
      </c>
      <c r="W79" s="206">
        <f>'CubeSat hardware'!$B$5</f>
        <v>90</v>
      </c>
      <c r="X79" s="40" t="s">
        <v>28</v>
      </c>
      <c r="Y79" s="40"/>
      <c r="Z79" s="4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0">
      <c r="A80" s="1"/>
      <c r="B80" s="1"/>
      <c r="C80" s="1"/>
      <c r="D80" s="1"/>
      <c r="E80" s="1"/>
      <c r="F80" s="1"/>
      <c r="G80" s="1"/>
      <c r="H80" s="1"/>
      <c r="I80" s="1"/>
      <c r="J80" s="1"/>
      <c r="K80" s="1"/>
      <c r="L80" s="1"/>
      <c r="M80" s="1"/>
      <c r="N80" s="1"/>
      <c r="O80" s="1"/>
      <c r="P80" s="39"/>
      <c r="Q80" s="40"/>
      <c r="R80" s="198"/>
      <c r="S80" s="198"/>
      <c r="T80" s="40"/>
      <c r="U80" s="40"/>
      <c r="V80" s="198" t="s">
        <v>96</v>
      </c>
      <c r="W80" s="208" t="str">
        <f>'CubeSat hardware'!$B$6</f>
        <v>RHCP</v>
      </c>
      <c r="X80" s="40"/>
      <c r="Y80" s="40"/>
      <c r="Z80" s="4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1:50">
      <c r="A81" s="1"/>
      <c r="B81" s="1"/>
      <c r="C81" s="1"/>
      <c r="D81" s="1"/>
      <c r="E81" s="1"/>
      <c r="F81" s="1"/>
      <c r="G81" s="1"/>
      <c r="H81" s="1"/>
      <c r="I81" s="1"/>
      <c r="J81" s="1"/>
      <c r="K81" s="1"/>
      <c r="L81" s="1"/>
      <c r="M81" s="1"/>
      <c r="N81" s="1"/>
      <c r="O81" s="1"/>
      <c r="P81" s="39"/>
      <c r="Q81" s="40"/>
      <c r="R81" s="40"/>
      <c r="S81" s="40"/>
      <c r="T81" s="40"/>
      <c r="U81" s="40"/>
      <c r="V81" s="40"/>
      <c r="W81" s="40"/>
      <c r="X81" s="40"/>
      <c r="Y81" s="40"/>
      <c r="Z81" s="4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1:50" ht="15" thickBot="1">
      <c r="A82" s="1"/>
      <c r="B82" s="1"/>
      <c r="C82" s="1"/>
      <c r="D82" s="1"/>
      <c r="E82" s="1"/>
      <c r="F82" s="1"/>
      <c r="G82" s="1"/>
      <c r="H82" s="1"/>
      <c r="I82" s="1"/>
      <c r="J82" s="1"/>
      <c r="K82" s="1"/>
      <c r="L82" s="1"/>
      <c r="M82" s="1"/>
      <c r="N82" s="1"/>
      <c r="O82" s="1"/>
      <c r="P82" s="42"/>
      <c r="Q82" s="43"/>
      <c r="R82" s="43"/>
      <c r="S82" s="43"/>
      <c r="T82" s="43"/>
      <c r="U82" s="43"/>
      <c r="V82" s="43"/>
      <c r="W82" s="43"/>
      <c r="X82" s="43"/>
      <c r="Y82" s="43"/>
      <c r="Z82" s="44"/>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1:50">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1:50">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row>
    <row r="85" spans="1:50">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50">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50">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1:50">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1:50">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1:5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1:50">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1:50">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1:50">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1:50">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1:50">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1:50">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1:50">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1:50">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1:50">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1:5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1:50">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1:50">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1:50">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hidden="1">
      <c r="A107" s="1"/>
      <c r="B107" s="1"/>
      <c r="C107" s="1"/>
    </row>
    <row r="108" spans="1:50" hidden="1">
      <c r="A108" s="1"/>
      <c r="B108" s="1"/>
      <c r="C108" s="1"/>
    </row>
  </sheetData>
  <mergeCells count="37">
    <mergeCell ref="R38:S38"/>
    <mergeCell ref="R39:S39"/>
    <mergeCell ref="R11:S11"/>
    <mergeCell ref="R12:S12"/>
    <mergeCell ref="R31:S31"/>
    <mergeCell ref="R32:S32"/>
    <mergeCell ref="R17:S17"/>
    <mergeCell ref="R18:S18"/>
    <mergeCell ref="R29:X29"/>
    <mergeCell ref="R36:X36"/>
    <mergeCell ref="R22:S22"/>
    <mergeCell ref="R2:X2"/>
    <mergeCell ref="R13:S13"/>
    <mergeCell ref="R6:X6"/>
    <mergeCell ref="R20:S20"/>
    <mergeCell ref="R21:S21"/>
    <mergeCell ref="R15:X15"/>
    <mergeCell ref="R8:S8"/>
    <mergeCell ref="R9:S9"/>
    <mergeCell ref="R47:X47"/>
    <mergeCell ref="R49:S49"/>
    <mergeCell ref="R50:S50"/>
    <mergeCell ref="R52:S52"/>
    <mergeCell ref="R53:S53"/>
    <mergeCell ref="R54:S54"/>
    <mergeCell ref="R56:X56"/>
    <mergeCell ref="R58:S58"/>
    <mergeCell ref="R59:S59"/>
    <mergeCell ref="R61:S61"/>
    <mergeCell ref="R76:X76"/>
    <mergeCell ref="R78:S78"/>
    <mergeCell ref="R79:S79"/>
    <mergeCell ref="R62:S62"/>
    <mergeCell ref="R63:S63"/>
    <mergeCell ref="R69:X69"/>
    <mergeCell ref="R71:S71"/>
    <mergeCell ref="R72:S72"/>
  </mergeCells>
  <conditionalFormatting sqref="B24:B25">
    <cfRule type="expression" dxfId="73" priority="13">
      <formula>$AB$9=1</formula>
    </cfRule>
  </conditionalFormatting>
  <conditionalFormatting sqref="T13">
    <cfRule type="expression" dxfId="72" priority="21">
      <formula>$AB$9=4</formula>
    </cfRule>
    <cfRule type="expression" dxfId="71" priority="22">
      <formula>$AB$9=3</formula>
    </cfRule>
    <cfRule type="expression" dxfId="70" priority="23">
      <formula>$AB$9=2</formula>
    </cfRule>
  </conditionalFormatting>
  <conditionalFormatting sqref="T22:T23">
    <cfRule type="expression" dxfId="69" priority="14">
      <formula>$AB$9=4</formula>
    </cfRule>
    <cfRule type="expression" dxfId="68" priority="15">
      <formula>$AB$9=3</formula>
    </cfRule>
    <cfRule type="expression" dxfId="67" priority="16">
      <formula>$AB$9=2</formula>
    </cfRule>
  </conditionalFormatting>
  <conditionalFormatting sqref="T54">
    <cfRule type="expression" dxfId="66" priority="9">
      <formula>$AB$9=4</formula>
    </cfRule>
    <cfRule type="expression" dxfId="65" priority="10">
      <formula>$AB$9=3</formula>
    </cfRule>
    <cfRule type="expression" dxfId="64" priority="11">
      <formula>$AB$9=2</formula>
    </cfRule>
  </conditionalFormatting>
  <conditionalFormatting sqref="T63:T64">
    <cfRule type="expression" dxfId="63" priority="5">
      <formula>$AB$9=4</formula>
    </cfRule>
    <cfRule type="expression" dxfId="62" priority="6">
      <formula>$AB$9=3</formula>
    </cfRule>
    <cfRule type="expression" dxfId="61" priority="7">
      <formula>$AB$9=2</formula>
    </cfRule>
  </conditionalFormatting>
  <conditionalFormatting sqref="W12:W13">
    <cfRule type="expression" dxfId="60" priority="33">
      <formula>$AB$9=1</formula>
    </cfRule>
  </conditionalFormatting>
  <conditionalFormatting sqref="W21:W23">
    <cfRule type="expression" dxfId="59" priority="17">
      <formula>$AB$9=1</formula>
    </cfRule>
  </conditionalFormatting>
  <conditionalFormatting sqref="W31:W32">
    <cfRule type="expression" dxfId="58" priority="1">
      <formula>$AB$9=1</formula>
    </cfRule>
  </conditionalFormatting>
  <conditionalFormatting sqref="W38:W39">
    <cfRule type="expression" dxfId="57" priority="4">
      <formula>$AB$9=1</formula>
    </cfRule>
  </conditionalFormatting>
  <conditionalFormatting sqref="W53:W54">
    <cfRule type="expression" dxfId="56" priority="12">
      <formula>$AB$9=1</formula>
    </cfRule>
  </conditionalFormatting>
  <conditionalFormatting sqref="W62:W64">
    <cfRule type="expression" dxfId="55" priority="3">
      <formula>$AB$9=1</formula>
    </cfRule>
  </conditionalFormatting>
  <conditionalFormatting sqref="W78:W79">
    <cfRule type="expression" dxfId="54" priority="2">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 W40 T53 T62 W80 W33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145"/>
  <sheetViews>
    <sheetView topLeftCell="G26" zoomScaleNormal="100" workbookViewId="0">
      <selection activeCell="V45" sqref="V45:X45"/>
    </sheetView>
  </sheetViews>
  <sheetFormatPr defaultColWidth="0" defaultRowHeight="14.65" customHeight="1" zeroHeight="1"/>
  <cols>
    <col min="1" max="17" width="3.28515625" customWidth="1"/>
    <col min="18" max="19" width="8.7109375" customWidth="1"/>
    <col min="20" max="20" width="12.28515625" customWidth="1"/>
    <col min="21" max="26" width="8.7109375" customWidth="1"/>
    <col min="27" max="43" width="3.28515625" customWidth="1"/>
    <col min="44" max="16384" width="8.7109375" hidden="1"/>
  </cols>
  <sheetData>
    <row r="1" spans="1:43" ht="14.65" customHeight="1"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65" customHeight="1" thickBot="1">
      <c r="A2" s="1"/>
      <c r="B2" s="1"/>
      <c r="C2" s="1"/>
      <c r="D2" s="1"/>
      <c r="E2" s="1"/>
      <c r="F2" s="1"/>
      <c r="G2" s="1"/>
      <c r="H2" s="1"/>
      <c r="I2" s="1"/>
      <c r="J2" s="1"/>
      <c r="K2" s="1"/>
      <c r="L2" s="1"/>
      <c r="M2" s="1"/>
      <c r="N2" s="1"/>
      <c r="O2" s="1"/>
      <c r="P2" s="1"/>
      <c r="Q2" s="1"/>
      <c r="R2" s="335" t="s">
        <v>0</v>
      </c>
      <c r="S2" s="336"/>
      <c r="T2" s="336"/>
      <c r="U2" s="336"/>
      <c r="V2" s="336"/>
      <c r="W2" s="336"/>
      <c r="X2" s="336"/>
      <c r="Y2" s="336"/>
      <c r="Z2" s="337"/>
      <c r="AA2" s="1"/>
      <c r="AB2" s="1"/>
      <c r="AC2" s="1"/>
      <c r="AD2" s="1"/>
      <c r="AE2" s="1"/>
      <c r="AF2" s="1"/>
      <c r="AG2" s="1"/>
      <c r="AH2" s="1"/>
      <c r="AI2" s="1"/>
      <c r="AJ2" s="1"/>
      <c r="AK2" s="1"/>
      <c r="AL2" s="1"/>
      <c r="AM2" s="1"/>
      <c r="AN2" s="1"/>
      <c r="AO2" s="1"/>
      <c r="AP2" s="1"/>
      <c r="AQ2" s="1"/>
    </row>
    <row r="3" spans="1:43"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5">
      <c r="A4" s="1"/>
      <c r="B4" s="1"/>
      <c r="C4" s="1"/>
      <c r="D4" s="1"/>
      <c r="E4" s="1"/>
      <c r="F4" s="1"/>
      <c r="G4" s="1"/>
      <c r="H4" s="1"/>
      <c r="I4" s="1"/>
      <c r="J4" s="1"/>
      <c r="K4" s="1"/>
      <c r="L4" s="1"/>
      <c r="M4" s="1"/>
      <c r="N4" s="1"/>
      <c r="O4" s="1"/>
      <c r="P4" s="26"/>
      <c r="Q4" s="27"/>
      <c r="R4" s="27"/>
      <c r="S4" s="27"/>
      <c r="T4" s="27"/>
      <c r="U4" s="27"/>
      <c r="V4" s="27"/>
      <c r="W4" s="27"/>
      <c r="X4" s="27"/>
      <c r="Y4" s="27"/>
      <c r="Z4" s="27"/>
      <c r="AA4" s="27"/>
      <c r="AB4" s="28"/>
      <c r="AC4" s="1"/>
      <c r="AD4" s="1"/>
      <c r="AE4" s="1"/>
      <c r="AF4" s="1"/>
      <c r="AG4" s="1"/>
      <c r="AH4" s="1"/>
      <c r="AI4" s="1"/>
      <c r="AJ4" s="1"/>
      <c r="AK4" s="1"/>
      <c r="AL4" s="1"/>
      <c r="AM4" s="1"/>
      <c r="AN4" s="1"/>
      <c r="AO4" s="1"/>
      <c r="AP4" s="1"/>
      <c r="AQ4" s="1"/>
    </row>
    <row r="5" spans="1:43" ht="15" thickBot="1">
      <c r="A5" s="1"/>
      <c r="B5" s="1"/>
      <c r="C5" s="1"/>
      <c r="D5" s="1"/>
      <c r="E5" s="1"/>
      <c r="F5" s="1"/>
      <c r="G5" s="1"/>
      <c r="H5" s="1"/>
      <c r="I5" s="1"/>
      <c r="J5" s="1"/>
      <c r="K5" s="1"/>
      <c r="L5" s="1"/>
      <c r="M5" s="1"/>
      <c r="N5" s="1"/>
      <c r="O5" s="1"/>
      <c r="P5" s="30"/>
      <c r="Q5" s="31"/>
      <c r="R5" s="31"/>
      <c r="S5" s="31"/>
      <c r="T5" s="31"/>
      <c r="U5" s="31"/>
      <c r="V5" s="31"/>
      <c r="W5" s="31"/>
      <c r="X5" s="31"/>
      <c r="Y5" s="31"/>
      <c r="Z5" s="31"/>
      <c r="AA5" s="31"/>
      <c r="AB5" s="32"/>
      <c r="AC5" s="1"/>
      <c r="AD5" s="1"/>
      <c r="AE5" s="1"/>
      <c r="AF5" s="1"/>
      <c r="AG5" s="1"/>
      <c r="AH5" s="1"/>
      <c r="AI5" s="1"/>
      <c r="AJ5" s="1"/>
      <c r="AK5" s="1"/>
      <c r="AL5" s="1"/>
      <c r="AM5" s="1"/>
      <c r="AN5" s="1"/>
      <c r="AO5" s="1"/>
      <c r="AP5" s="1"/>
      <c r="AQ5" s="1"/>
    </row>
    <row r="6" spans="1:43" ht="30.6" thickBot="1">
      <c r="A6" s="1"/>
      <c r="B6" s="1"/>
      <c r="C6" s="1"/>
      <c r="D6" s="1"/>
      <c r="E6" s="1"/>
      <c r="F6" s="1"/>
      <c r="G6" s="1"/>
      <c r="H6" s="1"/>
      <c r="I6" s="1"/>
      <c r="J6" s="1"/>
      <c r="K6" s="1"/>
      <c r="L6" s="1"/>
      <c r="M6" s="1"/>
      <c r="N6" s="1"/>
      <c r="O6" s="1"/>
      <c r="P6" s="30"/>
      <c r="Q6" s="31"/>
      <c r="R6" s="328" t="s">
        <v>287</v>
      </c>
      <c r="S6" s="329"/>
      <c r="T6" s="329"/>
      <c r="U6" s="329"/>
      <c r="V6" s="329"/>
      <c r="W6" s="329"/>
      <c r="X6" s="329"/>
      <c r="Y6" s="329"/>
      <c r="Z6" s="330"/>
      <c r="AA6" s="31"/>
      <c r="AB6" s="32"/>
      <c r="AC6" s="1"/>
      <c r="AD6" s="1"/>
      <c r="AE6" s="1"/>
      <c r="AF6" s="1"/>
      <c r="AG6" s="1"/>
      <c r="AH6" s="1"/>
      <c r="AI6" s="1"/>
      <c r="AJ6" s="1"/>
      <c r="AK6" s="1"/>
      <c r="AL6" s="1"/>
      <c r="AM6" s="1"/>
      <c r="AN6" s="1"/>
      <c r="AO6" s="1"/>
      <c r="AP6" s="1"/>
      <c r="AQ6" s="1"/>
    </row>
    <row r="7" spans="1:43" ht="14.45">
      <c r="A7" s="1"/>
      <c r="B7" s="1"/>
      <c r="C7" s="1"/>
      <c r="D7" s="1"/>
      <c r="E7" s="1"/>
      <c r="F7" s="1"/>
      <c r="G7" s="1"/>
      <c r="H7" s="1"/>
      <c r="I7" s="1"/>
      <c r="J7" s="1"/>
      <c r="K7" s="1"/>
      <c r="L7" s="1"/>
      <c r="M7" s="1"/>
      <c r="N7" s="1"/>
      <c r="O7" s="1"/>
      <c r="P7" s="30"/>
      <c r="Q7" s="31"/>
      <c r="R7" s="31"/>
      <c r="S7" s="31"/>
      <c r="T7" s="31"/>
      <c r="U7" s="31"/>
      <c r="V7" s="31"/>
      <c r="W7" s="31"/>
      <c r="X7" s="31"/>
      <c r="Y7" s="31"/>
      <c r="Z7" s="31"/>
      <c r="AA7" s="31"/>
      <c r="AB7" s="32"/>
      <c r="AC7" s="1"/>
      <c r="AD7" s="1"/>
      <c r="AE7" s="1"/>
      <c r="AF7" s="1"/>
      <c r="AG7" s="1"/>
      <c r="AH7" s="1"/>
      <c r="AI7" s="1"/>
      <c r="AJ7" s="1"/>
      <c r="AK7" s="1"/>
      <c r="AL7" s="1"/>
      <c r="AM7" s="1"/>
      <c r="AN7" s="1"/>
      <c r="AO7" s="1"/>
      <c r="AP7" s="1"/>
      <c r="AQ7" s="1"/>
    </row>
    <row r="8" spans="1:43" ht="14.45">
      <c r="A8" s="1"/>
      <c r="B8" s="1"/>
      <c r="C8" s="1"/>
      <c r="D8" s="1"/>
      <c r="E8" s="1"/>
      <c r="F8" s="1"/>
      <c r="G8" s="1"/>
      <c r="H8" s="1"/>
      <c r="I8" s="1"/>
      <c r="J8" s="1"/>
      <c r="K8" s="1"/>
      <c r="L8" s="1"/>
      <c r="M8" s="1"/>
      <c r="N8" s="1"/>
      <c r="O8" s="1"/>
      <c r="P8" s="30"/>
      <c r="Q8" s="31"/>
      <c r="R8" s="31"/>
      <c r="S8" s="31"/>
      <c r="T8" s="31"/>
      <c r="U8" s="31"/>
      <c r="V8" s="31"/>
      <c r="W8" s="31"/>
      <c r="X8" s="31"/>
      <c r="Y8" s="31"/>
      <c r="Z8" s="31"/>
      <c r="AA8" s="31"/>
      <c r="AB8" s="32"/>
      <c r="AC8" s="1"/>
      <c r="AD8" s="1"/>
      <c r="AE8" s="1"/>
      <c r="AF8" s="1"/>
      <c r="AG8" s="1"/>
      <c r="AH8" s="1"/>
      <c r="AI8" s="1"/>
      <c r="AJ8" s="1"/>
      <c r="AK8" s="1"/>
      <c r="AL8" s="1"/>
      <c r="AM8" s="1"/>
      <c r="AN8" s="1"/>
      <c r="AO8" s="1"/>
      <c r="AP8" s="1"/>
      <c r="AQ8" s="1"/>
    </row>
    <row r="9" spans="1:43" ht="14.45">
      <c r="A9" s="1"/>
      <c r="B9" s="1"/>
      <c r="C9" s="1"/>
      <c r="D9" s="1"/>
      <c r="E9" s="1"/>
      <c r="F9" s="1"/>
      <c r="G9" s="1"/>
      <c r="H9" s="1"/>
      <c r="I9" s="1"/>
      <c r="J9" s="1"/>
      <c r="K9" s="1"/>
      <c r="L9" s="1"/>
      <c r="M9" s="1"/>
      <c r="N9" s="1"/>
      <c r="O9" s="1"/>
      <c r="P9" s="30"/>
      <c r="Q9" s="31"/>
      <c r="R9" s="31"/>
      <c r="S9" s="31"/>
      <c r="T9" s="31"/>
      <c r="U9" s="31"/>
      <c r="V9" s="31"/>
      <c r="W9" s="31"/>
      <c r="X9" s="31"/>
      <c r="Y9" s="31"/>
      <c r="Z9" s="31"/>
      <c r="AA9" s="31"/>
      <c r="AB9" s="32"/>
      <c r="AC9" s="1"/>
      <c r="AD9" s="1"/>
      <c r="AE9" s="1"/>
      <c r="AF9" s="1"/>
      <c r="AG9" s="1"/>
      <c r="AH9" s="1"/>
      <c r="AI9" s="1"/>
      <c r="AJ9" s="1"/>
      <c r="AK9" s="1"/>
      <c r="AL9" s="1"/>
      <c r="AM9" s="1"/>
      <c r="AN9" s="1"/>
      <c r="AO9" s="1"/>
      <c r="AP9" s="1"/>
      <c r="AQ9" s="1"/>
    </row>
    <row r="10" spans="1:43" ht="14.4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1"/>
      <c r="AD10" s="1"/>
      <c r="AE10" s="1"/>
      <c r="AF10" s="1"/>
      <c r="AG10" s="1"/>
      <c r="AH10" s="1"/>
      <c r="AI10" s="1"/>
      <c r="AJ10" s="1"/>
      <c r="AK10" s="1"/>
      <c r="AL10" s="1"/>
      <c r="AM10" s="1"/>
      <c r="AN10" s="1"/>
      <c r="AO10" s="1"/>
      <c r="AP10" s="1"/>
      <c r="AQ10" s="1"/>
    </row>
    <row r="11" spans="1:43" ht="14.4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1"/>
      <c r="AD11" s="1"/>
      <c r="AE11" s="1"/>
      <c r="AF11" s="1"/>
      <c r="AG11" s="1"/>
      <c r="AH11" s="1"/>
      <c r="AI11" s="1"/>
      <c r="AJ11" s="1"/>
      <c r="AK11" s="1"/>
      <c r="AL11" s="1"/>
      <c r="AM11" s="1"/>
      <c r="AN11" s="1"/>
      <c r="AO11" s="1"/>
      <c r="AP11" s="1"/>
      <c r="AQ11" s="1"/>
    </row>
    <row r="12" spans="1:43" ht="14.4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1"/>
      <c r="AD12" s="400" t="s">
        <v>259</v>
      </c>
      <c r="AE12" s="400"/>
      <c r="AF12" s="400"/>
      <c r="AG12" s="400"/>
      <c r="AH12" s="400"/>
      <c r="AI12" s="1"/>
      <c r="AJ12" s="1"/>
      <c r="AK12" s="1"/>
      <c r="AL12" s="1"/>
      <c r="AM12" s="1"/>
      <c r="AN12" s="1"/>
      <c r="AO12" s="1"/>
      <c r="AP12" s="1"/>
      <c r="AQ12" s="1"/>
    </row>
    <row r="13" spans="1:43" ht="14.4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1"/>
      <c r="AD13" s="1"/>
      <c r="AE13" s="1"/>
      <c r="AF13" s="1"/>
      <c r="AG13" s="1"/>
      <c r="AH13" s="1"/>
      <c r="AI13" s="1"/>
      <c r="AJ13" s="1"/>
      <c r="AK13" s="1"/>
      <c r="AL13" s="1"/>
      <c r="AM13" s="1"/>
      <c r="AN13" s="1"/>
      <c r="AO13" s="1"/>
      <c r="AP13" s="1"/>
      <c r="AQ13" s="1"/>
    </row>
    <row r="14" spans="1:43" ht="14.45">
      <c r="A14" s="1"/>
      <c r="B14" s="1"/>
      <c r="C14" s="1"/>
      <c r="D14" s="1"/>
      <c r="E14" s="1"/>
      <c r="F14" s="1"/>
      <c r="G14" s="1"/>
      <c r="H14" s="1"/>
      <c r="I14" s="1"/>
      <c r="J14" s="1"/>
      <c r="K14" s="1"/>
      <c r="L14" s="1"/>
      <c r="M14" s="1"/>
      <c r="N14" s="1"/>
      <c r="O14" s="1"/>
      <c r="P14" s="30"/>
      <c r="Q14" s="31"/>
      <c r="R14" s="31"/>
      <c r="S14" s="31"/>
      <c r="T14" s="31"/>
      <c r="U14" s="31"/>
      <c r="V14" s="31"/>
      <c r="W14" s="31"/>
      <c r="X14" s="31"/>
      <c r="Y14" s="31"/>
      <c r="Z14" s="31"/>
      <c r="AA14" s="31"/>
      <c r="AB14" s="32"/>
      <c r="AC14" s="1"/>
      <c r="AD14" s="1"/>
      <c r="AE14" s="1"/>
      <c r="AF14" s="1"/>
      <c r="AG14" s="1"/>
      <c r="AH14" s="1"/>
      <c r="AI14" s="1"/>
      <c r="AJ14" s="1"/>
      <c r="AK14" s="1"/>
      <c r="AL14" s="1"/>
      <c r="AM14" s="1"/>
      <c r="AN14" s="1"/>
      <c r="AO14" s="1"/>
      <c r="AP14" s="1"/>
      <c r="AQ14" s="1"/>
    </row>
    <row r="15" spans="1:43" ht="14.45">
      <c r="A15" s="1"/>
      <c r="B15" s="1"/>
      <c r="C15" s="1"/>
      <c r="D15" s="1"/>
      <c r="E15" s="1"/>
      <c r="F15" s="1"/>
      <c r="G15" s="1"/>
      <c r="H15" s="1"/>
      <c r="I15" s="1"/>
      <c r="J15" s="1"/>
      <c r="K15" s="1"/>
      <c r="L15" s="1"/>
      <c r="M15" s="1"/>
      <c r="N15" s="1"/>
      <c r="O15" s="1"/>
      <c r="P15" s="30"/>
      <c r="Q15" s="31"/>
      <c r="R15" s="31"/>
      <c r="S15" s="31"/>
      <c r="T15" s="31"/>
      <c r="U15" s="31"/>
      <c r="V15" s="31"/>
      <c r="W15" s="31"/>
      <c r="X15" s="31"/>
      <c r="Y15" s="31"/>
      <c r="Z15" s="31"/>
      <c r="AA15" s="31"/>
      <c r="AB15" s="32"/>
      <c r="AC15" s="1"/>
      <c r="AD15" s="1"/>
      <c r="AE15" s="1"/>
      <c r="AF15" s="1"/>
      <c r="AG15" s="1"/>
      <c r="AH15" s="1"/>
      <c r="AI15" s="1"/>
      <c r="AJ15" s="1"/>
      <c r="AK15" s="1"/>
      <c r="AL15" s="1"/>
      <c r="AM15" s="1"/>
      <c r="AN15" s="1"/>
      <c r="AO15" s="1"/>
      <c r="AP15" s="1"/>
      <c r="AQ15" s="1"/>
    </row>
    <row r="16" spans="1:43" ht="14.45">
      <c r="A16" s="1"/>
      <c r="B16" s="1"/>
      <c r="C16" s="1"/>
      <c r="D16" s="1"/>
      <c r="E16" s="1"/>
      <c r="F16" s="1"/>
      <c r="G16" s="1"/>
      <c r="H16" s="1"/>
      <c r="I16" s="1"/>
      <c r="J16" s="1"/>
      <c r="K16" s="1"/>
      <c r="L16" s="1"/>
      <c r="M16" s="1"/>
      <c r="N16" s="1"/>
      <c r="O16" s="1"/>
      <c r="P16" s="30"/>
      <c r="Q16" s="31"/>
      <c r="R16" s="31"/>
      <c r="S16" s="31"/>
      <c r="T16" s="31"/>
      <c r="U16" s="31"/>
      <c r="V16" s="31"/>
      <c r="W16" s="31"/>
      <c r="X16" s="31"/>
      <c r="Y16" s="31"/>
      <c r="Z16" s="31"/>
      <c r="AA16" s="31"/>
      <c r="AB16" s="32"/>
      <c r="AC16" s="1"/>
      <c r="AD16" s="1"/>
      <c r="AE16" s="1"/>
      <c r="AF16" s="1"/>
      <c r="AG16" s="1"/>
      <c r="AH16" s="1"/>
      <c r="AI16" s="1"/>
      <c r="AJ16" s="1"/>
      <c r="AK16" s="1"/>
      <c r="AL16" s="1"/>
      <c r="AM16" s="1"/>
      <c r="AN16" s="1"/>
      <c r="AO16" s="1"/>
      <c r="AP16" s="1"/>
      <c r="AQ16" s="1"/>
    </row>
    <row r="17" spans="1:43" ht="14.45">
      <c r="A17" s="1"/>
      <c r="B17" s="1"/>
      <c r="C17" s="1"/>
      <c r="D17" s="1"/>
      <c r="E17" s="1"/>
      <c r="F17" s="1"/>
      <c r="G17" s="1"/>
      <c r="H17" s="1"/>
      <c r="I17" s="1"/>
      <c r="J17" s="1"/>
      <c r="K17" s="1"/>
      <c r="L17" s="1"/>
      <c r="M17" s="1"/>
      <c r="N17" s="1"/>
      <c r="O17" s="1"/>
      <c r="P17" s="30"/>
      <c r="Q17" s="31"/>
      <c r="R17" s="31"/>
      <c r="S17" s="31"/>
      <c r="T17" s="31"/>
      <c r="U17" s="31"/>
      <c r="V17" s="31"/>
      <c r="W17" s="31"/>
      <c r="X17" s="31"/>
      <c r="Y17" s="31"/>
      <c r="Z17" s="31"/>
      <c r="AA17" s="31"/>
      <c r="AB17" s="32"/>
      <c r="AC17" s="1"/>
      <c r="AD17" s="1"/>
      <c r="AE17" s="1"/>
      <c r="AF17" s="1"/>
      <c r="AG17" s="1"/>
      <c r="AH17" s="1"/>
      <c r="AI17" s="1"/>
      <c r="AJ17" s="1"/>
      <c r="AK17" s="1"/>
      <c r="AL17" s="1"/>
      <c r="AM17" s="1"/>
      <c r="AN17" s="1"/>
      <c r="AO17" s="1"/>
      <c r="AP17" s="1"/>
      <c r="AQ17" s="1"/>
    </row>
    <row r="18" spans="1:43" ht="14.45">
      <c r="A18" s="1"/>
      <c r="B18" s="1"/>
      <c r="C18" s="1"/>
      <c r="D18" s="1"/>
      <c r="E18" s="1"/>
      <c r="F18" s="1"/>
      <c r="G18" s="1"/>
      <c r="H18" s="1"/>
      <c r="I18" s="1"/>
      <c r="J18" s="1"/>
      <c r="K18" s="1"/>
      <c r="L18" s="1"/>
      <c r="M18" s="1"/>
      <c r="N18" s="1"/>
      <c r="O18" s="1"/>
      <c r="P18" s="30"/>
      <c r="Q18" s="31"/>
      <c r="R18" s="31"/>
      <c r="S18" s="31"/>
      <c r="T18" s="31"/>
      <c r="U18" s="31"/>
      <c r="V18" s="31"/>
      <c r="W18" s="31"/>
      <c r="X18" s="31"/>
      <c r="Y18" s="31"/>
      <c r="Z18" s="31"/>
      <c r="AA18" s="31"/>
      <c r="AB18" s="32"/>
      <c r="AC18" s="1"/>
      <c r="AD18" s="1"/>
      <c r="AE18" s="1"/>
      <c r="AF18" s="1"/>
      <c r="AG18" s="1"/>
      <c r="AH18" s="1"/>
      <c r="AI18" s="1"/>
      <c r="AJ18" s="1"/>
      <c r="AK18" s="1"/>
      <c r="AL18" s="1"/>
      <c r="AM18" s="1"/>
      <c r="AN18" s="1"/>
      <c r="AO18" s="1"/>
      <c r="AP18" s="1"/>
      <c r="AQ18" s="1"/>
    </row>
    <row r="19" spans="1:43" ht="14.45">
      <c r="A19" s="1"/>
      <c r="B19" s="1"/>
      <c r="C19" s="1"/>
      <c r="D19" s="1"/>
      <c r="E19" s="1"/>
      <c r="F19" s="1"/>
      <c r="G19" s="1"/>
      <c r="H19" s="1"/>
      <c r="I19" s="1"/>
      <c r="J19" s="1"/>
      <c r="K19" s="1"/>
      <c r="L19" s="1"/>
      <c r="M19" s="1"/>
      <c r="N19" s="1"/>
      <c r="O19" s="1"/>
      <c r="P19" s="30"/>
      <c r="Q19" s="31"/>
      <c r="R19" s="31" t="s">
        <v>288</v>
      </c>
      <c r="S19" s="31"/>
      <c r="T19" s="31"/>
      <c r="U19" s="31"/>
      <c r="V19" s="31"/>
      <c r="W19" s="31"/>
      <c r="X19" s="31"/>
      <c r="Y19" s="31"/>
      <c r="Z19" s="31"/>
      <c r="AA19" s="31"/>
      <c r="AB19" s="32"/>
      <c r="AC19" s="1"/>
      <c r="AD19" s="1"/>
      <c r="AE19" s="1"/>
      <c r="AF19" s="1"/>
      <c r="AG19" s="1"/>
      <c r="AH19" s="1"/>
      <c r="AI19" s="1"/>
      <c r="AJ19" s="1"/>
      <c r="AK19" s="1"/>
      <c r="AL19" s="1"/>
      <c r="AM19" s="1"/>
      <c r="AN19" s="1"/>
      <c r="AO19" s="1"/>
      <c r="AP19" s="1"/>
      <c r="AQ19" s="1"/>
    </row>
    <row r="20" spans="1:43" ht="14.45">
      <c r="A20" s="1"/>
      <c r="B20" s="1"/>
      <c r="C20" s="1"/>
      <c r="D20" s="1"/>
      <c r="E20" s="1"/>
      <c r="F20" s="1"/>
      <c r="G20" s="1"/>
      <c r="H20" s="1"/>
      <c r="I20" s="1"/>
      <c r="J20" s="1"/>
      <c r="K20" s="1"/>
      <c r="L20" s="1"/>
      <c r="M20" s="1"/>
      <c r="N20" s="1"/>
      <c r="O20" s="1"/>
      <c r="P20" s="30"/>
      <c r="Q20" s="31"/>
      <c r="R20" s="31"/>
      <c r="S20" s="31"/>
      <c r="T20" s="31"/>
      <c r="U20" s="31"/>
      <c r="V20" s="31"/>
      <c r="W20" s="31"/>
      <c r="X20" s="31"/>
      <c r="Y20" s="31"/>
      <c r="Z20" s="31"/>
      <c r="AA20" s="31"/>
      <c r="AB20" s="32"/>
      <c r="AC20" s="1"/>
      <c r="AD20" s="1"/>
      <c r="AE20" s="1"/>
      <c r="AF20" s="1"/>
      <c r="AG20" s="1"/>
      <c r="AH20" s="1"/>
      <c r="AI20" s="1"/>
      <c r="AJ20" s="1"/>
      <c r="AK20" s="1"/>
      <c r="AL20" s="1"/>
      <c r="AM20" s="1"/>
      <c r="AN20" s="1"/>
      <c r="AO20" s="1"/>
      <c r="AP20" s="1"/>
      <c r="AQ20" s="1"/>
    </row>
    <row r="21" spans="1:43" ht="14.45">
      <c r="A21" s="1"/>
      <c r="B21" s="1"/>
      <c r="C21" s="1"/>
      <c r="D21" s="1"/>
      <c r="E21" s="1"/>
      <c r="F21" s="1"/>
      <c r="G21" s="1"/>
      <c r="H21" s="1"/>
      <c r="I21" s="1"/>
      <c r="J21" s="1"/>
      <c r="K21" s="1"/>
      <c r="L21" s="1"/>
      <c r="M21" s="1"/>
      <c r="N21" s="1"/>
      <c r="O21" s="1"/>
      <c r="P21" s="30"/>
      <c r="Q21" s="31"/>
      <c r="R21" s="31"/>
      <c r="S21" s="31"/>
      <c r="T21" s="31"/>
      <c r="U21" s="31"/>
      <c r="V21" s="31"/>
      <c r="W21" s="31"/>
      <c r="X21" s="31"/>
      <c r="Y21" s="31"/>
      <c r="Z21" s="31"/>
      <c r="AA21" s="31"/>
      <c r="AB21" s="32"/>
      <c r="AC21" s="1"/>
      <c r="AD21" s="1"/>
      <c r="AE21" s="1"/>
      <c r="AF21" s="1"/>
      <c r="AG21" s="1"/>
      <c r="AH21" s="1"/>
      <c r="AI21" s="1"/>
      <c r="AJ21" s="1"/>
      <c r="AK21" s="1"/>
      <c r="AL21" s="1"/>
      <c r="AM21" s="1"/>
      <c r="AN21" s="1"/>
      <c r="AO21" s="1"/>
      <c r="AP21" s="1"/>
      <c r="AQ21" s="1"/>
    </row>
    <row r="22" spans="1:43" ht="14.45">
      <c r="A22" s="1"/>
      <c r="B22" s="1"/>
      <c r="C22" s="1"/>
      <c r="D22" s="1"/>
      <c r="E22" s="1"/>
      <c r="F22" s="1"/>
      <c r="G22" s="1"/>
      <c r="H22" s="1"/>
      <c r="I22" s="1"/>
      <c r="J22" s="1"/>
      <c r="K22" s="1"/>
      <c r="L22" s="1"/>
      <c r="M22" s="1"/>
      <c r="N22" s="1"/>
      <c r="O22" s="1"/>
      <c r="P22" s="30"/>
      <c r="Q22" s="31"/>
      <c r="R22" s="386" t="s">
        <v>264</v>
      </c>
      <c r="S22" s="386"/>
      <c r="T22" s="386"/>
      <c r="U22" s="110"/>
      <c r="V22" s="31"/>
      <c r="W22" s="31"/>
      <c r="X22" s="31"/>
      <c r="Y22" s="31"/>
      <c r="Z22" s="31"/>
      <c r="AA22" s="31"/>
      <c r="AB22" s="32"/>
      <c r="AC22" s="1"/>
      <c r="AD22" s="1"/>
      <c r="AE22" s="1"/>
      <c r="AF22" s="1"/>
      <c r="AG22" s="1"/>
      <c r="AH22" s="1"/>
      <c r="AI22" s="1"/>
      <c r="AJ22" s="1"/>
      <c r="AK22" s="1"/>
      <c r="AL22" s="1"/>
      <c r="AM22" s="1"/>
      <c r="AN22" s="1"/>
      <c r="AO22" s="1"/>
      <c r="AP22" s="1"/>
      <c r="AQ22" s="1"/>
    </row>
    <row r="23" spans="1:43" ht="14.45">
      <c r="A23" s="1"/>
      <c r="B23" s="1"/>
      <c r="C23" s="1"/>
      <c r="D23" s="1"/>
      <c r="E23" s="1"/>
      <c r="F23" s="1"/>
      <c r="G23" s="1"/>
      <c r="H23" s="1"/>
      <c r="I23" s="1"/>
      <c r="J23" s="1"/>
      <c r="K23" s="1"/>
      <c r="L23" s="1"/>
      <c r="M23" s="1"/>
      <c r="N23" s="1"/>
      <c r="O23" s="1"/>
      <c r="P23" s="30"/>
      <c r="Q23" s="31"/>
      <c r="R23" s="31" t="s">
        <v>265</v>
      </c>
      <c r="S23" s="31"/>
      <c r="T23" s="31"/>
      <c r="U23" s="143">
        <f>'CubeSat hardware'!B40</f>
        <v>0.1</v>
      </c>
      <c r="V23" s="31" t="s">
        <v>25</v>
      </c>
      <c r="W23" s="31"/>
      <c r="X23" s="31"/>
      <c r="Y23" s="31"/>
      <c r="Z23" s="31"/>
      <c r="AA23" s="31"/>
      <c r="AB23" s="32"/>
      <c r="AC23" s="1"/>
      <c r="AD23" s="1"/>
      <c r="AE23" s="1"/>
      <c r="AF23" s="1"/>
      <c r="AG23" s="1"/>
      <c r="AH23" s="1"/>
      <c r="AI23" s="1"/>
      <c r="AJ23" s="1"/>
      <c r="AK23" s="1"/>
      <c r="AL23" s="1"/>
      <c r="AM23" s="1"/>
      <c r="AN23" s="1"/>
      <c r="AO23" s="1"/>
      <c r="AP23" s="1"/>
      <c r="AQ23" s="1"/>
    </row>
    <row r="24" spans="1:43" ht="14.45">
      <c r="A24" s="1"/>
      <c r="B24" s="1"/>
      <c r="C24" s="1"/>
      <c r="D24" s="1"/>
      <c r="E24" s="1"/>
      <c r="F24" s="1"/>
      <c r="G24" s="1"/>
      <c r="H24" s="1"/>
      <c r="I24" s="1"/>
      <c r="J24" s="1"/>
      <c r="K24" s="1"/>
      <c r="L24" s="1"/>
      <c r="M24" s="1"/>
      <c r="N24" s="1"/>
      <c r="O24" s="1"/>
      <c r="P24" s="30"/>
      <c r="Q24" s="31"/>
      <c r="R24" s="31"/>
      <c r="S24" s="31"/>
      <c r="T24" s="31"/>
      <c r="U24" s="31"/>
      <c r="V24" s="31"/>
      <c r="W24" s="31"/>
      <c r="X24" s="31"/>
      <c r="Y24" s="31"/>
      <c r="Z24" s="31"/>
      <c r="AA24" s="31"/>
      <c r="AB24" s="32"/>
      <c r="AC24" s="1"/>
      <c r="AD24" s="1"/>
      <c r="AE24" s="1"/>
      <c r="AF24" s="1"/>
      <c r="AG24" s="1"/>
      <c r="AH24" s="1"/>
      <c r="AI24" s="1"/>
      <c r="AJ24" s="1"/>
      <c r="AK24" s="1"/>
      <c r="AL24" s="1"/>
      <c r="AM24" s="1"/>
      <c r="AN24" s="1"/>
      <c r="AO24" s="1"/>
      <c r="AP24" s="1"/>
      <c r="AQ24" s="1"/>
    </row>
    <row r="25" spans="1:43" ht="14.45">
      <c r="A25" s="1"/>
      <c r="B25" s="1"/>
      <c r="C25" s="1"/>
      <c r="D25" s="1"/>
      <c r="E25" s="1"/>
      <c r="F25" s="1"/>
      <c r="G25" s="1"/>
      <c r="H25" s="1"/>
      <c r="I25" s="1"/>
      <c r="J25" s="1"/>
      <c r="K25" s="1"/>
      <c r="L25" s="1"/>
      <c r="M25" s="1"/>
      <c r="N25" s="1"/>
      <c r="O25" s="1"/>
      <c r="P25" s="30"/>
      <c r="Q25" s="31"/>
      <c r="R25" s="31"/>
      <c r="S25" s="31"/>
      <c r="T25" s="31"/>
      <c r="U25" s="31"/>
      <c r="V25" s="31"/>
      <c r="W25" s="31"/>
      <c r="X25" s="31"/>
      <c r="Y25" s="31"/>
      <c r="Z25" s="31"/>
      <c r="AA25" s="31"/>
      <c r="AB25" s="32"/>
      <c r="AC25" s="1"/>
      <c r="AD25" s="1"/>
      <c r="AE25" s="1"/>
      <c r="AF25" s="1"/>
      <c r="AG25" s="1"/>
      <c r="AH25" s="1"/>
      <c r="AI25" s="1"/>
      <c r="AJ25" s="1"/>
      <c r="AK25" s="1"/>
      <c r="AL25" s="1"/>
      <c r="AM25" s="1"/>
      <c r="AN25" s="1"/>
      <c r="AO25" s="1"/>
      <c r="AP25" s="1"/>
      <c r="AQ25" s="1"/>
    </row>
    <row r="26" spans="1:43" ht="14.45">
      <c r="A26" s="1"/>
      <c r="B26" s="1"/>
      <c r="C26" s="1"/>
      <c r="D26" s="1"/>
      <c r="E26" s="1"/>
      <c r="F26" s="1"/>
      <c r="G26" s="1"/>
      <c r="H26" s="1"/>
      <c r="I26" s="1"/>
      <c r="J26" s="1"/>
      <c r="K26" s="1"/>
      <c r="L26" s="1"/>
      <c r="M26" s="1"/>
      <c r="N26" s="1"/>
      <c r="O26" s="1"/>
      <c r="P26" s="30"/>
      <c r="Q26" s="31"/>
      <c r="R26" s="386" t="s">
        <v>261</v>
      </c>
      <c r="S26" s="386"/>
      <c r="T26" s="386"/>
      <c r="U26" s="110"/>
      <c r="V26" s="31"/>
      <c r="W26" s="31"/>
      <c r="X26" s="31"/>
      <c r="Y26" s="31"/>
      <c r="Z26" s="31"/>
      <c r="AA26" s="31"/>
      <c r="AB26" s="32"/>
      <c r="AC26" s="1"/>
      <c r="AD26" s="1"/>
      <c r="AE26" s="1"/>
      <c r="AF26" s="1"/>
      <c r="AG26" s="1"/>
      <c r="AH26" s="1"/>
      <c r="AI26" s="1"/>
      <c r="AJ26" s="1"/>
      <c r="AK26" s="1"/>
      <c r="AL26" s="1"/>
      <c r="AM26" s="1"/>
      <c r="AN26" s="1"/>
      <c r="AO26" s="1"/>
      <c r="AP26" s="1"/>
      <c r="AQ26" s="1"/>
    </row>
    <row r="27" spans="1:43" ht="14.45">
      <c r="A27" s="1"/>
      <c r="B27" s="1"/>
      <c r="C27" s="1"/>
      <c r="D27" s="1"/>
      <c r="E27" s="1"/>
      <c r="F27" s="1"/>
      <c r="G27" s="1"/>
      <c r="H27" s="1"/>
      <c r="I27" s="1"/>
      <c r="J27" s="1"/>
      <c r="K27" s="1"/>
      <c r="L27" s="1"/>
      <c r="M27" s="1"/>
      <c r="N27" s="1"/>
      <c r="O27" s="1"/>
      <c r="P27" s="30"/>
      <c r="Q27" s="31"/>
      <c r="R27" s="31" t="s">
        <v>289</v>
      </c>
      <c r="S27" s="31"/>
      <c r="T27" s="31"/>
      <c r="U27" s="143">
        <f>'CubeSat hardware'!B41</f>
        <v>0.74</v>
      </c>
      <c r="V27" s="31" t="s">
        <v>25</v>
      </c>
      <c r="W27" s="31"/>
      <c r="X27" s="31"/>
      <c r="Y27" s="31"/>
      <c r="Z27" s="31"/>
      <c r="AA27" s="31"/>
      <c r="AB27" s="32"/>
      <c r="AC27" s="1"/>
      <c r="AD27" s="1"/>
      <c r="AE27" s="1"/>
      <c r="AF27" s="1"/>
      <c r="AG27" s="1"/>
      <c r="AH27" s="1"/>
      <c r="AI27" s="1"/>
      <c r="AJ27" s="1"/>
      <c r="AK27" s="1"/>
      <c r="AL27" s="1"/>
      <c r="AM27" s="1"/>
      <c r="AN27" s="1"/>
      <c r="AO27" s="1"/>
      <c r="AP27" s="1"/>
      <c r="AQ27" s="1"/>
    </row>
    <row r="28" spans="1:43" ht="14.45">
      <c r="A28" s="1"/>
      <c r="B28" s="1"/>
      <c r="C28" s="1"/>
      <c r="D28" s="1"/>
      <c r="E28" s="1"/>
      <c r="F28" s="1"/>
      <c r="G28" s="1"/>
      <c r="H28" s="1"/>
      <c r="I28" s="1"/>
      <c r="J28" s="1"/>
      <c r="K28" s="1"/>
      <c r="L28" s="1"/>
      <c r="M28" s="1"/>
      <c r="N28" s="1"/>
      <c r="O28" s="1"/>
      <c r="P28" s="30"/>
      <c r="Q28" s="31"/>
      <c r="R28" s="31"/>
      <c r="S28" s="31"/>
      <c r="T28" s="31"/>
      <c r="U28" s="31"/>
      <c r="V28" s="31"/>
      <c r="W28" s="31"/>
      <c r="X28" s="31"/>
      <c r="Y28" s="31"/>
      <c r="Z28" s="31"/>
      <c r="AA28" s="31"/>
      <c r="AB28" s="32"/>
      <c r="AC28" s="1"/>
      <c r="AD28" s="1"/>
      <c r="AE28" s="1"/>
      <c r="AF28" s="1"/>
      <c r="AG28" s="1"/>
      <c r="AH28" s="1"/>
      <c r="AI28" s="1"/>
      <c r="AJ28" s="1"/>
      <c r="AK28" s="1"/>
      <c r="AL28" s="1"/>
      <c r="AM28" s="1"/>
      <c r="AN28" s="1"/>
      <c r="AO28" s="1"/>
      <c r="AP28" s="1"/>
      <c r="AQ28" s="1"/>
    </row>
    <row r="29" spans="1:43" ht="14.45">
      <c r="A29" s="1"/>
      <c r="B29" s="1"/>
      <c r="C29" s="1"/>
      <c r="D29" s="1"/>
      <c r="E29" s="1"/>
      <c r="F29" s="1"/>
      <c r="G29" s="1"/>
      <c r="H29" s="1"/>
      <c r="I29" s="1"/>
      <c r="J29" s="1"/>
      <c r="K29" s="1"/>
      <c r="L29" s="1"/>
      <c r="M29" s="1"/>
      <c r="N29" s="1"/>
      <c r="O29" s="1"/>
      <c r="P29" s="30"/>
      <c r="Q29" s="31"/>
      <c r="R29" s="31"/>
      <c r="S29" s="232" t="s">
        <v>266</v>
      </c>
      <c r="T29" s="232"/>
      <c r="U29" s="232"/>
      <c r="V29" s="232"/>
      <c r="W29" s="232"/>
      <c r="X29" s="232"/>
      <c r="Y29" s="232"/>
      <c r="Z29" s="110"/>
      <c r="AA29" s="31"/>
      <c r="AB29" s="32"/>
      <c r="AC29" s="1"/>
      <c r="AD29" s="1"/>
      <c r="AE29" s="1"/>
      <c r="AF29" s="1"/>
      <c r="AG29" s="1"/>
      <c r="AH29" s="1"/>
      <c r="AI29" s="1"/>
      <c r="AJ29" s="1"/>
      <c r="AK29" s="1"/>
      <c r="AL29" s="1"/>
      <c r="AM29" s="1"/>
      <c r="AN29" s="1"/>
      <c r="AO29" s="1"/>
      <c r="AP29" s="1"/>
      <c r="AQ29" s="1"/>
    </row>
    <row r="30" spans="1:43" ht="14.45">
      <c r="A30" s="1"/>
      <c r="B30" s="1"/>
      <c r="C30" s="1"/>
      <c r="D30" s="1"/>
      <c r="E30" s="1"/>
      <c r="F30" s="1"/>
      <c r="G30" s="1"/>
      <c r="H30" s="1"/>
      <c r="I30" s="1"/>
      <c r="J30" s="1"/>
      <c r="K30" s="1"/>
      <c r="L30" s="1"/>
      <c r="M30" s="1"/>
      <c r="N30" s="1"/>
      <c r="O30" s="1"/>
      <c r="P30" s="30"/>
      <c r="Q30" s="31"/>
      <c r="R30" s="31" t="s">
        <v>267</v>
      </c>
      <c r="S30" s="31"/>
      <c r="T30" s="31"/>
      <c r="U30" s="31"/>
      <c r="V30" s="414">
        <f>'CubeSat hardware'!$B$44</f>
        <v>0</v>
      </c>
      <c r="W30" s="414"/>
      <c r="X30" s="414"/>
      <c r="Y30" s="31"/>
      <c r="Z30" s="31"/>
      <c r="AA30" s="31"/>
      <c r="AB30" s="32"/>
      <c r="AC30" s="1"/>
      <c r="AD30" s="1"/>
      <c r="AE30" s="1"/>
      <c r="AF30" s="1"/>
      <c r="AG30" s="1"/>
      <c r="AH30" s="1"/>
      <c r="AI30" s="1"/>
      <c r="AJ30" s="1"/>
      <c r="AK30" s="1"/>
      <c r="AL30" s="1"/>
      <c r="AM30" s="1"/>
      <c r="AN30" s="1"/>
      <c r="AO30" s="1"/>
      <c r="AP30" s="1"/>
      <c r="AQ30" s="1"/>
    </row>
    <row r="31" spans="1:43" ht="14.45">
      <c r="A31" s="1"/>
      <c r="B31" s="1"/>
      <c r="C31" s="1"/>
      <c r="D31" s="1"/>
      <c r="E31" s="1"/>
      <c r="F31" s="1"/>
      <c r="G31" s="1"/>
      <c r="H31" s="1"/>
      <c r="I31" s="1"/>
      <c r="J31" s="1"/>
      <c r="K31" s="1"/>
      <c r="L31" s="1"/>
      <c r="M31" s="1"/>
      <c r="N31" s="1"/>
      <c r="O31" s="1"/>
      <c r="P31" s="30"/>
      <c r="Q31" s="31"/>
      <c r="R31" s="31" t="s">
        <v>268</v>
      </c>
      <c r="S31" s="31"/>
      <c r="T31" s="31"/>
      <c r="U31" s="31"/>
      <c r="V31" s="414">
        <f>'CubeSat hardware'!$C$45</f>
        <v>0</v>
      </c>
      <c r="W31" s="415"/>
      <c r="X31" s="415"/>
      <c r="Y31" s="31"/>
      <c r="Z31" s="31"/>
      <c r="AA31" s="31"/>
      <c r="AB31" s="32"/>
      <c r="AC31" s="1"/>
      <c r="AD31" s="1"/>
      <c r="AE31" s="1"/>
      <c r="AF31" s="1"/>
      <c r="AG31" s="1"/>
      <c r="AH31" s="1"/>
      <c r="AI31" s="1"/>
      <c r="AJ31" s="1"/>
      <c r="AK31" s="1"/>
      <c r="AL31" s="1"/>
      <c r="AM31" s="1"/>
      <c r="AN31" s="1"/>
      <c r="AO31" s="1"/>
      <c r="AP31" s="1"/>
      <c r="AQ31" s="1"/>
    </row>
    <row r="32" spans="1:43" ht="14.45" customHeight="1">
      <c r="A32" s="1"/>
      <c r="B32" s="1"/>
      <c r="C32" s="1"/>
      <c r="D32" s="1"/>
      <c r="E32" s="1"/>
      <c r="F32" s="1"/>
      <c r="G32" s="1"/>
      <c r="H32" s="1"/>
      <c r="I32" s="1"/>
      <c r="J32" s="1"/>
      <c r="K32" s="1"/>
      <c r="L32" s="1"/>
      <c r="M32" s="1"/>
      <c r="N32" s="1"/>
      <c r="O32" s="1"/>
      <c r="P32" s="30"/>
      <c r="Q32" s="31"/>
      <c r="R32" s="31"/>
      <c r="S32" s="31"/>
      <c r="T32" s="31"/>
      <c r="U32" s="31"/>
      <c r="V32" s="31"/>
      <c r="W32" s="31"/>
      <c r="X32" s="31"/>
      <c r="Y32" s="31"/>
      <c r="Z32" s="31"/>
      <c r="AA32" s="31"/>
      <c r="AB32" s="32"/>
      <c r="AC32" s="1"/>
      <c r="AD32" s="1"/>
      <c r="AE32" s="1"/>
      <c r="AF32" s="1"/>
      <c r="AG32" s="1"/>
      <c r="AH32" s="1"/>
      <c r="AI32" s="1"/>
      <c r="AJ32" s="1"/>
      <c r="AK32" s="1"/>
      <c r="AL32" s="1"/>
      <c r="AM32" s="1"/>
      <c r="AN32" s="1"/>
      <c r="AO32" s="1"/>
      <c r="AP32" s="1"/>
      <c r="AQ32" s="1"/>
    </row>
    <row r="33" spans="1:43" ht="14.45">
      <c r="A33" s="1"/>
      <c r="B33" s="1"/>
      <c r="C33" s="1"/>
      <c r="D33" s="1"/>
      <c r="E33" s="1"/>
      <c r="F33" s="1"/>
      <c r="G33" s="1"/>
      <c r="H33" s="1"/>
      <c r="I33" s="1"/>
      <c r="J33" s="1"/>
      <c r="K33" s="1"/>
      <c r="L33" s="1"/>
      <c r="M33" s="1"/>
      <c r="N33" s="1"/>
      <c r="O33" s="1"/>
      <c r="P33" s="30"/>
      <c r="Q33" s="31"/>
      <c r="R33" s="31"/>
      <c r="S33" s="31"/>
      <c r="T33" s="31"/>
      <c r="U33" s="31"/>
      <c r="V33" s="31"/>
      <c r="W33" s="31"/>
      <c r="X33" s="31"/>
      <c r="Y33" s="31"/>
      <c r="Z33" s="31"/>
      <c r="AA33" s="31"/>
      <c r="AB33" s="32"/>
      <c r="AC33" s="1"/>
      <c r="AD33" s="1"/>
      <c r="AE33" s="1"/>
      <c r="AF33" s="1"/>
      <c r="AG33" s="1"/>
      <c r="AH33" s="1"/>
      <c r="AI33" s="1"/>
      <c r="AJ33" s="1"/>
      <c r="AK33" s="1"/>
      <c r="AL33" s="1"/>
      <c r="AM33" s="1"/>
      <c r="AN33" s="1"/>
      <c r="AO33" s="1"/>
      <c r="AP33" s="1"/>
      <c r="AQ33" s="1"/>
    </row>
    <row r="34" spans="1:43" ht="14.45">
      <c r="A34" s="1"/>
      <c r="B34" s="1"/>
      <c r="C34" s="1"/>
      <c r="D34" s="1"/>
      <c r="E34" s="1"/>
      <c r="F34" s="1"/>
      <c r="G34" s="1"/>
      <c r="H34" s="1"/>
      <c r="I34" s="1"/>
      <c r="J34" s="1"/>
      <c r="K34" s="1"/>
      <c r="L34" s="1"/>
      <c r="M34" s="1"/>
      <c r="N34" s="1"/>
      <c r="O34" s="1"/>
      <c r="P34" s="30"/>
      <c r="Q34" s="31"/>
      <c r="R34" s="31"/>
      <c r="S34" s="31"/>
      <c r="T34" s="386" t="s">
        <v>290</v>
      </c>
      <c r="U34" s="386"/>
      <c r="V34" s="386"/>
      <c r="W34" s="386"/>
      <c r="X34" s="386"/>
      <c r="Y34" s="31"/>
      <c r="Z34" s="31"/>
      <c r="AA34" s="31"/>
      <c r="AB34" s="32"/>
      <c r="AC34" s="1"/>
      <c r="AD34" s="1"/>
      <c r="AE34" s="1"/>
      <c r="AF34" s="1"/>
      <c r="AG34" s="1"/>
      <c r="AH34" s="1"/>
      <c r="AI34" s="1"/>
      <c r="AJ34" s="1"/>
      <c r="AK34" s="1"/>
      <c r="AL34" s="1"/>
      <c r="AM34" s="1"/>
      <c r="AN34" s="1"/>
      <c r="AO34" s="1"/>
      <c r="AP34" s="1"/>
      <c r="AQ34" s="1"/>
    </row>
    <row r="35" spans="1:43" ht="14.45">
      <c r="A35" s="1"/>
      <c r="B35" s="1"/>
      <c r="C35" s="1"/>
      <c r="D35" s="1"/>
      <c r="E35" s="1"/>
      <c r="F35" s="1"/>
      <c r="G35" s="1"/>
      <c r="H35" s="1"/>
      <c r="I35" s="1"/>
      <c r="J35" s="1"/>
      <c r="K35" s="1"/>
      <c r="L35" s="1"/>
      <c r="M35" s="1"/>
      <c r="N35" s="1"/>
      <c r="O35" s="1"/>
      <c r="P35" s="30"/>
      <c r="Q35" s="31"/>
      <c r="R35" s="31"/>
      <c r="S35" s="31"/>
      <c r="T35" s="420" t="s">
        <v>270</v>
      </c>
      <c r="U35" s="421"/>
      <c r="V35" s="391">
        <f>SUM(V30:X31)+U23+U27</f>
        <v>0.84</v>
      </c>
      <c r="W35" s="392"/>
      <c r="X35" s="31" t="s">
        <v>25</v>
      </c>
      <c r="Y35" s="31"/>
      <c r="Z35" s="31"/>
      <c r="AA35" s="31"/>
      <c r="AB35" s="32"/>
      <c r="AC35" s="1"/>
      <c r="AD35" s="1"/>
      <c r="AE35" s="1"/>
      <c r="AF35" s="1"/>
      <c r="AG35" s="1"/>
      <c r="AH35" s="1"/>
      <c r="AI35" s="1"/>
      <c r="AJ35" s="1"/>
      <c r="AK35" s="1"/>
      <c r="AL35" s="1"/>
      <c r="AM35" s="1"/>
      <c r="AN35" s="1"/>
      <c r="AO35" s="1"/>
      <c r="AP35" s="1"/>
      <c r="AQ35" s="1"/>
    </row>
    <row r="36" spans="1:43" ht="14.45">
      <c r="A36" s="1"/>
      <c r="B36" s="1"/>
      <c r="C36" s="1"/>
      <c r="D36" s="1"/>
      <c r="E36" s="1"/>
      <c r="F36" s="1"/>
      <c r="G36" s="1"/>
      <c r="H36" s="1"/>
      <c r="I36" s="1"/>
      <c r="J36" s="1"/>
      <c r="K36" s="1"/>
      <c r="L36" s="1"/>
      <c r="M36" s="1"/>
      <c r="N36" s="1"/>
      <c r="O36" s="1"/>
      <c r="P36" s="30"/>
      <c r="Q36" s="31"/>
      <c r="R36" s="46"/>
      <c r="S36" s="46"/>
      <c r="T36" s="46"/>
      <c r="U36" s="46"/>
      <c r="V36" s="46"/>
      <c r="W36" s="46"/>
      <c r="X36" s="46"/>
      <c r="Y36" s="46"/>
      <c r="Z36" s="46"/>
      <c r="AA36" s="31"/>
      <c r="AB36" s="32"/>
      <c r="AC36" s="1"/>
      <c r="AD36" s="1"/>
      <c r="AE36" s="1"/>
      <c r="AF36" s="1"/>
      <c r="AG36" s="1"/>
      <c r="AH36" s="1"/>
      <c r="AI36" s="1"/>
      <c r="AJ36" s="1"/>
      <c r="AK36" s="1"/>
      <c r="AL36" s="1"/>
      <c r="AM36" s="1"/>
      <c r="AN36" s="1"/>
      <c r="AO36" s="1"/>
      <c r="AP36" s="1"/>
      <c r="AQ36" s="1"/>
    </row>
    <row r="37" spans="1:43" ht="14.45">
      <c r="A37" s="1"/>
      <c r="B37" s="1"/>
      <c r="C37" s="1"/>
      <c r="D37" s="1"/>
      <c r="E37" s="1"/>
      <c r="F37" s="1"/>
      <c r="G37" s="1"/>
      <c r="H37" s="1"/>
      <c r="I37" s="1"/>
      <c r="J37" s="1"/>
      <c r="K37" s="1"/>
      <c r="L37" s="1"/>
      <c r="M37" s="1"/>
      <c r="N37" s="1"/>
      <c r="O37" s="1"/>
      <c r="P37" s="30"/>
      <c r="Q37" s="31"/>
      <c r="R37" s="419" t="s">
        <v>291</v>
      </c>
      <c r="S37" s="419"/>
      <c r="T37" s="419"/>
      <c r="U37" s="419"/>
      <c r="V37" s="419"/>
      <c r="W37" s="419"/>
      <c r="X37" s="419"/>
      <c r="Y37" s="125"/>
      <c r="Z37" s="125"/>
      <c r="AA37" s="31"/>
      <c r="AB37" s="32"/>
      <c r="AC37" s="1"/>
      <c r="AD37" s="1"/>
      <c r="AE37" s="1"/>
      <c r="AF37" s="1"/>
      <c r="AG37" s="1"/>
      <c r="AH37" s="1"/>
      <c r="AI37" s="1"/>
      <c r="AJ37" s="1"/>
      <c r="AK37" s="1"/>
      <c r="AL37" s="1"/>
      <c r="AM37" s="1"/>
      <c r="AN37" s="1"/>
      <c r="AO37" s="1"/>
      <c r="AP37" s="1"/>
      <c r="AQ37" s="1"/>
    </row>
    <row r="38" spans="1:43" ht="14.45">
      <c r="A38" s="1"/>
      <c r="B38" s="1"/>
      <c r="C38" s="1"/>
      <c r="D38" s="1"/>
      <c r="E38" s="1"/>
      <c r="F38" s="1"/>
      <c r="G38" s="1"/>
      <c r="H38" s="1"/>
      <c r="I38" s="1"/>
      <c r="J38" s="1"/>
      <c r="K38" s="1"/>
      <c r="L38" s="1"/>
      <c r="M38" s="1"/>
      <c r="N38" s="1"/>
      <c r="O38" s="1"/>
      <c r="P38" s="30"/>
      <c r="Q38" s="31"/>
      <c r="R38" s="388" t="s">
        <v>292</v>
      </c>
      <c r="S38" s="388"/>
      <c r="T38" s="388"/>
      <c r="U38" s="124" t="s">
        <v>293</v>
      </c>
      <c r="V38" s="398">
        <f>10^-(V35/10)</f>
        <v>0.82413811501300227</v>
      </c>
      <c r="W38" s="398"/>
      <c r="X38" s="398"/>
      <c r="Y38" s="31"/>
      <c r="Z38" s="31"/>
      <c r="AA38" s="31"/>
      <c r="AB38" s="32"/>
      <c r="AC38" s="1"/>
      <c r="AD38" s="1"/>
      <c r="AE38" s="1"/>
      <c r="AF38" s="1"/>
      <c r="AG38" s="1"/>
      <c r="AH38" s="1"/>
      <c r="AI38" s="1"/>
      <c r="AJ38" s="1"/>
      <c r="AK38" s="1"/>
      <c r="AL38" s="1"/>
      <c r="AM38" s="1"/>
      <c r="AN38" s="1"/>
      <c r="AO38" s="1"/>
      <c r="AP38" s="1"/>
      <c r="AQ38" s="1"/>
    </row>
    <row r="39" spans="1:43" ht="15.6">
      <c r="A39" s="1"/>
      <c r="B39" s="1"/>
      <c r="C39" s="1"/>
      <c r="D39" s="1"/>
      <c r="E39" s="1"/>
      <c r="F39" s="1"/>
      <c r="G39" s="1"/>
      <c r="H39" s="1"/>
      <c r="I39" s="1"/>
      <c r="J39" s="1"/>
      <c r="K39" s="1"/>
      <c r="L39" s="1"/>
      <c r="M39" s="1"/>
      <c r="N39" s="1"/>
      <c r="O39" s="1"/>
      <c r="P39" s="30"/>
      <c r="Q39" s="31"/>
      <c r="R39" s="388" t="s">
        <v>294</v>
      </c>
      <c r="S39" s="388"/>
      <c r="T39" s="388"/>
      <c r="U39" s="45" t="s">
        <v>295</v>
      </c>
      <c r="V39" s="422">
        <v>175</v>
      </c>
      <c r="W39" s="422"/>
      <c r="X39" s="422"/>
      <c r="Y39" s="31" t="s">
        <v>296</v>
      </c>
      <c r="Z39" s="31"/>
      <c r="AA39" s="31"/>
      <c r="AB39" s="32"/>
      <c r="AC39" s="1"/>
      <c r="AD39" s="210"/>
      <c r="AE39" s="1"/>
      <c r="AF39" s="1"/>
      <c r="AG39" s="1"/>
      <c r="AH39" s="1"/>
      <c r="AI39" s="1"/>
      <c r="AJ39" s="1"/>
      <c r="AK39" s="1"/>
      <c r="AL39" s="1"/>
      <c r="AM39" s="1"/>
      <c r="AN39" s="1"/>
      <c r="AO39" s="1"/>
      <c r="AP39" s="1"/>
      <c r="AQ39" s="1"/>
    </row>
    <row r="40" spans="1:43" ht="15.6">
      <c r="A40" s="1"/>
      <c r="B40" s="1"/>
      <c r="C40" s="1"/>
      <c r="D40" s="1"/>
      <c r="E40" s="1"/>
      <c r="F40" s="1"/>
      <c r="G40" s="1"/>
      <c r="H40" s="1"/>
      <c r="I40" s="1"/>
      <c r="J40" s="1"/>
      <c r="K40" s="1"/>
      <c r="L40" s="1"/>
      <c r="M40" s="1"/>
      <c r="N40" s="1"/>
      <c r="O40" s="1"/>
      <c r="P40" s="30"/>
      <c r="Q40" s="31"/>
      <c r="R40" s="388" t="s">
        <v>297</v>
      </c>
      <c r="S40" s="388"/>
      <c r="T40" s="388"/>
      <c r="U40" s="45" t="s">
        <v>298</v>
      </c>
      <c r="V40" s="418">
        <v>290</v>
      </c>
      <c r="W40" s="418"/>
      <c r="X40" s="418"/>
      <c r="Y40" s="31" t="s">
        <v>296</v>
      </c>
      <c r="Z40" s="31"/>
      <c r="AA40" s="31"/>
      <c r="AB40" s="32"/>
      <c r="AC40" s="1"/>
      <c r="AD40" s="210"/>
      <c r="AE40" s="1"/>
      <c r="AF40" s="1"/>
      <c r="AG40" s="1"/>
      <c r="AH40" s="1"/>
      <c r="AI40" s="1"/>
      <c r="AJ40" s="1"/>
      <c r="AK40" s="1"/>
      <c r="AL40" s="1"/>
      <c r="AM40" s="1"/>
      <c r="AN40" s="1"/>
      <c r="AO40" s="1"/>
      <c r="AP40" s="1"/>
      <c r="AQ40" s="1"/>
    </row>
    <row r="41" spans="1:43" ht="15.6">
      <c r="A41" s="1"/>
      <c r="B41" s="1"/>
      <c r="C41" s="1"/>
      <c r="D41" s="1"/>
      <c r="E41" s="1"/>
      <c r="F41" s="1"/>
      <c r="G41" s="1"/>
      <c r="H41" s="1"/>
      <c r="I41" s="1"/>
      <c r="J41" s="1"/>
      <c r="K41" s="1"/>
      <c r="L41" s="1"/>
      <c r="M41" s="1"/>
      <c r="N41" s="1"/>
      <c r="O41" s="1"/>
      <c r="P41" s="30"/>
      <c r="Q41" s="31"/>
      <c r="R41" s="388" t="s">
        <v>299</v>
      </c>
      <c r="S41" s="388"/>
      <c r="T41" s="388"/>
      <c r="U41" s="45" t="s">
        <v>300</v>
      </c>
      <c r="V41" s="418">
        <v>145</v>
      </c>
      <c r="W41" s="418"/>
      <c r="X41" s="418"/>
      <c r="Y41" s="31" t="s">
        <v>296</v>
      </c>
      <c r="Z41" s="31"/>
      <c r="AA41" s="31"/>
      <c r="AB41" s="32"/>
      <c r="AC41" s="1"/>
      <c r="AD41" s="210"/>
      <c r="AE41" s="1"/>
      <c r="AF41" s="1"/>
      <c r="AG41" s="1"/>
      <c r="AH41" s="1"/>
      <c r="AI41" s="1"/>
      <c r="AJ41" s="1"/>
      <c r="AK41" s="1"/>
      <c r="AL41" s="1"/>
      <c r="AM41" s="1"/>
      <c r="AN41" s="1"/>
      <c r="AO41" s="1"/>
      <c r="AP41" s="1"/>
      <c r="AQ41" s="1"/>
    </row>
    <row r="42" spans="1:43" ht="14.65" customHeight="1">
      <c r="A42" s="1"/>
      <c r="B42" s="1"/>
      <c r="C42" s="1"/>
      <c r="D42" s="1"/>
      <c r="E42" s="1"/>
      <c r="F42" s="1"/>
      <c r="G42" s="1"/>
      <c r="H42" s="1"/>
      <c r="I42" s="1"/>
      <c r="J42" s="1"/>
      <c r="K42" s="1"/>
      <c r="L42" s="1"/>
      <c r="M42" s="1"/>
      <c r="N42" s="1"/>
      <c r="O42" s="1"/>
      <c r="P42" s="30"/>
      <c r="Q42" s="31"/>
      <c r="R42" s="387" t="s">
        <v>301</v>
      </c>
      <c r="S42" s="387"/>
      <c r="T42" s="387"/>
      <c r="U42" s="387" t="s">
        <v>302</v>
      </c>
      <c r="V42" s="417">
        <f>'CubeSat hardware'!B21</f>
        <v>23</v>
      </c>
      <c r="W42" s="417"/>
      <c r="X42" s="417"/>
      <c r="Y42" s="31" t="s">
        <v>25</v>
      </c>
      <c r="Z42" s="31"/>
      <c r="AA42" s="31"/>
      <c r="AB42" s="32"/>
      <c r="AC42" s="1"/>
      <c r="AD42" s="1"/>
      <c r="AE42" s="1"/>
      <c r="AF42" s="1"/>
      <c r="AG42" s="1"/>
      <c r="AH42" s="1"/>
      <c r="AI42" s="1"/>
      <c r="AJ42" s="1"/>
      <c r="AK42" s="1"/>
      <c r="AL42" s="1"/>
      <c r="AM42" s="1"/>
      <c r="AN42" s="1"/>
      <c r="AO42" s="1"/>
      <c r="AP42" s="1"/>
      <c r="AQ42" s="1"/>
    </row>
    <row r="43" spans="1:43" ht="15">
      <c r="A43" s="1"/>
      <c r="B43" s="1"/>
      <c r="C43" s="1"/>
      <c r="D43" s="1"/>
      <c r="E43" s="1"/>
      <c r="F43" s="1"/>
      <c r="G43" s="1"/>
      <c r="H43" s="1"/>
      <c r="I43" s="1"/>
      <c r="J43" s="1"/>
      <c r="K43" s="1"/>
      <c r="L43" s="1"/>
      <c r="M43" s="1"/>
      <c r="N43" s="1"/>
      <c r="O43" s="1"/>
      <c r="P43" s="30"/>
      <c r="Q43" s="31"/>
      <c r="R43" s="387"/>
      <c r="S43" s="387"/>
      <c r="T43" s="387"/>
      <c r="U43" s="387"/>
      <c r="V43" s="417">
        <f>10^(V42/10)</f>
        <v>199.52623149688802</v>
      </c>
      <c r="W43" s="417"/>
      <c r="X43" s="417"/>
      <c r="Y43" s="322" t="s">
        <v>303</v>
      </c>
      <c r="Z43" s="31"/>
      <c r="AA43" s="31"/>
      <c r="AB43" s="32"/>
      <c r="AC43" s="1"/>
      <c r="AD43" s="1"/>
      <c r="AE43" s="1"/>
      <c r="AF43" s="1"/>
      <c r="AG43" s="1"/>
      <c r="AH43" s="1"/>
      <c r="AI43" s="1"/>
      <c r="AJ43" s="1"/>
      <c r="AK43" s="1"/>
      <c r="AL43" s="1"/>
      <c r="AM43" s="1"/>
      <c r="AN43" s="1"/>
      <c r="AO43" s="1"/>
      <c r="AP43" s="1"/>
      <c r="AQ43" s="1"/>
    </row>
    <row r="44" spans="1:43" ht="16.899999999999999">
      <c r="A44" s="1"/>
      <c r="B44" s="1"/>
      <c r="C44" s="1"/>
      <c r="D44" s="1"/>
      <c r="E44" s="1"/>
      <c r="F44" s="1"/>
      <c r="G44" s="1"/>
      <c r="H44" s="1"/>
      <c r="I44" s="1"/>
      <c r="J44" s="1"/>
      <c r="K44" s="1"/>
      <c r="L44" s="1"/>
      <c r="M44" s="1"/>
      <c r="N44" s="1"/>
      <c r="O44" s="1"/>
      <c r="P44" s="30"/>
      <c r="Q44" s="31"/>
      <c r="R44" s="388" t="s">
        <v>304</v>
      </c>
      <c r="S44" s="388"/>
      <c r="T44" s="388"/>
      <c r="U44" s="45" t="s">
        <v>305</v>
      </c>
      <c r="V44" s="423">
        <v>500</v>
      </c>
      <c r="W44" s="423"/>
      <c r="X44" s="423"/>
      <c r="Y44" s="31" t="s">
        <v>296</v>
      </c>
      <c r="Z44" s="31"/>
      <c r="AA44" s="31"/>
      <c r="AB44" s="32"/>
      <c r="AC44" s="1"/>
      <c r="AD44" s="210"/>
      <c r="AE44" s="1"/>
      <c r="AF44" s="1"/>
      <c r="AG44" s="1"/>
      <c r="AH44" s="1"/>
      <c r="AI44" s="1"/>
      <c r="AJ44" s="1"/>
      <c r="AK44" s="1"/>
      <c r="AL44" s="1"/>
      <c r="AM44" s="1"/>
      <c r="AN44" s="1"/>
      <c r="AO44" s="1"/>
      <c r="AP44" s="1"/>
      <c r="AQ44" s="1"/>
    </row>
    <row r="45" spans="1:43" ht="15.6">
      <c r="A45" s="1"/>
      <c r="B45" s="1"/>
      <c r="C45" s="1"/>
      <c r="D45" s="1"/>
      <c r="E45" s="1"/>
      <c r="F45" s="1"/>
      <c r="G45" s="1"/>
      <c r="H45" s="1"/>
      <c r="I45" s="1"/>
      <c r="J45" s="1"/>
      <c r="K45" s="1"/>
      <c r="L45" s="1"/>
      <c r="M45" s="1"/>
      <c r="N45" s="1"/>
      <c r="O45" s="1"/>
      <c r="P45" s="30"/>
      <c r="Q45" s="31"/>
      <c r="R45" s="424" t="s">
        <v>306</v>
      </c>
      <c r="S45" s="388"/>
      <c r="T45" s="388"/>
      <c r="U45" s="45" t="s">
        <v>307</v>
      </c>
      <c r="V45" s="398">
        <f>V39*V38+AD36*(1-V38)+V41+(V44/V43)</f>
        <v>291.73010629541176</v>
      </c>
      <c r="W45" s="398"/>
      <c r="X45" s="398"/>
      <c r="Y45" s="31" t="s">
        <v>296</v>
      </c>
      <c r="Z45" s="31"/>
      <c r="AA45" s="31"/>
      <c r="AB45" s="32"/>
      <c r="AC45" s="1"/>
      <c r="AD45" s="1"/>
      <c r="AE45" s="1"/>
      <c r="AF45" s="1"/>
      <c r="AG45" s="1"/>
      <c r="AH45" s="1"/>
      <c r="AI45" s="1"/>
      <c r="AJ45" s="1"/>
      <c r="AK45" s="1"/>
      <c r="AL45" s="1"/>
      <c r="AM45" s="1"/>
      <c r="AN45" s="1"/>
      <c r="AO45" s="1"/>
      <c r="AP45" s="1"/>
      <c r="AQ45" s="1"/>
    </row>
    <row r="46" spans="1:43" ht="14.45">
      <c r="A46" s="1"/>
      <c r="B46" s="1"/>
      <c r="C46" s="1"/>
      <c r="D46" s="1"/>
      <c r="E46" s="1"/>
      <c r="F46" s="1"/>
      <c r="G46" s="1"/>
      <c r="H46" s="1"/>
      <c r="I46" s="1"/>
      <c r="J46" s="1"/>
      <c r="K46" s="1"/>
      <c r="L46" s="1"/>
      <c r="M46" s="1"/>
      <c r="N46" s="1"/>
      <c r="O46" s="1"/>
      <c r="P46" s="30"/>
      <c r="Q46" s="31"/>
      <c r="R46" s="168"/>
      <c r="S46" s="31"/>
      <c r="T46" s="31"/>
      <c r="U46" s="31"/>
      <c r="V46" s="31"/>
      <c r="W46" s="31"/>
      <c r="X46" s="31"/>
      <c r="Y46" s="31"/>
      <c r="Z46" s="31"/>
      <c r="AA46" s="31"/>
      <c r="AB46" s="32"/>
      <c r="AC46" s="1"/>
      <c r="AD46" s="1"/>
      <c r="AE46" s="1"/>
      <c r="AF46" s="1"/>
      <c r="AG46" s="1"/>
      <c r="AH46" s="1"/>
      <c r="AI46" s="1"/>
      <c r="AJ46" s="1"/>
      <c r="AK46" s="1"/>
      <c r="AL46" s="1"/>
      <c r="AM46" s="1"/>
      <c r="AN46" s="1"/>
      <c r="AO46" s="1"/>
      <c r="AP46" s="1"/>
      <c r="AQ46" s="1"/>
    </row>
    <row r="47" spans="1:43" ht="14.45">
      <c r="A47" s="1"/>
      <c r="B47" s="1"/>
      <c r="C47" s="1"/>
      <c r="D47" s="1"/>
      <c r="E47" s="1"/>
      <c r="F47" s="1"/>
      <c r="G47" s="1"/>
      <c r="H47" s="1"/>
      <c r="I47" s="1"/>
      <c r="J47" s="1"/>
      <c r="K47" s="1"/>
      <c r="L47" s="1"/>
      <c r="M47" s="1"/>
      <c r="N47" s="1"/>
      <c r="O47" s="1"/>
      <c r="P47" s="33"/>
      <c r="Q47" s="34"/>
      <c r="R47" s="34"/>
      <c r="S47" s="34"/>
      <c r="T47" s="34"/>
      <c r="U47" s="34"/>
      <c r="V47" s="34"/>
      <c r="W47" s="34"/>
      <c r="X47" s="34"/>
      <c r="Y47" s="34"/>
      <c r="Z47" s="34"/>
      <c r="AA47" s="34"/>
      <c r="AB47" s="35"/>
      <c r="AC47" s="1"/>
      <c r="AD47" s="1"/>
      <c r="AE47" s="1"/>
      <c r="AF47" s="1"/>
      <c r="AG47" s="1"/>
      <c r="AH47" s="1"/>
      <c r="AI47" s="1"/>
      <c r="AJ47" s="1"/>
      <c r="AK47" s="1"/>
      <c r="AL47" s="1"/>
      <c r="AM47" s="1"/>
      <c r="AN47" s="1"/>
      <c r="AO47" s="1"/>
      <c r="AP47" s="1"/>
      <c r="AQ47" s="1"/>
    </row>
    <row r="48" spans="1:43" ht="14.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 thickBo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4.45">
      <c r="A50" s="1"/>
      <c r="B50" s="1"/>
      <c r="C50" s="1"/>
      <c r="D50" s="1"/>
      <c r="E50" s="1"/>
      <c r="F50" s="1"/>
      <c r="G50" s="1"/>
      <c r="H50" s="1"/>
      <c r="I50" s="1"/>
      <c r="J50" s="1"/>
      <c r="K50" s="1"/>
      <c r="L50" s="1"/>
      <c r="M50" s="1"/>
      <c r="N50" s="1"/>
      <c r="O50" s="1"/>
      <c r="P50" s="36"/>
      <c r="Q50" s="37"/>
      <c r="R50" s="37"/>
      <c r="S50" s="37"/>
      <c r="T50" s="37"/>
      <c r="U50" s="37"/>
      <c r="V50" s="37"/>
      <c r="W50" s="37"/>
      <c r="X50" s="37"/>
      <c r="Y50" s="37"/>
      <c r="Z50" s="37"/>
      <c r="AA50" s="37"/>
      <c r="AB50" s="38"/>
      <c r="AC50" s="1"/>
      <c r="AD50" s="1"/>
      <c r="AE50" s="1"/>
      <c r="AF50" s="1"/>
      <c r="AG50" s="1"/>
      <c r="AH50" s="1"/>
      <c r="AI50" s="1"/>
      <c r="AJ50" s="1"/>
      <c r="AK50" s="1"/>
      <c r="AL50" s="1"/>
      <c r="AM50" s="1"/>
      <c r="AN50" s="1"/>
      <c r="AO50" s="1"/>
      <c r="AP50" s="1"/>
      <c r="AQ50" s="1"/>
    </row>
    <row r="51" spans="1:43" ht="15" thickBot="1">
      <c r="A51" s="1"/>
      <c r="B51" s="1"/>
      <c r="C51" s="1"/>
      <c r="D51" s="1"/>
      <c r="E51" s="1"/>
      <c r="F51" s="1"/>
      <c r="G51" s="1"/>
      <c r="H51" s="1"/>
      <c r="I51" s="1"/>
      <c r="J51" s="1"/>
      <c r="K51" s="1"/>
      <c r="L51" s="1"/>
      <c r="M51" s="1"/>
      <c r="N51" s="1"/>
      <c r="O51" s="1"/>
      <c r="P51" s="39"/>
      <c r="Q51" s="40"/>
      <c r="R51" s="40"/>
      <c r="S51" s="40"/>
      <c r="T51" s="40"/>
      <c r="U51" s="40"/>
      <c r="V51" s="40"/>
      <c r="W51" s="40"/>
      <c r="X51" s="40"/>
      <c r="Y51" s="40"/>
      <c r="Z51" s="40"/>
      <c r="AA51" s="40"/>
      <c r="AB51" s="41"/>
      <c r="AC51" s="1"/>
      <c r="AD51" s="1"/>
      <c r="AE51" s="1"/>
      <c r="AF51" s="1"/>
      <c r="AG51" s="1"/>
      <c r="AH51" s="1"/>
      <c r="AI51" s="1"/>
      <c r="AJ51" s="1"/>
      <c r="AK51" s="1"/>
      <c r="AL51" s="1"/>
      <c r="AM51" s="1"/>
      <c r="AN51" s="1"/>
      <c r="AO51" s="1"/>
      <c r="AP51" s="1"/>
      <c r="AQ51" s="1"/>
    </row>
    <row r="52" spans="1:43" ht="30.6" thickBot="1">
      <c r="A52" s="1"/>
      <c r="B52" s="1"/>
      <c r="C52" s="1"/>
      <c r="D52" s="1"/>
      <c r="E52" s="1"/>
      <c r="F52" s="1"/>
      <c r="G52" s="1"/>
      <c r="H52" s="1"/>
      <c r="I52" s="1"/>
      <c r="J52" s="1"/>
      <c r="K52" s="1"/>
      <c r="L52" s="1"/>
      <c r="M52" s="1"/>
      <c r="N52" s="1"/>
      <c r="O52" s="1"/>
      <c r="P52" s="39"/>
      <c r="Q52" s="40"/>
      <c r="R52" s="328" t="s">
        <v>308</v>
      </c>
      <c r="S52" s="329"/>
      <c r="T52" s="329"/>
      <c r="U52" s="329"/>
      <c r="V52" s="329"/>
      <c r="W52" s="329"/>
      <c r="X52" s="329"/>
      <c r="Y52" s="329"/>
      <c r="Z52" s="330"/>
      <c r="AA52" s="40"/>
      <c r="AB52" s="41"/>
      <c r="AC52" s="1"/>
      <c r="AD52" s="1"/>
      <c r="AE52" s="1"/>
      <c r="AF52" s="1"/>
      <c r="AG52" s="1"/>
      <c r="AH52" s="1"/>
      <c r="AI52" s="1"/>
      <c r="AJ52" s="1"/>
      <c r="AK52" s="1"/>
      <c r="AL52" s="1"/>
      <c r="AM52" s="1"/>
      <c r="AN52" s="1"/>
      <c r="AO52" s="1"/>
      <c r="AP52" s="1"/>
      <c r="AQ52" s="1"/>
    </row>
    <row r="53" spans="1:43" ht="14.45">
      <c r="A53" s="1"/>
      <c r="B53" s="1"/>
      <c r="C53" s="1"/>
      <c r="D53" s="1"/>
      <c r="E53" s="1"/>
      <c r="F53" s="1"/>
      <c r="G53" s="1"/>
      <c r="H53" s="1"/>
      <c r="I53" s="1"/>
      <c r="J53" s="1"/>
      <c r="K53" s="1"/>
      <c r="L53" s="1"/>
      <c r="M53" s="1"/>
      <c r="N53" s="1"/>
      <c r="O53" s="1"/>
      <c r="P53" s="39"/>
      <c r="Q53" s="40"/>
      <c r="R53" s="40"/>
      <c r="S53" s="40"/>
      <c r="T53" s="40"/>
      <c r="U53" s="40"/>
      <c r="V53" s="40"/>
      <c r="W53" s="40"/>
      <c r="X53" s="40"/>
      <c r="Y53" s="40"/>
      <c r="Z53" s="40"/>
      <c r="AA53" s="40"/>
      <c r="AB53" s="41"/>
      <c r="AC53" s="1"/>
      <c r="AD53" s="1"/>
      <c r="AE53" s="1"/>
      <c r="AF53" s="1"/>
      <c r="AG53" s="1"/>
      <c r="AH53" s="1"/>
      <c r="AI53" s="1"/>
      <c r="AJ53" s="1"/>
      <c r="AK53" s="1"/>
      <c r="AL53" s="1"/>
      <c r="AM53" s="1"/>
      <c r="AN53" s="1"/>
      <c r="AO53" s="1"/>
      <c r="AP53" s="1"/>
      <c r="AQ53" s="1"/>
    </row>
    <row r="54" spans="1:43" ht="14.45">
      <c r="A54" s="1"/>
      <c r="B54" s="1"/>
      <c r="C54" s="1"/>
      <c r="D54" s="1"/>
      <c r="E54" s="1"/>
      <c r="F54" s="1"/>
      <c r="G54" s="1"/>
      <c r="H54" s="1"/>
      <c r="I54" s="1"/>
      <c r="J54" s="1"/>
      <c r="K54" s="1"/>
      <c r="L54" s="1"/>
      <c r="M54" s="1"/>
      <c r="N54" s="1"/>
      <c r="O54" s="1"/>
      <c r="P54" s="39"/>
      <c r="Q54" s="40"/>
      <c r="R54" s="40"/>
      <c r="S54" s="40"/>
      <c r="T54" s="40"/>
      <c r="U54" s="40"/>
      <c r="V54" s="40"/>
      <c r="W54" s="40"/>
      <c r="X54" s="40"/>
      <c r="Y54" s="40"/>
      <c r="Z54" s="40"/>
      <c r="AA54" s="40"/>
      <c r="AB54" s="41"/>
      <c r="AC54" s="1"/>
      <c r="AD54" s="1"/>
      <c r="AE54" s="1"/>
      <c r="AF54" s="1"/>
      <c r="AG54" s="1"/>
      <c r="AH54" s="1"/>
      <c r="AI54" s="1"/>
      <c r="AJ54" s="1"/>
      <c r="AK54" s="1"/>
      <c r="AL54" s="1"/>
      <c r="AM54" s="1"/>
      <c r="AN54" s="1"/>
      <c r="AO54" s="1"/>
      <c r="AP54" s="1"/>
      <c r="AQ54" s="1"/>
    </row>
    <row r="55" spans="1:43" ht="14.4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1"/>
      <c r="AD55" s="1"/>
      <c r="AE55" s="1"/>
      <c r="AF55" s="1"/>
      <c r="AG55" s="1"/>
      <c r="AH55" s="1"/>
      <c r="AI55" s="1"/>
      <c r="AJ55" s="1"/>
      <c r="AK55" s="1"/>
      <c r="AL55" s="1"/>
      <c r="AM55" s="1"/>
      <c r="AN55" s="1"/>
      <c r="AO55" s="1"/>
      <c r="AP55" s="1"/>
      <c r="AQ55" s="1"/>
    </row>
    <row r="56" spans="1:43" ht="14.45">
      <c r="A56" s="1"/>
      <c r="B56" s="1"/>
      <c r="C56" s="1"/>
      <c r="D56" s="1"/>
      <c r="E56" s="1"/>
      <c r="F56" s="1"/>
      <c r="G56" s="1"/>
      <c r="H56" s="1"/>
      <c r="I56" s="1"/>
      <c r="J56" s="1"/>
      <c r="K56" s="1"/>
      <c r="L56" s="1"/>
      <c r="M56" s="1"/>
      <c r="N56" s="1"/>
      <c r="O56" s="1"/>
      <c r="P56" s="39"/>
      <c r="Q56" s="40"/>
      <c r="R56" s="40"/>
      <c r="S56" s="40"/>
      <c r="T56" s="40"/>
      <c r="U56" s="40"/>
      <c r="V56" s="40"/>
      <c r="W56" s="40"/>
      <c r="X56" s="40"/>
      <c r="Y56" s="40"/>
      <c r="Z56" s="40"/>
      <c r="AA56" s="40"/>
      <c r="AB56" s="41"/>
      <c r="AC56" s="1"/>
      <c r="AD56" s="1"/>
      <c r="AE56" s="1"/>
      <c r="AF56" s="1"/>
      <c r="AG56" s="1"/>
      <c r="AH56" s="1"/>
      <c r="AI56" s="1"/>
      <c r="AJ56" s="1"/>
      <c r="AK56" s="1"/>
      <c r="AL56" s="1"/>
      <c r="AM56" s="1"/>
      <c r="AN56" s="1"/>
      <c r="AO56" s="1"/>
      <c r="AP56" s="1"/>
      <c r="AQ56" s="1"/>
    </row>
    <row r="57" spans="1:43" ht="14.45">
      <c r="A57" s="1"/>
      <c r="B57" s="1"/>
      <c r="C57" s="1"/>
      <c r="D57" s="1"/>
      <c r="E57" s="1"/>
      <c r="F57" s="1"/>
      <c r="G57" s="1"/>
      <c r="H57" s="1"/>
      <c r="I57" s="1"/>
      <c r="J57" s="1"/>
      <c r="K57" s="1"/>
      <c r="L57" s="1"/>
      <c r="M57" s="1"/>
      <c r="N57" s="1"/>
      <c r="O57" s="1"/>
      <c r="P57" s="39"/>
      <c r="Q57" s="40"/>
      <c r="R57" s="40"/>
      <c r="S57" s="40"/>
      <c r="T57" s="40"/>
      <c r="U57" s="40"/>
      <c r="V57" s="40"/>
      <c r="W57" s="40"/>
      <c r="X57" s="40"/>
      <c r="Y57" s="40"/>
      <c r="Z57" s="40"/>
      <c r="AA57" s="40"/>
      <c r="AB57" s="41"/>
      <c r="AC57" s="1"/>
      <c r="AD57" s="1"/>
      <c r="AE57" s="1"/>
      <c r="AF57" s="1"/>
      <c r="AG57" s="1"/>
      <c r="AH57" s="1"/>
      <c r="AI57" s="1"/>
      <c r="AJ57" s="1"/>
      <c r="AK57" s="1"/>
      <c r="AL57" s="1"/>
      <c r="AM57" s="1"/>
      <c r="AN57" s="1"/>
      <c r="AO57" s="1"/>
      <c r="AP57" s="1"/>
      <c r="AQ57" s="1"/>
    </row>
    <row r="58" spans="1:43" ht="14.45">
      <c r="A58" s="1"/>
      <c r="B58" s="1"/>
      <c r="C58" s="1"/>
      <c r="D58" s="1"/>
      <c r="E58" s="1"/>
      <c r="F58" s="1"/>
      <c r="G58" s="1"/>
      <c r="H58" s="1"/>
      <c r="I58" s="1"/>
      <c r="J58" s="1"/>
      <c r="K58" s="1"/>
      <c r="L58" s="1"/>
      <c r="M58" s="1"/>
      <c r="N58" s="1"/>
      <c r="O58" s="1"/>
      <c r="P58" s="39"/>
      <c r="Q58" s="40"/>
      <c r="R58" s="40"/>
      <c r="S58" s="40"/>
      <c r="T58" s="40"/>
      <c r="U58" s="40"/>
      <c r="V58" s="40"/>
      <c r="W58" s="40"/>
      <c r="X58" s="40"/>
      <c r="Y58" s="40"/>
      <c r="Z58" s="40"/>
      <c r="AA58" s="40"/>
      <c r="AB58" s="41"/>
      <c r="AC58" s="1"/>
      <c r="AD58" s="1"/>
      <c r="AE58" s="400" t="s">
        <v>259</v>
      </c>
      <c r="AF58" s="400"/>
      <c r="AG58" s="400"/>
      <c r="AH58" s="400"/>
      <c r="AI58" s="400"/>
      <c r="AJ58" s="1"/>
      <c r="AK58" s="1"/>
      <c r="AL58" s="1"/>
      <c r="AM58" s="1"/>
      <c r="AN58" s="1"/>
      <c r="AO58" s="1"/>
      <c r="AP58" s="1"/>
      <c r="AQ58" s="1"/>
    </row>
    <row r="59" spans="1:43" ht="14.45">
      <c r="A59" s="1"/>
      <c r="B59" s="1"/>
      <c r="C59" s="1"/>
      <c r="D59" s="1"/>
      <c r="E59" s="1"/>
      <c r="F59" s="1"/>
      <c r="G59" s="1"/>
      <c r="H59" s="1"/>
      <c r="I59" s="1"/>
      <c r="J59" s="1"/>
      <c r="K59" s="1"/>
      <c r="L59" s="1"/>
      <c r="M59" s="1"/>
      <c r="N59" s="1"/>
      <c r="O59" s="1"/>
      <c r="P59" s="39"/>
      <c r="Q59" s="40"/>
      <c r="R59" s="40"/>
      <c r="S59" s="40"/>
      <c r="T59" s="40"/>
      <c r="U59" s="40"/>
      <c r="V59" s="40"/>
      <c r="W59" s="40"/>
      <c r="X59" s="40"/>
      <c r="Y59" s="40"/>
      <c r="Z59" s="40"/>
      <c r="AA59" s="40"/>
      <c r="AB59" s="41"/>
      <c r="AC59" s="1"/>
      <c r="AD59" s="1"/>
      <c r="AE59" s="1"/>
      <c r="AF59" s="1"/>
      <c r="AG59" s="1"/>
      <c r="AH59" s="1"/>
      <c r="AI59" s="1"/>
      <c r="AJ59" s="1"/>
      <c r="AK59" s="1"/>
      <c r="AL59" s="1"/>
      <c r="AM59" s="1"/>
      <c r="AN59" s="1"/>
      <c r="AO59" s="1"/>
      <c r="AP59" s="1"/>
      <c r="AQ59" s="1"/>
    </row>
    <row r="60" spans="1:43" ht="14.45">
      <c r="A60" s="1"/>
      <c r="B60" s="1"/>
      <c r="C60" s="1"/>
      <c r="D60" s="1"/>
      <c r="E60" s="1"/>
      <c r="F60" s="1"/>
      <c r="G60" s="1"/>
      <c r="H60" s="1"/>
      <c r="I60" s="1"/>
      <c r="J60" s="1"/>
      <c r="K60" s="1"/>
      <c r="L60" s="1"/>
      <c r="M60" s="1"/>
      <c r="N60" s="1"/>
      <c r="O60" s="1"/>
      <c r="P60" s="39"/>
      <c r="Q60" s="40"/>
      <c r="R60" s="40"/>
      <c r="S60" s="40"/>
      <c r="T60" s="40"/>
      <c r="U60" s="40"/>
      <c r="V60" s="40"/>
      <c r="W60" s="40"/>
      <c r="X60" s="40"/>
      <c r="Y60" s="40"/>
      <c r="Z60" s="40"/>
      <c r="AA60" s="40"/>
      <c r="AB60" s="41"/>
      <c r="AC60" s="1"/>
      <c r="AD60" s="1"/>
      <c r="AE60" s="1"/>
      <c r="AF60" s="1"/>
      <c r="AG60" s="1"/>
      <c r="AH60" s="1"/>
      <c r="AI60" s="1"/>
      <c r="AJ60" s="1"/>
      <c r="AK60" s="1"/>
      <c r="AL60" s="1"/>
      <c r="AM60" s="1"/>
      <c r="AN60" s="1"/>
      <c r="AO60" s="1"/>
      <c r="AP60" s="1"/>
      <c r="AQ60" s="1"/>
    </row>
    <row r="61" spans="1:43" ht="14.45">
      <c r="A61" s="1"/>
      <c r="B61" s="1"/>
      <c r="C61" s="1"/>
      <c r="D61" s="1"/>
      <c r="E61" s="1"/>
      <c r="F61" s="1"/>
      <c r="G61" s="1"/>
      <c r="H61" s="1"/>
      <c r="I61" s="1"/>
      <c r="J61" s="1"/>
      <c r="K61" s="1"/>
      <c r="L61" s="1"/>
      <c r="M61" s="1"/>
      <c r="N61" s="1"/>
      <c r="O61" s="1"/>
      <c r="P61" s="39"/>
      <c r="Q61" s="40"/>
      <c r="R61" s="40"/>
      <c r="S61" s="40"/>
      <c r="T61" s="40"/>
      <c r="U61" s="40"/>
      <c r="V61" s="40"/>
      <c r="W61" s="40"/>
      <c r="X61" s="40"/>
      <c r="Y61" s="40"/>
      <c r="Z61" s="40"/>
      <c r="AA61" s="40"/>
      <c r="AB61" s="41"/>
      <c r="AC61" s="1"/>
      <c r="AD61" s="1"/>
      <c r="AE61" s="1"/>
      <c r="AF61" s="1"/>
      <c r="AG61" s="1"/>
      <c r="AH61" s="1"/>
      <c r="AI61" s="1"/>
      <c r="AJ61" s="1"/>
      <c r="AK61" s="1"/>
      <c r="AL61" s="1"/>
      <c r="AM61" s="1"/>
      <c r="AN61" s="1"/>
      <c r="AO61" s="1"/>
      <c r="AP61" s="1"/>
      <c r="AQ61" s="1"/>
    </row>
    <row r="62" spans="1:43" ht="14.45">
      <c r="A62" s="1"/>
      <c r="B62" s="1"/>
      <c r="C62" s="1"/>
      <c r="D62" s="1"/>
      <c r="E62" s="1"/>
      <c r="F62" s="1"/>
      <c r="G62" s="1"/>
      <c r="H62" s="1"/>
      <c r="I62" s="1"/>
      <c r="J62" s="1"/>
      <c r="K62" s="1"/>
      <c r="L62" s="1"/>
      <c r="M62" s="1"/>
      <c r="N62" s="1"/>
      <c r="O62" s="1"/>
      <c r="P62" s="39"/>
      <c r="Q62" s="40"/>
      <c r="R62" s="40"/>
      <c r="S62" s="40"/>
      <c r="T62" s="40"/>
      <c r="U62" s="40"/>
      <c r="V62" s="40"/>
      <c r="W62" s="40"/>
      <c r="X62" s="40"/>
      <c r="Y62" s="40"/>
      <c r="Z62" s="40"/>
      <c r="AA62" s="40"/>
      <c r="AB62" s="41"/>
      <c r="AC62" s="1"/>
      <c r="AD62" s="1"/>
      <c r="AE62" s="1"/>
      <c r="AF62" s="1"/>
      <c r="AG62" s="1"/>
      <c r="AH62" s="1"/>
      <c r="AI62" s="1"/>
      <c r="AJ62" s="1"/>
      <c r="AK62" s="1"/>
      <c r="AL62" s="1"/>
      <c r="AM62" s="1"/>
      <c r="AN62" s="1"/>
      <c r="AO62" s="1"/>
      <c r="AP62" s="1"/>
      <c r="AQ62" s="1"/>
    </row>
    <row r="63" spans="1:43" ht="14.45">
      <c r="A63" s="1"/>
      <c r="B63" s="1"/>
      <c r="C63" s="1"/>
      <c r="D63" s="1"/>
      <c r="E63" s="1"/>
      <c r="F63" s="1"/>
      <c r="G63" s="1"/>
      <c r="H63" s="1"/>
      <c r="I63" s="1"/>
      <c r="J63" s="1"/>
      <c r="K63" s="1"/>
      <c r="L63" s="1"/>
      <c r="M63" s="1"/>
      <c r="N63" s="1"/>
      <c r="O63" s="1"/>
      <c r="P63" s="39"/>
      <c r="Q63" s="40"/>
      <c r="R63" s="40"/>
      <c r="S63" s="40"/>
      <c r="T63" s="40"/>
      <c r="U63" s="40"/>
      <c r="V63" s="40"/>
      <c r="W63" s="40"/>
      <c r="X63" s="40"/>
      <c r="Y63" s="40"/>
      <c r="Z63" s="40"/>
      <c r="AA63" s="40"/>
      <c r="AB63" s="41"/>
      <c r="AC63" s="1"/>
      <c r="AD63" s="1"/>
      <c r="AE63" s="1"/>
      <c r="AF63" s="1"/>
      <c r="AG63" s="1"/>
      <c r="AH63" s="1"/>
      <c r="AI63" s="1"/>
      <c r="AJ63" s="1"/>
      <c r="AK63" s="1"/>
      <c r="AL63" s="1"/>
      <c r="AM63" s="1"/>
      <c r="AN63" s="1"/>
      <c r="AO63" s="1"/>
      <c r="AP63" s="1"/>
      <c r="AQ63" s="1"/>
    </row>
    <row r="64" spans="1:43" ht="14.45">
      <c r="A64" s="1"/>
      <c r="B64" s="1"/>
      <c r="C64" s="1"/>
      <c r="D64" s="1"/>
      <c r="E64" s="1"/>
      <c r="F64" s="1"/>
      <c r="G64" s="1"/>
      <c r="H64" s="1"/>
      <c r="I64" s="1"/>
      <c r="J64" s="1"/>
      <c r="K64" s="1"/>
      <c r="L64" s="1"/>
      <c r="M64" s="1"/>
      <c r="N64" s="1"/>
      <c r="O64" s="1"/>
      <c r="P64" s="39"/>
      <c r="Q64" s="40"/>
      <c r="R64" s="394" t="s">
        <v>309</v>
      </c>
      <c r="S64" s="394"/>
      <c r="T64" s="394"/>
      <c r="U64" s="122"/>
      <c r="V64" s="40"/>
      <c r="W64" s="394" t="s">
        <v>310</v>
      </c>
      <c r="X64" s="394"/>
      <c r="Y64" s="394"/>
      <c r="Z64" s="122"/>
      <c r="AA64" s="40"/>
      <c r="AB64" s="41"/>
      <c r="AC64" s="1"/>
      <c r="AD64" s="1"/>
      <c r="AE64" s="1"/>
      <c r="AF64" s="1"/>
      <c r="AG64" s="1"/>
      <c r="AH64" s="1"/>
      <c r="AI64" s="1"/>
      <c r="AJ64" s="1"/>
      <c r="AK64" s="1"/>
      <c r="AL64" s="1"/>
      <c r="AM64" s="1"/>
      <c r="AN64" s="1"/>
      <c r="AO64" s="1"/>
      <c r="AP64" s="1"/>
      <c r="AQ64" s="1"/>
    </row>
    <row r="65" spans="1:43" ht="14.45">
      <c r="A65" s="1"/>
      <c r="B65" s="1"/>
      <c r="C65" s="1"/>
      <c r="D65" s="1"/>
      <c r="E65" s="1"/>
      <c r="F65" s="1"/>
      <c r="G65" s="1"/>
      <c r="H65" s="1"/>
      <c r="I65" s="1"/>
      <c r="J65" s="1"/>
      <c r="K65" s="1"/>
      <c r="L65" s="1"/>
      <c r="M65" s="1"/>
      <c r="N65" s="1"/>
      <c r="O65" s="1"/>
      <c r="P65" s="39"/>
      <c r="Q65" s="40"/>
      <c r="R65" s="40" t="s">
        <v>265</v>
      </c>
      <c r="S65" s="40"/>
      <c r="T65" s="40"/>
      <c r="U65" s="143">
        <f>'Groundstation hardware'!B77</f>
        <v>8.8999999999999996E-2</v>
      </c>
      <c r="V65" s="40" t="s">
        <v>25</v>
      </c>
      <c r="W65" s="40" t="s">
        <v>265</v>
      </c>
      <c r="X65" s="40"/>
      <c r="Y65" s="40"/>
      <c r="Z65" s="143">
        <f>'Groundstation hardware'!B85</f>
        <v>0.93449999999999989</v>
      </c>
      <c r="AA65" s="40" t="s">
        <v>25</v>
      </c>
      <c r="AB65" s="41"/>
      <c r="AC65" s="1"/>
      <c r="AD65" s="1"/>
      <c r="AE65" s="1"/>
      <c r="AF65" s="1"/>
      <c r="AG65" s="1"/>
      <c r="AH65" s="1"/>
      <c r="AI65" s="1"/>
      <c r="AJ65" s="1"/>
      <c r="AK65" s="1"/>
      <c r="AL65" s="1"/>
      <c r="AM65" s="1"/>
      <c r="AN65" s="1"/>
      <c r="AO65" s="1"/>
      <c r="AP65" s="1"/>
      <c r="AQ65" s="1"/>
    </row>
    <row r="66" spans="1:43" ht="14.45">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1"/>
      <c r="AD66" s="1"/>
      <c r="AE66" s="1"/>
      <c r="AF66" s="1"/>
      <c r="AG66" s="1"/>
      <c r="AH66" s="1"/>
      <c r="AI66" s="1"/>
      <c r="AJ66" s="1"/>
      <c r="AK66" s="1"/>
      <c r="AL66" s="1"/>
      <c r="AM66" s="1"/>
      <c r="AN66" s="1"/>
      <c r="AO66" s="1"/>
      <c r="AP66" s="1"/>
      <c r="AQ66" s="1"/>
    </row>
    <row r="67" spans="1:43" ht="14.45">
      <c r="A67" s="1"/>
      <c r="B67" s="1"/>
      <c r="C67" s="1"/>
      <c r="D67" s="1"/>
      <c r="E67" s="1"/>
      <c r="F67" s="1"/>
      <c r="G67" s="1"/>
      <c r="H67" s="1"/>
      <c r="I67" s="1"/>
      <c r="J67" s="1"/>
      <c r="K67" s="1"/>
      <c r="L67" s="1"/>
      <c r="M67" s="1"/>
      <c r="N67" s="1"/>
      <c r="O67" s="1"/>
      <c r="P67" s="39"/>
      <c r="Q67" s="40"/>
      <c r="R67" s="40"/>
      <c r="S67" s="40"/>
      <c r="T67" s="40"/>
      <c r="U67" s="40"/>
      <c r="V67" s="40"/>
      <c r="W67" s="40"/>
      <c r="X67" s="40"/>
      <c r="Y67" s="40"/>
      <c r="Z67" s="40"/>
      <c r="AA67" s="40"/>
      <c r="AB67" s="41"/>
      <c r="AC67" s="1"/>
      <c r="AD67" s="1"/>
      <c r="AE67" s="1"/>
      <c r="AF67" s="1"/>
      <c r="AG67" s="1"/>
      <c r="AH67" s="1"/>
      <c r="AI67" s="1"/>
      <c r="AJ67" s="1"/>
      <c r="AK67" s="1"/>
      <c r="AL67" s="1"/>
      <c r="AM67" s="1"/>
      <c r="AN67" s="1"/>
      <c r="AO67" s="1"/>
      <c r="AP67" s="1"/>
      <c r="AQ67" s="1"/>
    </row>
    <row r="68" spans="1:43" ht="14.45">
      <c r="A68" s="1"/>
      <c r="B68" s="1"/>
      <c r="C68" s="1"/>
      <c r="D68" s="1"/>
      <c r="E68" s="1"/>
      <c r="F68" s="1"/>
      <c r="G68" s="1"/>
      <c r="H68" s="1"/>
      <c r="I68" s="1"/>
      <c r="J68" s="1"/>
      <c r="K68" s="1"/>
      <c r="L68" s="1"/>
      <c r="M68" s="1"/>
      <c r="N68" s="1"/>
      <c r="O68" s="1"/>
      <c r="P68" s="39"/>
      <c r="Q68" s="40"/>
      <c r="R68" s="394" t="s">
        <v>261</v>
      </c>
      <c r="S68" s="394"/>
      <c r="T68" s="394"/>
      <c r="U68" s="122"/>
      <c r="V68" s="40"/>
      <c r="W68" s="40"/>
      <c r="X68" s="40"/>
      <c r="Y68" s="40"/>
      <c r="Z68" s="40"/>
      <c r="AA68" s="40"/>
      <c r="AB68" s="41"/>
      <c r="AC68" s="1"/>
      <c r="AD68" s="1"/>
      <c r="AE68" s="1"/>
      <c r="AF68" s="1"/>
      <c r="AG68" s="1"/>
      <c r="AH68" s="1"/>
      <c r="AI68" s="1"/>
      <c r="AJ68" s="1"/>
      <c r="AK68" s="1"/>
      <c r="AL68" s="1"/>
      <c r="AM68" s="1"/>
      <c r="AN68" s="1"/>
      <c r="AO68" s="1"/>
      <c r="AP68" s="1"/>
      <c r="AQ68" s="1"/>
    </row>
    <row r="69" spans="1:43" ht="14.45">
      <c r="A69" s="1"/>
      <c r="B69" s="1"/>
      <c r="C69" s="1"/>
      <c r="D69" s="1"/>
      <c r="E69" s="1"/>
      <c r="F69" s="1"/>
      <c r="G69" s="1"/>
      <c r="H69" s="1"/>
      <c r="I69" s="1"/>
      <c r="J69" s="1"/>
      <c r="K69" s="1"/>
      <c r="L69" s="1"/>
      <c r="M69" s="1"/>
      <c r="N69" s="1"/>
      <c r="O69" s="1"/>
      <c r="P69" s="39"/>
      <c r="Q69" s="40"/>
      <c r="R69" s="40" t="s">
        <v>289</v>
      </c>
      <c r="S69" s="40"/>
      <c r="T69" s="40"/>
      <c r="U69" s="143">
        <f>'Groundstation hardware'!B78</f>
        <v>0.3</v>
      </c>
      <c r="V69" s="40" t="s">
        <v>25</v>
      </c>
      <c r="W69" s="40"/>
      <c r="X69" s="40"/>
      <c r="Y69" s="40"/>
      <c r="Z69" s="40"/>
      <c r="AA69" s="40"/>
      <c r="AB69" s="41"/>
      <c r="AC69" s="1"/>
      <c r="AD69" s="1"/>
      <c r="AE69" s="1"/>
      <c r="AF69" s="1"/>
      <c r="AG69" s="1"/>
      <c r="AH69" s="1"/>
      <c r="AI69" s="1"/>
      <c r="AJ69" s="1"/>
      <c r="AK69" s="1"/>
      <c r="AL69" s="1"/>
      <c r="AM69" s="1"/>
      <c r="AN69" s="1"/>
      <c r="AO69" s="1"/>
      <c r="AP69" s="1"/>
      <c r="AQ69" s="1"/>
    </row>
    <row r="70" spans="1:43" ht="14.45">
      <c r="A70" s="1"/>
      <c r="B70" s="1"/>
      <c r="C70" s="1"/>
      <c r="D70" s="1"/>
      <c r="E70" s="1"/>
      <c r="F70" s="1"/>
      <c r="G70" s="1"/>
      <c r="H70" s="1"/>
      <c r="I70" s="1"/>
      <c r="J70" s="1"/>
      <c r="K70" s="1"/>
      <c r="L70" s="1"/>
      <c r="M70" s="1"/>
      <c r="N70" s="1"/>
      <c r="O70" s="1"/>
      <c r="P70" s="39"/>
      <c r="Q70" s="40"/>
      <c r="R70" s="40"/>
      <c r="S70" s="40"/>
      <c r="T70" s="40"/>
      <c r="U70" s="40"/>
      <c r="V70" s="40"/>
      <c r="W70" s="40"/>
      <c r="X70" s="40"/>
      <c r="Y70" s="40"/>
      <c r="Z70" s="40"/>
      <c r="AA70" s="40"/>
      <c r="AB70" s="41"/>
      <c r="AC70" s="1"/>
      <c r="AD70" s="1"/>
      <c r="AE70" s="1"/>
      <c r="AF70" s="1"/>
      <c r="AG70" s="1"/>
      <c r="AH70" s="1"/>
      <c r="AI70" s="1"/>
      <c r="AJ70" s="1"/>
      <c r="AK70" s="1"/>
      <c r="AL70" s="1"/>
      <c r="AM70" s="1"/>
      <c r="AN70" s="1"/>
      <c r="AO70" s="1"/>
      <c r="AP70" s="1"/>
      <c r="AQ70" s="1"/>
    </row>
    <row r="71" spans="1:43" ht="14.45">
      <c r="A71" s="1"/>
      <c r="B71" s="1"/>
      <c r="C71" s="1"/>
      <c r="D71" s="1"/>
      <c r="E71" s="1"/>
      <c r="F71" s="1"/>
      <c r="G71" s="1"/>
      <c r="H71" s="1"/>
      <c r="I71" s="1"/>
      <c r="J71" s="1"/>
      <c r="K71" s="1"/>
      <c r="L71" s="1"/>
      <c r="M71" s="1"/>
      <c r="N71" s="1"/>
      <c r="O71" s="1"/>
      <c r="P71" s="39"/>
      <c r="Q71" s="40"/>
      <c r="R71" s="40"/>
      <c r="S71" s="40"/>
      <c r="T71" s="40">
        <v>1</v>
      </c>
      <c r="U71" s="40"/>
      <c r="V71" s="40"/>
      <c r="W71" s="40"/>
      <c r="X71" s="40"/>
      <c r="Y71" s="40"/>
      <c r="Z71" s="40"/>
      <c r="AA71" s="40"/>
      <c r="AB71" s="41"/>
      <c r="AC71" s="1"/>
      <c r="AD71" s="1"/>
      <c r="AE71" s="1"/>
      <c r="AF71" s="1"/>
      <c r="AG71" s="1"/>
      <c r="AH71" s="1"/>
      <c r="AI71" s="1"/>
      <c r="AJ71" s="1"/>
      <c r="AK71" s="1"/>
      <c r="AL71" s="1"/>
      <c r="AM71" s="1"/>
      <c r="AN71" s="1"/>
      <c r="AO71" s="1"/>
      <c r="AP71" s="1"/>
      <c r="AQ71" s="1"/>
    </row>
    <row r="72" spans="1:43" ht="14.45">
      <c r="A72" s="1"/>
      <c r="B72" s="1"/>
      <c r="C72" s="1"/>
      <c r="D72" s="1"/>
      <c r="E72" s="1"/>
      <c r="F72" s="1"/>
      <c r="G72" s="1"/>
      <c r="H72" s="1"/>
      <c r="I72" s="1"/>
      <c r="J72" s="1"/>
      <c r="K72" s="1"/>
      <c r="L72" s="1"/>
      <c r="M72" s="1"/>
      <c r="N72" s="1"/>
      <c r="O72" s="1"/>
      <c r="P72" s="39"/>
      <c r="Q72" s="40"/>
      <c r="R72" s="40"/>
      <c r="S72" s="40"/>
      <c r="T72" s="40"/>
      <c r="U72" s="40"/>
      <c r="V72" s="40"/>
      <c r="W72" s="40"/>
      <c r="X72" s="40"/>
      <c r="Y72" s="40"/>
      <c r="Z72" s="40"/>
      <c r="AA72" s="40"/>
      <c r="AB72" s="41"/>
      <c r="AC72" s="1"/>
      <c r="AD72" s="1"/>
      <c r="AE72" s="1"/>
      <c r="AF72" s="1"/>
      <c r="AG72" s="1"/>
      <c r="AH72" s="1"/>
      <c r="AI72" s="1"/>
      <c r="AJ72" s="1"/>
      <c r="AK72" s="1"/>
      <c r="AL72" s="1"/>
      <c r="AM72" s="1"/>
      <c r="AN72" s="1"/>
      <c r="AO72" s="1"/>
      <c r="AP72" s="1"/>
      <c r="AQ72" s="1"/>
    </row>
    <row r="73" spans="1:43" ht="14.45">
      <c r="A73" s="1"/>
      <c r="B73" s="1"/>
      <c r="C73" s="1"/>
      <c r="D73" s="1"/>
      <c r="E73" s="1"/>
      <c r="F73" s="1"/>
      <c r="G73" s="1"/>
      <c r="H73" s="1"/>
      <c r="I73" s="1"/>
      <c r="J73" s="1"/>
      <c r="K73" s="1"/>
      <c r="L73" s="1"/>
      <c r="M73" s="1"/>
      <c r="N73" s="1"/>
      <c r="O73" s="1"/>
      <c r="P73" s="39"/>
      <c r="Q73" s="40"/>
      <c r="R73" s="394" t="s">
        <v>266</v>
      </c>
      <c r="S73" s="394"/>
      <c r="T73" s="394"/>
      <c r="U73" s="394"/>
      <c r="V73" s="394"/>
      <c r="W73" s="394"/>
      <c r="X73" s="394"/>
      <c r="Y73" s="122"/>
      <c r="Z73" s="122"/>
      <c r="AA73" s="40"/>
      <c r="AB73" s="41"/>
      <c r="AC73" s="1"/>
      <c r="AD73" s="1"/>
      <c r="AE73" s="1"/>
      <c r="AF73" s="1"/>
      <c r="AG73" s="1"/>
      <c r="AH73" s="1"/>
      <c r="AI73" s="1"/>
      <c r="AJ73" s="1"/>
      <c r="AK73" s="1"/>
      <c r="AL73" s="1"/>
      <c r="AM73" s="1"/>
      <c r="AN73" s="1"/>
      <c r="AO73" s="1"/>
      <c r="AP73" s="1"/>
      <c r="AQ73" s="1"/>
    </row>
    <row r="74" spans="1:43" ht="14.45">
      <c r="A74" s="1"/>
      <c r="B74" s="1"/>
      <c r="C74" s="1"/>
      <c r="D74" s="1"/>
      <c r="E74" s="1"/>
      <c r="F74" s="1"/>
      <c r="G74" s="1"/>
      <c r="H74" s="1"/>
      <c r="I74" s="1"/>
      <c r="J74" s="1"/>
      <c r="K74" s="1"/>
      <c r="L74" s="1"/>
      <c r="M74" s="1"/>
      <c r="N74" s="1"/>
      <c r="O74" s="1"/>
      <c r="P74" s="39"/>
      <c r="Q74" s="40"/>
      <c r="R74" s="40" t="s">
        <v>267</v>
      </c>
      <c r="S74" s="40"/>
      <c r="T74" s="40"/>
      <c r="U74" s="40"/>
      <c r="V74" s="414">
        <f>'Groundstation hardware'!$B$97</f>
        <v>0</v>
      </c>
      <c r="W74" s="414"/>
      <c r="X74" s="414"/>
      <c r="Y74" s="40" t="s">
        <v>25</v>
      </c>
      <c r="Z74" s="40"/>
      <c r="AA74" s="40"/>
      <c r="AB74" s="41"/>
      <c r="AC74" s="1"/>
      <c r="AD74" s="1"/>
      <c r="AE74" s="1"/>
      <c r="AF74" s="1"/>
      <c r="AG74" s="1"/>
      <c r="AH74" s="1"/>
      <c r="AI74" s="1"/>
      <c r="AJ74" s="1"/>
      <c r="AK74" s="1"/>
      <c r="AL74" s="1"/>
      <c r="AM74" s="1"/>
      <c r="AN74" s="1"/>
      <c r="AO74" s="1"/>
      <c r="AP74" s="1"/>
      <c r="AQ74" s="1"/>
    </row>
    <row r="75" spans="1:43" ht="14.45">
      <c r="A75" s="1"/>
      <c r="B75" s="1"/>
      <c r="C75" s="1"/>
      <c r="D75" s="1"/>
      <c r="E75" s="1"/>
      <c r="F75" s="1"/>
      <c r="G75" s="1"/>
      <c r="H75" s="1"/>
      <c r="I75" s="1"/>
      <c r="J75" s="1"/>
      <c r="K75" s="1"/>
      <c r="L75" s="1"/>
      <c r="M75" s="1"/>
      <c r="N75" s="1"/>
      <c r="O75" s="1"/>
      <c r="P75" s="39"/>
      <c r="Q75" s="40"/>
      <c r="R75" s="40" t="s">
        <v>268</v>
      </c>
      <c r="S75" s="40"/>
      <c r="T75" s="40"/>
      <c r="U75" s="40"/>
      <c r="V75" s="414">
        <f>'Groundstation hardware'!$C$109</f>
        <v>0.17728766960431602</v>
      </c>
      <c r="W75" s="415"/>
      <c r="X75" s="415"/>
      <c r="Y75" s="40" t="s">
        <v>25</v>
      </c>
      <c r="Z75" s="40"/>
      <c r="AA75" s="40"/>
      <c r="AB75" s="41"/>
      <c r="AC75" s="1"/>
      <c r="AD75" s="1"/>
      <c r="AE75" s="1"/>
      <c r="AF75" s="1"/>
      <c r="AG75" s="1"/>
      <c r="AH75" s="1"/>
      <c r="AI75" s="1"/>
      <c r="AJ75" s="1"/>
      <c r="AK75" s="1"/>
      <c r="AL75" s="1"/>
      <c r="AM75" s="1"/>
      <c r="AN75" s="1"/>
      <c r="AO75" s="1"/>
      <c r="AP75" s="1"/>
      <c r="AQ75" s="1"/>
    </row>
    <row r="76" spans="1:43" ht="14.45">
      <c r="A76" s="1"/>
      <c r="B76" s="1"/>
      <c r="C76" s="1"/>
      <c r="D76" s="1"/>
      <c r="E76" s="1"/>
      <c r="F76" s="1"/>
      <c r="G76" s="1"/>
      <c r="H76" s="1"/>
      <c r="I76" s="1"/>
      <c r="J76" s="1"/>
      <c r="K76" s="1"/>
      <c r="L76" s="1"/>
      <c r="M76" s="1"/>
      <c r="N76" s="1"/>
      <c r="O76" s="1"/>
      <c r="P76" s="39"/>
      <c r="Q76" s="40"/>
      <c r="R76" s="40"/>
      <c r="S76" s="40"/>
      <c r="T76" s="40"/>
      <c r="U76" s="40"/>
      <c r="V76" s="40"/>
      <c r="W76" s="40"/>
      <c r="X76" s="40"/>
      <c r="Y76" s="40"/>
      <c r="Z76" s="40"/>
      <c r="AA76" s="40"/>
      <c r="AB76" s="41"/>
      <c r="AC76" s="1"/>
      <c r="AD76" s="1"/>
      <c r="AE76" s="1"/>
      <c r="AF76" s="1"/>
      <c r="AG76" s="1"/>
      <c r="AH76" s="1"/>
      <c r="AI76" s="1"/>
      <c r="AJ76" s="1"/>
      <c r="AK76" s="1"/>
      <c r="AL76" s="1"/>
      <c r="AM76" s="1"/>
      <c r="AN76" s="1"/>
      <c r="AO76" s="1"/>
      <c r="AP76" s="1"/>
      <c r="AQ76" s="1"/>
    </row>
    <row r="77" spans="1:43" ht="14.45">
      <c r="A77" s="1"/>
      <c r="B77" s="1"/>
      <c r="C77" s="1"/>
      <c r="D77" s="1"/>
      <c r="E77" s="1"/>
      <c r="F77" s="1"/>
      <c r="G77" s="1"/>
      <c r="H77" s="1"/>
      <c r="I77" s="1"/>
      <c r="J77" s="1"/>
      <c r="K77" s="1"/>
      <c r="L77" s="1"/>
      <c r="M77" s="1"/>
      <c r="N77" s="1"/>
      <c r="O77" s="1"/>
      <c r="P77" s="39"/>
      <c r="Q77" s="40"/>
      <c r="R77" s="40"/>
      <c r="S77" s="40"/>
      <c r="T77" s="394" t="s">
        <v>311</v>
      </c>
      <c r="U77" s="394"/>
      <c r="V77" s="394"/>
      <c r="W77" s="394"/>
      <c r="X77" s="122"/>
      <c r="Y77" s="40"/>
      <c r="Z77" s="40"/>
      <c r="AA77" s="40"/>
      <c r="AB77" s="41"/>
      <c r="AC77" s="1"/>
      <c r="AD77" s="1"/>
      <c r="AE77" s="1"/>
      <c r="AF77" s="1"/>
      <c r="AG77" s="1"/>
      <c r="AH77" s="1"/>
      <c r="AI77" s="1"/>
      <c r="AJ77" s="1"/>
      <c r="AK77" s="1"/>
      <c r="AL77" s="1"/>
      <c r="AM77" s="1"/>
      <c r="AN77" s="1"/>
      <c r="AO77" s="1"/>
      <c r="AP77" s="1"/>
      <c r="AQ77" s="1"/>
    </row>
    <row r="78" spans="1:43" ht="14.45">
      <c r="A78" s="1"/>
      <c r="B78" s="1"/>
      <c r="C78" s="1"/>
      <c r="D78" s="1"/>
      <c r="E78" s="1"/>
      <c r="F78" s="1"/>
      <c r="G78" s="1"/>
      <c r="H78" s="1"/>
      <c r="I78" s="1"/>
      <c r="J78" s="1"/>
      <c r="K78" s="1"/>
      <c r="L78" s="1"/>
      <c r="M78" s="1"/>
      <c r="N78" s="1"/>
      <c r="O78" s="1"/>
      <c r="P78" s="39"/>
      <c r="Q78" s="40"/>
      <c r="R78" s="40"/>
      <c r="S78" s="40"/>
      <c r="T78" s="47" t="s">
        <v>270</v>
      </c>
      <c r="U78" s="47"/>
      <c r="V78" s="410">
        <f>SUM(V74:X75)+U65+U69</f>
        <v>0.56628766960431598</v>
      </c>
      <c r="W78" s="412"/>
      <c r="X78" s="40" t="s">
        <v>25</v>
      </c>
      <c r="Y78" s="40"/>
      <c r="Z78" s="40"/>
      <c r="AA78" s="40"/>
      <c r="AB78" s="41"/>
      <c r="AC78" s="1"/>
      <c r="AD78" s="1"/>
      <c r="AE78" s="1"/>
      <c r="AF78" s="1"/>
      <c r="AG78" s="1"/>
      <c r="AH78" s="1"/>
      <c r="AI78" s="1"/>
      <c r="AJ78" s="1"/>
      <c r="AK78" s="1"/>
      <c r="AL78" s="1"/>
      <c r="AM78" s="1"/>
      <c r="AN78" s="1"/>
      <c r="AO78" s="1"/>
      <c r="AP78" s="1"/>
      <c r="AQ78" s="1"/>
    </row>
    <row r="79" spans="1:43" ht="14.45">
      <c r="A79" s="1"/>
      <c r="B79" s="1"/>
      <c r="C79" s="1"/>
      <c r="D79" s="1"/>
      <c r="E79" s="1"/>
      <c r="F79" s="1"/>
      <c r="G79" s="1"/>
      <c r="H79" s="1"/>
      <c r="I79" s="1"/>
      <c r="J79" s="1"/>
      <c r="K79" s="1"/>
      <c r="L79" s="1"/>
      <c r="M79" s="1"/>
      <c r="N79" s="1"/>
      <c r="O79" s="1"/>
      <c r="P79" s="39"/>
      <c r="Q79" s="40"/>
      <c r="R79" s="47"/>
      <c r="S79" s="47"/>
      <c r="T79" s="47"/>
      <c r="U79" s="47"/>
      <c r="V79" s="47"/>
      <c r="W79" s="47"/>
      <c r="X79" s="47"/>
      <c r="Y79" s="47"/>
      <c r="Z79" s="47"/>
      <c r="AA79" s="40"/>
      <c r="AB79" s="41"/>
      <c r="AC79" s="1"/>
      <c r="AD79" s="1"/>
      <c r="AE79" s="1"/>
      <c r="AF79" s="1"/>
      <c r="AG79" s="1"/>
      <c r="AH79" s="1"/>
      <c r="AI79" s="1"/>
      <c r="AJ79" s="1"/>
      <c r="AK79" s="1"/>
      <c r="AL79" s="1"/>
      <c r="AM79" s="1"/>
      <c r="AN79" s="1"/>
      <c r="AO79" s="1"/>
      <c r="AP79" s="1"/>
      <c r="AQ79" s="1"/>
    </row>
    <row r="80" spans="1:43" ht="14.45">
      <c r="A80" s="1"/>
      <c r="B80" s="1"/>
      <c r="C80" s="1"/>
      <c r="D80" s="1"/>
      <c r="E80" s="1"/>
      <c r="F80" s="1"/>
      <c r="G80" s="1"/>
      <c r="H80" s="1"/>
      <c r="I80" s="1"/>
      <c r="J80" s="1"/>
      <c r="K80" s="1"/>
      <c r="L80" s="1"/>
      <c r="M80" s="1"/>
      <c r="N80" s="1"/>
      <c r="O80" s="1"/>
      <c r="P80" s="39"/>
      <c r="Q80" s="40"/>
      <c r="R80" s="413" t="s">
        <v>291</v>
      </c>
      <c r="S80" s="413"/>
      <c r="T80" s="413"/>
      <c r="U80" s="413"/>
      <c r="V80" s="413"/>
      <c r="W80" s="413"/>
      <c r="X80" s="413"/>
      <c r="Y80" s="126"/>
      <c r="Z80" s="126"/>
      <c r="AA80" s="40"/>
      <c r="AB80" s="41"/>
      <c r="AC80" s="1"/>
      <c r="AD80" s="1"/>
      <c r="AE80" s="1"/>
      <c r="AF80" s="1"/>
      <c r="AG80" s="1"/>
      <c r="AH80" s="1"/>
      <c r="AI80" s="1"/>
      <c r="AJ80" s="1"/>
      <c r="AK80" s="1"/>
      <c r="AL80" s="1"/>
      <c r="AM80" s="1"/>
      <c r="AN80" s="1"/>
      <c r="AO80" s="1"/>
      <c r="AP80" s="1"/>
      <c r="AQ80" s="1"/>
    </row>
    <row r="81" spans="1:43" ht="14.45">
      <c r="A81" s="1"/>
      <c r="B81" s="1"/>
      <c r="C81" s="1"/>
      <c r="D81" s="1"/>
      <c r="E81" s="1"/>
      <c r="F81" s="1"/>
      <c r="G81" s="1"/>
      <c r="H81" s="1"/>
      <c r="I81" s="1"/>
      <c r="J81" s="1"/>
      <c r="K81" s="1"/>
      <c r="L81" s="1"/>
      <c r="M81" s="1"/>
      <c r="N81" s="1"/>
      <c r="O81" s="1"/>
      <c r="P81" s="39"/>
      <c r="Q81" s="40"/>
      <c r="R81" s="395" t="s">
        <v>292</v>
      </c>
      <c r="S81" s="395"/>
      <c r="T81" s="395"/>
      <c r="U81" s="127" t="s">
        <v>293</v>
      </c>
      <c r="V81" s="410">
        <f>10^-(V78/10)</f>
        <v>0.87775079813481449</v>
      </c>
      <c r="W81" s="411"/>
      <c r="X81" s="412"/>
      <c r="Y81" s="40"/>
      <c r="Z81" s="40"/>
      <c r="AA81" s="40"/>
      <c r="AB81" s="41"/>
      <c r="AC81" s="1"/>
      <c r="AD81" s="1"/>
      <c r="AE81" s="1"/>
      <c r="AF81" s="1"/>
      <c r="AG81" s="1"/>
      <c r="AH81" s="1"/>
      <c r="AI81" s="1"/>
      <c r="AJ81" s="1"/>
      <c r="AK81" s="1"/>
      <c r="AL81" s="1"/>
      <c r="AM81" s="1"/>
      <c r="AN81" s="1"/>
      <c r="AO81" s="1"/>
      <c r="AP81" s="1"/>
      <c r="AQ81" s="1"/>
    </row>
    <row r="82" spans="1:43" ht="15.6">
      <c r="A82" s="1"/>
      <c r="B82" s="1"/>
      <c r="C82" s="1"/>
      <c r="D82" s="1"/>
      <c r="E82" s="1"/>
      <c r="F82" s="1"/>
      <c r="G82" s="1"/>
      <c r="H82" s="1"/>
      <c r="I82" s="1"/>
      <c r="J82" s="1"/>
      <c r="K82" s="1"/>
      <c r="L82" s="1"/>
      <c r="M82" s="1"/>
      <c r="N82" s="1"/>
      <c r="O82" s="1"/>
      <c r="P82" s="39"/>
      <c r="Q82" s="40"/>
      <c r="R82" s="395" t="s">
        <v>312</v>
      </c>
      <c r="S82" s="395"/>
      <c r="T82" s="395"/>
      <c r="U82" s="198" t="s">
        <v>295</v>
      </c>
      <c r="V82" s="407">
        <v>75.2</v>
      </c>
      <c r="W82" s="408"/>
      <c r="X82" s="409"/>
      <c r="Y82" s="40" t="s">
        <v>296</v>
      </c>
      <c r="Z82" s="40"/>
      <c r="AA82" s="40"/>
      <c r="AB82" s="41"/>
      <c r="AC82" s="1"/>
      <c r="AD82" s="210"/>
      <c r="AE82" s="1"/>
      <c r="AF82" s="1"/>
      <c r="AG82" s="1"/>
      <c r="AH82" s="1"/>
      <c r="AI82" s="1"/>
      <c r="AJ82" s="1"/>
      <c r="AK82" s="1"/>
      <c r="AL82" s="1"/>
      <c r="AM82" s="1"/>
      <c r="AN82" s="1"/>
      <c r="AO82" s="1"/>
      <c r="AP82" s="1"/>
      <c r="AQ82" s="1"/>
    </row>
    <row r="83" spans="1:43" ht="15.6">
      <c r="A83" s="1"/>
      <c r="B83" s="1"/>
      <c r="C83" s="1"/>
      <c r="D83" s="1"/>
      <c r="E83" s="1"/>
      <c r="F83" s="1"/>
      <c r="G83" s="1"/>
      <c r="H83" s="1"/>
      <c r="I83" s="1"/>
      <c r="J83" s="1"/>
      <c r="K83" s="1"/>
      <c r="L83" s="1"/>
      <c r="M83" s="1"/>
      <c r="N83" s="1"/>
      <c r="O83" s="1"/>
      <c r="P83" s="39"/>
      <c r="Q83" s="40"/>
      <c r="R83" s="395" t="s">
        <v>313</v>
      </c>
      <c r="S83" s="395"/>
      <c r="T83" s="395"/>
      <c r="U83" s="198" t="s">
        <v>298</v>
      </c>
      <c r="V83" s="407">
        <v>290</v>
      </c>
      <c r="W83" s="408"/>
      <c r="X83" s="409"/>
      <c r="Y83" s="40" t="s">
        <v>296</v>
      </c>
      <c r="Z83" s="40"/>
      <c r="AA83" s="40"/>
      <c r="AB83" s="41"/>
      <c r="AC83" s="1"/>
      <c r="AD83" s="210"/>
      <c r="AE83" s="1"/>
      <c r="AF83" s="1"/>
      <c r="AG83" s="1"/>
      <c r="AH83" s="1"/>
      <c r="AI83" s="1"/>
      <c r="AJ83" s="1"/>
      <c r="AK83" s="1"/>
      <c r="AL83" s="1"/>
      <c r="AM83" s="1"/>
      <c r="AN83" s="1"/>
      <c r="AO83" s="1"/>
      <c r="AP83" s="1"/>
      <c r="AQ83" s="1"/>
    </row>
    <row r="84" spans="1:43" ht="15.6">
      <c r="A84" s="1"/>
      <c r="B84" s="1"/>
      <c r="C84" s="1"/>
      <c r="D84" s="1"/>
      <c r="E84" s="1"/>
      <c r="F84" s="1"/>
      <c r="G84" s="1"/>
      <c r="H84" s="1"/>
      <c r="I84" s="1"/>
      <c r="J84" s="1"/>
      <c r="K84" s="1"/>
      <c r="L84" s="1"/>
      <c r="M84" s="1"/>
      <c r="N84" s="1"/>
      <c r="O84" s="1"/>
      <c r="P84" s="39"/>
      <c r="Q84" s="40"/>
      <c r="R84" s="395" t="s">
        <v>314</v>
      </c>
      <c r="S84" s="395"/>
      <c r="T84" s="395"/>
      <c r="U84" s="198" t="s">
        <v>300</v>
      </c>
      <c r="V84" s="404">
        <v>60</v>
      </c>
      <c r="W84" s="405"/>
      <c r="X84" s="406"/>
      <c r="Y84" s="40" t="s">
        <v>296</v>
      </c>
      <c r="Z84" s="40"/>
      <c r="AA84" s="40"/>
      <c r="AB84" s="41"/>
      <c r="AC84" s="1"/>
      <c r="AD84" s="210"/>
      <c r="AE84" s="1"/>
      <c r="AF84" s="1"/>
      <c r="AG84" s="1"/>
      <c r="AH84" s="1"/>
      <c r="AI84" s="1"/>
      <c r="AJ84" s="1"/>
      <c r="AK84" s="1"/>
      <c r="AL84" s="1"/>
      <c r="AM84" s="1"/>
      <c r="AN84" s="1"/>
      <c r="AO84" s="1"/>
      <c r="AP84" s="1"/>
      <c r="AQ84" s="1"/>
    </row>
    <row r="85" spans="1:43" ht="14.65" customHeight="1">
      <c r="A85" s="1"/>
      <c r="B85" s="1"/>
      <c r="C85" s="1"/>
      <c r="D85" s="1"/>
      <c r="E85" s="1"/>
      <c r="F85" s="1"/>
      <c r="G85" s="1"/>
      <c r="H85" s="1"/>
      <c r="I85" s="1"/>
      <c r="J85" s="1"/>
      <c r="K85" s="1"/>
      <c r="L85" s="1"/>
      <c r="M85" s="1"/>
      <c r="N85" s="1"/>
      <c r="O85" s="1"/>
      <c r="P85" s="39"/>
      <c r="Q85" s="40"/>
      <c r="R85" s="399" t="s">
        <v>315</v>
      </c>
      <c r="S85" s="399"/>
      <c r="T85" s="399"/>
      <c r="U85" s="399" t="s">
        <v>302</v>
      </c>
      <c r="V85" s="396">
        <f>'Groundstation hardware'!B36</f>
        <v>18</v>
      </c>
      <c r="W85" s="416"/>
      <c r="X85" s="397"/>
      <c r="Y85" s="40" t="s">
        <v>25</v>
      </c>
      <c r="Z85" s="40"/>
      <c r="AA85" s="40"/>
      <c r="AB85" s="41"/>
      <c r="AC85" s="1"/>
      <c r="AD85" s="1"/>
      <c r="AE85" s="1"/>
      <c r="AF85" s="1"/>
      <c r="AG85" s="1"/>
      <c r="AH85" s="1"/>
      <c r="AI85" s="1"/>
      <c r="AJ85" s="1"/>
      <c r="AK85" s="1"/>
      <c r="AL85" s="1"/>
      <c r="AM85" s="1"/>
      <c r="AN85" s="1"/>
      <c r="AO85" s="1"/>
      <c r="AP85" s="1"/>
      <c r="AQ85" s="1"/>
    </row>
    <row r="86" spans="1:43" ht="14.45">
      <c r="A86" s="1"/>
      <c r="B86" s="1"/>
      <c r="C86" s="1"/>
      <c r="D86" s="1"/>
      <c r="E86" s="1"/>
      <c r="F86" s="1"/>
      <c r="G86" s="1"/>
      <c r="H86" s="1"/>
      <c r="I86" s="1"/>
      <c r="J86" s="1"/>
      <c r="K86" s="1"/>
      <c r="L86" s="1"/>
      <c r="M86" s="1"/>
      <c r="N86" s="1"/>
      <c r="O86" s="1"/>
      <c r="P86" s="39"/>
      <c r="Q86" s="40"/>
      <c r="R86" s="399"/>
      <c r="S86" s="399"/>
      <c r="T86" s="399"/>
      <c r="U86" s="399"/>
      <c r="V86" s="396">
        <f>10^(V85/10)</f>
        <v>63.095734448019364</v>
      </c>
      <c r="W86" s="416"/>
      <c r="X86" s="397"/>
      <c r="Y86" s="40" t="s">
        <v>303</v>
      </c>
      <c r="Z86" s="40"/>
      <c r="AA86" s="40"/>
      <c r="AB86" s="41"/>
      <c r="AC86" s="1"/>
      <c r="AD86" s="1"/>
      <c r="AE86" s="1"/>
      <c r="AF86" s="1"/>
      <c r="AG86" s="1"/>
      <c r="AH86" s="1"/>
      <c r="AI86" s="1"/>
      <c r="AJ86" s="1"/>
      <c r="AK86" s="1"/>
      <c r="AL86" s="1"/>
      <c r="AM86" s="1"/>
      <c r="AN86" s="1"/>
      <c r="AO86" s="1"/>
      <c r="AP86" s="1"/>
      <c r="AQ86" s="1"/>
    </row>
    <row r="87" spans="1:43" ht="15.6">
      <c r="A87" s="1"/>
      <c r="B87" s="1"/>
      <c r="C87" s="1"/>
      <c r="D87" s="1"/>
      <c r="E87" s="1"/>
      <c r="F87" s="1"/>
      <c r="G87" s="1"/>
      <c r="H87" s="1"/>
      <c r="I87" s="1"/>
      <c r="J87" s="1"/>
      <c r="K87" s="1"/>
      <c r="L87" s="1"/>
      <c r="M87" s="1"/>
      <c r="N87" s="1"/>
      <c r="O87" s="1"/>
      <c r="P87" s="39"/>
      <c r="Q87" s="40"/>
      <c r="R87" s="395" t="s">
        <v>316</v>
      </c>
      <c r="S87" s="395"/>
      <c r="T87" s="395"/>
      <c r="U87" s="198" t="s">
        <v>317</v>
      </c>
      <c r="V87" s="404">
        <v>3000</v>
      </c>
      <c r="W87" s="405"/>
      <c r="X87" s="406"/>
      <c r="Y87" s="40" t="s">
        <v>296</v>
      </c>
      <c r="Z87" s="40"/>
      <c r="AA87" s="40"/>
      <c r="AB87" s="41"/>
      <c r="AC87" s="1"/>
      <c r="AD87" s="210"/>
      <c r="AE87" s="1"/>
      <c r="AF87" s="1"/>
      <c r="AG87" s="1"/>
      <c r="AH87" s="1"/>
      <c r="AI87" s="1"/>
      <c r="AJ87" s="1"/>
      <c r="AK87" s="1"/>
      <c r="AL87" s="1"/>
      <c r="AM87" s="1"/>
      <c r="AN87" s="1"/>
      <c r="AO87" s="1"/>
      <c r="AP87" s="1"/>
      <c r="AQ87" s="1"/>
    </row>
    <row r="88" spans="1:43" ht="15.6">
      <c r="A88" s="1"/>
      <c r="B88" s="1"/>
      <c r="C88" s="1"/>
      <c r="D88" s="1"/>
      <c r="E88" s="1"/>
      <c r="F88" s="1"/>
      <c r="G88" s="1"/>
      <c r="H88" s="1"/>
      <c r="I88" s="1"/>
      <c r="J88" s="1"/>
      <c r="K88" s="1"/>
      <c r="L88" s="1"/>
      <c r="M88" s="1"/>
      <c r="N88" s="1"/>
      <c r="O88" s="1"/>
      <c r="P88" s="39"/>
      <c r="Q88" s="40"/>
      <c r="R88" s="395" t="s">
        <v>318</v>
      </c>
      <c r="S88" s="395"/>
      <c r="T88" s="395"/>
      <c r="U88" s="198" t="s">
        <v>307</v>
      </c>
      <c r="V88" s="398">
        <f>V82*V81+V83*(1-V81)+V84+(V87/(V86/(10^(Z65/10))))</f>
        <v>220.42099935103874</v>
      </c>
      <c r="W88" s="398"/>
      <c r="X88" s="398"/>
      <c r="Y88" s="40" t="s">
        <v>296</v>
      </c>
      <c r="Z88" s="40"/>
      <c r="AA88" s="40"/>
      <c r="AB88" s="41"/>
      <c r="AC88" s="1"/>
      <c r="AD88" s="1"/>
      <c r="AE88" s="1"/>
      <c r="AF88" s="1"/>
      <c r="AG88" s="1"/>
      <c r="AH88" s="1"/>
      <c r="AI88" s="1"/>
      <c r="AJ88" s="1"/>
      <c r="AK88" s="1"/>
      <c r="AL88" s="1"/>
      <c r="AM88" s="1"/>
      <c r="AN88" s="1"/>
      <c r="AO88" s="1"/>
      <c r="AP88" s="1"/>
      <c r="AQ88" s="1"/>
    </row>
    <row r="89" spans="1:43" ht="14.45">
      <c r="A89" s="1"/>
      <c r="B89" s="1"/>
      <c r="C89" s="1"/>
      <c r="D89" s="1"/>
      <c r="E89" s="1"/>
      <c r="F89" s="1"/>
      <c r="G89" s="1"/>
      <c r="H89" s="1"/>
      <c r="I89" s="1"/>
      <c r="J89" s="1"/>
      <c r="K89" s="1"/>
      <c r="L89" s="1"/>
      <c r="M89" s="1"/>
      <c r="N89" s="1"/>
      <c r="O89" s="1"/>
      <c r="P89" s="39"/>
      <c r="Q89" s="40"/>
      <c r="R89" s="40"/>
      <c r="S89" s="40"/>
      <c r="T89" s="40"/>
      <c r="U89" s="40"/>
      <c r="V89" s="40"/>
      <c r="W89" s="40"/>
      <c r="X89" s="40"/>
      <c r="Y89" s="40"/>
      <c r="Z89" s="40"/>
      <c r="AA89" s="40"/>
      <c r="AB89" s="41"/>
      <c r="AC89" s="1"/>
      <c r="AD89" s="1"/>
      <c r="AE89" s="1"/>
      <c r="AF89" s="1"/>
      <c r="AG89" s="1"/>
      <c r="AH89" s="1"/>
      <c r="AI89" s="1"/>
      <c r="AJ89" s="1"/>
      <c r="AK89" s="1"/>
      <c r="AL89" s="1"/>
      <c r="AM89" s="1"/>
      <c r="AN89" s="1"/>
      <c r="AO89" s="1"/>
      <c r="AP89" s="1"/>
      <c r="AQ89" s="1"/>
    </row>
    <row r="90" spans="1:43" ht="14.45">
      <c r="A90" s="1"/>
      <c r="B90" s="1"/>
      <c r="C90" s="1"/>
      <c r="D90" s="1"/>
      <c r="E90" s="1"/>
      <c r="F90" s="1"/>
      <c r="G90" s="1"/>
      <c r="H90" s="1"/>
      <c r="I90" s="1"/>
      <c r="J90" s="1"/>
      <c r="K90" s="1"/>
      <c r="L90" s="1"/>
      <c r="M90" s="1"/>
      <c r="N90" s="1"/>
      <c r="O90" s="1"/>
      <c r="P90" s="42"/>
      <c r="Q90" s="43"/>
      <c r="R90" s="43"/>
      <c r="S90" s="43"/>
      <c r="T90" s="43"/>
      <c r="U90" s="43"/>
      <c r="V90" s="43"/>
      <c r="W90" s="43"/>
      <c r="X90" s="43"/>
      <c r="Y90" s="43"/>
      <c r="Z90" s="43"/>
      <c r="AA90" s="43"/>
      <c r="AB90" s="44"/>
      <c r="AC90" s="1"/>
      <c r="AD90" s="1"/>
      <c r="AE90" s="1"/>
      <c r="AF90" s="1"/>
      <c r="AG90" s="1"/>
      <c r="AH90" s="1"/>
      <c r="AI90" s="1"/>
      <c r="AJ90" s="1"/>
      <c r="AK90" s="1"/>
      <c r="AL90" s="1"/>
      <c r="AM90" s="1"/>
      <c r="AN90" s="1"/>
      <c r="AO90" s="1"/>
      <c r="AP90" s="1"/>
      <c r="AQ90" s="1"/>
    </row>
    <row r="91" spans="1:43" ht="15" thickBo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4.45">
      <c r="A92" s="1"/>
      <c r="B92" s="1"/>
      <c r="C92" s="1"/>
      <c r="D92" s="1"/>
      <c r="E92" s="1"/>
      <c r="F92" s="1"/>
      <c r="G92" s="1"/>
      <c r="H92" s="1"/>
      <c r="I92" s="1"/>
      <c r="J92" s="1"/>
      <c r="K92" s="1"/>
      <c r="L92" s="1"/>
      <c r="M92" s="1"/>
      <c r="N92" s="1"/>
      <c r="O92" s="1"/>
      <c r="P92" s="36"/>
      <c r="Q92" s="37"/>
      <c r="R92" s="37"/>
      <c r="S92" s="37"/>
      <c r="T92" s="37"/>
      <c r="U92" s="37"/>
      <c r="V92" s="37"/>
      <c r="W92" s="37"/>
      <c r="X92" s="37"/>
      <c r="Y92" s="37"/>
      <c r="Z92" s="37"/>
      <c r="AA92" s="37"/>
      <c r="AB92" s="38"/>
      <c r="AC92" s="1"/>
      <c r="AD92" s="1"/>
      <c r="AE92" s="1"/>
      <c r="AF92" s="1"/>
      <c r="AG92" s="1"/>
      <c r="AH92" s="1"/>
      <c r="AI92" s="1"/>
      <c r="AJ92" s="1"/>
      <c r="AK92" s="1"/>
      <c r="AL92" s="1"/>
      <c r="AM92" s="1"/>
      <c r="AN92" s="1"/>
      <c r="AO92" s="1"/>
      <c r="AP92" s="1"/>
      <c r="AQ92" s="1"/>
    </row>
    <row r="93" spans="1:43" ht="15" thickBot="1">
      <c r="A93" s="1"/>
      <c r="B93" s="1"/>
      <c r="C93" s="1"/>
      <c r="D93" s="1"/>
      <c r="E93" s="1"/>
      <c r="F93" s="1"/>
      <c r="G93" s="1"/>
      <c r="H93" s="1"/>
      <c r="I93" s="1"/>
      <c r="J93" s="1"/>
      <c r="K93" s="1"/>
      <c r="L93" s="1"/>
      <c r="M93" s="1"/>
      <c r="N93" s="1"/>
      <c r="O93" s="1"/>
      <c r="P93" s="39"/>
      <c r="Q93" s="40"/>
      <c r="R93" s="40"/>
      <c r="S93" s="40"/>
      <c r="T93" s="40"/>
      <c r="U93" s="40"/>
      <c r="V93" s="40"/>
      <c r="W93" s="40"/>
      <c r="X93" s="40"/>
      <c r="Y93" s="40"/>
      <c r="Z93" s="40"/>
      <c r="AA93" s="40"/>
      <c r="AB93" s="41"/>
      <c r="AC93" s="1"/>
      <c r="AD93" s="1"/>
      <c r="AE93" s="1"/>
      <c r="AF93" s="1"/>
      <c r="AG93" s="1"/>
      <c r="AH93" s="1"/>
      <c r="AI93" s="1"/>
      <c r="AJ93" s="1"/>
      <c r="AK93" s="1"/>
      <c r="AL93" s="1"/>
      <c r="AM93" s="1"/>
      <c r="AN93" s="1"/>
      <c r="AO93" s="1"/>
      <c r="AP93" s="1"/>
      <c r="AQ93" s="1"/>
    </row>
    <row r="94" spans="1:43" ht="30.6" thickBot="1">
      <c r="A94" s="1"/>
      <c r="B94" s="1"/>
      <c r="C94" s="1"/>
      <c r="D94" s="1"/>
      <c r="E94" s="1"/>
      <c r="F94" s="1"/>
      <c r="G94" s="1"/>
      <c r="H94" s="1"/>
      <c r="I94" s="1"/>
      <c r="J94" s="1"/>
      <c r="K94" s="1"/>
      <c r="L94" s="1"/>
      <c r="M94" s="1"/>
      <c r="N94" s="1"/>
      <c r="O94" s="1"/>
      <c r="P94" s="39"/>
      <c r="Q94" s="40"/>
      <c r="R94" s="328" t="s">
        <v>319</v>
      </c>
      <c r="S94" s="329"/>
      <c r="T94" s="329"/>
      <c r="U94" s="329"/>
      <c r="V94" s="329"/>
      <c r="W94" s="329"/>
      <c r="X94" s="329"/>
      <c r="Y94" s="329"/>
      <c r="Z94" s="330"/>
      <c r="AA94" s="40"/>
      <c r="AB94" s="41"/>
      <c r="AC94" s="1"/>
      <c r="AD94" s="1"/>
      <c r="AE94" s="1"/>
      <c r="AF94" s="1"/>
      <c r="AG94" s="1"/>
      <c r="AH94" s="1"/>
      <c r="AI94" s="1"/>
      <c r="AJ94" s="1"/>
      <c r="AK94" s="1"/>
      <c r="AL94" s="1"/>
      <c r="AM94" s="1"/>
      <c r="AN94" s="1"/>
      <c r="AO94" s="1"/>
      <c r="AP94" s="1"/>
      <c r="AQ94" s="1"/>
    </row>
    <row r="95" spans="1:43" ht="14.45">
      <c r="A95" s="1"/>
      <c r="B95" s="1"/>
      <c r="C95" s="1"/>
      <c r="D95" s="1"/>
      <c r="E95" s="1"/>
      <c r="F95" s="1"/>
      <c r="G95" s="1"/>
      <c r="H95" s="1"/>
      <c r="I95" s="1"/>
      <c r="J95" s="1"/>
      <c r="K95" s="1"/>
      <c r="L95" s="1"/>
      <c r="M95" s="1"/>
      <c r="N95" s="1"/>
      <c r="O95" s="1"/>
      <c r="P95" s="39"/>
      <c r="Q95" s="40"/>
      <c r="R95" s="40"/>
      <c r="S95" s="40"/>
      <c r="T95" s="40"/>
      <c r="U95" s="40"/>
      <c r="V95" s="40"/>
      <c r="W95" s="40"/>
      <c r="X95" s="40"/>
      <c r="Y95" s="40"/>
      <c r="Z95" s="40"/>
      <c r="AA95" s="40"/>
      <c r="AB95" s="41"/>
      <c r="AC95" s="1"/>
      <c r="AD95" s="1"/>
      <c r="AE95" s="1"/>
      <c r="AF95" s="1"/>
      <c r="AG95" s="1"/>
      <c r="AH95" s="1"/>
      <c r="AI95" s="1"/>
      <c r="AJ95" s="1"/>
      <c r="AK95" s="1"/>
      <c r="AL95" s="1"/>
      <c r="AM95" s="1"/>
      <c r="AN95" s="1"/>
      <c r="AO95" s="1"/>
      <c r="AP95" s="1"/>
      <c r="AQ95" s="1"/>
    </row>
    <row r="96" spans="1:43" ht="14.45">
      <c r="A96" s="1"/>
      <c r="B96" s="1"/>
      <c r="C96" s="1"/>
      <c r="D96" s="1"/>
      <c r="E96" s="1"/>
      <c r="F96" s="1"/>
      <c r="G96" s="1"/>
      <c r="H96" s="1"/>
      <c r="I96" s="1"/>
      <c r="J96" s="1"/>
      <c r="K96" s="1"/>
      <c r="L96" s="1"/>
      <c r="M96" s="1"/>
      <c r="N96" s="1"/>
      <c r="O96" s="1"/>
      <c r="P96" s="39"/>
      <c r="Q96" s="40"/>
      <c r="R96" s="40"/>
      <c r="S96" s="40"/>
      <c r="T96" s="40"/>
      <c r="U96" s="40"/>
      <c r="V96" s="40"/>
      <c r="W96" s="40"/>
      <c r="X96" s="40"/>
      <c r="Y96" s="40"/>
      <c r="Z96" s="40"/>
      <c r="AA96" s="40"/>
      <c r="AB96" s="41"/>
      <c r="AC96" s="1"/>
      <c r="AD96" s="1"/>
      <c r="AE96" s="1"/>
      <c r="AF96" s="1"/>
      <c r="AG96" s="1"/>
      <c r="AH96" s="1"/>
      <c r="AI96" s="1"/>
      <c r="AJ96" s="1"/>
      <c r="AK96" s="1"/>
      <c r="AL96" s="1"/>
      <c r="AM96" s="1"/>
      <c r="AN96" s="1"/>
      <c r="AO96" s="1"/>
      <c r="AP96" s="1"/>
      <c r="AQ96" s="1"/>
    </row>
    <row r="97" spans="1:43" ht="14.45">
      <c r="A97" s="1"/>
      <c r="B97" s="1"/>
      <c r="C97" s="1"/>
      <c r="D97" s="1"/>
      <c r="E97" s="1"/>
      <c r="F97" s="1"/>
      <c r="G97" s="1"/>
      <c r="H97" s="1"/>
      <c r="I97" s="1"/>
      <c r="J97" s="1"/>
      <c r="K97" s="1"/>
      <c r="L97" s="1"/>
      <c r="M97" s="1"/>
      <c r="N97" s="1"/>
      <c r="O97" s="1"/>
      <c r="P97" s="39"/>
      <c r="Q97" s="40"/>
      <c r="R97" s="40"/>
      <c r="S97" s="40"/>
      <c r="T97" s="40"/>
      <c r="U97" s="40"/>
      <c r="V97" s="40"/>
      <c r="W97" s="40"/>
      <c r="X97" s="40"/>
      <c r="Y97" s="40"/>
      <c r="Z97" s="40"/>
      <c r="AA97" s="40"/>
      <c r="AB97" s="41"/>
      <c r="AC97" s="1"/>
      <c r="AD97" s="1"/>
      <c r="AE97" s="1"/>
      <c r="AF97" s="1"/>
      <c r="AG97" s="1"/>
      <c r="AH97" s="1"/>
      <c r="AI97" s="1"/>
      <c r="AJ97" s="1"/>
      <c r="AK97" s="1"/>
      <c r="AL97" s="1"/>
      <c r="AM97" s="1"/>
      <c r="AN97" s="1"/>
      <c r="AO97" s="1"/>
      <c r="AP97" s="1"/>
      <c r="AQ97" s="1"/>
    </row>
    <row r="98" spans="1:43" ht="14.45">
      <c r="A98" s="1"/>
      <c r="B98" s="1"/>
      <c r="C98" s="1"/>
      <c r="D98" s="1"/>
      <c r="E98" s="1"/>
      <c r="F98" s="1"/>
      <c r="G98" s="1"/>
      <c r="H98" s="1"/>
      <c r="I98" s="1"/>
      <c r="J98" s="1"/>
      <c r="K98" s="1"/>
      <c r="L98" s="1"/>
      <c r="M98" s="1"/>
      <c r="N98" s="1"/>
      <c r="O98" s="1"/>
      <c r="P98" s="39"/>
      <c r="Q98" s="40"/>
      <c r="R98" s="40"/>
      <c r="S98" s="40"/>
      <c r="T98" s="40"/>
      <c r="U98" s="40"/>
      <c r="V98" s="40"/>
      <c r="W98" s="40"/>
      <c r="X98" s="40"/>
      <c r="Y98" s="40"/>
      <c r="Z98" s="40"/>
      <c r="AA98" s="40"/>
      <c r="AB98" s="41"/>
      <c r="AC98" s="1"/>
      <c r="AD98" s="1"/>
      <c r="AE98" s="1"/>
      <c r="AF98" s="1"/>
      <c r="AG98" s="1"/>
      <c r="AH98" s="1"/>
      <c r="AI98" s="1"/>
      <c r="AJ98" s="1"/>
      <c r="AK98" s="1"/>
      <c r="AL98" s="1"/>
      <c r="AM98" s="1"/>
      <c r="AN98" s="1"/>
      <c r="AO98" s="1"/>
      <c r="AP98" s="1"/>
      <c r="AQ98" s="1"/>
    </row>
    <row r="99" spans="1:43" ht="14.45">
      <c r="A99" s="1"/>
      <c r="B99" s="1"/>
      <c r="C99" s="1"/>
      <c r="D99" s="1"/>
      <c r="E99" s="1"/>
      <c r="F99" s="1"/>
      <c r="G99" s="1"/>
      <c r="H99" s="1"/>
      <c r="I99" s="1"/>
      <c r="J99" s="1"/>
      <c r="K99" s="1"/>
      <c r="L99" s="1"/>
      <c r="M99" s="1"/>
      <c r="N99" s="1"/>
      <c r="O99" s="1"/>
      <c r="P99" s="39"/>
      <c r="Q99" s="40"/>
      <c r="R99" s="40"/>
      <c r="S99" s="40"/>
      <c r="T99" s="40"/>
      <c r="U99" s="40"/>
      <c r="V99" s="40"/>
      <c r="W99" s="40"/>
      <c r="X99" s="40"/>
      <c r="Y99" s="40"/>
      <c r="Z99" s="40"/>
      <c r="AA99" s="40"/>
      <c r="AB99" s="41"/>
      <c r="AC99" s="1"/>
      <c r="AD99" s="1"/>
      <c r="AE99" s="1"/>
      <c r="AF99" s="1"/>
      <c r="AG99" s="1"/>
      <c r="AH99" s="1"/>
      <c r="AI99" s="1"/>
      <c r="AJ99" s="1"/>
      <c r="AK99" s="1"/>
      <c r="AL99" s="1"/>
      <c r="AM99" s="1"/>
      <c r="AN99" s="1"/>
      <c r="AO99" s="1"/>
      <c r="AP99" s="1"/>
      <c r="AQ99" s="1"/>
    </row>
    <row r="100" spans="1:43" ht="14.45">
      <c r="A100" s="1"/>
      <c r="B100" s="1"/>
      <c r="C100" s="1"/>
      <c r="D100" s="1"/>
      <c r="E100" s="1"/>
      <c r="F100" s="1"/>
      <c r="G100" s="1"/>
      <c r="H100" s="1"/>
      <c r="I100" s="1"/>
      <c r="J100" s="1"/>
      <c r="K100" s="1"/>
      <c r="L100" s="1"/>
      <c r="M100" s="1"/>
      <c r="N100" s="1"/>
      <c r="O100" s="1"/>
      <c r="P100" s="39"/>
      <c r="Q100" s="40"/>
      <c r="R100" s="40"/>
      <c r="S100" s="40"/>
      <c r="T100" s="40"/>
      <c r="U100" s="40"/>
      <c r="V100" s="40"/>
      <c r="W100" s="40"/>
      <c r="X100" s="40"/>
      <c r="Y100" s="40"/>
      <c r="Z100" s="40"/>
      <c r="AA100" s="40"/>
      <c r="AB100" s="41"/>
      <c r="AC100" s="1"/>
      <c r="AD100" s="400" t="s">
        <v>259</v>
      </c>
      <c r="AE100" s="400"/>
      <c r="AF100" s="400"/>
      <c r="AG100" s="400"/>
      <c r="AH100" s="400"/>
      <c r="AI100" s="1"/>
      <c r="AJ100" s="1"/>
      <c r="AK100" s="1"/>
      <c r="AL100" s="1"/>
      <c r="AM100" s="1"/>
      <c r="AN100" s="1"/>
      <c r="AO100" s="1"/>
      <c r="AP100" s="1"/>
      <c r="AQ100" s="1"/>
    </row>
    <row r="101" spans="1:43" ht="14.45">
      <c r="A101" s="1"/>
      <c r="B101" s="1"/>
      <c r="C101" s="1"/>
      <c r="D101" s="1"/>
      <c r="E101" s="1"/>
      <c r="F101" s="1"/>
      <c r="G101" s="1"/>
      <c r="H101" s="1"/>
      <c r="I101" s="1"/>
      <c r="J101" s="1"/>
      <c r="K101" s="1"/>
      <c r="L101" s="1"/>
      <c r="M101" s="1"/>
      <c r="N101" s="1"/>
      <c r="O101" s="1"/>
      <c r="P101" s="39"/>
      <c r="Q101" s="40"/>
      <c r="R101" s="40"/>
      <c r="S101" s="40"/>
      <c r="T101" s="40"/>
      <c r="U101" s="40"/>
      <c r="V101" s="40"/>
      <c r="W101" s="40"/>
      <c r="X101" s="40"/>
      <c r="Y101" s="40"/>
      <c r="Z101" s="40"/>
      <c r="AA101" s="40"/>
      <c r="AB101" s="41"/>
      <c r="AC101" s="1"/>
      <c r="AD101" s="1"/>
      <c r="AE101" s="1"/>
      <c r="AF101" s="1"/>
      <c r="AG101" s="1"/>
      <c r="AH101" s="1"/>
      <c r="AI101" s="1"/>
      <c r="AJ101" s="1"/>
      <c r="AK101" s="1"/>
      <c r="AL101" s="1"/>
      <c r="AM101" s="1"/>
      <c r="AN101" s="1"/>
      <c r="AO101" s="1"/>
      <c r="AP101" s="1"/>
      <c r="AQ101" s="1"/>
    </row>
    <row r="102" spans="1:43" ht="14.45">
      <c r="A102" s="1"/>
      <c r="B102" s="1"/>
      <c r="C102" s="1"/>
      <c r="D102" s="1"/>
      <c r="E102" s="1"/>
      <c r="F102" s="1"/>
      <c r="G102" s="1"/>
      <c r="H102" s="1"/>
      <c r="I102" s="1"/>
      <c r="J102" s="1"/>
      <c r="K102" s="1"/>
      <c r="L102" s="1"/>
      <c r="M102" s="1"/>
      <c r="N102" s="1"/>
      <c r="O102" s="1"/>
      <c r="P102" s="39"/>
      <c r="Q102" s="40"/>
      <c r="R102" s="40"/>
      <c r="S102" s="40"/>
      <c r="T102" s="40"/>
      <c r="U102" s="40"/>
      <c r="V102" s="40"/>
      <c r="W102" s="40"/>
      <c r="X102" s="40"/>
      <c r="Y102" s="40"/>
      <c r="Z102" s="40"/>
      <c r="AA102" s="40"/>
      <c r="AB102" s="41"/>
      <c r="AC102" s="1"/>
      <c r="AD102" s="1"/>
      <c r="AE102" s="1"/>
      <c r="AF102" s="1"/>
      <c r="AG102" s="1"/>
      <c r="AH102" s="1"/>
      <c r="AI102" s="1"/>
      <c r="AJ102" s="1"/>
      <c r="AK102" s="1"/>
      <c r="AL102" s="1"/>
      <c r="AM102" s="1"/>
      <c r="AN102" s="1"/>
      <c r="AO102" s="1"/>
      <c r="AP102" s="1"/>
      <c r="AQ102" s="1"/>
    </row>
    <row r="103" spans="1:43" ht="14.45">
      <c r="A103" s="1"/>
      <c r="B103" s="1"/>
      <c r="C103" s="1"/>
      <c r="D103" s="1"/>
      <c r="E103" s="1"/>
      <c r="F103" s="1"/>
      <c r="G103" s="1"/>
      <c r="H103" s="1"/>
      <c r="I103" s="1"/>
      <c r="J103" s="1"/>
      <c r="K103" s="1"/>
      <c r="L103" s="1"/>
      <c r="M103" s="1"/>
      <c r="N103" s="1"/>
      <c r="O103" s="1"/>
      <c r="P103" s="39"/>
      <c r="Q103" s="40"/>
      <c r="R103" s="40"/>
      <c r="S103" s="40"/>
      <c r="T103" s="40"/>
      <c r="U103" s="40"/>
      <c r="V103" s="40"/>
      <c r="W103" s="40"/>
      <c r="X103" s="40"/>
      <c r="Y103" s="40"/>
      <c r="Z103" s="40"/>
      <c r="AA103" s="40"/>
      <c r="AB103" s="41"/>
      <c r="AC103" s="1"/>
      <c r="AD103" s="1"/>
      <c r="AE103" s="1"/>
      <c r="AF103" s="1"/>
      <c r="AG103" s="1"/>
      <c r="AH103" s="1"/>
      <c r="AI103" s="1"/>
      <c r="AJ103" s="1"/>
      <c r="AK103" s="1"/>
      <c r="AL103" s="1"/>
      <c r="AM103" s="1"/>
      <c r="AN103" s="1"/>
      <c r="AO103" s="1"/>
      <c r="AP103" s="1"/>
      <c r="AQ103" s="1"/>
    </row>
    <row r="104" spans="1:43" ht="14.45">
      <c r="A104" s="1"/>
      <c r="B104" s="1"/>
      <c r="C104" s="1"/>
      <c r="D104" s="1"/>
      <c r="E104" s="1"/>
      <c r="F104" s="1"/>
      <c r="G104" s="1"/>
      <c r="H104" s="1"/>
      <c r="I104" s="1"/>
      <c r="J104" s="1"/>
      <c r="K104" s="1"/>
      <c r="L104" s="1"/>
      <c r="M104" s="1"/>
      <c r="N104" s="1"/>
      <c r="O104" s="1"/>
      <c r="P104" s="39"/>
      <c r="Q104" s="40"/>
      <c r="R104" s="40"/>
      <c r="S104" s="40"/>
      <c r="T104" s="40"/>
      <c r="U104" s="40"/>
      <c r="V104" s="40"/>
      <c r="W104" s="40"/>
      <c r="X104" s="40"/>
      <c r="Y104" s="40"/>
      <c r="Z104" s="40"/>
      <c r="AA104" s="40"/>
      <c r="AB104" s="41"/>
      <c r="AC104" s="1"/>
      <c r="AD104" s="1"/>
      <c r="AE104" s="1"/>
      <c r="AF104" s="1"/>
      <c r="AG104" s="1"/>
      <c r="AH104" s="1"/>
      <c r="AI104" s="1"/>
      <c r="AJ104" s="1"/>
      <c r="AK104" s="1"/>
      <c r="AL104" s="1"/>
      <c r="AM104" s="1"/>
      <c r="AN104" s="1"/>
      <c r="AO104" s="1"/>
      <c r="AP104" s="1"/>
      <c r="AQ104" s="1"/>
    </row>
    <row r="105" spans="1:43" ht="14.45">
      <c r="A105" s="1"/>
      <c r="B105" s="1"/>
      <c r="C105" s="1"/>
      <c r="D105" s="1"/>
      <c r="E105" s="1"/>
      <c r="F105" s="1"/>
      <c r="G105" s="1"/>
      <c r="H105" s="1"/>
      <c r="I105" s="1"/>
      <c r="J105" s="1"/>
      <c r="K105" s="1"/>
      <c r="L105" s="1"/>
      <c r="M105" s="1"/>
      <c r="N105" s="1"/>
      <c r="O105" s="1"/>
      <c r="P105" s="39"/>
      <c r="Q105" s="40"/>
      <c r="R105" s="40"/>
      <c r="S105" s="40"/>
      <c r="T105" s="40"/>
      <c r="U105" s="40"/>
      <c r="V105" s="40"/>
      <c r="W105" s="40"/>
      <c r="X105" s="40"/>
      <c r="Y105" s="40"/>
      <c r="Z105" s="40"/>
      <c r="AA105" s="40"/>
      <c r="AB105" s="41"/>
      <c r="AC105" s="1"/>
      <c r="AD105" s="1"/>
      <c r="AE105" s="1"/>
      <c r="AF105" s="1"/>
      <c r="AG105" s="1"/>
      <c r="AH105" s="1"/>
      <c r="AI105" s="1"/>
      <c r="AJ105" s="1"/>
      <c r="AK105" s="1"/>
      <c r="AL105" s="1"/>
      <c r="AM105" s="1"/>
      <c r="AN105" s="1"/>
      <c r="AO105" s="1"/>
      <c r="AP105" s="1"/>
      <c r="AQ105" s="1"/>
    </row>
    <row r="106" spans="1:43" ht="14.45">
      <c r="A106" s="1"/>
      <c r="B106" s="1"/>
      <c r="C106" s="1"/>
      <c r="D106" s="1"/>
      <c r="E106" s="1"/>
      <c r="F106" s="1"/>
      <c r="G106" s="1"/>
      <c r="H106" s="1"/>
      <c r="I106" s="1"/>
      <c r="J106" s="1"/>
      <c r="K106" s="1"/>
      <c r="L106" s="1"/>
      <c r="M106" s="1"/>
      <c r="N106" s="1"/>
      <c r="O106" s="1"/>
      <c r="P106" s="39"/>
      <c r="Q106" s="40"/>
      <c r="R106" s="394" t="s">
        <v>264</v>
      </c>
      <c r="S106" s="394"/>
      <c r="T106" s="394"/>
      <c r="U106" s="122"/>
      <c r="V106" s="40"/>
      <c r="W106" s="40"/>
      <c r="X106" s="40"/>
      <c r="Y106" s="40"/>
      <c r="Z106" s="40"/>
      <c r="AA106" s="40"/>
      <c r="AB106" s="41"/>
      <c r="AC106" s="1"/>
      <c r="AD106" s="1"/>
      <c r="AE106" s="1"/>
      <c r="AF106" s="1"/>
      <c r="AG106" s="1"/>
      <c r="AH106" s="1"/>
      <c r="AI106" s="1"/>
      <c r="AJ106" s="1"/>
      <c r="AK106" s="1"/>
      <c r="AL106" s="1"/>
      <c r="AM106" s="1"/>
      <c r="AN106" s="1"/>
      <c r="AO106" s="1"/>
      <c r="AP106" s="1"/>
      <c r="AQ106" s="1"/>
    </row>
    <row r="107" spans="1:43" ht="14.45">
      <c r="A107" s="1"/>
      <c r="B107" s="1"/>
      <c r="C107" s="1"/>
      <c r="D107" s="1"/>
      <c r="E107" s="1"/>
      <c r="F107" s="1"/>
      <c r="G107" s="1"/>
      <c r="H107" s="1"/>
      <c r="I107" s="1"/>
      <c r="J107" s="1"/>
      <c r="K107" s="1"/>
      <c r="L107" s="1"/>
      <c r="M107" s="1"/>
      <c r="N107" s="1"/>
      <c r="O107" s="1"/>
      <c r="P107" s="39"/>
      <c r="Q107" s="40"/>
      <c r="R107" s="40" t="s">
        <v>265</v>
      </c>
      <c r="S107" s="40"/>
      <c r="T107" s="40"/>
      <c r="U107" s="143">
        <f>'MTU hardware'!B32</f>
        <v>0.44499999999999995</v>
      </c>
      <c r="V107" s="40" t="s">
        <v>25</v>
      </c>
      <c r="W107" s="40"/>
      <c r="X107" s="40"/>
      <c r="Y107" s="40"/>
      <c r="Z107" s="40"/>
      <c r="AA107" s="40"/>
      <c r="AB107" s="41"/>
      <c r="AC107" s="1"/>
      <c r="AD107" s="1"/>
      <c r="AE107" s="1"/>
      <c r="AF107" s="1"/>
      <c r="AG107" s="1"/>
      <c r="AH107" s="1"/>
      <c r="AI107" s="1"/>
      <c r="AJ107" s="1"/>
      <c r="AK107" s="1"/>
      <c r="AL107" s="1"/>
      <c r="AM107" s="1"/>
      <c r="AN107" s="1"/>
      <c r="AO107" s="1"/>
      <c r="AP107" s="1"/>
      <c r="AQ107" s="1"/>
    </row>
    <row r="108" spans="1:43" ht="14.45">
      <c r="A108" s="1"/>
      <c r="B108" s="1"/>
      <c r="C108" s="1"/>
      <c r="D108" s="1"/>
      <c r="E108" s="1"/>
      <c r="F108" s="1"/>
      <c r="G108" s="1"/>
      <c r="H108" s="1"/>
      <c r="I108" s="1"/>
      <c r="J108" s="1"/>
      <c r="K108" s="1"/>
      <c r="L108" s="1"/>
      <c r="M108" s="1"/>
      <c r="N108" s="1"/>
      <c r="O108" s="1"/>
      <c r="P108" s="39"/>
      <c r="Q108" s="40"/>
      <c r="R108" s="40"/>
      <c r="S108" s="40"/>
      <c r="T108" s="40"/>
      <c r="U108" s="40"/>
      <c r="V108" s="40"/>
      <c r="W108" s="40"/>
      <c r="X108" s="40"/>
      <c r="Y108" s="40"/>
      <c r="Z108" s="40"/>
      <c r="AA108" s="40"/>
      <c r="AB108" s="41"/>
      <c r="AC108" s="1"/>
      <c r="AD108" s="1"/>
      <c r="AE108" s="1"/>
      <c r="AF108" s="1"/>
      <c r="AG108" s="1"/>
      <c r="AH108" s="1"/>
      <c r="AI108" s="1"/>
      <c r="AJ108" s="1"/>
      <c r="AK108" s="1"/>
      <c r="AL108" s="1"/>
      <c r="AM108" s="1"/>
      <c r="AN108" s="1"/>
      <c r="AO108" s="1"/>
      <c r="AP108" s="1"/>
      <c r="AQ108" s="1"/>
    </row>
    <row r="109" spans="1:43" ht="14.45">
      <c r="A109" s="1"/>
      <c r="B109" s="1"/>
      <c r="C109" s="1"/>
      <c r="D109" s="1"/>
      <c r="E109" s="1"/>
      <c r="F109" s="1"/>
      <c r="G109" s="1"/>
      <c r="H109" s="1"/>
      <c r="I109" s="1"/>
      <c r="J109" s="1"/>
      <c r="K109" s="1"/>
      <c r="L109" s="1"/>
      <c r="M109" s="1"/>
      <c r="N109" s="1"/>
      <c r="O109" s="1"/>
      <c r="P109" s="39"/>
      <c r="Q109" s="40"/>
      <c r="R109" s="40"/>
      <c r="S109" s="40"/>
      <c r="T109" s="40"/>
      <c r="U109" s="40"/>
      <c r="V109" s="40"/>
      <c r="W109" s="40"/>
      <c r="X109" s="40"/>
      <c r="Y109" s="40"/>
      <c r="Z109" s="40"/>
      <c r="AA109" s="40"/>
      <c r="AB109" s="41"/>
      <c r="AC109" s="1"/>
      <c r="AD109" s="1"/>
      <c r="AE109" s="1"/>
      <c r="AF109" s="1"/>
      <c r="AG109" s="1"/>
      <c r="AH109" s="1"/>
      <c r="AI109" s="1"/>
      <c r="AJ109" s="1"/>
      <c r="AK109" s="1"/>
      <c r="AL109" s="1"/>
      <c r="AM109" s="1"/>
      <c r="AN109" s="1"/>
      <c r="AO109" s="1"/>
      <c r="AP109" s="1"/>
      <c r="AQ109" s="1"/>
    </row>
    <row r="110" spans="1:43" ht="14.45">
      <c r="A110" s="1"/>
      <c r="B110" s="1"/>
      <c r="C110" s="1"/>
      <c r="D110" s="1"/>
      <c r="E110" s="1"/>
      <c r="F110" s="1"/>
      <c r="G110" s="1"/>
      <c r="H110" s="1"/>
      <c r="I110" s="1"/>
      <c r="J110" s="1"/>
      <c r="K110" s="1"/>
      <c r="L110" s="1"/>
      <c r="M110" s="1"/>
      <c r="N110" s="1"/>
      <c r="O110" s="1"/>
      <c r="P110" s="39"/>
      <c r="Q110" s="40"/>
      <c r="R110" s="394" t="s">
        <v>261</v>
      </c>
      <c r="S110" s="394"/>
      <c r="T110" s="394"/>
      <c r="U110" s="122"/>
      <c r="V110" s="40"/>
      <c r="W110" s="40"/>
      <c r="X110" s="40"/>
      <c r="Y110" s="40"/>
      <c r="Z110" s="40"/>
      <c r="AA110" s="40"/>
      <c r="AB110" s="41"/>
      <c r="AC110" s="1"/>
      <c r="AD110" s="1"/>
      <c r="AE110" s="1"/>
      <c r="AF110" s="1"/>
      <c r="AG110" s="1"/>
      <c r="AH110" s="1"/>
      <c r="AI110" s="1"/>
      <c r="AJ110" s="1"/>
      <c r="AK110" s="1"/>
      <c r="AL110" s="1"/>
      <c r="AM110" s="1"/>
      <c r="AN110" s="1"/>
      <c r="AO110" s="1"/>
      <c r="AP110" s="1"/>
      <c r="AQ110" s="1"/>
    </row>
    <row r="111" spans="1:43" ht="14.45">
      <c r="A111" s="1"/>
      <c r="B111" s="1"/>
      <c r="C111" s="1"/>
      <c r="D111" s="1"/>
      <c r="E111" s="1"/>
      <c r="F111" s="1"/>
      <c r="G111" s="1"/>
      <c r="H111" s="1"/>
      <c r="I111" s="1"/>
      <c r="J111" s="1"/>
      <c r="K111" s="1"/>
      <c r="L111" s="1"/>
      <c r="M111" s="1"/>
      <c r="N111" s="1"/>
      <c r="O111" s="1"/>
      <c r="P111" s="39"/>
      <c r="Q111" s="40"/>
      <c r="R111" s="40" t="s">
        <v>289</v>
      </c>
      <c r="S111" s="40"/>
      <c r="T111" s="40"/>
      <c r="U111" s="143">
        <f>'MTU hardware'!B33</f>
        <v>0.3</v>
      </c>
      <c r="V111" s="40" t="s">
        <v>25</v>
      </c>
      <c r="W111" s="40"/>
      <c r="X111" s="40"/>
      <c r="Y111" s="40"/>
      <c r="Z111" s="40"/>
      <c r="AA111" s="40"/>
      <c r="AB111" s="41"/>
      <c r="AC111" s="1"/>
      <c r="AD111" s="1"/>
      <c r="AE111" s="1"/>
      <c r="AF111" s="1"/>
      <c r="AG111" s="1"/>
      <c r="AH111" s="1"/>
      <c r="AI111" s="1"/>
      <c r="AJ111" s="1"/>
      <c r="AK111" s="1"/>
      <c r="AL111" s="1"/>
      <c r="AM111" s="1"/>
      <c r="AN111" s="1"/>
      <c r="AO111" s="1"/>
      <c r="AP111" s="1"/>
      <c r="AQ111" s="1"/>
    </row>
    <row r="112" spans="1:43" ht="14.45">
      <c r="A112" s="1"/>
      <c r="B112" s="1"/>
      <c r="C112" s="1"/>
      <c r="D112" s="1"/>
      <c r="E112" s="1"/>
      <c r="F112" s="1"/>
      <c r="G112" s="1"/>
      <c r="H112" s="1"/>
      <c r="I112" s="1"/>
      <c r="J112" s="1"/>
      <c r="K112" s="1"/>
      <c r="L112" s="1"/>
      <c r="M112" s="1"/>
      <c r="N112" s="1"/>
      <c r="O112" s="1"/>
      <c r="P112" s="39"/>
      <c r="Q112" s="40"/>
      <c r="R112" s="40"/>
      <c r="S112" s="40"/>
      <c r="T112" s="40"/>
      <c r="U112" s="40"/>
      <c r="V112" s="40"/>
      <c r="W112" s="40"/>
      <c r="X112" s="40"/>
      <c r="Y112" s="40"/>
      <c r="Z112" s="40"/>
      <c r="AA112" s="40"/>
      <c r="AB112" s="41"/>
      <c r="AC112" s="1"/>
      <c r="AD112" s="1"/>
      <c r="AE112" s="1"/>
      <c r="AF112" s="1"/>
      <c r="AG112" s="1"/>
      <c r="AH112" s="1"/>
      <c r="AI112" s="1"/>
      <c r="AJ112" s="1"/>
      <c r="AK112" s="1"/>
      <c r="AL112" s="1"/>
      <c r="AM112" s="1"/>
      <c r="AN112" s="1"/>
      <c r="AO112" s="1"/>
      <c r="AP112" s="1"/>
      <c r="AQ112" s="1"/>
    </row>
    <row r="113" spans="1:43" ht="14.45">
      <c r="A113" s="1"/>
      <c r="B113" s="1"/>
      <c r="C113" s="1"/>
      <c r="D113" s="1"/>
      <c r="E113" s="1"/>
      <c r="F113" s="1"/>
      <c r="G113" s="1"/>
      <c r="H113" s="1"/>
      <c r="I113" s="1"/>
      <c r="J113" s="1"/>
      <c r="K113" s="1"/>
      <c r="L113" s="1"/>
      <c r="M113" s="1"/>
      <c r="N113" s="1"/>
      <c r="O113" s="1"/>
      <c r="P113" s="39"/>
      <c r="Q113" s="40"/>
      <c r="R113" s="40"/>
      <c r="S113" s="40"/>
      <c r="T113" s="40"/>
      <c r="U113" s="40"/>
      <c r="V113" s="40"/>
      <c r="W113" s="40"/>
      <c r="X113" s="40"/>
      <c r="Y113" s="40"/>
      <c r="Z113" s="40"/>
      <c r="AA113" s="40"/>
      <c r="AB113" s="41"/>
      <c r="AC113" s="1"/>
      <c r="AD113" s="1"/>
      <c r="AE113" s="1"/>
      <c r="AF113" s="1"/>
      <c r="AG113" s="1"/>
      <c r="AH113" s="1"/>
      <c r="AI113" s="1"/>
      <c r="AJ113" s="1"/>
      <c r="AK113" s="1"/>
      <c r="AL113" s="1"/>
      <c r="AM113" s="1"/>
      <c r="AN113" s="1"/>
      <c r="AO113" s="1"/>
      <c r="AP113" s="1"/>
      <c r="AQ113" s="1"/>
    </row>
    <row r="114" spans="1:43" ht="14.45">
      <c r="A114" s="1"/>
      <c r="B114" s="1"/>
      <c r="C114" s="1"/>
      <c r="D114" s="1"/>
      <c r="E114" s="1"/>
      <c r="F114" s="1"/>
      <c r="G114" s="1"/>
      <c r="H114" s="1"/>
      <c r="I114" s="1"/>
      <c r="J114" s="1"/>
      <c r="K114" s="1"/>
      <c r="L114" s="1"/>
      <c r="M114" s="1"/>
      <c r="N114" s="1"/>
      <c r="O114" s="1"/>
      <c r="P114" s="39"/>
      <c r="Q114" s="40"/>
      <c r="R114" s="40"/>
      <c r="S114" s="40"/>
      <c r="T114" s="40"/>
      <c r="U114" s="40"/>
      <c r="V114" s="40"/>
      <c r="W114" s="40"/>
      <c r="X114" s="40"/>
      <c r="Y114" s="40"/>
      <c r="Z114" s="40"/>
      <c r="AA114" s="40"/>
      <c r="AB114" s="41"/>
      <c r="AC114" s="1"/>
      <c r="AD114" s="1"/>
      <c r="AE114" s="1"/>
      <c r="AF114" s="1"/>
      <c r="AG114" s="1"/>
      <c r="AH114" s="1"/>
      <c r="AI114" s="1"/>
      <c r="AJ114" s="1"/>
      <c r="AK114" s="1"/>
      <c r="AL114" s="1"/>
      <c r="AM114" s="1"/>
      <c r="AN114" s="1"/>
      <c r="AO114" s="1"/>
      <c r="AP114" s="1"/>
      <c r="AQ114" s="1"/>
    </row>
    <row r="115" spans="1:43" ht="14.45">
      <c r="A115" s="1"/>
      <c r="B115" s="1"/>
      <c r="C115" s="1"/>
      <c r="D115" s="1"/>
      <c r="E115" s="1"/>
      <c r="F115" s="1"/>
      <c r="G115" s="1"/>
      <c r="H115" s="1"/>
      <c r="I115" s="1"/>
      <c r="J115" s="1"/>
      <c r="K115" s="1"/>
      <c r="L115" s="1"/>
      <c r="M115" s="1"/>
      <c r="N115" s="1"/>
      <c r="O115" s="1"/>
      <c r="P115" s="39"/>
      <c r="Q115" s="40"/>
      <c r="R115" s="394" t="s">
        <v>266</v>
      </c>
      <c r="S115" s="394"/>
      <c r="T115" s="394"/>
      <c r="U115" s="394"/>
      <c r="V115" s="394"/>
      <c r="W115" s="394"/>
      <c r="X115" s="394"/>
      <c r="Y115" s="122"/>
      <c r="Z115" s="122"/>
      <c r="AA115" s="40"/>
      <c r="AB115" s="41"/>
      <c r="AC115" s="1"/>
      <c r="AD115" s="1"/>
      <c r="AE115" s="1"/>
      <c r="AF115" s="1"/>
      <c r="AG115" s="1"/>
      <c r="AH115" s="1"/>
      <c r="AI115" s="1"/>
      <c r="AJ115" s="1"/>
      <c r="AK115" s="1"/>
      <c r="AL115" s="1"/>
      <c r="AM115" s="1"/>
      <c r="AN115" s="1"/>
      <c r="AO115" s="1"/>
      <c r="AP115" s="1"/>
      <c r="AQ115" s="1"/>
    </row>
    <row r="116" spans="1:43" ht="14.45">
      <c r="A116" s="1"/>
      <c r="B116" s="1"/>
      <c r="C116" s="1"/>
      <c r="D116" s="1"/>
      <c r="E116" s="1"/>
      <c r="F116" s="1"/>
      <c r="G116" s="1"/>
      <c r="H116" s="1"/>
      <c r="I116" s="1"/>
      <c r="J116" s="1"/>
      <c r="K116" s="1"/>
      <c r="L116" s="1"/>
      <c r="M116" s="1"/>
      <c r="N116" s="1"/>
      <c r="O116" s="1"/>
      <c r="P116" s="39"/>
      <c r="Q116" s="40"/>
      <c r="R116" s="40" t="s">
        <v>267</v>
      </c>
      <c r="S116" s="40"/>
      <c r="T116" s="40"/>
      <c r="U116" s="40"/>
      <c r="V116" s="414">
        <f>'MTU hardware'!$B$39</f>
        <v>0</v>
      </c>
      <c r="W116" s="414"/>
      <c r="X116" s="414"/>
      <c r="Y116" s="40" t="s">
        <v>25</v>
      </c>
      <c r="Z116" s="40"/>
      <c r="AA116" s="40"/>
      <c r="AB116" s="41"/>
      <c r="AC116" s="1"/>
      <c r="AD116" s="1"/>
      <c r="AE116" s="1"/>
      <c r="AF116" s="1"/>
      <c r="AG116" s="1"/>
      <c r="AH116" s="1"/>
      <c r="AI116" s="1"/>
      <c r="AJ116" s="1"/>
      <c r="AK116" s="1"/>
      <c r="AL116" s="1"/>
      <c r="AM116" s="1"/>
      <c r="AN116" s="1"/>
      <c r="AO116" s="1"/>
      <c r="AP116" s="1"/>
      <c r="AQ116" s="1"/>
    </row>
    <row r="117" spans="1:43" ht="14.45">
      <c r="A117" s="1"/>
      <c r="B117" s="1"/>
      <c r="C117" s="1"/>
      <c r="D117" s="1"/>
      <c r="E117" s="1"/>
      <c r="F117" s="1"/>
      <c r="G117" s="1"/>
      <c r="H117" s="1"/>
      <c r="I117" s="1"/>
      <c r="J117" s="1"/>
      <c r="K117" s="1"/>
      <c r="L117" s="1"/>
      <c r="M117" s="1"/>
      <c r="N117" s="1"/>
      <c r="O117" s="1"/>
      <c r="P117" s="39"/>
      <c r="Q117" s="40"/>
      <c r="R117" s="40" t="s">
        <v>268</v>
      </c>
      <c r="S117" s="40"/>
      <c r="T117" s="40"/>
      <c r="U117" s="40"/>
      <c r="V117" s="414">
        <f>'MTU hardware'!$C$40</f>
        <v>0</v>
      </c>
      <c r="W117" s="415"/>
      <c r="X117" s="415"/>
      <c r="Y117" s="40" t="s">
        <v>25</v>
      </c>
      <c r="Z117" s="40"/>
      <c r="AA117" s="40"/>
      <c r="AB117" s="41"/>
      <c r="AC117" s="1"/>
      <c r="AD117" s="1"/>
      <c r="AE117" s="1"/>
      <c r="AF117" s="1"/>
      <c r="AG117" s="1"/>
      <c r="AH117" s="1"/>
      <c r="AI117" s="1"/>
      <c r="AJ117" s="1"/>
      <c r="AK117" s="1"/>
      <c r="AL117" s="1"/>
      <c r="AM117" s="1"/>
      <c r="AN117" s="1"/>
      <c r="AO117" s="1"/>
      <c r="AP117" s="1"/>
      <c r="AQ117" s="1"/>
    </row>
    <row r="118" spans="1:43" ht="14.45">
      <c r="A118" s="1"/>
      <c r="B118" s="1"/>
      <c r="C118" s="1"/>
      <c r="D118" s="1"/>
      <c r="E118" s="1"/>
      <c r="F118" s="1"/>
      <c r="G118" s="1"/>
      <c r="H118" s="1"/>
      <c r="I118" s="1"/>
      <c r="J118" s="1"/>
      <c r="K118" s="1"/>
      <c r="L118" s="1"/>
      <c r="M118" s="1"/>
      <c r="N118" s="1"/>
      <c r="O118" s="1"/>
      <c r="P118" s="39"/>
      <c r="Q118" s="40"/>
      <c r="R118" s="40"/>
      <c r="S118" s="40"/>
      <c r="T118" s="40"/>
      <c r="U118" s="40"/>
      <c r="V118" s="40"/>
      <c r="W118" s="40"/>
      <c r="X118" s="40"/>
      <c r="Y118" s="40"/>
      <c r="Z118" s="40"/>
      <c r="AA118" s="40"/>
      <c r="AB118" s="41"/>
      <c r="AC118" s="1"/>
      <c r="AD118" s="1"/>
      <c r="AE118" s="1"/>
      <c r="AF118" s="1"/>
      <c r="AG118" s="1"/>
      <c r="AH118" s="1"/>
      <c r="AI118" s="1"/>
      <c r="AJ118" s="1"/>
      <c r="AK118" s="1"/>
      <c r="AL118" s="1"/>
      <c r="AM118" s="1"/>
      <c r="AN118" s="1"/>
      <c r="AO118" s="1"/>
      <c r="AP118" s="1"/>
      <c r="AQ118" s="1"/>
    </row>
    <row r="119" spans="1:43" ht="14.45">
      <c r="A119" s="1"/>
      <c r="B119" s="1"/>
      <c r="C119" s="1"/>
      <c r="D119" s="1"/>
      <c r="E119" s="1"/>
      <c r="F119" s="1"/>
      <c r="G119" s="1"/>
      <c r="H119" s="1"/>
      <c r="I119" s="1"/>
      <c r="J119" s="1"/>
      <c r="K119" s="1"/>
      <c r="L119" s="1"/>
      <c r="M119" s="1"/>
      <c r="N119" s="1"/>
      <c r="O119" s="1"/>
      <c r="P119" s="39"/>
      <c r="Q119" s="40"/>
      <c r="R119" s="40"/>
      <c r="S119" s="40"/>
      <c r="T119" s="40"/>
      <c r="U119" s="40"/>
      <c r="V119" s="40"/>
      <c r="W119" s="40"/>
      <c r="X119" s="40"/>
      <c r="Y119" s="40"/>
      <c r="Z119" s="40"/>
      <c r="AA119" s="40"/>
      <c r="AB119" s="41"/>
      <c r="AC119" s="1"/>
      <c r="AD119" s="1"/>
      <c r="AE119" s="1"/>
      <c r="AF119" s="1"/>
      <c r="AG119" s="1"/>
      <c r="AH119" s="1"/>
      <c r="AI119" s="1"/>
      <c r="AJ119" s="1"/>
      <c r="AK119" s="1"/>
      <c r="AL119" s="1"/>
      <c r="AM119" s="1"/>
      <c r="AN119" s="1"/>
      <c r="AO119" s="1"/>
      <c r="AP119" s="1"/>
      <c r="AQ119" s="1"/>
    </row>
    <row r="120" spans="1:43" ht="14.45">
      <c r="A120" s="1"/>
      <c r="B120" s="1"/>
      <c r="C120" s="1"/>
      <c r="D120" s="1"/>
      <c r="E120" s="1"/>
      <c r="F120" s="1"/>
      <c r="G120" s="1"/>
      <c r="H120" s="1"/>
      <c r="I120" s="1"/>
      <c r="J120" s="1"/>
      <c r="K120" s="1"/>
      <c r="L120" s="1"/>
      <c r="M120" s="1"/>
      <c r="N120" s="1"/>
      <c r="O120" s="1"/>
      <c r="P120" s="39"/>
      <c r="Q120" s="40"/>
      <c r="R120" s="40"/>
      <c r="S120" s="40"/>
      <c r="T120" s="40"/>
      <c r="U120" s="40"/>
      <c r="V120" s="40"/>
      <c r="W120" s="40"/>
      <c r="X120" s="40"/>
      <c r="Y120" s="40"/>
      <c r="Z120" s="40"/>
      <c r="AA120" s="40"/>
      <c r="AB120" s="41"/>
      <c r="AC120" s="1"/>
      <c r="AD120" s="1"/>
      <c r="AE120" s="1"/>
      <c r="AF120" s="1"/>
      <c r="AG120" s="1"/>
      <c r="AH120" s="1"/>
      <c r="AI120" s="1"/>
      <c r="AJ120" s="1"/>
      <c r="AK120" s="1"/>
      <c r="AL120" s="1"/>
      <c r="AM120" s="1"/>
      <c r="AN120" s="1"/>
      <c r="AO120" s="1"/>
      <c r="AP120" s="1"/>
      <c r="AQ120" s="1"/>
    </row>
    <row r="121" spans="1:43" ht="14.45">
      <c r="A121" s="1"/>
      <c r="B121" s="1"/>
      <c r="C121" s="1"/>
      <c r="D121" s="1"/>
      <c r="E121" s="1"/>
      <c r="F121" s="1"/>
      <c r="G121" s="1"/>
      <c r="H121" s="1"/>
      <c r="I121" s="1"/>
      <c r="J121" s="1"/>
      <c r="K121" s="1"/>
      <c r="L121" s="1"/>
      <c r="M121" s="1"/>
      <c r="N121" s="1"/>
      <c r="O121" s="1"/>
      <c r="P121" s="39"/>
      <c r="Q121" s="40"/>
      <c r="R121" s="40"/>
      <c r="S121" s="40"/>
      <c r="T121" s="394" t="s">
        <v>320</v>
      </c>
      <c r="U121" s="394"/>
      <c r="V121" s="394"/>
      <c r="W121" s="394"/>
      <c r="X121" s="394"/>
      <c r="Y121" s="40"/>
      <c r="Z121" s="40"/>
      <c r="AA121" s="40"/>
      <c r="AB121" s="41"/>
      <c r="AC121" s="1"/>
      <c r="AD121" s="1"/>
      <c r="AE121" s="1"/>
      <c r="AF121" s="1"/>
      <c r="AG121" s="1"/>
      <c r="AH121" s="1"/>
      <c r="AI121" s="1"/>
      <c r="AJ121" s="1"/>
      <c r="AK121" s="1"/>
      <c r="AL121" s="1"/>
      <c r="AM121" s="1"/>
      <c r="AN121" s="1"/>
      <c r="AO121" s="1"/>
      <c r="AP121" s="1"/>
      <c r="AQ121" s="1"/>
    </row>
    <row r="122" spans="1:43" ht="14.45">
      <c r="A122" s="1"/>
      <c r="B122" s="1"/>
      <c r="C122" s="1"/>
      <c r="D122" s="1"/>
      <c r="E122" s="1"/>
      <c r="F122" s="1"/>
      <c r="G122" s="1"/>
      <c r="H122" s="1"/>
      <c r="I122" s="1"/>
      <c r="J122" s="1"/>
      <c r="K122" s="1"/>
      <c r="L122" s="1"/>
      <c r="M122" s="1"/>
      <c r="N122" s="1"/>
      <c r="O122" s="1"/>
      <c r="P122" s="39"/>
      <c r="Q122" s="40"/>
      <c r="R122" s="40"/>
      <c r="S122" s="40"/>
      <c r="T122" s="47" t="s">
        <v>270</v>
      </c>
      <c r="U122" s="47"/>
      <c r="V122" s="410">
        <f>U107+U111+SUM(V116:X117)</f>
        <v>0.74499999999999988</v>
      </c>
      <c r="W122" s="412"/>
      <c r="X122" s="40" t="s">
        <v>25</v>
      </c>
      <c r="Y122" s="40"/>
      <c r="Z122" s="40"/>
      <c r="AA122" s="40"/>
      <c r="AB122" s="41"/>
      <c r="AC122" s="1"/>
      <c r="AD122" s="1"/>
      <c r="AE122" s="1"/>
      <c r="AF122" s="1"/>
      <c r="AG122" s="1"/>
      <c r="AH122" s="1"/>
      <c r="AI122" s="1"/>
      <c r="AJ122" s="1"/>
      <c r="AK122" s="1"/>
      <c r="AL122" s="1"/>
      <c r="AM122" s="1"/>
      <c r="AN122" s="1"/>
      <c r="AO122" s="1"/>
      <c r="AP122" s="1"/>
      <c r="AQ122" s="1"/>
    </row>
    <row r="123" spans="1:43" ht="14.45">
      <c r="A123" s="1"/>
      <c r="B123" s="1"/>
      <c r="C123" s="1"/>
      <c r="D123" s="1"/>
      <c r="E123" s="1"/>
      <c r="F123" s="1"/>
      <c r="G123" s="1"/>
      <c r="H123" s="1"/>
      <c r="I123" s="1"/>
      <c r="J123" s="1"/>
      <c r="K123" s="1"/>
      <c r="L123" s="1"/>
      <c r="M123" s="1"/>
      <c r="N123" s="1"/>
      <c r="O123" s="1"/>
      <c r="P123" s="39"/>
      <c r="Q123" s="40"/>
      <c r="R123" s="47"/>
      <c r="S123" s="47"/>
      <c r="T123" s="47"/>
      <c r="U123" s="47"/>
      <c r="V123" s="47"/>
      <c r="W123" s="47"/>
      <c r="X123" s="47"/>
      <c r="Y123" s="47"/>
      <c r="Z123" s="47"/>
      <c r="AA123" s="40"/>
      <c r="AB123" s="41"/>
      <c r="AC123" s="1"/>
      <c r="AD123" s="1"/>
      <c r="AE123" s="1"/>
      <c r="AF123" s="1"/>
      <c r="AG123" s="1"/>
      <c r="AH123" s="1"/>
      <c r="AI123" s="1"/>
      <c r="AJ123" s="1"/>
      <c r="AK123" s="1"/>
      <c r="AL123" s="1"/>
      <c r="AM123" s="1"/>
      <c r="AN123" s="1"/>
      <c r="AO123" s="1"/>
      <c r="AP123" s="1"/>
      <c r="AQ123" s="1"/>
    </row>
    <row r="124" spans="1:43" ht="14.45">
      <c r="A124" s="1"/>
      <c r="B124" s="1"/>
      <c r="C124" s="1"/>
      <c r="D124" s="1"/>
      <c r="E124" s="1"/>
      <c r="F124" s="1"/>
      <c r="G124" s="1"/>
      <c r="H124" s="1"/>
      <c r="I124" s="1"/>
      <c r="J124" s="1"/>
      <c r="K124" s="1"/>
      <c r="L124" s="1"/>
      <c r="M124" s="1"/>
      <c r="N124" s="1"/>
      <c r="O124" s="1"/>
      <c r="P124" s="39"/>
      <c r="Q124" s="40"/>
      <c r="R124" s="413" t="s">
        <v>291</v>
      </c>
      <c r="S124" s="413"/>
      <c r="T124" s="413"/>
      <c r="U124" s="413"/>
      <c r="V124" s="413"/>
      <c r="W124" s="413"/>
      <c r="X124" s="413"/>
      <c r="Y124" s="126"/>
      <c r="Z124" s="126"/>
      <c r="AA124" s="40"/>
      <c r="AB124" s="41"/>
      <c r="AC124" s="1"/>
      <c r="AD124" s="1"/>
      <c r="AE124" s="1"/>
      <c r="AF124" s="1"/>
      <c r="AG124" s="1"/>
      <c r="AH124" s="1"/>
      <c r="AI124" s="1"/>
      <c r="AJ124" s="1"/>
      <c r="AK124" s="1"/>
      <c r="AL124" s="1"/>
      <c r="AM124" s="1"/>
      <c r="AN124" s="1"/>
      <c r="AO124" s="1"/>
      <c r="AP124" s="1"/>
      <c r="AQ124" s="1"/>
    </row>
    <row r="125" spans="1:43" ht="14.45">
      <c r="A125" s="1"/>
      <c r="B125" s="1"/>
      <c r="C125" s="1"/>
      <c r="D125" s="1"/>
      <c r="E125" s="1"/>
      <c r="F125" s="1"/>
      <c r="G125" s="1"/>
      <c r="H125" s="1"/>
      <c r="I125" s="1"/>
      <c r="J125" s="1"/>
      <c r="K125" s="1"/>
      <c r="L125" s="1"/>
      <c r="M125" s="1"/>
      <c r="N125" s="1"/>
      <c r="O125" s="1"/>
      <c r="P125" s="39"/>
      <c r="Q125" s="40"/>
      <c r="R125" s="395" t="s">
        <v>292</v>
      </c>
      <c r="S125" s="395"/>
      <c r="T125" s="395"/>
      <c r="U125" s="127" t="s">
        <v>293</v>
      </c>
      <c r="V125" s="410">
        <f>10^-(V122/10)</f>
        <v>0.84236439143840158</v>
      </c>
      <c r="W125" s="411"/>
      <c r="X125" s="412"/>
      <c r="Y125" s="40"/>
      <c r="Z125" s="40"/>
      <c r="AA125" s="40"/>
      <c r="AB125" s="41"/>
      <c r="AC125" s="1"/>
      <c r="AD125" s="1"/>
      <c r="AE125" s="1"/>
      <c r="AF125" s="1"/>
      <c r="AG125" s="1"/>
      <c r="AH125" s="1"/>
      <c r="AI125" s="1"/>
      <c r="AJ125" s="1"/>
      <c r="AK125" s="1"/>
      <c r="AL125" s="1"/>
      <c r="AM125" s="1"/>
      <c r="AN125" s="1"/>
      <c r="AO125" s="1"/>
      <c r="AP125" s="1"/>
      <c r="AQ125" s="1"/>
    </row>
    <row r="126" spans="1:43" ht="15.6">
      <c r="A126" s="1"/>
      <c r="B126" s="1"/>
      <c r="C126" s="1"/>
      <c r="D126" s="1"/>
      <c r="E126" s="1"/>
      <c r="F126" s="1"/>
      <c r="G126" s="1"/>
      <c r="H126" s="1"/>
      <c r="I126" s="1"/>
      <c r="J126" s="1"/>
      <c r="K126" s="1"/>
      <c r="L126" s="1"/>
      <c r="M126" s="1"/>
      <c r="N126" s="1"/>
      <c r="O126" s="1"/>
      <c r="P126" s="39"/>
      <c r="Q126" s="40"/>
      <c r="R126" s="395" t="s">
        <v>312</v>
      </c>
      <c r="S126" s="395"/>
      <c r="T126" s="395"/>
      <c r="U126" s="198" t="s">
        <v>295</v>
      </c>
      <c r="V126" s="407">
        <v>75.2</v>
      </c>
      <c r="W126" s="408"/>
      <c r="X126" s="409"/>
      <c r="Y126" s="40" t="s">
        <v>296</v>
      </c>
      <c r="Z126" s="40"/>
      <c r="AA126" s="40"/>
      <c r="AB126" s="41"/>
      <c r="AC126" s="1"/>
      <c r="AD126" s="210"/>
      <c r="AE126" s="1"/>
      <c r="AF126" s="1"/>
      <c r="AG126" s="1"/>
      <c r="AH126" s="1"/>
      <c r="AI126" s="1"/>
      <c r="AJ126" s="1"/>
      <c r="AK126" s="1"/>
      <c r="AL126" s="1"/>
      <c r="AM126" s="1"/>
      <c r="AN126" s="1"/>
      <c r="AO126" s="1"/>
      <c r="AP126" s="1"/>
      <c r="AQ126" s="1"/>
    </row>
    <row r="127" spans="1:43" ht="15.6">
      <c r="A127" s="1"/>
      <c r="B127" s="1"/>
      <c r="C127" s="1"/>
      <c r="D127" s="1"/>
      <c r="E127" s="1"/>
      <c r="F127" s="1"/>
      <c r="G127" s="1"/>
      <c r="H127" s="1"/>
      <c r="I127" s="1"/>
      <c r="J127" s="1"/>
      <c r="K127" s="1"/>
      <c r="L127" s="1"/>
      <c r="M127" s="1"/>
      <c r="N127" s="1"/>
      <c r="O127" s="1"/>
      <c r="P127" s="39"/>
      <c r="Q127" s="40"/>
      <c r="R127" s="395" t="s">
        <v>313</v>
      </c>
      <c r="S127" s="395"/>
      <c r="T127" s="395"/>
      <c r="U127" s="198" t="s">
        <v>298</v>
      </c>
      <c r="V127" s="407">
        <v>290</v>
      </c>
      <c r="W127" s="408"/>
      <c r="X127" s="409"/>
      <c r="Y127" s="40" t="s">
        <v>296</v>
      </c>
      <c r="Z127" s="40"/>
      <c r="AA127" s="40"/>
      <c r="AB127" s="41"/>
      <c r="AC127" s="1"/>
      <c r="AD127" s="210"/>
      <c r="AE127" s="1"/>
      <c r="AF127" s="1"/>
      <c r="AG127" s="1"/>
      <c r="AH127" s="1"/>
      <c r="AI127" s="1"/>
      <c r="AJ127" s="1"/>
      <c r="AK127" s="1"/>
      <c r="AL127" s="1"/>
      <c r="AM127" s="1"/>
      <c r="AN127" s="1"/>
      <c r="AO127" s="1"/>
      <c r="AP127" s="1"/>
      <c r="AQ127" s="1"/>
    </row>
    <row r="128" spans="1:43" ht="15.6">
      <c r="A128" s="1"/>
      <c r="B128" s="1"/>
      <c r="C128" s="1"/>
      <c r="D128" s="1"/>
      <c r="E128" s="1"/>
      <c r="F128" s="1"/>
      <c r="G128" s="1"/>
      <c r="H128" s="1"/>
      <c r="I128" s="1"/>
      <c r="J128" s="1"/>
      <c r="K128" s="1"/>
      <c r="L128" s="1"/>
      <c r="M128" s="1"/>
      <c r="N128" s="1"/>
      <c r="O128" s="1"/>
      <c r="P128" s="39"/>
      <c r="Q128" s="40"/>
      <c r="R128" s="395" t="s">
        <v>314</v>
      </c>
      <c r="S128" s="395"/>
      <c r="T128" s="395"/>
      <c r="U128" s="198" t="s">
        <v>300</v>
      </c>
      <c r="V128" s="407">
        <v>60</v>
      </c>
      <c r="W128" s="408"/>
      <c r="X128" s="409"/>
      <c r="Y128" s="40" t="s">
        <v>296</v>
      </c>
      <c r="Z128" s="40"/>
      <c r="AA128" s="40"/>
      <c r="AB128" s="41"/>
      <c r="AC128" s="1"/>
      <c r="AD128" s="210"/>
      <c r="AE128" s="1"/>
      <c r="AF128" s="1"/>
      <c r="AG128" s="1"/>
      <c r="AH128" s="1"/>
      <c r="AI128" s="1"/>
      <c r="AJ128" s="1"/>
      <c r="AK128" s="1"/>
      <c r="AL128" s="1"/>
      <c r="AM128" s="1"/>
      <c r="AN128" s="1"/>
      <c r="AO128" s="1"/>
      <c r="AP128" s="1"/>
      <c r="AQ128" s="1"/>
    </row>
    <row r="129" spans="1:43" ht="14.45">
      <c r="A129" s="1"/>
      <c r="B129" s="1"/>
      <c r="C129" s="1"/>
      <c r="D129" s="1"/>
      <c r="E129" s="1"/>
      <c r="F129" s="1"/>
      <c r="G129" s="1"/>
      <c r="H129" s="1"/>
      <c r="I129" s="1"/>
      <c r="J129" s="1"/>
      <c r="K129" s="1"/>
      <c r="L129" s="1"/>
      <c r="M129" s="1"/>
      <c r="N129" s="1"/>
      <c r="O129" s="1"/>
      <c r="P129" s="39"/>
      <c r="Q129" s="40"/>
      <c r="R129" s="399" t="s">
        <v>315</v>
      </c>
      <c r="S129" s="399"/>
      <c r="T129" s="399"/>
      <c r="U129" s="399" t="s">
        <v>302</v>
      </c>
      <c r="V129" s="407">
        <v>0</v>
      </c>
      <c r="W129" s="408"/>
      <c r="X129" s="409"/>
      <c r="Y129" s="40" t="s">
        <v>25</v>
      </c>
      <c r="Z129" s="40"/>
      <c r="AA129" s="40"/>
      <c r="AB129" s="41"/>
      <c r="AC129" s="1"/>
      <c r="AD129" s="210"/>
      <c r="AE129" s="1"/>
      <c r="AF129" s="1"/>
      <c r="AG129" s="1"/>
      <c r="AH129" s="1"/>
      <c r="AI129" s="1"/>
      <c r="AJ129" s="1"/>
      <c r="AK129" s="1"/>
      <c r="AL129" s="1"/>
      <c r="AM129" s="1"/>
      <c r="AN129" s="1"/>
      <c r="AO129" s="1"/>
      <c r="AP129" s="1"/>
      <c r="AQ129" s="1"/>
    </row>
    <row r="130" spans="1:43" ht="14.45">
      <c r="A130" s="1"/>
      <c r="B130" s="1"/>
      <c r="C130" s="1"/>
      <c r="D130" s="1"/>
      <c r="E130" s="1"/>
      <c r="F130" s="1"/>
      <c r="G130" s="1"/>
      <c r="H130" s="1"/>
      <c r="I130" s="1"/>
      <c r="J130" s="1"/>
      <c r="K130" s="1"/>
      <c r="L130" s="1"/>
      <c r="M130" s="1"/>
      <c r="N130" s="1"/>
      <c r="O130" s="1"/>
      <c r="P130" s="39"/>
      <c r="Q130" s="40"/>
      <c r="R130" s="399"/>
      <c r="S130" s="399"/>
      <c r="T130" s="399"/>
      <c r="U130" s="399"/>
      <c r="V130" s="410">
        <f>10^(V129/10)</f>
        <v>1</v>
      </c>
      <c r="W130" s="411"/>
      <c r="X130" s="412"/>
      <c r="Y130" s="40" t="s">
        <v>303</v>
      </c>
      <c r="Z130" s="40"/>
      <c r="AA130" s="40"/>
      <c r="AB130" s="41"/>
      <c r="AC130" s="1"/>
      <c r="AD130" s="1"/>
      <c r="AE130" s="1"/>
      <c r="AF130" s="1"/>
      <c r="AG130" s="1"/>
      <c r="AH130" s="1"/>
      <c r="AI130" s="1"/>
      <c r="AJ130" s="1"/>
      <c r="AK130" s="1"/>
      <c r="AL130" s="1"/>
      <c r="AM130" s="1"/>
      <c r="AN130" s="1"/>
      <c r="AO130" s="1"/>
      <c r="AP130" s="1"/>
      <c r="AQ130" s="1"/>
    </row>
    <row r="131" spans="1:43" ht="15.6">
      <c r="A131" s="1"/>
      <c r="B131" s="1"/>
      <c r="C131" s="1"/>
      <c r="D131" s="1"/>
      <c r="E131" s="1"/>
      <c r="F131" s="1"/>
      <c r="G131" s="1"/>
      <c r="H131" s="1"/>
      <c r="I131" s="1"/>
      <c r="J131" s="1"/>
      <c r="K131" s="1"/>
      <c r="L131" s="1"/>
      <c r="M131" s="1"/>
      <c r="N131" s="1"/>
      <c r="O131" s="1"/>
      <c r="P131" s="39"/>
      <c r="Q131" s="40"/>
      <c r="R131" s="395" t="s">
        <v>316</v>
      </c>
      <c r="S131" s="395"/>
      <c r="T131" s="395"/>
      <c r="U131" s="198" t="s">
        <v>317</v>
      </c>
      <c r="V131" s="404">
        <v>3000</v>
      </c>
      <c r="W131" s="405"/>
      <c r="X131" s="406"/>
      <c r="Y131" s="40" t="s">
        <v>296</v>
      </c>
      <c r="Z131" s="40"/>
      <c r="AA131" s="40"/>
      <c r="AB131" s="41"/>
      <c r="AC131" s="1"/>
      <c r="AD131" s="210"/>
      <c r="AE131" s="1"/>
      <c r="AF131" s="1"/>
      <c r="AG131" s="1"/>
      <c r="AH131" s="1"/>
      <c r="AI131" s="1"/>
      <c r="AJ131" s="1"/>
      <c r="AK131" s="1"/>
      <c r="AL131" s="1"/>
      <c r="AM131" s="1"/>
      <c r="AN131" s="1"/>
      <c r="AO131" s="1"/>
      <c r="AP131" s="1"/>
      <c r="AQ131" s="1"/>
    </row>
    <row r="132" spans="1:43" ht="15.6">
      <c r="A132" s="1"/>
      <c r="B132" s="1"/>
      <c r="C132" s="1"/>
      <c r="D132" s="1"/>
      <c r="E132" s="1"/>
      <c r="F132" s="1"/>
      <c r="G132" s="1"/>
      <c r="H132" s="1"/>
      <c r="I132" s="1"/>
      <c r="J132" s="1"/>
      <c r="K132" s="1"/>
      <c r="L132" s="1"/>
      <c r="M132" s="1"/>
      <c r="N132" s="1"/>
      <c r="O132" s="1"/>
      <c r="P132" s="39"/>
      <c r="Q132" s="40"/>
      <c r="R132" s="395" t="s">
        <v>318</v>
      </c>
      <c r="S132" s="395"/>
      <c r="T132" s="395"/>
      <c r="U132" s="198" t="s">
        <v>307</v>
      </c>
      <c r="V132" s="398">
        <f>V126*V125+V127*(1-V125)+V128</f>
        <v>169.06012871903135</v>
      </c>
      <c r="W132" s="398"/>
      <c r="X132" s="398"/>
      <c r="Y132" s="40" t="s">
        <v>296</v>
      </c>
      <c r="Z132" s="40"/>
      <c r="AA132" s="40"/>
      <c r="AB132" s="41"/>
      <c r="AC132" s="1"/>
      <c r="AD132" s="1"/>
      <c r="AE132" s="1"/>
      <c r="AF132" s="1"/>
      <c r="AG132" s="1"/>
      <c r="AH132" s="1"/>
      <c r="AI132" s="1"/>
      <c r="AJ132" s="1"/>
      <c r="AK132" s="1"/>
      <c r="AL132" s="1"/>
      <c r="AM132" s="1"/>
      <c r="AN132" s="1"/>
      <c r="AO132" s="1"/>
      <c r="AP132" s="1"/>
      <c r="AQ132" s="1"/>
    </row>
    <row r="133" spans="1:43" ht="14.45">
      <c r="A133" s="1"/>
      <c r="B133" s="1"/>
      <c r="C133" s="1"/>
      <c r="D133" s="1"/>
      <c r="E133" s="1"/>
      <c r="F133" s="1"/>
      <c r="G133" s="1"/>
      <c r="H133" s="1"/>
      <c r="I133" s="1"/>
      <c r="J133" s="1"/>
      <c r="K133" s="1"/>
      <c r="L133" s="1"/>
      <c r="M133" s="1"/>
      <c r="N133" s="1"/>
      <c r="O133" s="1"/>
      <c r="P133" s="39"/>
      <c r="Q133" s="40"/>
      <c r="R133" s="395"/>
      <c r="S133" s="395"/>
      <c r="T133" s="395"/>
      <c r="U133" s="40"/>
      <c r="V133" s="40"/>
      <c r="W133" s="40"/>
      <c r="X133" s="40"/>
      <c r="Y133" s="40"/>
      <c r="Z133" s="40"/>
      <c r="AA133" s="40"/>
      <c r="AB133" s="41"/>
      <c r="AC133" s="1"/>
      <c r="AD133" s="1"/>
      <c r="AE133" s="1"/>
      <c r="AF133" s="1"/>
      <c r="AG133" s="1"/>
      <c r="AH133" s="1"/>
      <c r="AI133" s="1"/>
      <c r="AJ133" s="1"/>
      <c r="AK133" s="1"/>
      <c r="AL133" s="1"/>
      <c r="AM133" s="1"/>
      <c r="AN133" s="1"/>
      <c r="AO133" s="1"/>
      <c r="AP133" s="1"/>
      <c r="AQ133" s="1"/>
    </row>
    <row r="134" spans="1:43" ht="14.45">
      <c r="A134" s="1"/>
      <c r="B134" s="1"/>
      <c r="C134" s="1"/>
      <c r="D134" s="1"/>
      <c r="E134" s="1"/>
      <c r="F134" s="1"/>
      <c r="G134" s="1"/>
      <c r="H134" s="1"/>
      <c r="I134" s="1"/>
      <c r="J134" s="1"/>
      <c r="K134" s="1"/>
      <c r="L134" s="1"/>
      <c r="M134" s="1"/>
      <c r="N134" s="1"/>
      <c r="O134" s="1"/>
      <c r="P134" s="42"/>
      <c r="Q134" s="43"/>
      <c r="R134" s="43"/>
      <c r="S134" s="43"/>
      <c r="T134" s="43"/>
      <c r="U134" s="43"/>
      <c r="V134" s="43"/>
      <c r="W134" s="43"/>
      <c r="X134" s="43"/>
      <c r="Y134" s="43"/>
      <c r="Z134" s="43"/>
      <c r="AA134" s="43"/>
      <c r="AB134" s="44"/>
      <c r="AC134" s="1"/>
      <c r="AD134" s="1"/>
      <c r="AE134" s="1"/>
      <c r="AF134" s="1"/>
      <c r="AG134" s="1"/>
      <c r="AH134" s="1"/>
      <c r="AI134" s="1"/>
      <c r="AJ134" s="1"/>
      <c r="AK134" s="1"/>
      <c r="AL134" s="1"/>
      <c r="AM134" s="1"/>
      <c r="AN134" s="1"/>
      <c r="AO134" s="1"/>
      <c r="AP134" s="1"/>
      <c r="AQ134" s="1"/>
    </row>
    <row r="135" spans="1:43" ht="14.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4.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4.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4.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4.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4.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4.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4.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4.65" customHeight="1"/>
    <row r="144" spans="1:43" ht="14.65" customHeight="1"/>
    <row r="145" ht="14.65" customHeight="1"/>
  </sheetData>
  <mergeCells count="81">
    <mergeCell ref="V30:X30"/>
    <mergeCell ref="V31:X31"/>
    <mergeCell ref="AD100:AH100"/>
    <mergeCell ref="AE58:AI58"/>
    <mergeCell ref="AD12:AH12"/>
    <mergeCell ref="W64:Y64"/>
    <mergeCell ref="V44:X44"/>
    <mergeCell ref="V45:X45"/>
    <mergeCell ref="R94:Z94"/>
    <mergeCell ref="R68:T68"/>
    <mergeCell ref="R64:T64"/>
    <mergeCell ref="R22:T22"/>
    <mergeCell ref="R26:T26"/>
    <mergeCell ref="R42:T43"/>
    <mergeCell ref="R44:T44"/>
    <mergeCell ref="R45:T45"/>
    <mergeCell ref="R52:Z52"/>
    <mergeCell ref="R37:X37"/>
    <mergeCell ref="T35:U35"/>
    <mergeCell ref="V35:W35"/>
    <mergeCell ref="R38:T38"/>
    <mergeCell ref="R39:T39"/>
    <mergeCell ref="V39:X39"/>
    <mergeCell ref="V38:X38"/>
    <mergeCell ref="T34:X34"/>
    <mergeCell ref="U42:U43"/>
    <mergeCell ref="V42:X42"/>
    <mergeCell ref="V43:X43"/>
    <mergeCell ref="V40:X40"/>
    <mergeCell ref="R41:T41"/>
    <mergeCell ref="V41:X41"/>
    <mergeCell ref="R40:T40"/>
    <mergeCell ref="R2:Z2"/>
    <mergeCell ref="R6:Z6"/>
    <mergeCell ref="R73:X73"/>
    <mergeCell ref="R87:T87"/>
    <mergeCell ref="V87:X87"/>
    <mergeCell ref="R82:T82"/>
    <mergeCell ref="V82:X82"/>
    <mergeCell ref="R83:T83"/>
    <mergeCell ref="V83:X83"/>
    <mergeCell ref="V78:W78"/>
    <mergeCell ref="R81:T81"/>
    <mergeCell ref="V81:X81"/>
    <mergeCell ref="V74:X74"/>
    <mergeCell ref="V75:X75"/>
    <mergeCell ref="T77:W77"/>
    <mergeCell ref="R80:X80"/>
    <mergeCell ref="R88:T88"/>
    <mergeCell ref="V88:X88"/>
    <mergeCell ref="R84:T84"/>
    <mergeCell ref="V84:X84"/>
    <mergeCell ref="R85:T86"/>
    <mergeCell ref="U85:U86"/>
    <mergeCell ref="V85:X85"/>
    <mergeCell ref="V86:X86"/>
    <mergeCell ref="R106:T106"/>
    <mergeCell ref="R110:T110"/>
    <mergeCell ref="R115:X115"/>
    <mergeCell ref="V117:X117"/>
    <mergeCell ref="T121:X121"/>
    <mergeCell ref="V116:X116"/>
    <mergeCell ref="V122:W122"/>
    <mergeCell ref="R124:X124"/>
    <mergeCell ref="R125:T125"/>
    <mergeCell ref="V125:X125"/>
    <mergeCell ref="R126:T126"/>
    <mergeCell ref="V126:X126"/>
    <mergeCell ref="R127:T127"/>
    <mergeCell ref="V127:X127"/>
    <mergeCell ref="R128:T128"/>
    <mergeCell ref="V128:X128"/>
    <mergeCell ref="R129:T130"/>
    <mergeCell ref="U129:U130"/>
    <mergeCell ref="V129:X129"/>
    <mergeCell ref="V130:X130"/>
    <mergeCell ref="R131:T131"/>
    <mergeCell ref="V131:X131"/>
    <mergeCell ref="R132:T132"/>
    <mergeCell ref="V132:X132"/>
    <mergeCell ref="R133:T133"/>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CFEC9092D8444A8E2767206E73CCA4" ma:contentTypeVersion="15" ma:contentTypeDescription="Create a new document." ma:contentTypeScope="" ma:versionID="ac298f2196687d271f8861d2d6592ead">
  <xsd:schema xmlns:xsd="http://www.w3.org/2001/XMLSchema" xmlns:xs="http://www.w3.org/2001/XMLSchema" xmlns:p="http://schemas.microsoft.com/office/2006/metadata/properties" xmlns:ns2="936fdd12-612f-4c54-9954-13b8bd400726" xmlns:ns3="9e4fef26-72fc-439d-98d8-891bbf0a74c1" targetNamespace="http://schemas.microsoft.com/office/2006/metadata/properties" ma:root="true" ma:fieldsID="37c43a7d392738736ba0815fe34b1086" ns2:_="" ns3:_="">
    <xsd:import namespace="936fdd12-612f-4c54-9954-13b8bd400726"/>
    <xsd:import namespace="9e4fef26-72fc-439d-98d8-891bbf0a74c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fdd12-612f-4c54-9954-13b8bd4007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406f274-7af8-4e05-8564-eff9e2e21b1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4fef26-72fc-439d-98d8-891bbf0a74c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6254fc6-0880-45a3-ab95-b712e43a6ce7}" ma:internalName="TaxCatchAll" ma:showField="CatchAllData" ma:web="9e4fef26-72fc-439d-98d8-891bbf0a74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e4fef26-72fc-439d-98d8-891bbf0a74c1" xsi:nil="true"/>
    <lcf76f155ced4ddcb4097134ff3c332f xmlns="936fdd12-612f-4c54-9954-13b8bd40072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B1133F-1E22-40D1-888E-86AFB739FEEC}"/>
</file>

<file path=customXml/itemProps2.xml><?xml version="1.0" encoding="utf-8"?>
<ds:datastoreItem xmlns:ds="http://schemas.openxmlformats.org/officeDocument/2006/customXml" ds:itemID="{F7B624CC-EC21-4ECE-9B2C-488EF5EECB77}"/>
</file>

<file path=customXml/itemProps3.xml><?xml version="1.0" encoding="utf-8"?>
<ds:datastoreItem xmlns:ds="http://schemas.openxmlformats.org/officeDocument/2006/customXml" ds:itemID="{94F528F6-6B5B-4C69-B6C2-5569144139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
  <cp:revision/>
  <dcterms:created xsi:type="dcterms:W3CDTF">2019-01-29T19:49:59Z</dcterms:created>
  <dcterms:modified xsi:type="dcterms:W3CDTF">2024-10-04T22:12:30Z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0x0101009CCFEC9092D8444A8E2767206E73CCA4</vt:lpwstr>
  </property>
  <property fmtid="{D5CDD505-2E9C-101B-9397-08002B2CF9AE}" pid="3" name="MediaServiceImageTags">
    <vt:lpwstr/>
  </property>
</Properties>
</file>