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C:\Users\gaomegnxi\Desktop\"/>
    </mc:Choice>
  </mc:AlternateContent>
  <xr:revisionPtr revIDLastSave="0" documentId="13_ncr:1_{6783EF4F-C138-492B-BCF3-F266235C2E3A}" xr6:coauthVersionLast="47" xr6:coauthVersionMax="47" xr10:uidLastSave="{00000000-0000-0000-0000-000000000000}"/>
  <bookViews>
    <workbookView xWindow="-110" yWindow="-110" windowWidth="25820" windowHeight="15500" activeTab="1" xr2:uid="{00000000-000D-0000-FFFF-FFFF00000000}"/>
  </bookViews>
  <sheets>
    <sheet name="总览 Overview" sheetId="1" r:id="rId1"/>
    <sheet name="规格书 Datasheet" sheetId="2" r:id="rId2"/>
    <sheet name="驱动系统原理图 TS Schematics" sheetId="3" r:id="rId3"/>
    <sheet name="电池箱 Accumulator" sheetId="13" r:id="rId4"/>
    <sheet name="备用电池箱 Spare Accumulator" sheetId="14" r:id="rId5"/>
    <sheet name="预充电放电 PrechargeDischarge" sheetId="5" r:id="rId6"/>
    <sheet name="充电 Charging" sheetId="6" r:id="rId7"/>
    <sheet name="扭矩指令 Torque Security" sheetId="8" r:id="rId8"/>
    <sheet name="安全系统 Shutdown circuit" sheetId="7" r:id="rId9"/>
    <sheet name="其他 Others" sheetId="9" r:id="rId10"/>
    <sheet name="接地 Grounding" sheetId="10" r:id="rId11"/>
    <sheet name="修订历史 Revision" sheetId="11" r:id="rId12"/>
  </sheets>
  <definedNames>
    <definedName name="BattCellCapacity">'规格书 Datasheet'!$C$5</definedName>
    <definedName name="BattCellCapacity_BK">'备用电池箱 Spare Accumulator'!$C$6</definedName>
    <definedName name="BattCellMaxV">'规格书 Datasheet'!$C$6</definedName>
    <definedName name="BattCellMaxV_BK">'备用电池箱 Spare Accumulator'!$C$7</definedName>
    <definedName name="BattCellNomV">'规格书 Datasheet'!$C$7</definedName>
    <definedName name="BattCellNomV_BK">'备用电池箱 Spare Accumulator'!$C$8</definedName>
    <definedName name="BusCap">'预充电放电 PrechargeDischarge'!$D$10</definedName>
    <definedName name="CellsPerTempSensor">'电池箱 Accumulator'!$O$25</definedName>
    <definedName name="CellsPerTempSensor_BK">'备用电池箱 Spare Accumulator'!$O$39</definedName>
    <definedName name="ConnectorNames">'规格书 Datasheet'!$B$74:$B$92</definedName>
    <definedName name="ConnectorsTable">'规格书 Datasheet'!$A$74:$H$92</definedName>
    <definedName name="ConnectorTable">'规格书 Datasheet'!$B$74:$H$92</definedName>
    <definedName name="ContactorNames">'规格书 Datasheet'!$B$66:$B$70</definedName>
    <definedName name="ContactorsTable">'规格书 Datasheet'!$B$66:$H$70</definedName>
    <definedName name="DischargeRes">'预充电放电 PrechargeDischarge'!$J$6</definedName>
    <definedName name="ErrorText">"WARNING"</definedName>
    <definedName name="FuseName">'规格书 Datasheet'!$B$42:$B$53</definedName>
    <definedName name="FuseNames">'规格书 Datasheet'!$B$42:$B$53</definedName>
    <definedName name="FuseNoiCur">'电池箱 Accumulator'!$U$20</definedName>
    <definedName name="FuseNoiCur_BK">'备用电池箱 Spare Accumulator'!$U$34</definedName>
    <definedName name="FusesTable">'规格书 Datasheet'!$B$42:$H$53</definedName>
    <definedName name="FuseTable">'规格书 Datasheet'!$B$42:$H$53</definedName>
    <definedName name="IncompleteText">"BLANK"</definedName>
    <definedName name="InsulationNames">'规格书 Datasheet'!$B$96:$B$105</definedName>
    <definedName name="InsulationsTable">'规格书 Datasheet'!$B$96:$I$105</definedName>
    <definedName name="MaxTSVoltage">'电池箱 Accumulator'!$E$4</definedName>
    <definedName name="MaxTSVoltage_BK">'备用电池箱 Spare Accumulator'!$E$18</definedName>
    <definedName name="NominalTSVoltage">'电池箱 Accumulator'!$E$5</definedName>
    <definedName name="NominalTSVoltage_BK">'备用电池箱 Spare Accumulator'!$E$19</definedName>
    <definedName name="OKText">"OK"</definedName>
    <definedName name="PrechargeRes">'预充电放电 PrechargeDischarge'!$D$6</definedName>
    <definedName name="ResistorsNames">'规格书 Datasheet'!$B$57:$B$62</definedName>
    <definedName name="ResistorsTable">'规格书 Datasheet'!$B$57:$H$62</definedName>
    <definedName name="TotalCells">'电池箱 Accumulator'!$E$6</definedName>
    <definedName name="TotalCells_BK">'备用电池箱 Spare Accumulator'!$E$20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84" i="10" l="1"/>
  <c r="I84" i="10"/>
  <c r="E84" i="10"/>
  <c r="O74" i="10"/>
  <c r="I74" i="10"/>
  <c r="E74" i="10"/>
  <c r="O64" i="10"/>
  <c r="I64" i="10"/>
  <c r="E64" i="10"/>
  <c r="O54" i="10"/>
  <c r="I54" i="10"/>
  <c r="E54" i="10"/>
  <c r="O44" i="10"/>
  <c r="I44" i="10"/>
  <c r="E44" i="10" a="1"/>
  <c r="E44" i="10"/>
  <c r="O34" i="10"/>
  <c r="I34" i="10"/>
  <c r="E34" i="10" a="1"/>
  <c r="E34" i="10"/>
  <c r="O24" i="10"/>
  <c r="I24" i="10"/>
  <c r="E24" i="10" a="1"/>
  <c r="E24" i="10"/>
  <c r="O14" i="10"/>
  <c r="I14" i="10"/>
  <c r="E14" i="10"/>
  <c r="O4" i="10"/>
  <c r="I4" i="10"/>
  <c r="E4" i="10" a="1"/>
  <c r="E4" i="10"/>
  <c r="O2" i="10"/>
  <c r="I2" i="10"/>
  <c r="E2" i="10"/>
  <c r="B1" i="10" a="1"/>
  <c r="Z45" i="9"/>
  <c r="Y45" i="9"/>
  <c r="Z44" i="9"/>
  <c r="Z43" i="9"/>
  <c r="AI42" i="9"/>
  <c r="Z42" i="9"/>
  <c r="AI41" i="9"/>
  <c r="Z41" i="9"/>
  <c r="AI40" i="9"/>
  <c r="Z40" i="9"/>
  <c r="AI39" i="9"/>
  <c r="Z39" i="9"/>
  <c r="Z36" i="9" s="1"/>
  <c r="AI38" i="9"/>
  <c r="Z38" i="9"/>
  <c r="AI37" i="9"/>
  <c r="Z37" i="9"/>
  <c r="AI36" i="9"/>
  <c r="Q36" i="9"/>
  <c r="AI35" i="9"/>
  <c r="Z35" i="9"/>
  <c r="Q35" i="9"/>
  <c r="H35" i="9"/>
  <c r="AI34" i="9"/>
  <c r="Z34" i="9"/>
  <c r="Q34" i="9"/>
  <c r="H34" i="9"/>
  <c r="L12" i="9"/>
  <c r="F12" i="9"/>
  <c r="X11" i="9"/>
  <c r="R11" i="9"/>
  <c r="R8" i="9" s="1"/>
  <c r="L11" i="9"/>
  <c r="F11" i="9"/>
  <c r="X10" i="9"/>
  <c r="R10" i="9"/>
  <c r="L10" i="9"/>
  <c r="F10" i="9"/>
  <c r="F8" i="9" s="1"/>
  <c r="X9" i="9"/>
  <c r="R9" i="9"/>
  <c r="L9" i="9"/>
  <c r="F9" i="9"/>
  <c r="X8" i="9"/>
  <c r="L8" i="9"/>
  <c r="H6" i="9"/>
  <c r="H5" i="9"/>
  <c r="H4" i="9"/>
  <c r="H3" i="9"/>
  <c r="H2" i="9"/>
  <c r="AU100" i="7"/>
  <c r="AU99" i="7"/>
  <c r="W99" i="7"/>
  <c r="K99" i="7"/>
  <c r="AU98" i="7"/>
  <c r="AT98" i="7"/>
  <c r="W98" i="7"/>
  <c r="K98" i="7"/>
  <c r="AU97" i="7"/>
  <c r="W97" i="7"/>
  <c r="K97" i="7"/>
  <c r="AU96" i="7"/>
  <c r="AU95" i="7"/>
  <c r="W95" i="7"/>
  <c r="K95" i="7"/>
  <c r="AU94" i="7"/>
  <c r="AU93" i="7"/>
  <c r="AU92" i="7"/>
  <c r="AU91" i="7"/>
  <c r="AU90" i="7"/>
  <c r="AU89" i="7"/>
  <c r="AU88" i="7"/>
  <c r="AU87" i="7"/>
  <c r="AU86" i="7"/>
  <c r="AU85" i="7"/>
  <c r="AU84" i="7"/>
  <c r="AT84" i="7"/>
  <c r="AU83" i="7"/>
  <c r="AU82" i="7"/>
  <c r="AU81" i="7"/>
  <c r="BG80" i="7"/>
  <c r="AU80" i="7"/>
  <c r="AT80" i="7"/>
  <c r="BG79" i="7"/>
  <c r="AU79" i="7"/>
  <c r="BG78" i="7"/>
  <c r="AU78" i="7"/>
  <c r="BG76" i="7"/>
  <c r="AU76" i="7"/>
  <c r="AI63" i="7"/>
  <c r="AI62" i="7"/>
  <c r="K62" i="7"/>
  <c r="AI61" i="7"/>
  <c r="K61" i="7"/>
  <c r="AI60" i="7"/>
  <c r="K60" i="7"/>
  <c r="AI59" i="7"/>
  <c r="K59" i="7"/>
  <c r="AI58" i="7"/>
  <c r="K58" i="7"/>
  <c r="K57" i="7"/>
  <c r="K56" i="7"/>
  <c r="AI55" i="7"/>
  <c r="K55" i="7"/>
  <c r="K54" i="7"/>
  <c r="K53" i="7"/>
  <c r="AI52" i="7"/>
  <c r="K52" i="7"/>
  <c r="AI51" i="7"/>
  <c r="K51" i="7"/>
  <c r="K50" i="7"/>
  <c r="AI49" i="7"/>
  <c r="K49" i="7"/>
  <c r="AU48" i="7"/>
  <c r="K48" i="7"/>
  <c r="AU47" i="7"/>
  <c r="K47" i="7"/>
  <c r="AU46" i="7"/>
  <c r="K46" i="7"/>
  <c r="AU45" i="7"/>
  <c r="AT45" i="7"/>
  <c r="K45" i="7"/>
  <c r="AU44" i="7"/>
  <c r="K44" i="7"/>
  <c r="AU43" i="7"/>
  <c r="K43" i="7"/>
  <c r="AU42" i="7"/>
  <c r="K42" i="7"/>
  <c r="AU41" i="7"/>
  <c r="AI41" i="7"/>
  <c r="W41" i="7"/>
  <c r="K41" i="7"/>
  <c r="AU40" i="7"/>
  <c r="AI40" i="7"/>
  <c r="W40" i="7"/>
  <c r="K40" i="7"/>
  <c r="AU39" i="7"/>
  <c r="AI39" i="7"/>
  <c r="W39" i="7"/>
  <c r="K39" i="7"/>
  <c r="AU38" i="7"/>
  <c r="AI38" i="7"/>
  <c r="W38" i="7"/>
  <c r="K38" i="7"/>
  <c r="AU37" i="7"/>
  <c r="AI37" i="7"/>
  <c r="W36" i="7"/>
  <c r="K36" i="7"/>
  <c r="AU35" i="7"/>
  <c r="AI35" i="7"/>
  <c r="M8" i="7"/>
  <c r="F8" i="7"/>
  <c r="M7" i="7"/>
  <c r="F7" i="7"/>
  <c r="M6" i="7"/>
  <c r="F6" i="7"/>
  <c r="M5" i="7"/>
  <c r="F5" i="7"/>
  <c r="M4" i="7"/>
  <c r="F4" i="7"/>
  <c r="M2" i="7"/>
  <c r="F2" i="7"/>
  <c r="F13" i="8"/>
  <c r="F12" i="8"/>
  <c r="S11" i="8"/>
  <c r="H11" i="8"/>
  <c r="F11" i="8"/>
  <c r="S10" i="8"/>
  <c r="H10" i="8"/>
  <c r="F10" i="8"/>
  <c r="S9" i="8"/>
  <c r="H9" i="8"/>
  <c r="F9" i="8"/>
  <c r="S8" i="8"/>
  <c r="F8" i="8"/>
  <c r="S7" i="8"/>
  <c r="H7" i="8"/>
  <c r="F7" i="8"/>
  <c r="S6" i="8"/>
  <c r="F4" i="8"/>
  <c r="F3" i="8"/>
  <c r="S2" i="8"/>
  <c r="F2" i="8"/>
  <c r="B1" i="8" a="1"/>
  <c r="Q38" i="6"/>
  <c r="H38" i="6"/>
  <c r="Z37" i="6"/>
  <c r="Q37" i="6"/>
  <c r="H37" i="6"/>
  <c r="Z36" i="6"/>
  <c r="Q36" i="6"/>
  <c r="H36" i="6"/>
  <c r="Z35" i="6"/>
  <c r="Q35" i="6"/>
  <c r="H35" i="6"/>
  <c r="Z34" i="6"/>
  <c r="Q34" i="6"/>
  <c r="H34" i="6"/>
  <c r="Z33" i="6"/>
  <c r="Q33" i="6"/>
  <c r="H33" i="6"/>
  <c r="Z31" i="6"/>
  <c r="Q31" i="6"/>
  <c r="H31" i="6"/>
  <c r="F10" i="6"/>
  <c r="F9" i="6"/>
  <c r="F8" i="6"/>
  <c r="F7" i="6"/>
  <c r="F6" i="6"/>
  <c r="F5" i="6"/>
  <c r="F4" i="6"/>
  <c r="F3" i="6"/>
  <c r="F2" i="6"/>
  <c r="B1" i="6" a="1"/>
  <c r="F19" i="5"/>
  <c r="D19" i="5"/>
  <c r="F18" i="5"/>
  <c r="D18" i="5"/>
  <c r="F17" i="5"/>
  <c r="D16" i="5"/>
  <c r="L15" i="5"/>
  <c r="J15" i="5"/>
  <c r="D15" i="5"/>
  <c r="L14" i="5"/>
  <c r="J14" i="5"/>
  <c r="D14" i="5"/>
  <c r="L13" i="5"/>
  <c r="J13" i="5"/>
  <c r="D13" i="5"/>
  <c r="L12" i="5"/>
  <c r="D12" i="5"/>
  <c r="J11" i="5"/>
  <c r="F11" i="5"/>
  <c r="J10" i="5"/>
  <c r="F10" i="5"/>
  <c r="R9" i="5"/>
  <c r="P9" i="5"/>
  <c r="J9" i="5"/>
  <c r="F9" i="5"/>
  <c r="D9" i="5"/>
  <c r="R8" i="5"/>
  <c r="P8" i="5"/>
  <c r="L8" i="5"/>
  <c r="J8" i="5"/>
  <c r="F8" i="5"/>
  <c r="R7" i="5"/>
  <c r="P7" i="5"/>
  <c r="L7" i="5"/>
  <c r="J7" i="5"/>
  <c r="D7" i="5"/>
  <c r="R6" i="5"/>
  <c r="P6" i="5"/>
  <c r="J6" i="5"/>
  <c r="D6" i="5"/>
  <c r="R5" i="5"/>
  <c r="L5" i="5"/>
  <c r="F5" i="5"/>
  <c r="R4" i="5"/>
  <c r="L4" i="5"/>
  <c r="F4" i="5"/>
  <c r="R3" i="5"/>
  <c r="L3" i="5"/>
  <c r="F3" i="5"/>
  <c r="R2" i="5"/>
  <c r="L2" i="5"/>
  <c r="F2" i="5"/>
  <c r="B1" i="5" a="1"/>
  <c r="H106" i="14"/>
  <c r="H105" i="14"/>
  <c r="H104" i="14"/>
  <c r="H103" i="14"/>
  <c r="H102" i="14"/>
  <c r="Q101" i="14"/>
  <c r="H101" i="14"/>
  <c r="Q100" i="14"/>
  <c r="H100" i="14"/>
  <c r="Q99" i="14"/>
  <c r="H99" i="14"/>
  <c r="Q98" i="14"/>
  <c r="H98" i="14"/>
  <c r="Q97" i="14"/>
  <c r="H97" i="14"/>
  <c r="H70" i="14"/>
  <c r="Q69" i="14"/>
  <c r="H69" i="14"/>
  <c r="Z68" i="14"/>
  <c r="Q68" i="14"/>
  <c r="H68" i="14"/>
  <c r="BA67" i="14"/>
  <c r="AR67" i="14"/>
  <c r="AI67" i="14"/>
  <c r="Z67" i="14"/>
  <c r="Q67" i="14"/>
  <c r="H67" i="14"/>
  <c r="BA66" i="14"/>
  <c r="AR66" i="14"/>
  <c r="AI66" i="14"/>
  <c r="Z66" i="14"/>
  <c r="Q66" i="14"/>
  <c r="H66" i="14"/>
  <c r="Q44" i="14"/>
  <c r="O44" i="14"/>
  <c r="Q43" i="14"/>
  <c r="J43" i="14"/>
  <c r="H43" i="14"/>
  <c r="F43" i="14"/>
  <c r="Q42" i="14"/>
  <c r="J42" i="14"/>
  <c r="H42" i="14"/>
  <c r="F42" i="14"/>
  <c r="Q41" i="14"/>
  <c r="J41" i="14"/>
  <c r="H41" i="14"/>
  <c r="F41" i="14"/>
  <c r="J40" i="14"/>
  <c r="H40" i="14"/>
  <c r="F40" i="14"/>
  <c r="Q39" i="14"/>
  <c r="J39" i="14"/>
  <c r="H39" i="14"/>
  <c r="F39" i="14"/>
  <c r="Q38" i="14"/>
  <c r="J38" i="14"/>
  <c r="H38" i="14"/>
  <c r="F38" i="14"/>
  <c r="Q37" i="14"/>
  <c r="J37" i="14"/>
  <c r="H37" i="14"/>
  <c r="F37" i="14"/>
  <c r="J36" i="14"/>
  <c r="H36" i="14"/>
  <c r="F36" i="14"/>
  <c r="W35" i="14"/>
  <c r="U35" i="14"/>
  <c r="Q35" i="14"/>
  <c r="O35" i="14"/>
  <c r="J35" i="14"/>
  <c r="H35" i="14"/>
  <c r="F35" i="14"/>
  <c r="U34" i="14"/>
  <c r="Q34" i="14"/>
  <c r="J34" i="14"/>
  <c r="H34" i="14"/>
  <c r="F34" i="14"/>
  <c r="W33" i="14"/>
  <c r="Q33" i="14"/>
  <c r="J33" i="14"/>
  <c r="H33" i="14"/>
  <c r="F33" i="14"/>
  <c r="AD32" i="14"/>
  <c r="AB32" i="14"/>
  <c r="Q32" i="14"/>
  <c r="J32" i="14"/>
  <c r="H32" i="14"/>
  <c r="F32" i="14"/>
  <c r="AD31" i="14"/>
  <c r="AB31" i="14"/>
  <c r="W31" i="14"/>
  <c r="U31" i="14"/>
  <c r="Q31" i="14"/>
  <c r="J31" i="14"/>
  <c r="H31" i="14"/>
  <c r="F31" i="14"/>
  <c r="AD30" i="14"/>
  <c r="AB30" i="14"/>
  <c r="U30" i="14"/>
  <c r="J30" i="14"/>
  <c r="H30" i="14"/>
  <c r="F30" i="14"/>
  <c r="AD29" i="14"/>
  <c r="W29" i="14"/>
  <c r="U29" i="14"/>
  <c r="Q29" i="14"/>
  <c r="J29" i="14"/>
  <c r="H29" i="14"/>
  <c r="F29" i="14"/>
  <c r="AD28" i="14"/>
  <c r="AB28" i="14"/>
  <c r="W28" i="14"/>
  <c r="Q28" i="14"/>
  <c r="J28" i="14"/>
  <c r="H28" i="14"/>
  <c r="F28" i="14"/>
  <c r="AK27" i="14"/>
  <c r="AD27" i="14"/>
  <c r="AB27" i="14"/>
  <c r="Q27" i="14"/>
  <c r="J27" i="14"/>
  <c r="H27" i="14"/>
  <c r="F27" i="14"/>
  <c r="AK26" i="14"/>
  <c r="AD26" i="14"/>
  <c r="U26" i="14"/>
  <c r="Q26" i="14"/>
  <c r="J26" i="14"/>
  <c r="H26" i="14"/>
  <c r="F26" i="14"/>
  <c r="AK25" i="14"/>
  <c r="AD25" i="14"/>
  <c r="AB25" i="14"/>
  <c r="W25" i="14"/>
  <c r="Q25" i="14"/>
  <c r="AK24" i="14"/>
  <c r="AD24" i="14"/>
  <c r="AB24" i="14"/>
  <c r="W24" i="14"/>
  <c r="U24" i="14"/>
  <c r="Q24" i="14"/>
  <c r="AK23" i="14"/>
  <c r="AD23" i="14"/>
  <c r="W23" i="14"/>
  <c r="Q23" i="14"/>
  <c r="J23" i="14"/>
  <c r="AK22" i="14"/>
  <c r="AD22" i="14"/>
  <c r="W22" i="14"/>
  <c r="Q22" i="14"/>
  <c r="J22" i="14"/>
  <c r="E20" i="14"/>
  <c r="G19" i="14"/>
  <c r="E19" i="14"/>
  <c r="G18" i="14"/>
  <c r="E18" i="14"/>
  <c r="G17" i="14"/>
  <c r="E3" i="14"/>
  <c r="B1" i="14"/>
  <c r="K5" i="1" s="1"/>
  <c r="K50" i="3"/>
  <c r="K48" i="3"/>
  <c r="K46" i="3"/>
  <c r="K45" i="3"/>
  <c r="K44" i="3"/>
  <c r="W43" i="3"/>
  <c r="K43" i="3"/>
  <c r="W42" i="3"/>
  <c r="K42" i="3"/>
  <c r="W41" i="3"/>
  <c r="K41" i="3"/>
  <c r="W40" i="3"/>
  <c r="K40" i="3"/>
  <c r="W39" i="3"/>
  <c r="K39" i="3"/>
  <c r="W38" i="3"/>
  <c r="K38" i="3"/>
  <c r="W37" i="3"/>
  <c r="K37" i="3"/>
  <c r="W36" i="3"/>
  <c r="K36" i="3"/>
  <c r="W35" i="3"/>
  <c r="K35" i="3"/>
  <c r="W34" i="3"/>
  <c r="K34" i="3"/>
  <c r="W33" i="3"/>
  <c r="K33" i="3"/>
  <c r="W32" i="3"/>
  <c r="K32" i="3"/>
  <c r="W31" i="3"/>
  <c r="K31" i="3"/>
  <c r="W30" i="3"/>
  <c r="K30" i="3"/>
  <c r="W28" i="3"/>
  <c r="K28" i="3"/>
  <c r="B1" i="3" a="1"/>
  <c r="J105" i="2"/>
  <c r="E105" i="2"/>
  <c r="J104" i="2"/>
  <c r="E104" i="2"/>
  <c r="J103" i="2"/>
  <c r="E103" i="2"/>
  <c r="J102" i="2"/>
  <c r="E102" i="2"/>
  <c r="J101" i="2"/>
  <c r="E101" i="2"/>
  <c r="J100" i="2"/>
  <c r="E100" i="2"/>
  <c r="J99" i="2"/>
  <c r="E99" i="2"/>
  <c r="J98" i="2"/>
  <c r="E98" i="2"/>
  <c r="J97" i="2"/>
  <c r="E97" i="2"/>
  <c r="J96" i="2"/>
  <c r="E96" i="2"/>
  <c r="J94" i="2"/>
  <c r="I92" i="2"/>
  <c r="I91" i="2"/>
  <c r="I90" i="2"/>
  <c r="I89" i="2"/>
  <c r="I88" i="2"/>
  <c r="I87" i="2"/>
  <c r="I86" i="2"/>
  <c r="I85" i="2"/>
  <c r="I84" i="2"/>
  <c r="I83" i="2"/>
  <c r="I82" i="2"/>
  <c r="I81" i="2"/>
  <c r="I80" i="2"/>
  <c r="I79" i="2"/>
  <c r="I78" i="2"/>
  <c r="I77" i="2"/>
  <c r="I76" i="2"/>
  <c r="I75" i="2"/>
  <c r="I74" i="2"/>
  <c r="I72" i="2"/>
  <c r="I70" i="2"/>
  <c r="I69" i="2"/>
  <c r="I68" i="2"/>
  <c r="I67" i="2"/>
  <c r="I66" i="2"/>
  <c r="I64" i="2"/>
  <c r="I62" i="2"/>
  <c r="I61" i="2"/>
  <c r="I60" i="2"/>
  <c r="I59" i="2"/>
  <c r="I58" i="2"/>
  <c r="I57" i="2"/>
  <c r="I55" i="2"/>
  <c r="I53" i="2"/>
  <c r="I52" i="2"/>
  <c r="I51" i="2"/>
  <c r="I50" i="2"/>
  <c r="I49" i="2"/>
  <c r="I48" i="2"/>
  <c r="I47" i="2"/>
  <c r="I46" i="2"/>
  <c r="I45" i="2"/>
  <c r="I44" i="2"/>
  <c r="I43" i="2"/>
  <c r="I42" i="2"/>
  <c r="H41" i="2"/>
  <c r="G41" i="2"/>
  <c r="I40" i="2"/>
  <c r="I38" i="2"/>
  <c r="I37" i="2"/>
  <c r="I36" i="2"/>
  <c r="I35" i="2"/>
  <c r="I34" i="2"/>
  <c r="I33" i="2"/>
  <c r="I32" i="2"/>
  <c r="I31" i="2"/>
  <c r="I30" i="2"/>
  <c r="I29" i="2"/>
  <c r="I28" i="2"/>
  <c r="I27" i="2"/>
  <c r="I26" i="2"/>
  <c r="I25" i="2"/>
  <c r="I24" i="2"/>
  <c r="I23" i="2"/>
  <c r="I22" i="2"/>
  <c r="I21" i="2"/>
  <c r="I20" i="2"/>
  <c r="I19" i="2"/>
  <c r="I18" i="2"/>
  <c r="I17" i="2"/>
  <c r="I15" i="2"/>
  <c r="E2" i="2"/>
  <c r="K19" i="1"/>
  <c r="K18" i="1"/>
  <c r="O16" i="1"/>
  <c r="O15" i="1"/>
  <c r="O14" i="1"/>
  <c r="O13" i="1"/>
  <c r="K12" i="1"/>
  <c r="H92" i="13"/>
  <c r="H91" i="13"/>
  <c r="H90" i="13"/>
  <c r="H89" i="13"/>
  <c r="H88" i="13"/>
  <c r="Q87" i="13"/>
  <c r="H87" i="13"/>
  <c r="H83" i="13" s="1"/>
  <c r="Q86" i="13"/>
  <c r="H86" i="13"/>
  <c r="Q85" i="13"/>
  <c r="H85" i="13"/>
  <c r="Q84" i="13"/>
  <c r="H84" i="13"/>
  <c r="Q83" i="13"/>
  <c r="H56" i="13"/>
  <c r="Q55" i="13"/>
  <c r="H55" i="13"/>
  <c r="Z54" i="13"/>
  <c r="Q54" i="13"/>
  <c r="H54" i="13"/>
  <c r="BA53" i="13"/>
  <c r="AR53" i="13"/>
  <c r="AI53" i="13"/>
  <c r="Z53" i="13"/>
  <c r="Q53" i="13"/>
  <c r="H53" i="13"/>
  <c r="BA52" i="13"/>
  <c r="AR52" i="13"/>
  <c r="AI52" i="13"/>
  <c r="Z52" i="13"/>
  <c r="Q52" i="13"/>
  <c r="H52" i="13"/>
  <c r="Q29" i="13"/>
  <c r="J29" i="13"/>
  <c r="H29" i="13"/>
  <c r="F29" i="13"/>
  <c r="Q28" i="13"/>
  <c r="J28" i="13"/>
  <c r="H28" i="13"/>
  <c r="F28" i="13"/>
  <c r="Q27" i="13"/>
  <c r="J27" i="13"/>
  <c r="H27" i="13"/>
  <c r="F27" i="13"/>
  <c r="J26" i="13"/>
  <c r="H26" i="13"/>
  <c r="F26" i="13"/>
  <c r="Q25" i="13"/>
  <c r="J25" i="13"/>
  <c r="H25" i="13"/>
  <c r="F25" i="13"/>
  <c r="Q24" i="13"/>
  <c r="J24" i="13"/>
  <c r="H24" i="13"/>
  <c r="F24" i="13"/>
  <c r="Q23" i="13"/>
  <c r="J23" i="13"/>
  <c r="H23" i="13"/>
  <c r="F23" i="13"/>
  <c r="J22" i="13"/>
  <c r="H22" i="13"/>
  <c r="F22" i="13"/>
  <c r="W21" i="13"/>
  <c r="U21" i="13"/>
  <c r="Q21" i="13"/>
  <c r="O21" i="13"/>
  <c r="J21" i="13"/>
  <c r="H21" i="13"/>
  <c r="F21" i="13"/>
  <c r="U20" i="13"/>
  <c r="Q20" i="13"/>
  <c r="J20" i="13"/>
  <c r="H20" i="13"/>
  <c r="F20" i="13"/>
  <c r="W19" i="13"/>
  <c r="Q19" i="13"/>
  <c r="J19" i="13"/>
  <c r="H19" i="13"/>
  <c r="F19" i="13"/>
  <c r="AD18" i="13"/>
  <c r="AB18" i="13"/>
  <c r="Q18" i="13"/>
  <c r="J18" i="13"/>
  <c r="H18" i="13"/>
  <c r="F18" i="13"/>
  <c r="AD17" i="13"/>
  <c r="AB17" i="13"/>
  <c r="W17" i="13"/>
  <c r="U17" i="13"/>
  <c r="Q17" i="13"/>
  <c r="J17" i="13"/>
  <c r="H17" i="13"/>
  <c r="F17" i="13"/>
  <c r="AD16" i="13"/>
  <c r="AB16" i="13"/>
  <c r="U16" i="13"/>
  <c r="J16" i="13"/>
  <c r="H16" i="13"/>
  <c r="F16" i="13"/>
  <c r="AD15" i="13"/>
  <c r="W15" i="13"/>
  <c r="U15" i="13"/>
  <c r="Q15" i="13"/>
  <c r="H15" i="13"/>
  <c r="J15" i="13" s="1"/>
  <c r="F15" i="13"/>
  <c r="AD14" i="13"/>
  <c r="AB14" i="13"/>
  <c r="W14" i="13"/>
  <c r="Q14" i="13"/>
  <c r="H14" i="13"/>
  <c r="J14" i="13" s="1"/>
  <c r="F14" i="13"/>
  <c r="AK13" i="13"/>
  <c r="AD13" i="13"/>
  <c r="AB13" i="13"/>
  <c r="Q13" i="13"/>
  <c r="H13" i="13"/>
  <c r="J13" i="13" s="1"/>
  <c r="F13" i="13"/>
  <c r="AK12" i="13"/>
  <c r="AD12" i="13"/>
  <c r="U12" i="13"/>
  <c r="Q12" i="13"/>
  <c r="H12" i="13"/>
  <c r="J12" i="13" s="1"/>
  <c r="F12" i="13"/>
  <c r="AK11" i="13"/>
  <c r="AD11" i="13"/>
  <c r="AB11" i="13"/>
  <c r="W11" i="13"/>
  <c r="Q11" i="13"/>
  <c r="AK10" i="13"/>
  <c r="AD10" i="13"/>
  <c r="AB10" i="13"/>
  <c r="W10" i="13"/>
  <c r="U10" i="13"/>
  <c r="Q10" i="13"/>
  <c r="AK9" i="13"/>
  <c r="AD9" i="13"/>
  <c r="W9" i="13"/>
  <c r="Q9" i="13"/>
  <c r="J9" i="13"/>
  <c r="AK8" i="13"/>
  <c r="AD8" i="13"/>
  <c r="W8" i="13"/>
  <c r="E6" i="13"/>
  <c r="G5" i="13"/>
  <c r="E5" i="13" a="1"/>
  <c r="E5" i="13"/>
  <c r="G4" i="13"/>
  <c r="E4" i="13" a="1"/>
  <c r="E4" i="13"/>
  <c r="G3" i="13"/>
  <c r="B1" i="3"/>
  <c r="B1" i="8"/>
  <c r="B1" i="6"/>
  <c r="B1" i="10"/>
  <c r="B1" i="9"/>
  <c r="Z14" i="9"/>
  <c r="Z8" i="7"/>
  <c r="B1" i="7" s="1"/>
  <c r="B1" i="5"/>
  <c r="B1" i="2"/>
  <c r="O30" i="13" l="1"/>
  <c r="Q30" i="13" s="1"/>
  <c r="Q8" i="13" s="1"/>
  <c r="J8" i="13"/>
  <c r="K2" i="1"/>
  <c r="K6" i="1"/>
  <c r="K8" i="1"/>
  <c r="K10" i="1"/>
  <c r="K11" i="1"/>
  <c r="K7" i="1"/>
  <c r="K9" i="1"/>
  <c r="K3" i="1"/>
  <c r="B1" i="13"/>
  <c r="K4" i="1" l="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<sst xmlns="http://schemas.openxmlformats.org/spreadsheetml/2006/main" count="1325" uniqueCount="802">
  <si>
    <t>文档填写要求 Document Filling Requirements</t>
  </si>
  <si>
    <t>结果汇总 Status</t>
  </si>
  <si>
    <t>最终结果 Overall Results</t>
  </si>
  <si>
    <r>
      <rPr>
        <sz val="11"/>
        <rFont val="等线"/>
        <charset val="134"/>
        <scheme val="minor"/>
      </rPr>
      <t xml:space="preserve">- 所有橙色背景的单元格均需要填写。
- 蓝色背景的单元格是自动生成的检查结果。
- 图片必须放置在指定区域上并且高清且横纵比正常。图片需要能够被放大以进行进一步审核。
- 所有要求规格书的都应该在规定位置提供下载超链接,优先放置供应商公开网址的信息,允许车队提供的网盘,但是分享链接应当是无密码且长期有效的。链接不必完整显示在文档中。
- 禁止链接到淘宝产品介绍页面。
- 额外补充信息用于补充说明审核员提出的疑点。任何文字说明信息应该做到不惜言，不赘述。
- </t>
    </r>
    <r>
      <rPr>
        <b/>
        <sz val="11"/>
        <rFont val="等线"/>
        <charset val="134"/>
        <scheme val="minor"/>
      </rPr>
      <t>完成后删除所有的此单元格以外的样例(橙色图片)/说明性文字（斜体）。</t>
    </r>
    <r>
      <rPr>
        <sz val="11"/>
        <rFont val="等线"/>
        <charset val="134"/>
        <scheme val="minor"/>
      </rPr>
      <t xml:space="preserve">
- 由于反馈更改的内容必须要标为</t>
    </r>
    <r>
      <rPr>
        <sz val="11"/>
        <color rgb="FFFF0000"/>
        <rFont val="等线"/>
        <charset val="134"/>
        <scheme val="minor"/>
      </rPr>
      <t>红色</t>
    </r>
    <r>
      <rPr>
        <sz val="11"/>
        <rFont val="等线"/>
        <charset val="134"/>
        <scheme val="minor"/>
      </rPr>
      <t xml:space="preserve">。未标红视为未更改。请仅标红当前最新更改部分。
- </t>
    </r>
    <r>
      <rPr>
        <b/>
        <sz val="11"/>
        <rFont val="等线"/>
        <charset val="134"/>
        <scheme val="minor"/>
      </rPr>
      <t>无论当前是否已经对ESF予以通过，任何未经许可的对自动检查表格模板的修改/破解将导致该车队本年度的电检资格取消。</t>
    </r>
    <r>
      <rPr>
        <sz val="11"/>
        <rFont val="等线"/>
        <charset val="134"/>
        <scheme val="minor"/>
      </rPr>
      <t xml:space="preserve">
- 自动检查通过并不代表ESF必然获得通过。
- 推荐使用Excel编辑，WPS可能存在格式显示错误的问题。
————
- All cells with an orange background need to be filled out.
- Cells with a blue background are automatically generated inspection results.
- Images must be clear and recognizable.
- All required specifications should provide download hyperlinks in the designated location. Preference should be given to publicly accessible URLs from suppliers. Cloud drives provided by the team are allowed, but the shared links should be password-free and long-term valid. The links do not need to be fully displayed in the document.
- Linking to online vendor product introduction pages is prohibited.
- Additional supplementary information is used to supplement the doubts raised by the auditor. Any text description information should be verbose and should not be repeated.
-</t>
    </r>
    <r>
      <rPr>
        <b/>
        <sz val="11"/>
        <rFont val="等线"/>
        <charset val="134"/>
        <scheme val="minor"/>
      </rPr>
      <t xml:space="preserve"> After completion, delete all examples (orange images)/explanatory text (italic) except for this cell.
-</t>
    </r>
    <r>
      <rPr>
        <sz val="11"/>
        <rFont val="等线"/>
        <charset val="134"/>
        <scheme val="minor"/>
      </rPr>
      <t xml:space="preserve"> Changes made due to feedback must be marked in </t>
    </r>
    <r>
      <rPr>
        <sz val="11"/>
        <color rgb="FFFF0000"/>
        <rFont val="等线"/>
        <charset val="134"/>
        <scheme val="minor"/>
      </rPr>
      <t>red</t>
    </r>
    <r>
      <rPr>
        <sz val="11"/>
        <rFont val="等线"/>
        <charset val="134"/>
        <scheme val="minor"/>
      </rPr>
      <t xml:space="preserve">. Changes not marked in red will be considered unmodified. Please only mark the most recent changes in red.
- </t>
    </r>
    <r>
      <rPr>
        <b/>
        <sz val="11"/>
        <rFont val="等线"/>
        <charset val="134"/>
        <scheme val="minor"/>
      </rPr>
      <t>Regardless of whether the ESF has currently been approved, any unauthorized modifications/hacks to the automated checklist template will result in the team's disqualification from the electrical inspection for the current year.</t>
    </r>
    <r>
      <rPr>
        <sz val="11"/>
        <rFont val="等线"/>
        <charset val="134"/>
        <scheme val="minor"/>
      </rPr>
      <t xml:space="preserve">
- Passing the automated check does not guarantee that the ESF will be approved.
- It is recommended to use Excel for editing. WPS may have format display errors.</t>
    </r>
  </si>
  <si>
    <t>规格书 Datasheets</t>
  </si>
  <si>
    <t>驱动系统原理图 TS Schematics</t>
  </si>
  <si>
    <t>电池箱 Accumulator</t>
  </si>
  <si>
    <t>备用电池箱 Spare Accumulator</t>
  </si>
  <si>
    <t>预充电/放电回路 Precharge/Discharge</t>
  </si>
  <si>
    <t>充电系统 Charging</t>
  </si>
  <si>
    <t>安全系统 Shutdown circuits</t>
  </si>
  <si>
    <t>扭矩输出 Torque security</t>
  </si>
  <si>
    <t>其他 Other</t>
  </si>
  <si>
    <t>接地 Grounding</t>
  </si>
  <si>
    <t>车队信息 Team info</t>
  </si>
  <si>
    <t>学校 University</t>
  </si>
  <si>
    <t>合肥工业大学</t>
  </si>
  <si>
    <t>车队名称 Team</t>
  </si>
  <si>
    <t>睿智无人车队</t>
  </si>
  <si>
    <t>车号 Car Number</t>
  </si>
  <si>
    <t>A10</t>
  </si>
  <si>
    <t>驱动系统最大电压 Max TS voltage</t>
  </si>
  <si>
    <t>V</t>
  </si>
  <si>
    <t>主保险丝额定电流 Accumulator</t>
  </si>
  <si>
    <t>A</t>
  </si>
  <si>
    <t>Additional Comment - 1</t>
  </si>
  <si>
    <t>Additional Comment - 2</t>
  </si>
  <si>
    <t>状态 Status</t>
  </si>
  <si>
    <t>电芯单体 Battery Cell</t>
  </si>
  <si>
    <t>制造商 Make</t>
  </si>
  <si>
    <t>深圳市格瑞普电池有限公司</t>
  </si>
  <si>
    <t>型号 Model</t>
  </si>
  <si>
    <t>GRP9885155-3.8V 15000mAh</t>
  </si>
  <si>
    <t>额定容量 Nominal Capacity</t>
  </si>
  <si>
    <t>Ahr</t>
  </si>
  <si>
    <t>最大电压 Maximum Voltage</t>
  </si>
  <si>
    <t>4.35</t>
  </si>
  <si>
    <t>额定电压 Nominal Voltage</t>
  </si>
  <si>
    <t>3.8</t>
  </si>
  <si>
    <t>最小电压 Minimum Voltage</t>
  </si>
  <si>
    <t>3.0</t>
  </si>
  <si>
    <t>最大瞬时输出电流 Max output current</t>
  </si>
  <si>
    <t>最大连续输出电流 Max continous current</t>
  </si>
  <si>
    <t>最大工作温度 Max Cell temp</t>
  </si>
  <si>
    <t>C</t>
  </si>
  <si>
    <t>电芯化学类型 Cell Chemistry</t>
  </si>
  <si>
    <t>聚合物锂离子电池</t>
  </si>
  <si>
    <t>说明书超链接 Link to Datasheet</t>
  </si>
  <si>
    <t>电芯_GRP9885155-3.8V 15000mAh</t>
  </si>
  <si>
    <t>导体信息 Conductors</t>
  </si>
  <si>
    <t>规则参考/注释 Rules Reference/Comment</t>
  </si>
  <si>
    <t>Location List</t>
  </si>
  <si>
    <t>制造商 Manufacturer</t>
  </si>
  <si>
    <t>型号 Part number</t>
  </si>
  <si>
    <r>
      <rPr>
        <sz val="11"/>
        <color theme="1"/>
        <rFont val="等线"/>
        <charset val="134"/>
        <scheme val="minor"/>
      </rPr>
      <t>载流截面积 Size [mm</t>
    </r>
    <r>
      <rPr>
        <sz val="11"/>
        <color theme="1"/>
        <rFont val="等线"/>
        <charset val="134"/>
        <scheme val="minor"/>
      </rPr>
      <t>2]</t>
    </r>
  </si>
  <si>
    <t>额定电压 Nominal Voltage [Vdc]</t>
  </si>
  <si>
    <t>额定电流 Nominal Current [A]</t>
  </si>
  <si>
    <t>最大工作温度 Max Temp[C]</t>
  </si>
  <si>
    <t>说明书链接 Datasheet Hyperlink</t>
  </si>
  <si>
    <t xml:space="preserve">位置 Location </t>
  </si>
  <si>
    <t>判定 Auto-check</t>
  </si>
  <si>
    <t>注释 Additional Info</t>
  </si>
  <si>
    <r>
      <rPr>
        <sz val="11"/>
        <color theme="1"/>
        <rFont val="等线"/>
        <charset val="134"/>
        <scheme val="minor"/>
      </rPr>
      <t xml:space="preserve">`- 如果在不同位置使用了相同的导体，请增加一行重复的输入项目。
- 如果相同段落使用了多种导体，每一种导体信息都应该被填入
- 本表格更多指向铜牌，导线等
- 如果使用位置是'其他驱动系统’，请在注释列填写说明
- 检查项目包括但不限于：
-- EV 4.1
-- EV 4.5
</t>
    </r>
    <r>
      <rPr>
        <sz val="11"/>
        <color rgb="FFFF0000"/>
        <rFont val="等线"/>
        <charset val="134"/>
        <scheme val="minor"/>
      </rPr>
      <t>本页表格允许添加行</t>
    </r>
    <r>
      <rPr>
        <sz val="11"/>
        <color theme="1"/>
        <rFont val="等线"/>
        <charset val="134"/>
        <scheme val="minor"/>
      </rPr>
      <t xml:space="preserve">
————
- If the same conductor is used in different locations, please add an additional row with the repeated input item. 
-  If multiple types of conductors are used in the same section, information for each conductor should be filled in.
-  If the usage location is 'Other TS,' please provide an explanation in the Additional Info column.
- </t>
    </r>
    <r>
      <rPr>
        <sz val="11"/>
        <color rgb="FFFF0000"/>
        <rFont val="等线"/>
        <charset val="134"/>
        <scheme val="minor"/>
      </rPr>
      <t>Rows can be added to the table on this page.</t>
    </r>
  </si>
  <si>
    <t>`</t>
  </si>
  <si>
    <t>电芯之间 Between cells</t>
  </si>
  <si>
    <t>东莞市鑫宏泰铜材</t>
  </si>
  <si>
    <t>铜排</t>
  </si>
  <si>
    <t>铜排_电芯之间</t>
  </si>
  <si>
    <t>电芯之间</t>
  </si>
  <si>
    <t>该导体为模组正负极至维护插头之间的圆柱形铜导体。实测最小半径约3.8mm，对应直径约7.6mm，按圆形截面计算有效载流截面积为π×3.8²=45.36mm²，ESF按45.4mm²填写。导体设计持续电流为180A，对应平均电流密度约3.97A/mm²。额定电压365.4VDC为车辆最大驱动系统电压；裸铜导体的绝缘耐压由绝缘支撑、电气间隙、爬电距离及电池箱结构保证。最高工作温度按连接结构中最低额定温度的部件确定，不使用铜的1083℃熔点作为工作温度依据。</t>
  </si>
  <si>
    <t>电芯到AIR Between cells and AIR</t>
  </si>
  <si>
    <t>荣缆</t>
  </si>
  <si>
    <t>EVRP新能源汽车屏蔽高压线</t>
  </si>
  <si>
    <t>荣缆_电芯到AIR</t>
  </si>
  <si>
    <t>电芯到AIR</t>
  </si>
  <si>
    <t>AIR到电池箱连接器 Between AIR and Acc Connector</t>
  </si>
  <si>
    <t>荣缆_AIR到电池箱连接器</t>
  </si>
  <si>
    <t>AIR到电池箱连接器</t>
  </si>
  <si>
    <t>电池箱到电机控制器 Between Acc and Motor Controller</t>
  </si>
  <si>
    <t>荣缆_电池箱到电机控制器</t>
  </si>
  <si>
    <t>电池箱到电机控制器</t>
  </si>
  <si>
    <t>电池箱到能量计Between Acc and Energy Meter</t>
  </si>
  <si>
    <t>荣缆_电池箱到能量计</t>
  </si>
  <si>
    <t>电池箱到能量计</t>
  </si>
  <si>
    <t>能量计到电机控制器 Between Energy Meter and Motor Controller</t>
  </si>
  <si>
    <t>荣缆_能量计到电机控制器</t>
  </si>
  <si>
    <t>能量计到电机控制器</t>
  </si>
  <si>
    <t>TSMP采样线 TSMP detection wires</t>
  </si>
  <si>
    <t>深圳市隆晟达电线电缆实业有限公司</t>
  </si>
  <si>
    <t>3135-12AWG</t>
  </si>
  <si>
    <t>3135系列_TSMP采样线</t>
  </si>
  <si>
    <t>TSMP采样线</t>
  </si>
  <si>
    <t>TSAL采样线  TSAL detection wire</t>
  </si>
  <si>
    <t>3135-18AWG</t>
  </si>
  <si>
    <t>3135系列_TSAL采样线</t>
  </si>
  <si>
    <t>TSAL采样线</t>
  </si>
  <si>
    <t>电芯单体采样线 Cell Volt Detection</t>
  </si>
  <si>
    <t>3135系列_电芯单体采样线</t>
  </si>
  <si>
    <t>电芯单体采样线</t>
  </si>
  <si>
    <t>电机控制器到电机 Between Motor Controller and Motors</t>
  </si>
  <si>
    <t>荣缆_电机控制器到电芯</t>
  </si>
  <si>
    <t>电机控制器到电机</t>
  </si>
  <si>
    <t>电池箱到HVD Between ACC and HVD</t>
  </si>
  <si>
    <t>荣缆_电池箱到HVD</t>
  </si>
  <si>
    <t>电池箱到HVD</t>
  </si>
  <si>
    <t>HVD到电机控制器, Between Motor Controller and HVD</t>
  </si>
  <si>
    <t>荣缆_HVD到电机控制器</t>
  </si>
  <si>
    <t>HVD到电机控制器</t>
  </si>
  <si>
    <t>预充电回路 Precharge</t>
  </si>
  <si>
    <t>3135系列_预充电回路</t>
  </si>
  <si>
    <t>预充电回路</t>
  </si>
  <si>
    <t>放电回路 Discharge</t>
  </si>
  <si>
    <t>3135系列_放电回路</t>
  </si>
  <si>
    <t>放电回路</t>
  </si>
  <si>
    <t>充电机DC侧 Charging DC side</t>
  </si>
  <si>
    <t>荣缆_充电机DC侧</t>
  </si>
  <si>
    <t>充电机DC侧</t>
  </si>
  <si>
    <t>充电机AC侧 Charging AC side</t>
  </si>
  <si>
    <t>3135系列_充电机AC侧</t>
  </si>
  <si>
    <t>充电机AC侧</t>
  </si>
  <si>
    <t>其他驱动系统 Other TS</t>
  </si>
  <si>
    <t>3239-24AWG</t>
  </si>
  <si>
    <t>3239系列_安全回路</t>
  </si>
  <si>
    <t>安全回路</t>
  </si>
  <si>
    <t>包含信号线</t>
  </si>
  <si>
    <t>安全回路 Shutdown circuit</t>
  </si>
  <si>
    <t>3239-20AWG</t>
  </si>
  <si>
    <t>3239系列_其他低压系统 Other LVS</t>
  </si>
  <si>
    <t>其他低压系统 Other LVS</t>
  </si>
  <si>
    <t>应用位置：VCU信号线与电源线，硬件电路连接线，无人传感器连接线</t>
  </si>
  <si>
    <t>荣缆_其他驱动系统 Other TS</t>
  </si>
  <si>
    <t>应用位置：主保险丝连接、Air连接，主接插件、HVD、能量计、电机控制器、电机间连接线</t>
  </si>
  <si>
    <t>CNXI华西科技</t>
  </si>
  <si>
    <t>SC35-6</t>
  </si>
  <si>
    <t>直铜鼻_其他驱动系统 Other TS</t>
  </si>
  <si>
    <t>应用位置：主保险丝连接、Air连接，主接插件连接、HVD连接、能量计连接、电机控制器连接、电机间连接。温度参数来源及证明：CNXI产品资料表明，该端子本体材料为铜/紫铜，表面处理为镀锡（Terminal Body: Copper；Plating: Tin）。厂家另行确认该类紫铜镀锡端子的最高温度能力为200 ℃，因此ESF中的Max Temp填写为200 ℃。其中，CNXI产品资料用于证明端子的材料和镀层结构，200 ℃数值以厂家提供的温度能力说明为依据。该温度未列在CNXI公开产品页面中，也不是根据锡的熔点或材料性质自行推导所得。
电压参数来源及证明：车辆动力电池由84个电芯串联组成，单体电芯最高电压为4.35 V，因此牵引系统最大应用电压为：
84 × 4.35 V = 365.4 Vdc
故ESF中的Nominal Voltage填写为365.4 Vdc。该数值来源于车辆动力电池串联数量和单体最高电压，是端子在整车中的最大应用电压，不是厂家对裸铜端子给出的独立额定耐压。端子本体属于裸露导电连接件，不承担绝缘功能；其在365.4 Vdc系统中的电气安全由安装后的热缩管、绝缘护套、防护罩、电气间隙和爬电距离共同保证。</t>
  </si>
  <si>
    <t>T90-35-6</t>
  </si>
  <si>
    <t>直角铜鼻_其他驱动系统 Other TS</t>
  </si>
  <si>
    <t>应用位置：维护插头到主保险丝走线，主保险丝连接，Air连接，主接插件与HVD间走线。温度参数来源及证明：CNXI产品资料表明，该端子本体材料为铜/紫铜，表面处理为镀锡（Terminal Body: Copper；Plating: Tin）。厂家另行确认该类紫铜镀锡端子的最高温度能力为200 ℃，因此ESF中的Max Temp填写为200 ℃。其中，CNXI产品资料用于证明端子的材料和镀层结构，200 ℃数值以厂家提供的温度能力说明为依据。该温度未列在CNXI公开产品页面中，也不是根据锡的熔点或材料性质自行推导所得。
电压参数来源及证明：车辆动力电池由84个电芯串联组成，单体电芯最高电压为4.35 V，因此牵引系统最大应用电压为：
84 × 4.35 V = 365.4 Vdc
故ESF中的Nominal Voltage填写为365.4 Vdc。该数值来源于车辆动力电池串联数量和单体最高电压，是端子在整车中的最大应用电压，不是厂家对裸铜端子给出的独立额定耐压。端子本体属于裸露导电连接件，不承担绝缘功能；其在365.4 Vdc系统中的电气安全由安装后有效绝缘共同保证。</t>
  </si>
  <si>
    <t>过流保护器件 Fuses</t>
  </si>
  <si>
    <t>额定电压Nominal Voltage [Vdc]</t>
  </si>
  <si>
    <t>额定分断电流 Interrupt (A)</t>
  </si>
  <si>
    <t>- 如果使用位置是'其他驱动系统’，请在注释列填写说明，且关于位置的表述必须和之前的导体段落文本完全一致
- 检查的项目包括但不限于
- EV 3.2
————
If the usage location is 'Other TS,' please provide an explanation in the Additional Info column. It must the same as the expression in the 'Conductor' part</t>
  </si>
  <si>
    <t>Bussmann</t>
  </si>
  <si>
    <t>FWH-60B</t>
  </si>
  <si>
    <t>FWH 500V系列规格书_电芯到AIR Between cells and AIR</t>
  </si>
  <si>
    <t>FWP-60C</t>
  </si>
  <si>
    <t>FWP-700V系列规格书_电池箱到电机控制器 Between Acc and Motor Controller</t>
  </si>
  <si>
    <t>Littelfuse</t>
  </si>
  <si>
    <t>0466.250NRHF</t>
  </si>
  <si>
    <t>466 Series 1206 Fast-Acting Fuse_电芯单体采样线 Cell Volt Detection</t>
  </si>
  <si>
    <t>PV-5A 1000VDC</t>
  </si>
  <si>
    <t>PV Series 1000Vdc 10x38mm Photovoltaic fuses_预充电回路 Precharge</t>
  </si>
  <si>
    <t>PV-2A10F</t>
  </si>
  <si>
    <t>PV Series 1000Vdc_TSAL采样线  TSAL detection wire</t>
  </si>
  <si>
    <t>为高压线到电压传感器的过流保护</t>
  </si>
  <si>
    <t>PV Series 1000Vdc_电池箱到能量计Between Acc and Energy Meter</t>
  </si>
  <si>
    <t>能量计电压测量线处使用</t>
  </si>
  <si>
    <t>PV Series 1000Vdc_其他驱动系统 Other TS</t>
  </si>
  <si>
    <t>电池箱电压指示器保护</t>
  </si>
  <si>
    <t>142.7010.5602</t>
  </si>
  <si>
    <t>Littelfuse142.7010.5602_其他低压系统 Other LVS</t>
  </si>
  <si>
    <t>低压系统主保险丝</t>
  </si>
  <si>
    <t>电阻器 Resistor</t>
  </si>
  <si>
    <r>
      <rPr>
        <sz val="11"/>
        <color theme="1"/>
        <rFont val="等线"/>
        <charset val="134"/>
        <scheme val="minor"/>
      </rPr>
      <t>电阻值 Resistance (</t>
    </r>
    <r>
      <rPr>
        <sz val="11"/>
        <color theme="1"/>
        <rFont val="等线"/>
        <charset val="134"/>
        <scheme val="minor"/>
      </rPr>
      <t>Ω</t>
    </r>
    <r>
      <rPr>
        <sz val="11"/>
        <color theme="1"/>
        <rFont val="等线"/>
        <charset val="134"/>
        <scheme val="minor"/>
      </rPr>
      <t>)</t>
    </r>
  </si>
  <si>
    <t>额定功率 Nominal Power (W)</t>
  </si>
  <si>
    <t xml:space="preserve">散热器参数 Heatsink  (°C/W) </t>
  </si>
  <si>
    <t>位置 Location</t>
  </si>
  <si>
    <t>- 电阻未使用散热片可填写’未使用‘，注意此处并不是要求填写所有使用的电阻，仅关注和驱动系统安全性相关的问题
————
If resistors are not using heat sinks, you can write 'Not used.' Note that this is not a requirement to list all resistors used, but only to focus on issues related to the safety of the TS system.</t>
  </si>
  <si>
    <t>永星电子有限公司</t>
  </si>
  <si>
    <t>RXG24 75w 3000Ω-J</t>
  </si>
  <si>
    <t>使用铝散热器，热阻 ≤3.0 ℃/W</t>
  </si>
  <si>
    <t>RXG24_预充电路 Precharge</t>
  </si>
  <si>
    <t>预充电路 Precharge</t>
  </si>
  <si>
    <t>湖南国腾电子有限公司</t>
  </si>
  <si>
    <t>RXG24-100W-2000Ω-J</t>
  </si>
  <si>
    <t>每使用独立铝散热器，热阻 ≤1.0 ℃/W</t>
  </si>
  <si>
    <t>RXG24_放电回路 Discharge</t>
  </si>
  <si>
    <t>奥创</t>
  </si>
  <si>
    <t>RX24-50W-10KΩ-J</t>
  </si>
  <si>
    <t>未使用；50 W 型号满足无散热器功率裕量，证明详见注释部分</t>
  </si>
  <si>
    <t>RX24_其他-驱动系统 Other TS</t>
  </si>
  <si>
    <t>其他-驱动系统 Other TS</t>
  </si>
  <si>
    <r>
      <rPr>
        <sz val="11"/>
        <color rgb="FFFF0000"/>
        <rFont val="等线"/>
        <charset val="134"/>
        <scheme val="minor"/>
      </rPr>
      <t>用于TSMP人体保护。该RX24 50 W规格的数据手册支持10 kΩ阻值，耐压上限为1000 V；对于10 kΩ、50 W，按额定功率对应的工作电压：
U=</t>
    </r>
    <r>
      <rPr>
        <sz val="11"/>
        <color rgb="FFFF0000"/>
        <rFont val="Arial"/>
        <family val="2"/>
      </rPr>
      <t>√</t>
    </r>
    <r>
      <rPr>
        <sz val="11"/>
        <color rgb="FFFF0000"/>
        <rFont val="等线"/>
        <charset val="134"/>
        <scheme val="minor"/>
      </rPr>
      <t>(PR)=√(50×10000)≈707.1V按本车最大TS电压365.4 V计算，根据EV 4.7.6，本车最大TS电压处于200～400 VDC区间，每个TSMP采用10 kΩ限流电阻。TS+与TS−短路时两只10 kΩ电阻串联，每只电阻实际耗散功率约3.34 W。根据RX24温度降额曲线，150 ℃时50 W电阻允许功率按60%计为30 W，仍具有约9倍功率裕量，满足EV 4.7.6要求。</t>
    </r>
  </si>
  <si>
    <t>继电器/接触器/MOSFET Relay/Contactor/MOSFET</t>
  </si>
  <si>
    <t>额定电流  Nominal Current [A]</t>
  </si>
  <si>
    <t>常开/常闭 NO/NC</t>
  </si>
  <si>
    <t xml:space="preserve">-注意此处并不是要求填写所有使用的,而是驱动系统关键的继电器
- Note that this is not a requirement to list all used relays, but only the key relays of the TS.
</t>
  </si>
  <si>
    <t>SCII</t>
  </si>
  <si>
    <t>EVL250-HAD</t>
  </si>
  <si>
    <t>NO</t>
  </si>
  <si>
    <t>EVL250-HAD_AIR</t>
  </si>
  <si>
    <t>AIR</t>
  </si>
  <si>
    <t xml:space="preserve"> LEV50-12HD</t>
  </si>
  <si>
    <t>LEV50-12HD_预充电 Precharge</t>
  </si>
  <si>
    <t>预充电 Precharge</t>
  </si>
  <si>
    <t>Misensor</t>
  </si>
  <si>
    <t>HVR1B12</t>
  </si>
  <si>
    <t>NC</t>
  </si>
  <si>
    <t>HVR1B12_放电 Discharge</t>
  </si>
  <si>
    <t>放电 Discharge</t>
  </si>
  <si>
    <t>连接器/接插件 Connector</t>
  </si>
  <si>
    <r>
      <rPr>
        <sz val="11"/>
        <color theme="1"/>
        <rFont val="等线"/>
        <charset val="134"/>
        <scheme val="minor"/>
      </rPr>
      <t>导电面积 Size [mm</t>
    </r>
    <r>
      <rPr>
        <sz val="11"/>
        <color theme="1"/>
        <rFont val="等线"/>
        <charset val="134"/>
        <scheme val="minor"/>
      </rPr>
      <t>2]</t>
    </r>
  </si>
  <si>
    <t>- 注意HVD应当包括在此处
- HVD should be included here</t>
  </si>
  <si>
    <t>四川永贵公司</t>
  </si>
  <si>
    <t>YGC1052-EV-P2P</t>
  </si>
  <si>
    <t>HVD_HVD</t>
  </si>
  <si>
    <t>HVD</t>
  </si>
  <si>
    <t>国威通</t>
  </si>
  <si>
    <t>GE01-P008-35NNB-Y01</t>
  </si>
  <si>
    <t>电控壳体插头_电机控制器壳体</t>
  </si>
  <si>
    <t>电机控制器壳体</t>
  </si>
  <si>
    <t>Amphenol</t>
  </si>
  <si>
    <t>PL282X-301-35</t>
  </si>
  <si>
    <t>PL282X-301-35_电池箱主接插件</t>
  </si>
  <si>
    <t>电池箱主接插件</t>
  </si>
  <si>
    <t>RL00801-50</t>
  </si>
  <si>
    <t>RL00801-50_维护插头Maintenance plugs</t>
  </si>
  <si>
    <t>维护插头Maintenance plugs</t>
  </si>
  <si>
    <t>实际导电面积为35mm2，故此处填写35mm2</t>
  </si>
  <si>
    <t>RT06142SNHEC03</t>
  </si>
  <si>
    <t>充电机高压插头_其他驱动系统位置Other TS Connectors</t>
  </si>
  <si>
    <t>其他驱动系统位置Other TS Connectors</t>
  </si>
  <si>
    <t>充电机高压插头，是3mm2线转35mm2线，该线由充电机官方提供</t>
  </si>
  <si>
    <t>泰科</t>
  </si>
  <si>
    <t>DTM06-12S</t>
  </si>
  <si>
    <t>电控插头_电机控制器到电机</t>
  </si>
  <si>
    <t>该接插件仅有低压信号，规格书网址已修改，信息在Page3，导电面积为线导电面积</t>
  </si>
  <si>
    <t>ETA(埃塔)</t>
  </si>
  <si>
    <t xml:space="preserve">ETA3304-1
</t>
  </si>
  <si>
    <t>TSMP插座_其他驱动系统位置Other TS Connectors</t>
  </si>
  <si>
    <t>TSMP接插件，导电面积为线导电面积</t>
  </si>
  <si>
    <t>绝缘材料 Insulation</t>
  </si>
  <si>
    <t>厚度 Thickness [mm]</t>
  </si>
  <si>
    <t>介电强度 Dielectric strength [V/mm]</t>
  </si>
  <si>
    <t>绝缘电压等级 Insultation level [V]</t>
  </si>
  <si>
    <t>防火等级 Fireproof level</t>
  </si>
  <si>
    <t>注释 Comments</t>
  </si>
  <si>
    <t>- 如果有使用三防漆，应当包括在此处
- If conformal coating is used, it should be included here</t>
  </si>
  <si>
    <t>ITW</t>
  </si>
  <si>
    <t>FORMEX GK-17BK</t>
  </si>
  <si>
    <t>UL 94V-0</t>
  </si>
  <si>
    <t>GK系列规格_电池箱内壁</t>
  </si>
  <si>
    <t>电池箱内壁</t>
  </si>
  <si>
    <t>瑞阳绝缘材料</t>
  </si>
  <si>
    <t>SMC不饱和聚酯纤维增强片状模塑料</t>
  </si>
  <si>
    <t>FV0</t>
  </si>
  <si>
    <t>SMC绝缘_电芯上方和周围</t>
  </si>
  <si>
    <t>电芯上方和周围</t>
  </si>
  <si>
    <t>优必胜胶带(杭州)有限公司</t>
  </si>
  <si>
    <t>K25-30G(0.055M)KAPTON TAPE</t>
  </si>
  <si>
    <t>UL 94 V-0</t>
  </si>
  <si>
    <t>K25-30G(0.055M)KAPTON TAPE_高压线束接头</t>
  </si>
  <si>
    <t>高压线束接头</t>
  </si>
  <si>
    <t>使用位置：AIR与主熔断器、高压线缆外部。实际有效绝缘为FORMEX GK-17BK</t>
  </si>
  <si>
    <t>公牛</t>
  </si>
  <si>
    <t>pvc胶布</t>
  </si>
  <si>
    <t>pvc胶布_电池箱开孔边缘</t>
  </si>
  <si>
    <t>电池箱开孔边缘</t>
  </si>
  <si>
    <t>使用位置箱体开孔边缘，实际有效绝缘为FORMEX GK-17BK</t>
  </si>
  <si>
    <t>卡夫特</t>
  </si>
  <si>
    <t>K-5207</t>
  </si>
  <si>
    <t>导热胶_温度传感器与电芯极耳粘接处</t>
  </si>
  <si>
    <t>温度传感器与电芯极耳粘接处</t>
  </si>
  <si>
    <t xml:space="preserve">电池以外驱动系统原理图 Vehicle Tractive Schematics </t>
  </si>
  <si>
    <r>
      <rPr>
        <sz val="11"/>
        <color rgb="FF3F3F76"/>
        <rFont val="等线"/>
        <charset val="134"/>
        <scheme val="minor"/>
      </rPr>
      <t xml:space="preserve">电池箱内部原理图
</t>
    </r>
    <r>
      <rPr>
        <i/>
        <sz val="11"/>
        <color rgb="FF3F3F76"/>
        <rFont val="等线"/>
        <charset val="134"/>
        <scheme val="minor"/>
      </rPr>
      <t>请参考左图尺寸插入图片</t>
    </r>
    <r>
      <rPr>
        <sz val="11"/>
        <color rgb="FF3F3F76"/>
        <rFont val="等线"/>
        <charset val="134"/>
        <scheme val="minor"/>
      </rPr>
      <t xml:space="preserve">
Internal schematic diagram of the accumulator box
Please refer to the dimensions of the left diagram to insert the image.</t>
    </r>
  </si>
  <si>
    <t>补充内容 Additional comments</t>
  </si>
  <si>
    <t>能量计预留电压检测线插头型号（Molex 39299023）为官方说明书中信息</t>
  </si>
  <si>
    <t>电池箱内部原理图 Accumulator TS Schematic</t>
  </si>
  <si>
    <t>规则参考 Rules Ref</t>
  </si>
  <si>
    <t>展示电池箱以外驱动系统所有细节 Show details of all TS outside of accumulator</t>
  </si>
  <si>
    <t>电池箱内部驱动系统细节 Details of all TS circuits within accumulator</t>
  </si>
  <si>
    <t>电池箱被作为一个整体呈现(AIR除外) Accumulator is shown as a single element (without internal details)</t>
  </si>
  <si>
    <t>所有的线径都有标注 All wire gauges labeled</t>
  </si>
  <si>
    <t>EV 4.5.5</t>
  </si>
  <si>
    <t>所有的线径都有标注 All wire guages labeled</t>
  </si>
  <si>
    <t>所有的保险丝都有标注额定电流 All fuses are labeled with their ampacity</t>
  </si>
  <si>
    <t>所有的保险丝都有标注额定电流 All fuses labedled with ampacity</t>
  </si>
  <si>
    <r>
      <rPr>
        <sz val="11"/>
        <color theme="1"/>
        <rFont val="等线"/>
        <charset val="134"/>
        <scheme val="minor"/>
      </rPr>
      <t>保险丝距离电源侧线缆的距离(未保护线缆长度</t>
    </r>
    <r>
      <rPr>
        <sz val="11"/>
        <color theme="1"/>
        <rFont val="等线"/>
        <charset val="134"/>
        <scheme val="minor"/>
      </rPr>
      <t>）</t>
    </r>
    <r>
      <rPr>
        <sz val="11"/>
        <color theme="1"/>
        <rFont val="等线"/>
        <charset val="134"/>
        <scheme val="minor"/>
      </rPr>
      <t>Distance from fuses to positive power souces</t>
    </r>
  </si>
  <si>
    <t>保险丝位置应当对应其真实物理位置（壳体）Fuse locations represent physical location</t>
  </si>
  <si>
    <t>保险丝位置应当对应其真实物理位置 Fuse locations represent physical location</t>
  </si>
  <si>
    <t>EV 4.2</t>
  </si>
  <si>
    <t>驱动系统壳体 TS enclosures</t>
  </si>
  <si>
    <t>接插件标注有制造商/型号 Connectors labeled with Make/Model</t>
  </si>
  <si>
    <t>使用通用的原理图符号 Standard schematic symbols used</t>
  </si>
  <si>
    <t>文字放大后清晰 All text iis readable, zooming allowed</t>
  </si>
  <si>
    <t>EV 5.6</t>
  </si>
  <si>
    <t>AIRs</t>
  </si>
  <si>
    <t>EV 4.7</t>
  </si>
  <si>
    <t>TSMPs</t>
  </si>
  <si>
    <t>EV 5.4.4 - EV 5.4.5</t>
  </si>
  <si>
    <t>维护插头 Maintenance plugs</t>
  </si>
  <si>
    <t>电机控制器 Motor controllers</t>
  </si>
  <si>
    <t>电芯（电芯互联的部分可以简略）Cells (intercell connections may be abstracted)</t>
  </si>
  <si>
    <t>电机 Motors</t>
  </si>
  <si>
    <t>EV 5.4.8 - EV 5.4.10</t>
  </si>
  <si>
    <t>电池箱高压指示器 High voltage indicator</t>
  </si>
  <si>
    <t>EV 4.7.6</t>
  </si>
  <si>
    <t>TSMP没有熔断 TSMP not fused</t>
  </si>
  <si>
    <t>EV 5.7</t>
  </si>
  <si>
    <t>预充电回路 Precharge circuit</t>
  </si>
  <si>
    <t>EV 4.6</t>
  </si>
  <si>
    <t>数据记录仪 Energy Meter/Data Logger</t>
  </si>
  <si>
    <t>预充电回路过流保护 precharge circuit overcurrent protections</t>
  </si>
  <si>
    <t>EV 4.9</t>
  </si>
  <si>
    <t>放电回路 Discharge circuit</t>
  </si>
  <si>
    <t>EV 4.9.3</t>
  </si>
  <si>
    <t>放电回路未熔断 Discharge not fused</t>
  </si>
  <si>
    <t>EV 4.8</t>
  </si>
  <si>
    <t>至少在其中一副原理图中展示 Must shown on at least one schematic</t>
  </si>
  <si>
    <t>EV 6.4</t>
  </si>
  <si>
    <t>IMD</t>
  </si>
  <si>
    <t>模组连接关系 Segment-to-Segment Connection</t>
  </si>
  <si>
    <t>串联 Serial</t>
  </si>
  <si>
    <t>驱动系统额定电压 Nominal TS voltage</t>
  </si>
  <si>
    <t>电池单体数量 Total cells</t>
  </si>
  <si>
    <t>模组数据 Segement data</t>
  </si>
  <si>
    <t>BMS</t>
  </si>
  <si>
    <t>维护插头 Maintenance Plugs</t>
  </si>
  <si>
    <t>绝缘材料 Insulating Materials</t>
  </si>
  <si>
    <t>[全车]自制PCB高低压隔离 High and low voltage isolation in [all] PCBs</t>
  </si>
  <si>
    <t>补充说明 Additional Comments</t>
  </si>
  <si>
    <t>电芯串并关系 Cell connection order</t>
  </si>
  <si>
    <t>先串后并 Serial then parallel</t>
  </si>
  <si>
    <t>BMS拓扑 BMS Type</t>
  </si>
  <si>
    <t>分布式 Distributed</t>
  </si>
  <si>
    <t>接插件/连接器 Connector</t>
  </si>
  <si>
    <t>电芯及电池箱内壁之间绝缘材料 Between cells and accumulator</t>
  </si>
  <si>
    <t>全车是否有自制同时带高压和低压的PCB Does the entire vehicle contain any custom-made PCBs that handle both TS&amp;LVS?</t>
  </si>
  <si>
    <t>否 No</t>
  </si>
  <si>
    <t>展示所有同时包含高低压的PCB的爬电距离和电气间隙，若整车自制PCB没有同时存在TS&amp;LVS，则忽略本条 Displays creepage and clearance distances for all PCBs containing both TS and LVS</t>
  </si>
  <si>
    <t>分隔电芯与主保险丝和air的绝缘材料已在对应板块补充说明部分说明；温度传感器方案已改为使用导热胶与极耳直接接触；补充电压指示器的实际安装位置图片；各部分补充说明文字已修改</t>
  </si>
  <si>
    <t>模组编号 Segement</t>
  </si>
  <si>
    <t>并联数 Parallel cells</t>
  </si>
  <si>
    <t>串联数 Serial cells</t>
  </si>
  <si>
    <t>温度测点数量 Temp sensors</t>
  </si>
  <si>
    <t>电池箱编号 Accumulator number</t>
  </si>
  <si>
    <t>模组最大电压 Max Voltage[V]</t>
  </si>
  <si>
    <t>模组能量 Segement energy [MJ]</t>
  </si>
  <si>
    <t>BMS来源 BMS source</t>
  </si>
  <si>
    <t>供应商提供 From Suppliers</t>
  </si>
  <si>
    <t>额定电流 Ampacity</t>
  </si>
  <si>
    <t>电压等级 Voltage Rating</t>
  </si>
  <si>
    <t>驱动系统电压范围 Drive system voltage range</t>
  </si>
  <si>
    <t>300V-600V</t>
  </si>
  <si>
    <t>制造商 Vendor</t>
  </si>
  <si>
    <t>拓渝科技</t>
  </si>
  <si>
    <t>型号 Type</t>
  </si>
  <si>
    <t>TY-BMS2601</t>
  </si>
  <si>
    <t>对应保险丝 Fuse provides protections</t>
  </si>
  <si>
    <t>温度等级 Temperature Rating</t>
  </si>
  <si>
    <t>爬电距离计算值 Calculated creepage distance</t>
  </si>
  <si>
    <t>mm</t>
  </si>
  <si>
    <t>驱动系统到低压控制系统绝缘电压 Galvanic Isolation TS to LVS</t>
  </si>
  <si>
    <t>保险丝额定电流 Fuse ampacity</t>
  </si>
  <si>
    <t>电芯上方覆盖 On top of cells</t>
  </si>
  <si>
    <t>电气间隙计算值 Calculated electrical clearance</t>
  </si>
  <si>
    <t>模组间绝缘电压 Galvanic Isolation between segments</t>
  </si>
  <si>
    <t>是否三防胶覆盖 If covered with conformal coating</t>
  </si>
  <si>
    <t>隔离器件  Galvanic Isolation devices</t>
  </si>
  <si>
    <t>型号 Make/Model</t>
  </si>
  <si>
    <t>隔离器件说明书  Galvanic Isolation devices datasheets</t>
  </si>
  <si>
    <t>触点额定电压 Contactnoimal volatge</t>
  </si>
  <si>
    <t>Vdc</t>
  </si>
  <si>
    <t>AIR,主保险丝与电芯之间 Between AIRs and Cells</t>
  </si>
  <si>
    <t>电芯电压测量 Voltage Sense Leads</t>
  </si>
  <si>
    <t>最大分断电流 Max switching current</t>
  </si>
  <si>
    <t>最长采样线线缆长度 Max lead length</t>
  </si>
  <si>
    <t>cm</t>
  </si>
  <si>
    <t>额定电流 Max continuous current</t>
  </si>
  <si>
    <t>采样线过流保护器件型号 Sense lead overprotection device</t>
  </si>
  <si>
    <t>主保险丝 Main Fuse</t>
  </si>
  <si>
    <t>防火等级 Flammability Rating</t>
  </si>
  <si>
    <t>过流保护器件位置 Overcurrent protection device location</t>
  </si>
  <si>
    <t>BMS PCB</t>
  </si>
  <si>
    <t>其他位置说明</t>
  </si>
  <si>
    <t>额定电流 Max fuse ampacity</t>
  </si>
  <si>
    <t>过流保护电压等级 Overcurrent voltage rating</t>
  </si>
  <si>
    <t>额定电压 Main fuse voltage</t>
  </si>
  <si>
    <t>温度传感器</t>
  </si>
  <si>
    <t>温度传感器位置 Temp sensor location</t>
  </si>
  <si>
    <t>极耳 Cell tabs</t>
  </si>
  <si>
    <t xml:space="preserve">距离极耳距离 Distance to terminal </t>
  </si>
  <si>
    <t>单个测点测量的电芯数量 Cells sensed per sensor</t>
  </si>
  <si>
    <t>cells</t>
  </si>
  <si>
    <t>导热材料型号(如果有) Thermal contact material (if used)</t>
  </si>
  <si>
    <t>卡夫特K-5207</t>
  </si>
  <si>
    <t>导热材料说明书链接 Thermal contact material datasheet</t>
  </si>
  <si>
    <t>导热材料热导率 Thermal contact material conductivity</t>
  </si>
  <si>
    <t>2.5 ± 0.5</t>
  </si>
  <si>
    <r>
      <rPr>
        <sz val="11"/>
        <color theme="1"/>
        <rFont val="等线"/>
        <charset val="134"/>
        <scheme val="minor"/>
      </rPr>
      <t>W/(m</t>
    </r>
    <r>
      <rPr>
        <sz val="11"/>
        <color theme="1"/>
        <rFont val="等线"/>
        <charset val="134"/>
        <scheme val="minor"/>
      </rPr>
      <t>∙K)</t>
    </r>
  </si>
  <si>
    <t>导热材料厚度 Thermal contact material thickness</t>
  </si>
  <si>
    <t>温度测量覆盖率 Precentage of cells sensed</t>
  </si>
  <si>
    <t>%</t>
  </si>
  <si>
    <t>维护插头示意图/照片 Pictures of Maintenance Plugs</t>
  </si>
  <si>
    <t>极耳连接以及电芯固定示意图/照片 Picture of Cell Connections</t>
  </si>
  <si>
    <t>温度传感器布置图 Picture of Temperature Sensor Location</t>
  </si>
  <si>
    <t>主保险丝和AIR和电芯分隔 Picture of Fuse and AIR Separation from cells</t>
  </si>
  <si>
    <t>电芯与电池箱内壁的绝缘 Picture of Segment Insulation between Cell Terminal and Sides of Accumulator Container</t>
  </si>
  <si>
    <t>模组上方绝缘 Picture of Insulation on Top of Segment</t>
  </si>
  <si>
    <t xml:space="preserve">模组绝缘 Segment Insulation </t>
  </si>
  <si>
    <t>模组上方绝缘 Insulation on Top of Segment</t>
  </si>
  <si>
    <t>防止误插 Unique configurations of plugs</t>
  </si>
  <si>
    <t>如果极耳采用紧固件压接，紧固件防松 Positive locking if bolted connections</t>
  </si>
  <si>
    <t>温度传感器直接接触极耳或者总线 Sensor in direct contact with terminal or busbar</t>
  </si>
  <si>
    <t>主保险丝和AIR和电芯分隔 Fuse and AIR Separation from cells</t>
  </si>
  <si>
    <t>电芯和电池箱内部绝缘 Insulation between cells and accumulator</t>
  </si>
  <si>
    <t>模组上方绝缘  Insulation on Top of Segment</t>
  </si>
  <si>
    <t>非载流面绝缘 Non-conductive on un-necessary surface</t>
  </si>
  <si>
    <t>极耳不受机械负载 No mechanic load on cell tabs</t>
  </si>
  <si>
    <t>未直接接触但足够近 Distance from sensor to cell negative terminal sufficienly close</t>
  </si>
  <si>
    <t>安装不需要拆除电池箱部件  Accessible without additional desassembly</t>
  </si>
  <si>
    <t>电芯在各个方向有限位，且受力面没有过小 Positions limits on all directions, sufficient surface with load</t>
  </si>
  <si>
    <t>主保险丝及AIR与电芯模组、金属电池箱之间不以空气作为绝缘。其朝向电芯模组和金属箱体的暴露表面采用K25-30G聚酰亚胺绝缘胶带连续包覆，单层厚度0.055 mm，实际不少于3层，总厚度不小于0.165 mm；外侧另设置连续的Formex GK-17BK绝缘阻燃隔离层。上述材料覆盖可能接近电芯模组或金属箱体的带电端子及导电表面，并通过结构固定防止移位，使主保险丝和AIR与电池箱其余部分之间形成实体绝缘阻燃隔离。ABS结构件仅作为机械支撑和附加防护，不作为主要阻燃证明依据。</t>
  </si>
  <si>
    <t>EV 5.5.14</t>
  </si>
  <si>
    <t>每个电芯模组采用独立的刚性壳体进行机械隔离，模组壳体与金属隔板及电池箱体之间设置连续的Formex GK-17BK绝缘阻燃层。相邻模组之间由模组壳体、箱内隔板及Formex绝缘层形成实体隔离，绝缘结构覆盖可能接近电芯极耳、连接片及其他带电部件的位置，不以空气间隙作为唯一绝缘，从而防止模组之间以及模组与金属箱体之间发生短路或电弧。</t>
  </si>
  <si>
    <t>EV 5.4.6</t>
  </si>
  <si>
    <t>各模组顶部设置与模组壳体螺栓固定的刚性盖板，盖板下方连续铺设Formex GK-17BK绝缘阻燃层。顶部盖板及Formex绝缘层完整覆盖电芯极耳、连接片和其他可能裸露的带电部位，装配后不存在可使掉落零件或工具直接接触带电导体的开口，从而防止维护过程中因零件或工具掉落造成模组内部短路或意外电弧。</t>
  </si>
  <si>
    <t>主动锁紧/防松 Postive locking</t>
  </si>
  <si>
    <t>电芯受力面应当占该表面的80% Surface with load: &gt;= 80%</t>
  </si>
  <si>
    <t>Recommended</t>
  </si>
  <si>
    <t>温度传感器布置在能够代表电芯最高温度的负极极耳激光焊接区域，并沿大电流路径直接粘接在极耳焊接表面，同时避开与母线直接接触的端子位置。传感器采用卡夫特K-5207导热绝缘胶固定，装配后胶层厚度约0.4 mm，可形成稳定的直接热接触并防止传感器因振动发生位移。该导热胶导热系数为2.5±0.5 W/(m·K)、体积电阻率为1.0×10¹⁴ Ω·cm、击穿强度不低于15 kV/mm、阻燃等级为UL94 V-0。按0.4 mm胶层计算的理论耐压约为6 kV，高于车辆365.4 V最大TS电压。</t>
  </si>
  <si>
    <t>EV 5.8.4</t>
  </si>
  <si>
    <t>维护插头采用带机械防错键位和主动锁扣的绝缘连接器，分别设置在模组串联连接位置。通过模组壳体限位结构、插接方向及高压线束长度限制实现唯一匹配，避免不同位置的插头交叉误插。插头非载流表面均由绝缘壳体覆盖；电池箱开盖后，无需拆除模组或其他电池箱部件即可徒手拆装。插头完全插合后由机械锁扣主动锁紧，插合和断开状态可目视确认。移除维护插头后，电池箱内部模组串联回路及串联首、末端均实现电气分离。</t>
  </si>
  <si>
    <t>电芯极耳采用激光焊接与连接片形成永久性导电连接，不采用极耳螺栓压紧连接。蓝色刚性焊接支撑板以及模组端部、侧面和底部限位结构共同承受机械载荷，并限制电芯在纵向、侧向及垂直方向的移动；极耳仅用于导电，不作为结构承载件，且不会被压入电芯本体。每个软包电芯之间均设置刚性支撑板，不属于无刚性隔板分隔的直接堆叠结构。</t>
  </si>
  <si>
    <t>EV 5.5.10 - EV 5.5.12</t>
  </si>
  <si>
    <t>电池箱高压指示器原理图 Accumulator HV indicator</t>
  </si>
  <si>
    <t>备用电芯(含供电检检查等)存放容器，若没有备用电芯则忽略本条 Storage container for spare battery cells (including provisions for inspection, etc.); if no spare cells are present, disregard this item.</t>
  </si>
  <si>
    <t>备用电芯存放容器 Spare Battery Storage Container</t>
  </si>
  <si>
    <t>高压指示器来源 Indicator source</t>
  </si>
  <si>
    <t>供应商采购 From suppliers</t>
  </si>
  <si>
    <t>是否有备用电芯（含用于电检检查的电芯）Whether there are spare cells (including cells used for electrical inspection)</t>
  </si>
  <si>
    <t>电压传感器绝缘电压  Galvanic Isolation (Vdc)</t>
  </si>
  <si>
    <t>2000Vdc</t>
  </si>
  <si>
    <t>备用电芯必须存放在阻燃容器中 Spare cells must be stored in a fire retardant container</t>
  </si>
  <si>
    <t>电压传感器说明书超链接 Volatge sense device datasheet</t>
  </si>
  <si>
    <t>高压指示器-电压传感器</t>
  </si>
  <si>
    <t>备用电芯被牢固固定 The spare cell is securely fastened</t>
  </si>
  <si>
    <t>原理图清晰可读 Schematic clear and readable</t>
  </si>
  <si>
    <t>容器有明显标识 Containers are clearly labeled</t>
  </si>
  <si>
    <t>标注所有的驱动系统元器件（包括接插件）的型号和额定电压 All TS components Noimal Voltages</t>
  </si>
  <si>
    <t>隔离器件的说明书超链接 Datasheet of TS/LVS isolation datasee</t>
  </si>
  <si>
    <t>EV 5.3.3
EV 5.3.4</t>
  </si>
  <si>
    <t>标注驱动系统电阻的额定功率(如果有) Noimal power of TS resistor (if exists)</t>
  </si>
  <si>
    <t>驱动系统电路保险丝型号 TS fuses</t>
  </si>
  <si>
    <t>如果阈值是固定的，给出计算过程（下方补充说明）If the threshold is fixed, give caculation below</t>
  </si>
  <si>
    <t>补充说明 Additional comments</t>
  </si>
  <si>
    <t>电压表方案直接接入AIR输出端，纯硬件回路，无需软件，独立由TS供电，满足EV 5.4.10；电压表为连续模拟量显示，不存在EV 5.4.8仅针对红色LED指示灯规定的触发阈值，故无需提供阈值计算。高压指示器 91C4 表头支路与 BD100 电压传感器支路均由 PV-2A10F 1000V/2A 保险丝保护；FWH-60B 为电池箱 HV+ 主回路上游主熔断器（继电器已省略）。
电池组由84节单体串联组成。电芯规格书给出的单体交流内阻为≤1.5 mΩ（1 kHz）。按1.5 mΩ作为短路电流量级估算值，仅考虑电芯内阻时，电池组等效内阻约为0.126 Ω，对应短路电流约2.90 kA。由于规格书给出的1.5 mΩ为交流内阻上限，该计算仅用于短路电流量级校核，不能作为最大可能短路电流的严格上界。所选FWH-60B/FWP-60C熔断器额定分断能力均为50 kA，明显高于上述估算电流水平。</t>
  </si>
  <si>
    <t>是否有备用电池箱 Whether exist spare accumulator</t>
  </si>
  <si>
    <t>说明：如果没有备用电池箱或备用电池箱采用完全相同的设计，此页可忽略
Note: If there is no spare accumulator or the spare accumulator has the same design, this page can be ignored.</t>
  </si>
  <si>
    <t>Fill upon request 需要时填写</t>
  </si>
  <si>
    <t>驱动系统测量点 TSMP</t>
  </si>
  <si>
    <t>规则参考 Rules ref</t>
  </si>
  <si>
    <t>电阻型号 Resistor Type</t>
  </si>
  <si>
    <t>EV 5.7
EV 4.9
EV 4.7</t>
  </si>
  <si>
    <t>并联数 # parallel</t>
  </si>
  <si>
    <t>串联数 # serial</t>
  </si>
  <si>
    <t>总阻值 Resistance</t>
  </si>
  <si>
    <t>Ohms</t>
  </si>
  <si>
    <t>额定功率 Cont power</t>
  </si>
  <si>
    <t>W</t>
  </si>
  <si>
    <t>瞬时持续功率(5s) Power @ 5s</t>
  </si>
  <si>
    <t>额定电压 Rated Voltage</t>
  </si>
  <si>
    <t>放电峰值功率 Peak Power</t>
  </si>
  <si>
    <t>短路功率 Power if short circuit</t>
  </si>
  <si>
    <t>总线电容 Bus Capacitance</t>
  </si>
  <si>
    <t>mF</t>
  </si>
  <si>
    <t>放电峰值电流 Peak Current</t>
  </si>
  <si>
    <t>充电截止条件 End of precharge</t>
  </si>
  <si>
    <t>放电时间 Discharge time</t>
  </si>
  <si>
    <t>s</t>
  </si>
  <si>
    <t>峰值功率 Peak Power</t>
  </si>
  <si>
    <t>放电继电器 Relay</t>
  </si>
  <si>
    <t>峰值电流 Peak Current</t>
  </si>
  <si>
    <t>继电器触点额定电压  Contacts rated volatge</t>
  </si>
  <si>
    <t>充电到95% Time to 95%</t>
  </si>
  <si>
    <t>sec</t>
  </si>
  <si>
    <t>继电器触点额定电流 Contact rated current</t>
  </si>
  <si>
    <t>预充电能量95% Energy on res to 95%</t>
  </si>
  <si>
    <t>J</t>
  </si>
  <si>
    <t>继电器断电状态 Normal State</t>
  </si>
  <si>
    <t>平均功率 average power</t>
  </si>
  <si>
    <t>预充电继电器 Relay</t>
  </si>
  <si>
    <t>继电器触点额定电压 Contacts rated volatge</t>
  </si>
  <si>
    <t>预充电阻 RXG24 75W 3000Ω-J 按规格书具备 10 倍额定功率 5 s 的过载能力，即 750 W @ 5 s。本车预充峰值功率为 57.1 W，低于连续额定功率 75 W，并安装热阻 ≤ 3.0 ℃/W 的铝散热器。</t>
  </si>
  <si>
    <t>充电机 Charger</t>
  </si>
  <si>
    <t>补充说明 Additioanl Comments</t>
  </si>
  <si>
    <t>长春浩泰科技有限公司</t>
  </si>
  <si>
    <t>更新了充电驱动回路原理图</t>
  </si>
  <si>
    <t>EP-2308 3.3kW Charger</t>
  </si>
  <si>
    <t>说明书超链接 Datasheet link</t>
  </si>
  <si>
    <t>3.3KW FSE Charger Specification 2022</t>
  </si>
  <si>
    <t>输入电压(市电或工业电) Input Voltage</t>
  </si>
  <si>
    <t>90-265</t>
  </si>
  <si>
    <t>Vac</t>
  </si>
  <si>
    <t>输入电流 Input Current</t>
  </si>
  <si>
    <t>输出电压(定值或范围) Output Voltage</t>
  </si>
  <si>
    <t>220~440V</t>
  </si>
  <si>
    <t>输出电流 Output Current</t>
  </si>
  <si>
    <t>充电机额定功率 Rated Power</t>
  </si>
  <si>
    <t>kW</t>
  </si>
  <si>
    <t>充电驱动系统回路 Charging Tractive System Schematic</t>
  </si>
  <si>
    <t>充电安全回路 Charging Shutdown Circuit</t>
  </si>
  <si>
    <t>电池箱小推车 Accumulator Handcart</t>
  </si>
  <si>
    <t>主保险丝（直流） Main Fuse on DC bus</t>
  </si>
  <si>
    <t>IMD控制的继电器 IMD Controlled powerstage</t>
  </si>
  <si>
    <t>EV 8.4.7</t>
  </si>
  <si>
    <t>垂直防火墙及高度要求满足 Firewall Height and coverage</t>
  </si>
  <si>
    <t>接插件及制造商/型号 Connector with Make/Type</t>
  </si>
  <si>
    <t>AMS控制的继电器 AMS Controlled powerstage</t>
  </si>
  <si>
    <t>EV 8.4.3</t>
  </si>
  <si>
    <t>有刹车，进行一定操作才能被推动 Equipped with a brake and can only be pushed after specific operations are performed.</t>
  </si>
  <si>
    <t>标注线径 Wire Gauge</t>
  </si>
  <si>
    <t>充电急停开关 Shutdown buttons</t>
  </si>
  <si>
    <t>EV 8.4.9</t>
  </si>
  <si>
    <t>电池箱不比手推车突出 The accumulator does not protrude beyond the handcart.</t>
  </si>
  <si>
    <t>AIRs线圈 AIRs coils</t>
  </si>
  <si>
    <t>EV 8.4.10</t>
  </si>
  <si>
    <t>防冲击措施 Anti-shock</t>
  </si>
  <si>
    <t>充电接插件互锁 Interlock of charging connector</t>
  </si>
  <si>
    <t>EV 8.4.11</t>
  </si>
  <si>
    <t>防火墙上有信息标签 There is an information label on the firewall.</t>
  </si>
  <si>
    <t>充电安全的其他控制继电器(安全回路以外) Other powerstages</t>
  </si>
  <si>
    <t>手推车配置的垂直防火墙总高度为750mm，确保其高出电池箱及把手顶端300mm以上，能够为人员提供充分的物理隔离与防护；防火墙的连接采用高强度螺栓穿孔固定方式，并利用FORMEX对螺栓连接部位实施绝缘防火处理，既保证了结构连接的刚性，也兼顾了电气安全与热稳定性。推车采用了常闭式联动刹车机构，确保满载状态下仅在操作人员持续施力握持把手时方可释放，松手后即自动锁止，有效防止在无人操作时发生意外溜车或滑坡。电池箱通过螺栓固定于推车底盘框架内，四周均未超出手推车的俯视投影面积，不产生任何突出部分；同时箱体底部专门设置了防冲击缓冲措施，能够在移动过程中有效隔离路面颠簸与震动，保护电池箱免受机械冲击损伤。此外，防火墙正面高对比度区域专门预留了信息标签的安装位置，标签内容将按规定涵盖大学名称、赛车车号及电气安全员联系方式，且标签安装高度充分考虑赛场内人员的正常视认角度，满足了规则中对信息提示及可视性的相关要求。</t>
  </si>
  <si>
    <t>已将充电驱动系统回路的安全回路补齐与右图一致，反馈问题的充电机侧高压插头互锁已使用红色虚线框标出</t>
  </si>
  <si>
    <r>
      <rPr>
        <sz val="11"/>
        <color rgb="FFFF0000"/>
        <rFont val="等线"/>
        <charset val="134"/>
        <scheme val="minor"/>
      </rPr>
      <t>已使用红色字体标注高压插头互锁处。</t>
    </r>
    <r>
      <rPr>
        <sz val="11"/>
        <rFont val="等线"/>
        <charset val="134"/>
        <scheme val="minor"/>
      </rPr>
      <t>当 IMD 或 AMS 断开充电安全回路后，K_IMD/K_AMS 失电，充电机输出和 AIR 线圈控制均被切断；故障清除后必须通过 reset 手动复位后才能再次充电。</t>
    </r>
  </si>
  <si>
    <t>状态 status</t>
  </si>
  <si>
    <t>APPS传感器输出类型 Type of APPS sensor output</t>
  </si>
  <si>
    <t>模拟 analog</t>
  </si>
  <si>
    <t>影响扭矩输出路径检查 Torque Control Path Security Checks</t>
  </si>
  <si>
    <t>APPS传感器说明书超连接 APPS datasheet</t>
  </si>
  <si>
    <t>APPS 传感器传递函数 APPS transfer function</t>
  </si>
  <si>
    <t>起点 Source device</t>
  </si>
  <si>
    <t>终点 Destination device</t>
  </si>
  <si>
    <t>通讯方式
communication</t>
  </si>
  <si>
    <t>冗余保护
Redundant</t>
  </si>
  <si>
    <t>超程保护
Out of range</t>
  </si>
  <si>
    <t>相关性保护
Correlation</t>
  </si>
  <si>
    <t>校验和
Checksum</t>
  </si>
  <si>
    <t>超时保护
Timeout</t>
  </si>
  <si>
    <t>其他
Other</t>
  </si>
  <si>
    <t>补充说明 Additional comment</t>
  </si>
  <si>
    <t>T 12.6.9</t>
  </si>
  <si>
    <t>传感器行程 Sensor travel</t>
  </si>
  <si>
    <t>APPS1输出Output [V]</t>
  </si>
  <si>
    <t>APPS2输出 Output[V]</t>
  </si>
  <si>
    <t>APPS</t>
  </si>
  <si>
    <t>整车控制器节点(VCU)</t>
  </si>
  <si>
    <t>模拟</t>
  </si>
  <si>
    <t>电机控制器(MCU)</t>
  </si>
  <si>
    <t>数字</t>
  </si>
  <si>
    <t>除0%行程处以外，禁止传递函数相交 No crossing except at 0%</t>
  </si>
  <si>
    <t>BSPD</t>
  </si>
  <si>
    <t>T 12.6</t>
  </si>
  <si>
    <t>Bender IR155-3204</t>
  </si>
  <si>
    <t>电流传感器型号 Current Sensor Type</t>
  </si>
  <si>
    <t>HRI-36</t>
  </si>
  <si>
    <t>触发阈值 Threshold</t>
  </si>
  <si>
    <t>kΩ</t>
  </si>
  <si>
    <t xml:space="preserve">电流传感器说明书链接 Current Sensor datasheet </t>
  </si>
  <si>
    <t>接地线1接地位置 Location of grounding measurement 1</t>
  </si>
  <si>
    <t>电池箱体内部接地点</t>
  </si>
  <si>
    <t>设定阈值电流(驱动系统) Trip Current (TS)</t>
  </si>
  <si>
    <t>接地线2接地位置 Location of grounding measurement 2</t>
  </si>
  <si>
    <t>主环</t>
  </si>
  <si>
    <t>传感器输出电压@阈值电流 Voltage Output of Sensor@Trip current</t>
  </si>
  <si>
    <t>驱动系统测点物理位置</t>
  </si>
  <si>
    <t>右侧面板主开关下侧</t>
  </si>
  <si>
    <t>传感器测量精度@阈值电流 Accuracy@Trip current</t>
  </si>
  <si>
    <t>TSAL</t>
  </si>
  <si>
    <t>TSAL模块分布架构 TSAL Module Distributed Architecture</t>
  </si>
  <si>
    <t>TSAL红灯信号处理和驱动电路
TSAL Red Light Signal Processing and Driving Circuit</t>
  </si>
  <si>
    <t>TSAL通用 - 电压测量原理图，采购传感器无需填写
TSAL General - Schematic on voltage measurement, N/A if use purchased sensor</t>
  </si>
  <si>
    <t>安全回路原理图 Shutdown Circuit Schematic</t>
  </si>
  <si>
    <t>BSPD原理图 BSPD schematic</t>
  </si>
  <si>
    <t>TSAL - 分布 TSAL component distribuition</t>
  </si>
  <si>
    <t>TSAL红灯部分电路 TSAL circuit on Red Lights</t>
  </si>
  <si>
    <t>补充说明-2 additional comment 2</t>
  </si>
  <si>
    <t>继电器检测电路必须位于电池箱内部,禁止将辅助触点/电压测量线引出 TSAL relay status detecion must be within the Accumulator, aux contacts/aux volatge not wiring out</t>
  </si>
  <si>
    <t>电压检测器件来源 Source of voltage sensors</t>
  </si>
  <si>
    <t>供应商 purchased</t>
  </si>
  <si>
    <t>电压传感器采用1～5 V输出，对应TS电压0～500 V。传感器信号经板内1:1分压后，比较器输入范围为0.5～2.5 V，其传递关系为：Vcmp = 0.5 + 0.004 × VTS。当TS电压为60 VDC时，传感器输出约1.48 V，比较器输入约0.740 V。因此，红灯电压判断参考值设计为约0.74 V；现有分压网络的标称参考电压约为0.743 V。最终翻转点应结合电压传感器误差、电阻容差和比较器输入失调，通过实车电路台架校准，保证TS电压达到60 VDC时红灯已经可靠触发，并记录实际触发电压。</t>
  </si>
  <si>
    <t>T 12.3, EV 6.2</t>
  </si>
  <si>
    <t>LVMS</t>
  </si>
  <si>
    <t>BSPD电流传感器输入短路/短路保护 BSPD Current Sensor input open/short protection</t>
  </si>
  <si>
    <t>注明各个部分位于的实际壳体及系统 Physical locations of all TS components enclosures</t>
  </si>
  <si>
    <t>电压传感器绝缘电压 Galvanic Isolation level (V)</t>
  </si>
  <si>
    <t>T 12.2, EV 6.2</t>
  </si>
  <si>
    <t>TSMS</t>
  </si>
  <si>
    <t>BSPD制动传感器输入短路/短路保护 BSPD Brake Sensor input open/short protection</t>
  </si>
  <si>
    <t>壳体外信号线注明信号类型(数字,模拟) The type of signal outside enclosures (digital , analog)</t>
  </si>
  <si>
    <t>电压传感器说明书超链接 Sensor datasheet</t>
  </si>
  <si>
    <t>BD100系列</t>
  </si>
  <si>
    <t>T 12.4, EV 6..3</t>
  </si>
  <si>
    <t>2x侧面急停 2x shutdown buttons on both sides</t>
  </si>
  <si>
    <t xml:space="preserve">自动复位计时部分符合规则要求 Auto-reset timer settings </t>
  </si>
  <si>
    <t>注明锁存逻辑的位置 Position of the latching logic</t>
  </si>
  <si>
    <t>原理图清晰可读 Schematic readable</t>
  </si>
  <si>
    <t>驾驶舱急停 Cockpit shutdown button</t>
  </si>
  <si>
    <t>安全回路继电器 Shutdown circuit powerstage</t>
  </si>
  <si>
    <t>禁止在壳体外出现无过流保护的驱动系统采样线段落（注明保险丝的物理位置）No TS volatge detection wires outside enclosures if not protected by fuses</t>
  </si>
  <si>
    <t>标注所有的驱动系统元器件（包括接插件)的型号和额定电压 Type and rated volatge of all TS components</t>
  </si>
  <si>
    <t>T 7.3</t>
  </si>
  <si>
    <t>制动超程开关 Brake Over Travel Switch (BOTS)</t>
  </si>
  <si>
    <t>隔离器件的说明书超链接 Datasheet of galvanic devices</t>
  </si>
  <si>
    <t>T 12.5</t>
  </si>
  <si>
    <t>惯性开关 Inertia Switch</t>
  </si>
  <si>
    <t>电流传感器输入保护： 电流传感器信号经10kΩ上拉电阻接入比较器，断路时输入被拉高至5V，短路到地时输入为0V，两种故障均超出正常工作范围，比较器输出异常，触发安全回路断开，符合T 12.10.2要求。
制动传感器输入保护： 四路油压传感器信号（OIL1~OIL4）经10kΩ上拉电阻接入LM339四路比较器，断路时上拉至5V，短路到地时拉低至0V，均超出有效信号范围，触发保护，符合T 12.10.2要求。
延时计时设置： 采用LM555定时器实现500ms触发确认延时（T 12.6.2）及10秒以上自动复位延时（T 12.6.1）。触发条件消失并持续10秒以上后，BSPD可自行复位，安全回路重新闭合。</t>
  </si>
  <si>
    <t>已标注保险丝位置</t>
  </si>
  <si>
    <t>EV 4.10</t>
  </si>
  <si>
    <t>标注驱动系统电阻的额定功率(如果有) Rated power of TS resistors, if used</t>
  </si>
  <si>
    <t>EV 6.1.6</t>
  </si>
  <si>
    <t>电池管理系统控制的继电器 AMS controlled powerstage</t>
  </si>
  <si>
    <t>驱动系统电路保险丝型号 Type of TS fuses</t>
  </si>
  <si>
    <t>IMD控制的继电器 IMD controlled powerstage</t>
  </si>
  <si>
    <t>保险丝额定电压 Rated Voltage of the fuse</t>
  </si>
  <si>
    <t>如果阈值是固定的，给出计算过程（右侧补充说明-2）IF volatge threshold is not adjustable, please give the cacualtion on additional comment -2</t>
  </si>
  <si>
    <t>EV 4.5.10</t>
  </si>
  <si>
    <t>HVD互锁 HVD Interlock</t>
  </si>
  <si>
    <t>电压检测结果之间不存在任何可靠性检查 No plausibility check among volatage detections</t>
  </si>
  <si>
    <t>EV 6.1.9</t>
  </si>
  <si>
    <t>IMD, AMS, BSPD的继电器是相互独立的 IMD,AMS and BSPD have independent powerstages</t>
  </si>
  <si>
    <t>闪烁频率设定电路 Flashing frequency settings</t>
  </si>
  <si>
    <t>EV 4.4.3</t>
  </si>
  <si>
    <t>轮边互锁 Outboard wheel motor interlocks (if exists)</t>
  </si>
  <si>
    <t>TSAL - 总体要求 General</t>
  </si>
  <si>
    <t>T 12.7</t>
  </si>
  <si>
    <t>低压电池 LVS battery</t>
  </si>
  <si>
    <t>所有的原理图合并后需要满足下述要求 The schematics jointly shows</t>
  </si>
  <si>
    <t>TSAL绿灯继电器状态检测和信号处理电路
TSAL Green Light Relay Status Detection and Signal Processing Circuit</t>
  </si>
  <si>
    <t>TSAL通用-锁存逻辑
TSAL general - latching logic</t>
  </si>
  <si>
    <t>低压系统保险丝 LVS fuse</t>
  </si>
  <si>
    <t>所有逻辑实现必须是不可编程的纯硬件电路 Non-programmable logic based on hardwares</t>
  </si>
  <si>
    <t>标注线径 Wiring gauge</t>
  </si>
  <si>
    <t>绿灯和红灯必须可以同时亮起（禁止电路存在二元选择的逻辑）</t>
  </si>
  <si>
    <t>预充电继电器 Precharge relay coil</t>
  </si>
  <si>
    <t>EV 6.1.3</t>
  </si>
  <si>
    <t>主正线圈 AIR+ coil</t>
  </si>
  <si>
    <t>主负线圈 AIR- coil</t>
  </si>
  <si>
    <t>TSAL - 真值表自查 Truth Table</t>
  </si>
  <si>
    <t>放电继电器线圈 Discharge relay coil</t>
  </si>
  <si>
    <t>请根据车队的设计填写TSAL的状态，在LVS供电的情况下 Based on TSAL design, with LVS power on</t>
  </si>
  <si>
    <t>EV 6.1.4</t>
  </si>
  <si>
    <t>TSMS是最后一个开关(互锁除外) TSMS is the last switch (except for interlocks)</t>
  </si>
  <si>
    <t>场景 Scenerios</t>
  </si>
  <si>
    <t>绿灯 Green</t>
  </si>
  <si>
    <t>红灯 Red</t>
  </si>
  <si>
    <t>LVMS是第一个开关 LVMS is the first switch</t>
  </si>
  <si>
    <t>HVD移除就进行上电，预充电开始 Start Precharge without HVD on</t>
  </si>
  <si>
    <t>熄灭 OFF</t>
  </si>
  <si>
    <t>使用通用的原理图符号 Proper electrical schematic symbols</t>
  </si>
  <si>
    <t>绿灯电压检测线开路，但是未开始进行上电操作 Green light voltage detection open, but not activite TS</t>
  </si>
  <si>
    <t>常亮 ON</t>
  </si>
  <si>
    <t>图片高清 Readable with zooming</t>
  </si>
  <si>
    <t>从高压壳体中引出，传输测量结果的低压线开路，但是未开始上电 LVS signal presenting status from TS enclosres open,  but not activite TS</t>
  </si>
  <si>
    <t>EV 4.11.2</t>
  </si>
  <si>
    <t>闭合任何一个开关都不能（再）激活驱动系统 Closing any switch will not (re)activate TS</t>
  </si>
  <si>
    <t>未上电时，由于快速推动车辆，电机控制器出现了超过60V的浪涌电压 When AIRs are open there are &gt;60V volatge on motor controllers because of pushing the car too fast</t>
  </si>
  <si>
    <t>闪烁 Flashing</t>
  </si>
  <si>
    <t>高压壳体外的高压接插件互锁 Interlocks on TS connectors outside of an enclosure</t>
  </si>
  <si>
    <t>电机控制器内高压检测线开路，开始上电 Activate TS when voltage detection in Motor controller open</t>
  </si>
  <si>
    <t>·未上电时，传输绿灯状态的低压SCS信号出现短路或者开路 When AIRs are open, the LVS SCS signal with green light information is short or open</t>
  </si>
  <si>
    <t>高压壳体外的连接器仅有HVD和电池箱Amphenol插头，其对应互锁处已使用红虚线框标出；同时已文字说明BMS控制驱动系统激活逻辑</t>
  </si>
  <si>
    <t>EV 6.1</t>
  </si>
  <si>
    <t>轮边电机互锁保护 Interlocks of outboard motor</t>
  </si>
  <si>
    <t>AMS/IMD控制的继电器的锁存原理图 AMS/IMD controlled powerstage latching schematics</t>
  </si>
  <si>
    <t>TSAL继电器状态检测电路和绿灯逻辑 TSAL green light - status detections and logic</t>
  </si>
  <si>
    <t>TSAL锁存逻辑 TSAL latching logic</t>
  </si>
  <si>
    <t>AIRs继电器真实状态测量方式 Method of AIR status detections</t>
  </si>
  <si>
    <t>辅助触点 Auxiliary Contacts</t>
  </si>
  <si>
    <t>TSAL绿灯部分存在锁存逻辑 TSALgreen light latch logic</t>
  </si>
  <si>
    <t>AIR型号 AIR Type</t>
  </si>
  <si>
    <r>
      <rPr>
        <sz val="11"/>
        <color theme="1"/>
        <rFont val="等线"/>
        <charset val="134"/>
        <scheme val="minor"/>
      </rPr>
      <t>TSAL红灯部分</t>
    </r>
    <r>
      <rPr>
        <b/>
        <sz val="11"/>
        <color theme="1"/>
        <rFont val="等线"/>
        <charset val="134"/>
        <scheme val="minor"/>
      </rPr>
      <t>不</t>
    </r>
    <r>
      <rPr>
        <sz val="11"/>
        <color theme="1"/>
        <rFont val="等线"/>
        <charset val="134"/>
        <scheme val="minor"/>
      </rPr>
      <t>存在锁存逻辑 No TSAL red light latch logic</t>
    </r>
  </si>
  <si>
    <t>AIR说明书超连接 AIR Datasheet Hyperlink</t>
  </si>
  <si>
    <t>锁存仅能通过重新上电进行重置 Reset by powercycle only</t>
  </si>
  <si>
    <t>辅助触点存在 Auxiliary Contacts exist</t>
  </si>
  <si>
    <t>预充电继电器真实状态测量方式 Method of Precharge relay status detections</t>
  </si>
  <si>
    <t>预充电继电器型号 Precharge relay type</t>
  </si>
  <si>
    <t>预充电继电器说明书超连接 Precharge relay datasheet</t>
  </si>
  <si>
    <t>其他测量原理展示明确 Methods (Others) clearly shown</t>
  </si>
  <si>
    <t>所有驱动系统器件型号，额定电压均有标注，电阻元器件额定功率有标注
Type and rated volatge of all TS components, rated power with TS resistors</t>
  </si>
  <si>
    <t>存在AIR的闭合意图检测 Detections of AIR intentions</t>
  </si>
  <si>
    <t>存在继电器闭合意图和实际状态的可靠性检查，不可靠将导致绿灯熄灭
 Plausibility check between intentions and actual status, which turn off the green light when inplausible</t>
  </si>
  <si>
    <t>购买传感器 Purchased</t>
  </si>
  <si>
    <t>电压传感器绝缘电压(V)  Galvanic Isolation level</t>
  </si>
  <si>
    <t>标注驱动系统电阻的额定功率(如果有) Rated Power of all TS resistors if used</t>
  </si>
  <si>
    <t>使用轮边电机？ If outboard motors are used</t>
  </si>
  <si>
    <t>EV 6.1.6
EV 6.1.7
EV 6.1.9
EV 6.1.11</t>
  </si>
  <si>
    <t>继电器触点为常开 Powerstage status is open when no power</t>
  </si>
  <si>
    <t>互锁线沿悬架布置(其中一根杆即可）Interlock wiring alongside with one of the suspension bars</t>
  </si>
  <si>
    <t>锁存原理明确 Latch methods clear</t>
  </si>
  <si>
    <t>互锁线沿驱动系统线缆布置 Interlock wiring alongside with TS wires</t>
  </si>
  <si>
    <t>复位方式说明明确 Reset methods clear</t>
  </si>
  <si>
    <t>电压测量部分，如果阈值是固定的，给出计算过程（右侧补充说明-2） IF volatge threshold is not adjustable, please give the cacualtion on additional comment -2</t>
  </si>
  <si>
    <t>存在继电器闭合意图和测量电压的可靠性检查，不可靠将导致绿灯熄灭  Plausibility check between intentions and actual TS voltage , which turn off the green light when inplausible</t>
  </si>
  <si>
    <t>整车驱动架构设计 Vehicle Drive Architecture Design</t>
  </si>
  <si>
    <t>前轮驱动状态 Front Axle Drive State</t>
  </si>
  <si>
    <t>无驱动 Undriven</t>
  </si>
  <si>
    <t>后轮驱动状态 Rear Axle Drive State</t>
  </si>
  <si>
    <t>单电机驱动 Single‑Motor Drive</t>
  </si>
  <si>
    <t>所使用的电机控制器种类 Types of motor controllers used</t>
  </si>
  <si>
    <t>所使用的电机种类 Types of motors used</t>
  </si>
  <si>
    <t>电机控制器 Motor Controller</t>
  </si>
  <si>
    <t>电机控制器2 Motor Controller2</t>
  </si>
  <si>
    <t>电机2 Motors 2</t>
  </si>
  <si>
    <t>精进电动</t>
  </si>
  <si>
    <t>单体式HVP3-600</t>
  </si>
  <si>
    <t>SD154-TZ154XS201D8</t>
  </si>
  <si>
    <t>说明书超连接 Datasheet</t>
  </si>
  <si>
    <t>说明书超链接 Datasheet hyperlink</t>
  </si>
  <si>
    <t>高低压系统绝缘电压  Galvanic Isolation voltage</t>
  </si>
  <si>
    <t>低压电池 LVS Battery</t>
  </si>
  <si>
    <t>能量计安装位置CAD/渲染图 Energy Meter Location</t>
  </si>
  <si>
    <t>HVD位置及与包络面的关系 HVD location and its relations with the envelop</t>
  </si>
  <si>
    <t>低压电池位置CAD/渲染图  LVS Battery Location</t>
  </si>
  <si>
    <t>自制低压锂电池原理图 Schematic Diagram for a Homemade Low-Voltage Lithium Battery</t>
  </si>
  <si>
    <t>HVD安装位置CAD/渲染图 HVD Location CAD/renderings</t>
  </si>
  <si>
    <t>锂电池低压电池电芯电压温度采样</t>
  </si>
  <si>
    <t>能量计位置 Location of Energy Meter</t>
  </si>
  <si>
    <t>HVD位于包络面内 HVD inside rollover envelop</t>
  </si>
  <si>
    <t>低压电池布置位置符合规则要求 Location Rules complicant</t>
  </si>
  <si>
    <t>低压电池管理系统来源  LVS BMS source</t>
  </si>
  <si>
    <t>补充说明 Additional Comment</t>
  </si>
  <si>
    <t>HVD和空接插件外观不同 HVD and dummy connector appearance not same</t>
  </si>
  <si>
    <t>低压电池说明 LVS Battery</t>
  </si>
  <si>
    <t>低压电池管理系统型号 BMS Type number</t>
  </si>
  <si>
    <t>壳体选用3mm厚阻燃级工程塑料（ABS）注塑成型，满足机械强度与阻燃防护要求；壳体内部全面铺设FORMEX绝缘阻燃材料作为内衬隔离层，将壳体内壁与高压导体、功率模块及能量计组件进行二次电气与热隔离，有效防止高压绝缘失效或故障拉弧。能量计（数据记录仪）在配电盒内的安装位置物理上位于电池箱侧（输入端）与电机控制器侧（输出端）之间，其正负极主回路线束严格按设计路径穿行并串联连接至能量计，确保驱动系统全部电流均流经能量计进行采样。各线束及模块在壳体内的布置错落有序，且通过绝缘支架或线夹进行可靠定位，避免行车震动导致线束磨损或相互短接。</t>
  </si>
  <si>
    <t>低压电池制造方式 Source of LVS Battery</t>
  </si>
  <si>
    <t>供应商提供 Supplier</t>
  </si>
  <si>
    <t>低压电池管理系统说明书超链接 Datasheet hyperlink</t>
  </si>
  <si>
    <t>电池电芯化学类型 Chemical type of cells</t>
  </si>
  <si>
    <t>磷酸铁锂 LiFePO4</t>
  </si>
  <si>
    <t>在上面补充内容附上足够清晰的原理图 Schematics on the up additional comments</t>
  </si>
  <si>
    <t>电芯/电池说明书超连接 Cell datasheet hyperlink</t>
  </si>
  <si>
    <t>能够至少断开低压电池一极 Able disconnect one of the pole of the battery</t>
  </si>
  <si>
    <t>串联数 # of serial</t>
  </si>
  <si>
    <t>温度采样点数量占比 Cells measured by temp sensors [%]</t>
  </si>
  <si>
    <t>并联数 # of parallel</t>
  </si>
  <si>
    <t>电压采样点数量占比 Cells measured by voltage sensors [%]</t>
  </si>
  <si>
    <t xml:space="preserve">电芯单体最大电压 Max cell voltage [V] </t>
  </si>
  <si>
    <t>上位机通讯展示 Communication with an host interface</t>
  </si>
  <si>
    <t>电芯单体额定电压 Noimal cell voltage [V]</t>
  </si>
  <si>
    <t>电芯单体最大工作温度 Max cell operation temperature  [C]</t>
  </si>
  <si>
    <t>LVS最大电压 LVS battery pack max voltage [V]</t>
  </si>
  <si>
    <t>补充了一些能量计安装位置与壳体的信息；修改了低压电池单体最大电压</t>
  </si>
  <si>
    <t>表-1 基本部件接地要求 Grounding of primary parts</t>
  </si>
  <si>
    <t>表-2 所有驱动系统10cm以内的碳纤维部件（在表-1中未体现）All carbon fiber parts with in 10cm of TS (not listed in table-1)</t>
  </si>
  <si>
    <t>所有驱动系统壳体（在表-1及表-2中未体现）All TS enclosure (not listed in table 1 and 2)</t>
  </si>
  <si>
    <t>位置 Parts</t>
  </si>
  <si>
    <t>材料类型 Type of Materials</t>
  </si>
  <si>
    <t>接地点说明图片 Grounding Point picture</t>
  </si>
  <si>
    <t>承受电流强度 Ampacity [A]</t>
  </si>
  <si>
    <t>主环 Main hoop</t>
  </si>
  <si>
    <t>导电 Conductive</t>
  </si>
  <si>
    <t>不适用 N/A：所有碳纤维件均距 TS 部件大于 100 mm</t>
  </si>
  <si>
    <t>电机控制器</t>
  </si>
  <si>
    <t>车架/单体壳 Chassis</t>
  </si>
  <si>
    <t>电机</t>
  </si>
  <si>
    <t>安全带安装点 Harness Mounting points</t>
  </si>
  <si>
    <t>能量计</t>
  </si>
  <si>
    <t>绝缘 Isolated</t>
  </si>
  <si>
    <t>N/A</t>
  </si>
  <si>
    <t>防火墙安装点 Firewall Mounting points</t>
  </si>
  <si>
    <t>请将图片控制在此单元格范围内，并在单元格内填写TRUE
Place the picture in this cell, and replace texts in this cell as 'True'</t>
  </si>
  <si>
    <t>如果不是”导电”材料，本格留空
N/A if not conductive</t>
  </si>
  <si>
    <t>防火墙 Firewall</t>
  </si>
  <si>
    <t>前悬架（左右）Front Suspensions (Left and right)</t>
  </si>
  <si>
    <t>后悬架（左右）
Rear Suspensions (Left and right)</t>
  </si>
  <si>
    <t>电池箱通讯接插件
Accunulator communication connector</t>
  </si>
  <si>
    <t>修订历史</t>
  </si>
  <si>
    <t>说明</t>
  </si>
  <si>
    <t>规则版本</t>
  </si>
  <si>
    <t>日期</t>
  </si>
  <si>
    <t>v1.0</t>
  </si>
  <si>
    <t>首次发布</t>
  </si>
  <si>
    <t>2023 答题修订版</t>
  </si>
  <si>
    <t>v1.1</t>
  </si>
  <si>
    <t>发布版本 1.1</t>
  </si>
  <si>
    <t>2024 答题修订版</t>
  </si>
  <si>
    <t>v2.0</t>
  </si>
  <si>
    <t>2024双语版本</t>
  </si>
  <si>
    <t>2024规则</t>
  </si>
  <si>
    <t>v2.1</t>
  </si>
  <si>
    <t>适配规则</t>
  </si>
  <si>
    <t>2025规则</t>
  </si>
  <si>
    <t>v2.2</t>
  </si>
  <si>
    <t>2026规则</t>
  </si>
  <si>
    <t>v2.2.1</t>
  </si>
  <si>
    <t>格式更新</t>
  </si>
  <si>
    <t>v2.2.2</t>
  </si>
  <si>
    <t>v2.2.3</t>
  </si>
  <si>
    <t>v2.2.4</t>
  </si>
  <si>
    <t>新增驱动架构选择</t>
  </si>
  <si>
    <t>APS05系列_加速踏板后</t>
  </si>
  <si>
    <t>超霸力24V20ah磷酸铁锂电池组</t>
  </si>
  <si>
    <t>SD154-TZ154XS201D8</t>
    <phoneticPr fontId="17" type="noConversion"/>
  </si>
  <si>
    <t>单体式HVP3-600</t>
    <phoneticPr fontId="17" type="noConversion"/>
  </si>
  <si>
    <t>ACTDS系列直流电压传感器V1.0</t>
  </si>
  <si>
    <t>300.0</t>
    <phoneticPr fontId="17" type="noConversion"/>
  </si>
  <si>
    <t>15.0</t>
    <phoneticPr fontId="17" type="noConversion"/>
  </si>
  <si>
    <t>200.0</t>
    <phoneticPr fontId="17" type="noConversion"/>
  </si>
  <si>
    <t>45.0</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</si>
</sst>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8" formatCode="0.0"/>
  </numFmts>
  <fonts count="19" x14ac:knownFonts="1">
    <font>
      <sz val="11"/>
      <color theme="1"/>
      <name val="等线"/>
      <charset val="134"/>
      <scheme val="minor"/>
    </font>
    <font>
      <b/>
      <sz val="11"/>
      <color theme="1"/>
      <name val="等线"/>
      <charset val="134"/>
      <scheme val="minor"/>
    </font>
    <font>
      <i/>
      <sz val="11"/>
      <color rgb="FF3F3F76"/>
      <name val="等线"/>
      <charset val="134"/>
      <scheme val="minor"/>
    </font>
    <font>
      <sz val="11"/>
      <color rgb="FF3F3F76"/>
      <name val="等线"/>
      <charset val="134"/>
      <scheme val="minor"/>
    </font>
    <font>
      <u/>
      <sz val="11"/>
      <color rgb="FF800080"/>
      <name val="等线"/>
      <charset val="134"/>
      <scheme val="minor"/>
    </font>
    <font>
      <sz val="11"/>
      <name val="等线"/>
      <charset val="134"/>
      <scheme val="minor"/>
    </font>
    <font>
      <b/>
      <sz val="11"/>
      <color rgb="FFFA7D00"/>
      <name val="等线"/>
      <charset val="134"/>
      <scheme val="minor"/>
    </font>
    <font>
      <sz val="11"/>
      <color rgb="FFFF0000"/>
      <name val="等线"/>
      <charset val="134"/>
      <scheme val="minor"/>
    </font>
    <font>
      <u/>
      <sz val="11"/>
      <color theme="10"/>
      <name val="等线"/>
      <charset val="134"/>
      <scheme val="minor"/>
    </font>
    <font>
      <b/>
      <sz val="11"/>
      <color rgb="FFFF0000"/>
      <name val="等线"/>
      <charset val="134"/>
      <scheme val="minor"/>
    </font>
    <font>
      <i/>
      <sz val="11"/>
      <name val="等线"/>
      <charset val="134"/>
      <scheme val="minor"/>
    </font>
    <font>
      <sz val="11"/>
      <color rgb="FF3F3F76"/>
      <name val="等线"/>
      <charset val="134"/>
    </font>
    <font>
      <u/>
      <sz val="11"/>
      <color rgb="FF3F3F76"/>
      <name val="等线"/>
      <charset val="134"/>
      <scheme val="minor"/>
    </font>
    <font>
      <sz val="11"/>
      <name val="等线"/>
      <charset val="134"/>
    </font>
    <font>
      <sz val="11"/>
      <color theme="1"/>
      <name val="等线"/>
      <charset val="134"/>
      <scheme val="minor"/>
    </font>
    <font>
      <sz val="11"/>
      <color rgb="FFFF0000"/>
      <name val="Arial"/>
      <family val="2"/>
    </font>
    <font>
      <b/>
      <sz val="11"/>
      <name val="等线"/>
      <charset val="134"/>
      <scheme val="minor"/>
    </font>
    <font>
      <sz val="9"/>
      <name val="等线"/>
      <family val="3"/>
      <charset val="134"/>
      <scheme val="minor"/>
    </font>
    <font>
      <sz val="11"/>
      <color rgb="FF3F3F76"/>
      <name val="等线"/>
      <family val="3"/>
      <charset val="134"/>
      <scheme val="minor"/>
    </font>
  </fonts>
  <fills count="13">
    <fill>
      <patternFill patternType="none"/>
    </fill>
    <fill>
      <patternFill patternType="gray125"/>
    </fill>
    <fill>
      <patternFill patternType="solid">
        <fgColor theme="2" tint="-9.9887081514938816E-2"/>
        <bgColor indexed="64"/>
      </patternFill>
    </fill>
    <fill>
      <patternFill patternType="solid">
        <fgColor theme="9" tint="0.59999389629810485"/>
        <bgColor indexed="64"/>
      </patternFill>
    </fill>
    <fill>
      <patternFill patternType="solid">
        <fgColor rgb="FF66CCFF"/>
        <bgColor indexed="64"/>
      </patternFill>
    </fill>
    <fill>
      <patternFill patternType="solid">
        <fgColor rgb="FFFFCC99"/>
        <bgColor indexed="64"/>
      </patternFill>
    </fill>
    <fill>
      <patternFill patternType="solid">
        <fgColor rgb="FFF2F2F2"/>
        <bgColor indexed="64"/>
      </patternFill>
    </fill>
    <fill>
      <patternFill patternType="solid">
        <fgColor rgb="FFFFD966"/>
        <bgColor indexed="64"/>
      </patternFill>
    </fill>
    <fill>
      <patternFill patternType="solid">
        <fgColor rgb="FFFFFFCC"/>
        <bgColor indexed="64"/>
      </patternFill>
    </fill>
    <fill>
      <patternFill patternType="solid">
        <fgColor theme="0" tint="-0.14993743705557422"/>
        <bgColor indexed="64"/>
      </patternFill>
    </fill>
    <fill>
      <patternFill patternType="solid">
        <fgColor theme="0"/>
        <bgColor indexed="64"/>
      </patternFill>
    </fill>
    <fill>
      <patternFill patternType="solid">
        <fgColor theme="4" tint="0.59999389629810485"/>
        <bgColor indexed="64"/>
      </patternFill>
    </fill>
    <fill>
      <patternFill patternType="solid">
        <fgColor rgb="FFFFCC99"/>
        <bgColor rgb="FF000000"/>
      </patternFill>
    </fill>
  </fills>
  <borders count="43">
    <border>
      <left/>
      <right/>
      <top/>
      <bottom/>
      <diagonal/>
    </border>
    <border>
      <left/>
      <right style="thin">
        <color rgb="FF7F7F7F"/>
      </right>
      <top/>
      <bottom/>
      <diagonal/>
    </border>
    <border>
      <left style="thin">
        <color rgb="FF7F7F7F"/>
      </left>
      <right style="thin">
        <color rgb="FF7F7F7F"/>
      </right>
      <top style="thin">
        <color rgb="FF7F7F7F"/>
      </top>
      <bottom/>
      <diagonal/>
    </border>
    <border>
      <left style="thin">
        <color rgb="FF7F7F7F"/>
      </left>
      <right/>
      <top/>
      <bottom/>
      <diagonal/>
    </border>
    <border>
      <left style="thin">
        <color rgb="FF7F7F7F"/>
      </left>
      <right style="thin">
        <color rgb="FF7F7F7F"/>
      </right>
      <top/>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bottom style="thin">
        <color rgb="FF7F7F7F"/>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7F7F7F"/>
      </top>
      <bottom/>
      <diagonal/>
    </border>
    <border>
      <left style="thin">
        <color rgb="FF7F7F7F"/>
      </left>
      <right/>
      <top/>
      <bottom style="thin">
        <color rgb="FF7F7F7F"/>
      </bottom>
      <diagonal/>
    </border>
    <border>
      <left/>
      <right/>
      <top/>
      <bottom style="thin">
        <color rgb="FFA6A6A6"/>
      </bottom>
      <diagonal/>
    </border>
    <border>
      <left style="thin">
        <color rgb="FFA6A6A6"/>
      </left>
      <right/>
      <top style="thin">
        <color rgb="FFA6A6A6"/>
      </top>
      <bottom/>
      <diagonal/>
    </border>
    <border>
      <left/>
      <right style="thin">
        <color rgb="FFA6A6A6"/>
      </right>
      <top style="thin">
        <color rgb="FFA6A6A6"/>
      </top>
      <bottom/>
      <diagonal/>
    </border>
    <border>
      <left/>
      <right style="thin">
        <color rgb="FFA6A6A6"/>
      </right>
      <top/>
      <bottom/>
      <diagonal/>
    </border>
    <border>
      <left style="thin">
        <color rgb="FFA6A6A6"/>
      </left>
      <right/>
      <top/>
      <bottom style="thin">
        <color rgb="FFB2B2B2"/>
      </bottom>
      <diagonal/>
    </border>
    <border>
      <left/>
      <right style="thin">
        <color rgb="FFA6A6A6"/>
      </right>
      <top/>
      <bottom style="thin">
        <color rgb="FFB2B2B2"/>
      </bottom>
      <diagonal/>
    </border>
    <border>
      <left style="thin">
        <color rgb="FFB2B2B2"/>
      </left>
      <right style="thin">
        <color rgb="FFB2B2B2"/>
      </right>
      <top style="thin">
        <color rgb="FFB2B2B2"/>
      </top>
      <bottom style="thin">
        <color rgb="FFB2B2B2"/>
      </bottom>
      <diagonal/>
    </border>
    <border>
      <left/>
      <right style="thin">
        <color rgb="FFB2B2B2"/>
      </right>
      <top/>
      <bottom/>
      <diagonal/>
    </border>
    <border>
      <left style="thin">
        <color rgb="FFB2B2B2"/>
      </left>
      <right/>
      <top style="thin">
        <color rgb="FFB2B2B2"/>
      </top>
      <bottom/>
      <diagonal/>
    </border>
    <border>
      <left/>
      <right style="thin">
        <color rgb="FFB2B2B2"/>
      </right>
      <top style="thin">
        <color rgb="FFB2B2B2"/>
      </top>
      <bottom/>
      <diagonal/>
    </border>
    <border>
      <left style="thin">
        <color rgb="FFB2B2B2"/>
      </left>
      <right/>
      <top/>
      <bottom/>
      <diagonal/>
    </border>
    <border>
      <left style="thin">
        <color rgb="FFB2B2B2"/>
      </left>
      <right/>
      <top/>
      <bottom style="thin">
        <color rgb="FFB2B2B2"/>
      </bottom>
      <diagonal/>
    </border>
    <border>
      <left/>
      <right style="thin">
        <color rgb="FFB2B2B2"/>
      </right>
      <top/>
      <bottom style="thin">
        <color rgb="FFB2B2B2"/>
      </bottom>
      <diagonal/>
    </border>
    <border>
      <left/>
      <right style="thin">
        <color rgb="FF3F3F3F"/>
      </right>
      <top/>
      <bottom/>
      <diagonal/>
    </border>
    <border>
      <left/>
      <right/>
      <top/>
      <bottom style="thin">
        <color auto="1"/>
      </bottom>
      <diagonal/>
    </border>
    <border>
      <left/>
      <right style="thin">
        <color rgb="FFA6A6A6"/>
      </right>
      <top/>
      <bottom style="thin">
        <color rgb="FF7F7F7F"/>
      </bottom>
      <diagonal/>
    </border>
    <border>
      <left style="thin">
        <color rgb="FFA6A6A6"/>
      </left>
      <right style="thin">
        <color rgb="FFA6A6A6"/>
      </right>
      <top style="thin">
        <color rgb="FFA6A6A6"/>
      </top>
      <bottom/>
      <diagonal/>
    </border>
    <border>
      <left/>
      <right/>
      <top style="thin">
        <color rgb="FFA6A6A6"/>
      </top>
      <bottom/>
      <diagonal/>
    </border>
    <border>
      <left/>
      <right/>
      <top/>
      <bottom style="thin">
        <color rgb="FFB2B2B2"/>
      </bottom>
      <diagonal/>
    </border>
    <border>
      <left style="thin">
        <color rgb="FF7F7F7F"/>
      </left>
      <right style="thin">
        <color rgb="FFB2B2B2"/>
      </right>
      <top style="thin">
        <color rgb="FFB2B2B2"/>
      </top>
      <bottom/>
      <diagonal/>
    </border>
    <border>
      <left style="thin">
        <color rgb="FF7F7F7F"/>
      </left>
      <right style="thin">
        <color rgb="FFB2B2B2"/>
      </right>
      <top/>
      <bottom/>
      <diagonal/>
    </border>
    <border>
      <left style="thin">
        <color rgb="FF7F7F7F"/>
      </left>
      <right style="thin">
        <color rgb="FFB2B2B2"/>
      </right>
      <top/>
      <bottom style="thin">
        <color rgb="FFB2B2B2"/>
      </bottom>
      <diagonal/>
    </border>
    <border>
      <left/>
      <right/>
      <top style="thin">
        <color rgb="FFB2B2B2"/>
      </top>
      <bottom/>
      <diagonal/>
    </border>
    <border>
      <left/>
      <right/>
      <top/>
      <bottom style="double">
        <color theme="4"/>
      </bottom>
      <diagonal/>
    </border>
    <border>
      <left/>
      <right/>
      <top style="thin">
        <color theme="4"/>
      </top>
      <bottom/>
      <diagonal/>
    </border>
  </borders>
  <cellStyleXfs count="9">
    <xf numFmtId="0" fontId="0" fillId="2" borderId="0"/>
    <xf numFmtId="9" fontId="14" fillId="0" borderId="0" applyFont="0" applyFill="0" applyBorder="0" applyAlignment="0" applyProtection="0">
      <alignment vertical="center"/>
    </xf>
    <xf numFmtId="0" fontId="8" fillId="0" borderId="0" applyNumberFormat="0" applyFill="0" applyBorder="0" applyAlignment="0" applyProtection="0"/>
    <xf numFmtId="0" fontId="14" fillId="8" borderId="24" applyNumberFormat="0" applyFont="0" applyAlignment="0" applyProtection="0">
      <alignment vertical="center"/>
    </xf>
    <xf numFmtId="0" fontId="3" fillId="5" borderId="10" applyNumberFormat="0" applyAlignment="0">
      <alignment vertical="center"/>
      <protection locked="0"/>
    </xf>
    <xf numFmtId="0" fontId="6" fillId="6" borderId="10" applyNumberFormat="0" applyAlignment="0" applyProtection="0">
      <alignment vertical="center"/>
    </xf>
    <xf numFmtId="0" fontId="14" fillId="11" borderId="0" applyNumberFormat="0" applyBorder="0" applyAlignment="0" applyProtection="0">
      <alignment vertical="center"/>
    </xf>
    <xf numFmtId="0" fontId="14" fillId="3" borderId="0" applyNumberFormat="0" applyBorder="0" applyAlignment="0" applyProtection="0">
      <alignment vertical="center"/>
    </xf>
    <xf numFmtId="0" fontId="14" fillId="0" borderId="0" applyBorder="0" applyProtection="0">
      <alignment horizontal="center"/>
    </xf>
  </cellStyleXfs>
  <cellXfs count="295">
    <xf numFmtId="0" fontId="0" fillId="2" borderId="0" xfId="0"/>
    <xf numFmtId="0" fontId="14" fillId="3" borderId="0" xfId="7" applyAlignment="1">
      <alignment horizontal="center" vertical="center"/>
    </xf>
    <xf numFmtId="0" fontId="14" fillId="0" borderId="0" xfId="8">
      <alignment horizontal="center"/>
    </xf>
    <xf numFmtId="14" fontId="14" fillId="0" borderId="0" xfId="8" applyNumberFormat="1">
      <alignment horizontal="center"/>
    </xf>
    <xf numFmtId="0" fontId="0" fillId="2" borderId="0" xfId="0" applyAlignment="1">
      <alignment horizontal="center" vertical="center"/>
    </xf>
    <xf numFmtId="0" fontId="14" fillId="0" borderId="0" xfId="8" applyAlignment="1">
      <alignment horizontal="center" vertical="center"/>
    </xf>
    <xf numFmtId="0" fontId="0" fillId="4" borderId="0" xfId="0" applyFill="1" applyAlignment="1" applyProtection="1">
      <alignment horizontal="center" vertical="center"/>
      <protection hidden="1"/>
    </xf>
    <xf numFmtId="0" fontId="1" fillId="3" borderId="0" xfId="7" applyFont="1" applyAlignment="1">
      <alignment horizontal="center" vertical="center"/>
    </xf>
    <xf numFmtId="0" fontId="14" fillId="0" borderId="0" xfId="8" applyAlignment="1">
      <alignment horizontal="right"/>
    </xf>
    <xf numFmtId="0" fontId="0" fillId="4" borderId="0" xfId="0" applyFill="1" applyAlignment="1" applyProtection="1">
      <alignment horizontal="center"/>
      <protection hidden="1"/>
    </xf>
    <xf numFmtId="0" fontId="14" fillId="0" borderId="0" xfId="8" applyAlignment="1">
      <alignment horizontal="left" vertical="center"/>
    </xf>
    <xf numFmtId="0" fontId="14" fillId="0" borderId="0" xfId="8" applyAlignment="1">
      <alignment horizontal="left"/>
    </xf>
    <xf numFmtId="0" fontId="14" fillId="0" borderId="0" xfId="8" applyAlignment="1">
      <alignment horizontal="right" vertical="center"/>
    </xf>
    <xf numFmtId="0" fontId="3" fillId="5" borderId="10" xfId="4" applyAlignment="1">
      <alignment horizontal="left"/>
      <protection locked="0"/>
    </xf>
    <xf numFmtId="0" fontId="0" fillId="4" borderId="0" xfId="0" applyFill="1" applyAlignment="1">
      <alignment horizontal="center"/>
    </xf>
    <xf numFmtId="0" fontId="3" fillId="5" borderId="10" xfId="4" applyAlignment="1">
      <protection locked="0"/>
    </xf>
    <xf numFmtId="0" fontId="4" fillId="5" borderId="10" xfId="2" applyFont="1" applyFill="1" applyBorder="1" applyAlignment="1" applyProtection="1">
      <protection locked="0"/>
    </xf>
    <xf numFmtId="0" fontId="6" fillId="6" borderId="10" xfId="5" applyAlignment="1" applyProtection="1">
      <protection hidden="1"/>
    </xf>
    <xf numFmtId="0" fontId="0" fillId="2" borderId="0" xfId="0" applyAlignment="1">
      <alignment vertical="center"/>
    </xf>
    <xf numFmtId="0" fontId="3" fillId="5" borderId="10" xfId="4" applyAlignment="1">
      <alignment horizontal="center"/>
      <protection locked="0"/>
    </xf>
    <xf numFmtId="0" fontId="1" fillId="0" borderId="0" xfId="8" applyFont="1" applyAlignment="1">
      <alignment horizontal="center" vertical="center"/>
    </xf>
    <xf numFmtId="0" fontId="3" fillId="5" borderId="10" xfId="4" applyAlignment="1">
      <alignment horizontal="center" vertical="center"/>
      <protection locked="0"/>
    </xf>
    <xf numFmtId="0" fontId="3" fillId="5" borderId="10" xfId="4" applyAlignment="1">
      <alignment wrapText="1"/>
      <protection locked="0"/>
    </xf>
    <xf numFmtId="0" fontId="3" fillId="5" borderId="10" xfId="4" applyAlignment="1">
      <alignment vertical="center"/>
      <protection locked="0"/>
    </xf>
    <xf numFmtId="0" fontId="14" fillId="3" borderId="0" xfId="7" applyAlignment="1">
      <alignment horizontal="center"/>
    </xf>
    <xf numFmtId="0" fontId="1" fillId="0" borderId="0" xfId="8" applyFont="1">
      <alignment horizontal="center"/>
    </xf>
    <xf numFmtId="0" fontId="3" fillId="5" borderId="0" xfId="4" applyBorder="1" applyAlignment="1">
      <alignment horizontal="center" vertical="center"/>
      <protection locked="0"/>
    </xf>
    <xf numFmtId="0" fontId="3" fillId="5" borderId="0" xfId="4" applyBorder="1" applyAlignment="1">
      <protection locked="0"/>
    </xf>
    <xf numFmtId="0" fontId="14" fillId="0" borderId="12" xfId="8" applyBorder="1">
      <alignment horizontal="center"/>
    </xf>
    <xf numFmtId="0" fontId="1" fillId="0" borderId="0" xfId="8" applyFont="1" applyAlignment="1">
      <alignment horizontal="right" wrapText="1"/>
    </xf>
    <xf numFmtId="9" fontId="0" fillId="0" borderId="0" xfId="1" applyFont="1" applyFill="1" applyAlignment="1"/>
    <xf numFmtId="0" fontId="1" fillId="0" borderId="0" xfId="8" applyFont="1" applyAlignment="1">
      <alignment horizontal="right"/>
    </xf>
    <xf numFmtId="0" fontId="0" fillId="9" borderId="0" xfId="0" applyFill="1"/>
    <xf numFmtId="2" fontId="6" fillId="6" borderId="10" xfId="5" applyNumberFormat="1" applyAlignment="1" applyProtection="1">
      <protection hidden="1"/>
    </xf>
    <xf numFmtId="178" fontId="6" fillId="6" borderId="10" xfId="5" applyNumberFormat="1" applyAlignment="1" applyProtection="1">
      <protection hidden="1"/>
    </xf>
    <xf numFmtId="0" fontId="0" fillId="2" borderId="0" xfId="0" applyAlignment="1">
      <alignment horizontal="left"/>
    </xf>
    <xf numFmtId="0" fontId="14" fillId="0" borderId="0" xfId="8" applyAlignment="1"/>
    <xf numFmtId="49" fontId="3" fillId="5" borderId="10" xfId="4" applyNumberFormat="1" applyAlignment="1">
      <protection locked="0"/>
    </xf>
    <xf numFmtId="0" fontId="14" fillId="0" borderId="0" xfId="8" applyBorder="1" applyAlignment="1">
      <alignment horizontal="left"/>
    </xf>
    <xf numFmtId="0" fontId="14" fillId="0" borderId="0" xfId="8" applyProtection="1">
      <alignment horizontal="center"/>
      <protection hidden="1"/>
    </xf>
    <xf numFmtId="0" fontId="0" fillId="7" borderId="34" xfId="0" applyFill="1" applyBorder="1" applyAlignment="1">
      <alignment horizontal="center" wrapText="1"/>
    </xf>
    <xf numFmtId="0" fontId="0" fillId="7" borderId="34" xfId="0" applyFill="1" applyBorder="1" applyAlignment="1">
      <alignment horizontal="center"/>
    </xf>
    <xf numFmtId="0" fontId="3" fillId="5" borderId="10" xfId="4" applyAlignment="1">
      <alignment vertical="top" wrapText="1"/>
      <protection locked="0"/>
    </xf>
    <xf numFmtId="0" fontId="3" fillId="5" borderId="0" xfId="4" applyBorder="1" applyAlignment="1">
      <alignment vertical="center"/>
      <protection locked="0"/>
    </xf>
    <xf numFmtId="0" fontId="0" fillId="7" borderId="34" xfId="0" applyFill="1" applyBorder="1" applyAlignment="1">
      <alignment horizontal="center" vertical="center"/>
    </xf>
    <xf numFmtId="0" fontId="8" fillId="5" borderId="10" xfId="2" applyFill="1" applyBorder="1" applyAlignment="1" applyProtection="1">
      <protection locked="0"/>
    </xf>
    <xf numFmtId="0" fontId="7" fillId="5" borderId="10" xfId="4" applyFont="1" applyAlignment="1">
      <alignment vertical="top" wrapText="1"/>
      <protection locked="0"/>
    </xf>
    <xf numFmtId="0" fontId="1" fillId="11" borderId="0" xfId="6" applyFont="1" applyAlignment="1">
      <alignment horizontal="center"/>
    </xf>
    <xf numFmtId="0" fontId="14" fillId="3" borderId="0" xfId="7" applyAlignment="1"/>
    <xf numFmtId="0" fontId="3" fillId="12" borderId="10" xfId="0" applyFont="1" applyFill="1" applyBorder="1" applyProtection="1">
      <protection locked="0"/>
    </xf>
    <xf numFmtId="49" fontId="3" fillId="12" borderId="9" xfId="0" applyNumberFormat="1" applyFont="1" applyFill="1" applyBorder="1" applyProtection="1">
      <protection locked="0"/>
    </xf>
    <xf numFmtId="0" fontId="3" fillId="12" borderId="9" xfId="0" applyFont="1" applyFill="1" applyBorder="1" applyAlignment="1" applyProtection="1">
      <alignment horizontal="right"/>
      <protection locked="0"/>
    </xf>
    <xf numFmtId="0" fontId="3" fillId="12" borderId="9" xfId="0" applyFont="1" applyFill="1" applyBorder="1" applyAlignment="1" applyProtection="1">
      <alignment horizontal="right" wrapText="1"/>
      <protection locked="0"/>
    </xf>
    <xf numFmtId="0" fontId="3" fillId="12" borderId="9" xfId="0" applyFont="1" applyFill="1" applyBorder="1" applyProtection="1">
      <protection locked="0"/>
    </xf>
    <xf numFmtId="0" fontId="3" fillId="12" borderId="6" xfId="0" applyFont="1" applyFill="1" applyBorder="1" applyProtection="1">
      <protection locked="0"/>
    </xf>
    <xf numFmtId="49" fontId="3" fillId="12" borderId="5" xfId="0" applyNumberFormat="1" applyFont="1" applyFill="1" applyBorder="1" applyProtection="1">
      <protection locked="0"/>
    </xf>
    <xf numFmtId="0" fontId="3" fillId="12" borderId="5" xfId="0" applyFont="1" applyFill="1" applyBorder="1" applyProtection="1">
      <protection locked="0"/>
    </xf>
    <xf numFmtId="0" fontId="3" fillId="12" borderId="5" xfId="0" applyFont="1" applyFill="1" applyBorder="1" applyAlignment="1" applyProtection="1">
      <alignment wrapText="1"/>
      <protection locked="0"/>
    </xf>
    <xf numFmtId="0" fontId="7" fillId="5" borderId="10" xfId="4" applyFont="1" applyAlignment="1">
      <protection locked="0"/>
    </xf>
    <xf numFmtId="49" fontId="7" fillId="5" borderId="10" xfId="4" applyNumberFormat="1" applyFont="1" applyAlignment="1">
      <protection locked="0"/>
    </xf>
    <xf numFmtId="0" fontId="3" fillId="5" borderId="10" xfId="0" applyFont="1" applyFill="1" applyBorder="1" applyProtection="1">
      <protection locked="0"/>
    </xf>
    <xf numFmtId="49" fontId="3" fillId="5" borderId="10" xfId="0" applyNumberFormat="1" applyFont="1" applyFill="1" applyBorder="1" applyProtection="1">
      <protection locked="0"/>
    </xf>
    <xf numFmtId="3" fontId="3" fillId="5" borderId="10" xfId="0" applyNumberFormat="1" applyFont="1" applyFill="1" applyBorder="1" applyProtection="1">
      <protection locked="0"/>
    </xf>
    <xf numFmtId="0" fontId="11" fillId="5" borderId="10" xfId="0" applyFont="1" applyFill="1" applyBorder="1" applyProtection="1">
      <protection locked="0"/>
    </xf>
    <xf numFmtId="0" fontId="5" fillId="5" borderId="10" xfId="4" applyFont="1" applyAlignment="1">
      <protection locked="0"/>
    </xf>
    <xf numFmtId="0" fontId="14" fillId="0" borderId="0" xfId="8" applyProtection="1">
      <alignment horizontal="center"/>
    </xf>
    <xf numFmtId="0" fontId="5" fillId="5" borderId="10" xfId="0" applyFont="1" applyFill="1" applyBorder="1" applyProtection="1">
      <protection locked="0"/>
    </xf>
    <xf numFmtId="0" fontId="3" fillId="5" borderId="10" xfId="0" applyFont="1" applyFill="1" applyBorder="1" applyAlignment="1" applyProtection="1">
      <alignment horizontal="left"/>
      <protection locked="0"/>
    </xf>
    <xf numFmtId="49" fontId="7" fillId="5" borderId="10" xfId="0" applyNumberFormat="1" applyFont="1" applyFill="1" applyBorder="1" applyProtection="1">
      <protection locked="0"/>
    </xf>
    <xf numFmtId="0" fontId="5" fillId="5" borderId="8" xfId="0" applyFont="1" applyFill="1" applyBorder="1" applyProtection="1">
      <protection locked="0"/>
    </xf>
    <xf numFmtId="0" fontId="3" fillId="5" borderId="8" xfId="4" applyBorder="1" applyAlignment="1">
      <protection locked="0"/>
    </xf>
    <xf numFmtId="0" fontId="12" fillId="5" borderId="10" xfId="4" applyFont="1" applyAlignment="1">
      <protection locked="0"/>
    </xf>
    <xf numFmtId="0" fontId="4" fillId="5" borderId="10" xfId="2" applyFont="1" applyFill="1" applyBorder="1" applyProtection="1">
      <protection locked="0"/>
    </xf>
    <xf numFmtId="0" fontId="3" fillId="12" borderId="5" xfId="0" applyFont="1" applyFill="1" applyBorder="1" applyAlignment="1" applyProtection="1">
      <alignment horizontal="right"/>
      <protection locked="0"/>
    </xf>
    <xf numFmtId="0" fontId="3" fillId="12" borderId="5" xfId="0" applyFont="1" applyFill="1" applyBorder="1" applyAlignment="1" applyProtection="1">
      <alignment horizontal="left"/>
      <protection locked="0"/>
    </xf>
    <xf numFmtId="0" fontId="3" fillId="12" borderId="9" xfId="0" applyFont="1" applyFill="1" applyBorder="1" applyAlignment="1" applyProtection="1">
      <alignment horizontal="left"/>
      <protection locked="0"/>
    </xf>
    <xf numFmtId="0" fontId="11" fillId="5" borderId="10" xfId="4" applyFont="1" applyAlignment="1">
      <alignment horizontal="left"/>
      <protection locked="0"/>
    </xf>
    <xf numFmtId="49" fontId="5" fillId="5" borderId="10" xfId="4" applyNumberFormat="1" applyFont="1" applyAlignment="1">
      <protection locked="0"/>
    </xf>
    <xf numFmtId="0" fontId="13" fillId="5" borderId="10" xfId="4" applyFont="1" applyAlignment="1">
      <alignment horizontal="left"/>
      <protection locked="0"/>
    </xf>
    <xf numFmtId="49" fontId="11" fillId="5" borderId="10" xfId="4" applyNumberFormat="1" applyFont="1" applyAlignment="1">
      <protection locked="0"/>
    </xf>
    <xf numFmtId="0" fontId="3" fillId="5" borderId="10" xfId="4" applyNumberFormat="1" applyAlignment="1">
      <protection locked="0"/>
    </xf>
    <xf numFmtId="0" fontId="11" fillId="5" borderId="10" xfId="4" applyFont="1" applyAlignment="1">
      <protection locked="0"/>
    </xf>
    <xf numFmtId="0" fontId="13" fillId="5" borderId="10" xfId="4" applyFont="1" applyAlignment="1">
      <protection locked="0"/>
    </xf>
    <xf numFmtId="49" fontId="13" fillId="5" borderId="10" xfId="4" applyNumberFormat="1" applyFont="1" applyAlignment="1">
      <protection locked="0"/>
    </xf>
    <xf numFmtId="0" fontId="5" fillId="5" borderId="10" xfId="4" applyFont="1" applyAlignment="1">
      <alignment horizontal="left"/>
      <protection locked="0"/>
    </xf>
    <xf numFmtId="0" fontId="14" fillId="0" borderId="41" xfId="8" applyBorder="1" applyAlignment="1">
      <alignment horizontal="left"/>
    </xf>
    <xf numFmtId="0" fontId="6" fillId="6" borderId="6" xfId="5" applyBorder="1" applyAlignment="1">
      <alignment horizontal="center"/>
    </xf>
    <xf numFmtId="0" fontId="14" fillId="0" borderId="41" xfId="8" applyBorder="1">
      <alignment horizontal="center"/>
    </xf>
    <xf numFmtId="0" fontId="14" fillId="0" borderId="42" xfId="8" applyBorder="1" applyAlignment="1">
      <alignment horizontal="left"/>
    </xf>
    <xf numFmtId="0" fontId="6" fillId="6" borderId="2" xfId="5" applyBorder="1" applyAlignment="1">
      <alignment horizontal="center"/>
    </xf>
    <xf numFmtId="0" fontId="14" fillId="0" borderId="42" xfId="8" applyBorder="1">
      <alignment horizontal="center"/>
    </xf>
    <xf numFmtId="0" fontId="14" fillId="0" borderId="0" xfId="8" applyAlignment="1">
      <alignment horizontal="left"/>
    </xf>
    <xf numFmtId="0" fontId="14" fillId="0" borderId="1" xfId="8" applyBorder="1" applyAlignment="1">
      <alignment horizontal="left"/>
    </xf>
    <xf numFmtId="0" fontId="1" fillId="3" borderId="0" xfId="7" applyFont="1" applyAlignment="1">
      <alignment horizontal="center"/>
    </xf>
    <xf numFmtId="0" fontId="14" fillId="3" borderId="0" xfId="7" applyAlignment="1">
      <alignment horizontal="center"/>
    </xf>
    <xf numFmtId="0" fontId="14" fillId="0" borderId="0" xfId="8" applyAlignment="1">
      <alignment horizontal="right" vertical="center"/>
    </xf>
    <xf numFmtId="0" fontId="14" fillId="0" borderId="1" xfId="8" applyBorder="1" applyAlignment="1">
      <alignment horizontal="right" vertical="center"/>
    </xf>
    <xf numFmtId="0" fontId="3" fillId="5" borderId="8" xfId="4" applyBorder="1" applyAlignment="1">
      <alignment horizontal="center" vertical="center"/>
      <protection locked="0"/>
    </xf>
    <xf numFmtId="0" fontId="3" fillId="5" borderId="9" xfId="4" applyBorder="1" applyAlignment="1">
      <alignment horizontal="center" vertical="center"/>
      <protection locked="0"/>
    </xf>
    <xf numFmtId="0" fontId="3" fillId="5" borderId="10" xfId="4" applyAlignment="1">
      <alignment horizontal="left" vertical="center"/>
      <protection locked="0"/>
    </xf>
    <xf numFmtId="0" fontId="14" fillId="0" borderId="0" xfId="8" applyAlignment="1">
      <alignment horizontal="left" vertical="top" wrapText="1"/>
    </xf>
    <xf numFmtId="0" fontId="14" fillId="0" borderId="1" xfId="8" applyBorder="1" applyAlignment="1">
      <alignment horizontal="left" vertical="top" wrapText="1"/>
    </xf>
    <xf numFmtId="0" fontId="14" fillId="0" borderId="0" xfId="8" applyBorder="1" applyAlignment="1">
      <alignment horizontal="left" vertical="top" wrapText="1"/>
    </xf>
    <xf numFmtId="0" fontId="3" fillId="5" borderId="0" xfId="4" applyBorder="1" applyAlignment="1">
      <alignment horizontal="left" vertical="center"/>
      <protection locked="0"/>
    </xf>
    <xf numFmtId="0" fontId="3" fillId="5" borderId="10" xfId="4" applyAlignment="1">
      <alignment horizontal="left"/>
      <protection locked="0"/>
    </xf>
    <xf numFmtId="0" fontId="14" fillId="0" borderId="0" xfId="8" applyAlignment="1">
      <alignment horizontal="right"/>
    </xf>
    <xf numFmtId="0" fontId="14" fillId="0" borderId="1" xfId="8" applyBorder="1" applyAlignment="1">
      <alignment horizontal="right"/>
    </xf>
    <xf numFmtId="0" fontId="14" fillId="0" borderId="0" xfId="8" applyAlignment="1">
      <alignment horizontal="right" vertical="center" wrapText="1"/>
    </xf>
    <xf numFmtId="0" fontId="14" fillId="0" borderId="0" xfId="8" applyBorder="1" applyAlignment="1">
      <alignment horizontal="right" vertical="center" wrapText="1"/>
    </xf>
    <xf numFmtId="0" fontId="3" fillId="5" borderId="10" xfId="4" applyAlignment="1">
      <alignment horizontal="right" vertical="center"/>
      <protection locked="0"/>
    </xf>
    <xf numFmtId="0" fontId="3" fillId="5" borderId="8" xfId="4" applyBorder="1" applyAlignment="1">
      <alignment horizontal="center"/>
      <protection locked="0"/>
    </xf>
    <xf numFmtId="0" fontId="3" fillId="5" borderId="9" xfId="4" applyBorder="1" applyAlignment="1">
      <alignment horizontal="center"/>
      <protection locked="0"/>
    </xf>
    <xf numFmtId="0" fontId="6" fillId="6" borderId="10" xfId="5" applyAlignment="1" applyProtection="1">
      <alignment horizontal="center"/>
      <protection hidden="1"/>
    </xf>
    <xf numFmtId="0" fontId="14" fillId="0" borderId="1" xfId="8" applyBorder="1" applyAlignment="1">
      <alignment horizontal="right" vertical="center" wrapText="1"/>
    </xf>
    <xf numFmtId="0" fontId="3" fillId="5" borderId="0" xfId="4" applyBorder="1" applyAlignment="1">
      <alignment horizontal="center"/>
      <protection locked="0"/>
    </xf>
    <xf numFmtId="0" fontId="3" fillId="5" borderId="8" xfId="4" applyBorder="1" applyAlignment="1">
      <alignment horizontal="left"/>
      <protection locked="0"/>
    </xf>
    <xf numFmtId="0" fontId="3" fillId="5" borderId="9" xfId="4" applyBorder="1" applyAlignment="1">
      <alignment horizontal="left"/>
      <protection locked="0"/>
    </xf>
    <xf numFmtId="0" fontId="1" fillId="0" borderId="0" xfId="8" applyFont="1">
      <alignment horizontal="center"/>
    </xf>
    <xf numFmtId="0" fontId="14" fillId="0" borderId="0" xfId="8" applyAlignment="1">
      <alignment horizontal="left" vertical="center"/>
    </xf>
    <xf numFmtId="0" fontId="14" fillId="0" borderId="1" xfId="8" applyBorder="1" applyAlignment="1">
      <alignment horizontal="left" vertical="center"/>
    </xf>
    <xf numFmtId="0" fontId="1" fillId="0" borderId="0" xfId="8" applyFont="1" applyAlignment="1">
      <alignment horizontal="right"/>
    </xf>
    <xf numFmtId="0" fontId="1" fillId="0" borderId="1" xfId="8" applyFont="1" applyBorder="1" applyAlignment="1">
      <alignment horizontal="right"/>
    </xf>
    <xf numFmtId="0" fontId="14" fillId="0" borderId="3" xfId="8" applyBorder="1" applyAlignment="1" applyProtection="1">
      <alignment horizontal="right"/>
      <protection locked="0"/>
    </xf>
    <xf numFmtId="0" fontId="14" fillId="0" borderId="0" xfId="8" applyBorder="1" applyAlignment="1" applyProtection="1">
      <alignment horizontal="right"/>
      <protection locked="0"/>
    </xf>
    <xf numFmtId="0" fontId="14" fillId="0" borderId="1" xfId="8" applyBorder="1" applyAlignment="1" applyProtection="1">
      <alignment horizontal="right"/>
      <protection locked="0"/>
    </xf>
    <xf numFmtId="0" fontId="3" fillId="5" borderId="10" xfId="4" applyAlignment="1">
      <alignment horizontal="center"/>
      <protection locked="0"/>
    </xf>
    <xf numFmtId="0" fontId="6" fillId="6" borderId="10" xfId="5" applyAlignment="1" applyProtection="1">
      <alignment horizontal="left"/>
      <protection hidden="1"/>
    </xf>
    <xf numFmtId="0" fontId="8" fillId="5" borderId="8" xfId="2" applyFill="1" applyBorder="1" applyAlignment="1" applyProtection="1">
      <alignment horizontal="center"/>
      <protection locked="0"/>
    </xf>
    <xf numFmtId="0" fontId="8" fillId="5" borderId="9" xfId="2" applyFill="1" applyBorder="1" applyAlignment="1" applyProtection="1">
      <alignment horizontal="center"/>
      <protection locked="0"/>
    </xf>
    <xf numFmtId="0" fontId="1" fillId="3" borderId="16" xfId="7" applyFont="1" applyBorder="1" applyAlignment="1">
      <alignment horizontal="center"/>
    </xf>
    <xf numFmtId="0" fontId="14" fillId="0" borderId="0" xfId="8" applyAlignment="1">
      <alignment horizontal="left" vertical="center" wrapText="1"/>
    </xf>
    <xf numFmtId="0" fontId="14" fillId="0" borderId="1" xfId="8" applyBorder="1" applyAlignment="1">
      <alignment horizontal="left" vertical="center" wrapText="1"/>
    </xf>
    <xf numFmtId="0" fontId="14" fillId="0" borderId="0" xfId="8" applyAlignment="1">
      <alignment horizontal="left" wrapText="1"/>
    </xf>
    <xf numFmtId="0" fontId="14" fillId="0" borderId="1" xfId="8" applyBorder="1" applyAlignment="1">
      <alignment horizontal="left" wrapText="1"/>
    </xf>
    <xf numFmtId="0" fontId="1" fillId="3" borderId="12" xfId="7" applyFont="1" applyBorder="1" applyAlignment="1">
      <alignment horizontal="center"/>
    </xf>
    <xf numFmtId="0" fontId="1" fillId="3" borderId="33" xfId="7" applyFont="1" applyBorder="1" applyAlignment="1">
      <alignment horizontal="center"/>
    </xf>
    <xf numFmtId="0" fontId="14" fillId="0" borderId="0" xfId="8" applyBorder="1" applyAlignment="1">
      <alignment horizontal="left" vertical="center"/>
    </xf>
    <xf numFmtId="0" fontId="14" fillId="0" borderId="0" xfId="8" applyBorder="1" applyAlignment="1">
      <alignment horizontal="left" vertical="center" wrapText="1"/>
    </xf>
    <xf numFmtId="0" fontId="14" fillId="0" borderId="0" xfId="8" applyAlignment="1">
      <alignment horizontal="center" vertical="center" wrapText="1"/>
    </xf>
    <xf numFmtId="0" fontId="14" fillId="0" borderId="0" xfId="8" applyAlignment="1">
      <alignment horizontal="center" wrapText="1"/>
    </xf>
    <xf numFmtId="0" fontId="0" fillId="8" borderId="24" xfId="3" applyFont="1" applyAlignment="1">
      <alignment horizontal="center" vertical="center" wrapText="1"/>
    </xf>
    <xf numFmtId="0" fontId="0" fillId="8" borderId="37" xfId="3" applyFont="1" applyBorder="1" applyAlignment="1">
      <alignment horizontal="center" vertical="top" wrapText="1"/>
    </xf>
    <xf numFmtId="0" fontId="0" fillId="8" borderId="38" xfId="3" applyFont="1" applyBorder="1" applyAlignment="1">
      <alignment horizontal="center" vertical="top" wrapText="1"/>
    </xf>
    <xf numFmtId="0" fontId="0" fillId="8" borderId="39" xfId="3" applyFont="1" applyBorder="1" applyAlignment="1">
      <alignment horizontal="center" vertical="top" wrapText="1"/>
    </xf>
    <xf numFmtId="0" fontId="0" fillId="8" borderId="37" xfId="3" applyFont="1" applyBorder="1" applyAlignment="1">
      <alignment horizontal="center" vertical="center" wrapText="1"/>
    </xf>
    <xf numFmtId="0" fontId="0" fillId="8" borderId="38" xfId="3" applyFont="1" applyBorder="1" applyAlignment="1">
      <alignment horizontal="center" vertical="center" wrapText="1"/>
    </xf>
    <xf numFmtId="0" fontId="0" fillId="8" borderId="39" xfId="3" applyFont="1" applyBorder="1" applyAlignment="1">
      <alignment horizontal="center" vertical="center" wrapText="1"/>
    </xf>
    <xf numFmtId="0" fontId="0" fillId="7" borderId="35" xfId="0" applyFill="1" applyBorder="1" applyAlignment="1">
      <alignment horizontal="center" vertical="center" wrapText="1"/>
    </xf>
    <xf numFmtId="0" fontId="0" fillId="7" borderId="36" xfId="0" applyFill="1" applyBorder="1" applyAlignment="1">
      <alignment horizontal="center" vertical="center" wrapText="1"/>
    </xf>
    <xf numFmtId="0" fontId="0" fillId="8" borderId="24" xfId="3" applyFont="1" applyAlignment="1">
      <alignment horizontal="center" vertical="center"/>
    </xf>
    <xf numFmtId="0" fontId="7" fillId="5" borderId="10" xfId="4" applyFont="1" applyAlignment="1">
      <alignment horizontal="left" vertical="top" wrapText="1"/>
      <protection locked="0"/>
    </xf>
    <xf numFmtId="0" fontId="3" fillId="5" borderId="10" xfId="4" applyAlignment="1">
      <alignment horizontal="left" vertical="top" wrapText="1"/>
      <protection locked="0"/>
    </xf>
    <xf numFmtId="0" fontId="3" fillId="5" borderId="10" xfId="4" applyAlignment="1">
      <alignment horizontal="center" vertical="center"/>
      <protection locked="0"/>
    </xf>
    <xf numFmtId="0" fontId="3" fillId="5" borderId="10" xfId="4" applyAlignment="1">
      <alignment vertical="top" wrapText="1"/>
      <protection locked="0"/>
    </xf>
    <xf numFmtId="0" fontId="3" fillId="5" borderId="10" xfId="4" applyAlignment="1">
      <alignment horizontal="center" vertical="center" wrapText="1"/>
      <protection locked="0"/>
    </xf>
    <xf numFmtId="0" fontId="5" fillId="5" borderId="10" xfId="4" applyFont="1" applyAlignment="1">
      <alignment horizontal="center" vertical="center" wrapText="1"/>
      <protection locked="0"/>
    </xf>
    <xf numFmtId="0" fontId="3" fillId="5" borderId="11" xfId="4" applyBorder="1" applyAlignment="1">
      <alignment horizontal="center" vertical="center"/>
      <protection locked="0"/>
    </xf>
    <xf numFmtId="0" fontId="3" fillId="5" borderId="16" xfId="4" applyBorder="1" applyAlignment="1">
      <alignment horizontal="center" vertical="center"/>
      <protection locked="0"/>
    </xf>
    <xf numFmtId="0" fontId="3" fillId="5" borderId="7" xfId="4" applyBorder="1" applyAlignment="1">
      <alignment horizontal="center" vertical="center"/>
      <protection locked="0"/>
    </xf>
    <xf numFmtId="0" fontId="3" fillId="5" borderId="3" xfId="4" applyBorder="1" applyAlignment="1">
      <alignment horizontal="center" vertical="center"/>
      <protection locked="0"/>
    </xf>
    <xf numFmtId="0" fontId="3" fillId="5" borderId="0" xfId="4" applyBorder="1" applyAlignment="1">
      <alignment horizontal="center" vertical="center"/>
      <protection locked="0"/>
    </xf>
    <xf numFmtId="0" fontId="3" fillId="5" borderId="1" xfId="4" applyBorder="1" applyAlignment="1">
      <alignment horizontal="center" vertical="center"/>
      <protection locked="0"/>
    </xf>
    <xf numFmtId="0" fontId="3" fillId="5" borderId="17" xfId="4" applyBorder="1" applyAlignment="1">
      <alignment horizontal="center" vertical="center"/>
      <protection locked="0"/>
    </xf>
    <xf numFmtId="0" fontId="3" fillId="5" borderId="12" xfId="4" applyBorder="1" applyAlignment="1">
      <alignment horizontal="center" vertical="center"/>
      <protection locked="0"/>
    </xf>
    <xf numFmtId="0" fontId="3" fillId="5" borderId="5" xfId="4" applyBorder="1" applyAlignment="1">
      <alignment horizontal="center" vertical="center"/>
      <protection locked="0"/>
    </xf>
    <xf numFmtId="0" fontId="3" fillId="5" borderId="11" xfId="4" applyBorder="1" applyAlignment="1">
      <alignment horizontal="center" vertical="center" wrapText="1"/>
      <protection locked="0"/>
    </xf>
    <xf numFmtId="0" fontId="3" fillId="5" borderId="16" xfId="4" applyBorder="1" applyAlignment="1">
      <alignment horizontal="center" vertical="center" wrapText="1"/>
      <protection locked="0"/>
    </xf>
    <xf numFmtId="0" fontId="3" fillId="5" borderId="7" xfId="4" applyBorder="1" applyAlignment="1">
      <alignment horizontal="center" vertical="center" wrapText="1"/>
      <protection locked="0"/>
    </xf>
    <xf numFmtId="0" fontId="3" fillId="5" borderId="3" xfId="4" applyBorder="1" applyAlignment="1">
      <alignment horizontal="center" vertical="center" wrapText="1"/>
      <protection locked="0"/>
    </xf>
    <xf numFmtId="0" fontId="3" fillId="5" borderId="0" xfId="4" applyBorder="1" applyAlignment="1">
      <alignment horizontal="center" vertical="center" wrapText="1"/>
      <protection locked="0"/>
    </xf>
    <xf numFmtId="0" fontId="3" fillId="5" borderId="1" xfId="4" applyBorder="1" applyAlignment="1">
      <alignment horizontal="center" vertical="center" wrapText="1"/>
      <protection locked="0"/>
    </xf>
    <xf numFmtId="0" fontId="3" fillId="5" borderId="17" xfId="4" applyBorder="1" applyAlignment="1">
      <alignment horizontal="center" vertical="center" wrapText="1"/>
      <protection locked="0"/>
    </xf>
    <xf numFmtId="0" fontId="3" fillId="5" borderId="12" xfId="4" applyBorder="1" applyAlignment="1">
      <alignment horizontal="center" vertical="center" wrapText="1"/>
      <protection locked="0"/>
    </xf>
    <xf numFmtId="0" fontId="3" fillId="5" borderId="5" xfId="4" applyBorder="1" applyAlignment="1">
      <alignment horizontal="center" vertical="center" wrapText="1"/>
      <protection locked="0"/>
    </xf>
    <xf numFmtId="0" fontId="7" fillId="5" borderId="11" xfId="4" applyFont="1" applyBorder="1" applyAlignment="1">
      <alignment horizontal="left" vertical="top" wrapText="1"/>
      <protection locked="0"/>
    </xf>
    <xf numFmtId="0" fontId="3" fillId="5" borderId="16" xfId="4" applyBorder="1" applyAlignment="1">
      <alignment horizontal="left" vertical="top" wrapText="1"/>
      <protection locked="0"/>
    </xf>
    <xf numFmtId="0" fontId="3" fillId="5" borderId="7" xfId="4" applyBorder="1" applyAlignment="1">
      <alignment horizontal="left" vertical="top" wrapText="1"/>
      <protection locked="0"/>
    </xf>
    <xf numFmtId="0" fontId="3" fillId="5" borderId="3" xfId="4" applyBorder="1" applyAlignment="1">
      <alignment horizontal="left" vertical="top" wrapText="1"/>
      <protection locked="0"/>
    </xf>
    <xf numFmtId="0" fontId="3" fillId="5" borderId="0" xfId="4" applyBorder="1" applyAlignment="1">
      <alignment horizontal="left" vertical="top" wrapText="1"/>
      <protection locked="0"/>
    </xf>
    <xf numFmtId="0" fontId="3" fillId="5" borderId="1" xfId="4" applyBorder="1" applyAlignment="1">
      <alignment horizontal="left" vertical="top" wrapText="1"/>
      <protection locked="0"/>
    </xf>
    <xf numFmtId="0" fontId="3" fillId="5" borderId="17" xfId="4" applyBorder="1" applyAlignment="1">
      <alignment horizontal="left" vertical="top" wrapText="1"/>
      <protection locked="0"/>
    </xf>
    <xf numFmtId="0" fontId="3" fillId="5" borderId="12" xfId="4" applyBorder="1" applyAlignment="1">
      <alignment horizontal="left" vertical="top" wrapText="1"/>
      <protection locked="0"/>
    </xf>
    <xf numFmtId="0" fontId="3" fillId="5" borderId="5" xfId="4" applyBorder="1" applyAlignment="1">
      <alignment horizontal="left" vertical="top" wrapText="1"/>
      <protection locked="0"/>
    </xf>
    <xf numFmtId="0" fontId="1" fillId="3" borderId="0" xfId="7" applyFont="1" applyAlignment="1">
      <alignment horizontal="center" vertical="center"/>
    </xf>
    <xf numFmtId="0" fontId="1" fillId="3" borderId="12" xfId="7" applyFont="1" applyBorder="1" applyAlignment="1">
      <alignment horizontal="center" vertical="center"/>
    </xf>
    <xf numFmtId="0" fontId="7" fillId="5" borderId="10" xfId="4" applyFont="1" applyAlignment="1">
      <alignment vertical="top" wrapText="1"/>
      <protection locked="0"/>
    </xf>
    <xf numFmtId="0" fontId="14" fillId="3" borderId="0" xfId="7" applyAlignment="1">
      <alignment horizontal="center" vertical="center"/>
    </xf>
    <xf numFmtId="0" fontId="14" fillId="3" borderId="12" xfId="7" applyBorder="1" applyAlignment="1">
      <alignment horizontal="center"/>
    </xf>
    <xf numFmtId="0" fontId="3" fillId="5" borderId="11" xfId="4" applyBorder="1" applyAlignment="1">
      <alignment horizontal="center"/>
      <protection locked="0"/>
    </xf>
    <xf numFmtId="0" fontId="3" fillId="5" borderId="16" xfId="4" applyBorder="1" applyAlignment="1">
      <alignment horizontal="center"/>
      <protection locked="0"/>
    </xf>
    <xf numFmtId="0" fontId="3" fillId="5" borderId="7" xfId="4" applyBorder="1" applyAlignment="1">
      <alignment horizontal="center"/>
      <protection locked="0"/>
    </xf>
    <xf numFmtId="0" fontId="3" fillId="5" borderId="3" xfId="4" applyBorder="1" applyAlignment="1">
      <alignment horizontal="center"/>
      <protection locked="0"/>
    </xf>
    <xf numFmtId="0" fontId="3" fillId="5" borderId="1" xfId="4" applyBorder="1" applyAlignment="1">
      <alignment horizontal="center"/>
      <protection locked="0"/>
    </xf>
    <xf numFmtId="0" fontId="3" fillId="5" borderId="17" xfId="4" applyBorder="1" applyAlignment="1">
      <alignment horizontal="center"/>
      <protection locked="0"/>
    </xf>
    <xf numFmtId="0" fontId="3" fillId="5" borderId="12" xfId="4" applyBorder="1" applyAlignment="1">
      <alignment horizontal="center"/>
      <protection locked="0"/>
    </xf>
    <xf numFmtId="0" fontId="3" fillId="5" borderId="5" xfId="4" applyBorder="1" applyAlignment="1">
      <alignment horizontal="center"/>
      <protection locked="0"/>
    </xf>
    <xf numFmtId="0" fontId="0" fillId="4" borderId="0" xfId="0" applyFill="1" applyAlignment="1" applyProtection="1">
      <alignment horizontal="center" vertical="center"/>
      <protection hidden="1"/>
    </xf>
    <xf numFmtId="0" fontId="5" fillId="8" borderId="24" xfId="3" quotePrefix="1" applyFont="1" applyAlignment="1">
      <alignment horizontal="left" vertical="top" wrapText="1"/>
    </xf>
    <xf numFmtId="0" fontId="5" fillId="8" borderId="24" xfId="3" applyFont="1" applyAlignment="1">
      <alignment horizontal="left" vertical="top" wrapText="1"/>
    </xf>
    <xf numFmtId="0" fontId="4" fillId="5" borderId="10" xfId="2" applyFont="1" applyFill="1" applyBorder="1" applyAlignment="1" applyProtection="1">
      <alignment horizontal="left"/>
      <protection locked="0"/>
    </xf>
    <xf numFmtId="0" fontId="14" fillId="3" borderId="36" xfId="7" applyBorder="1" applyAlignment="1">
      <alignment horizontal="center"/>
    </xf>
    <xf numFmtId="0" fontId="14" fillId="0" borderId="12" xfId="8" applyBorder="1">
      <alignment horizontal="center"/>
    </xf>
    <xf numFmtId="0" fontId="8" fillId="5" borderId="10" xfId="2" applyFill="1" applyBorder="1" applyAlignment="1" applyProtection="1">
      <alignment horizontal="left"/>
      <protection locked="0"/>
    </xf>
    <xf numFmtId="0" fontId="0" fillId="8" borderId="27" xfId="3" quotePrefix="1" applyFont="1" applyBorder="1" applyAlignment="1">
      <alignment horizontal="left" vertical="top" wrapText="1"/>
    </xf>
    <xf numFmtId="0" fontId="0" fillId="8" borderId="25" xfId="3" applyFont="1" applyBorder="1" applyAlignment="1">
      <alignment horizontal="left" vertical="top"/>
    </xf>
    <xf numFmtId="0" fontId="0" fillId="8" borderId="30" xfId="3" applyFont="1" applyBorder="1" applyAlignment="1">
      <alignment horizontal="left" vertical="top"/>
    </xf>
    <xf numFmtId="0" fontId="0" fillId="8" borderId="24" xfId="3" quotePrefix="1" applyFont="1" applyAlignment="1">
      <alignment horizontal="left" vertical="top" wrapText="1"/>
    </xf>
    <xf numFmtId="0" fontId="0" fillId="8" borderId="24" xfId="3" applyFont="1" applyAlignment="1">
      <alignment horizontal="left" vertical="top" wrapText="1"/>
    </xf>
    <xf numFmtId="0" fontId="0" fillId="8" borderId="40" xfId="3" quotePrefix="1" applyFont="1" applyBorder="1" applyAlignment="1">
      <alignment horizontal="left" vertical="top" wrapText="1"/>
    </xf>
    <xf numFmtId="0" fontId="0" fillId="8" borderId="27" xfId="3" applyFont="1" applyBorder="1" applyAlignment="1">
      <alignment horizontal="left" vertical="top" wrapText="1"/>
    </xf>
    <xf numFmtId="0" fontId="0" fillId="8" borderId="0" xfId="3" applyFont="1" applyBorder="1" applyAlignment="1">
      <alignment horizontal="left" vertical="top" wrapText="1"/>
    </xf>
    <xf numFmtId="0" fontId="0" fillId="8" borderId="25" xfId="3" applyFont="1" applyBorder="1" applyAlignment="1">
      <alignment horizontal="left" vertical="top" wrapText="1"/>
    </xf>
    <xf numFmtId="0" fontId="0" fillId="8" borderId="36" xfId="3" applyFont="1" applyBorder="1" applyAlignment="1">
      <alignment horizontal="left" vertical="top" wrapText="1"/>
    </xf>
    <xf numFmtId="0" fontId="0" fillId="8" borderId="30" xfId="3" applyFont="1" applyBorder="1" applyAlignment="1">
      <alignment horizontal="left" vertical="top" wrapText="1"/>
    </xf>
    <xf numFmtId="0" fontId="0" fillId="8" borderId="24" xfId="3" applyFont="1" applyAlignment="1">
      <alignment horizontal="left" vertical="top"/>
    </xf>
    <xf numFmtId="0" fontId="0" fillId="7" borderId="13" xfId="0" applyFill="1" applyBorder="1" applyAlignment="1">
      <alignment horizontal="center"/>
    </xf>
    <xf numFmtId="0" fontId="0" fillId="7" borderId="14" xfId="0" applyFill="1" applyBorder="1" applyAlignment="1">
      <alignment horizontal="center"/>
    </xf>
    <xf numFmtId="0" fontId="14" fillId="0" borderId="35" xfId="8" applyBorder="1" applyAlignment="1">
      <alignment horizontal="center" vertical="center"/>
    </xf>
    <xf numFmtId="0" fontId="14" fillId="0" borderId="0" xfId="8" applyAlignment="1">
      <alignment horizontal="center" vertical="center"/>
    </xf>
    <xf numFmtId="0" fontId="0" fillId="4" borderId="16" xfId="0" applyFill="1" applyBorder="1" applyAlignment="1" applyProtection="1">
      <alignment horizontal="center" vertical="center"/>
      <protection hidden="1"/>
    </xf>
    <xf numFmtId="0" fontId="10" fillId="5" borderId="16" xfId="4" applyFont="1" applyBorder="1" applyAlignment="1">
      <alignment horizontal="left" vertical="top" wrapText="1"/>
      <protection locked="0"/>
    </xf>
    <xf numFmtId="0" fontId="14" fillId="0" borderId="0" xfId="8">
      <alignment horizontal="center"/>
    </xf>
    <xf numFmtId="0" fontId="14" fillId="0" borderId="1" xfId="8" applyBorder="1">
      <alignment horizontal="center"/>
    </xf>
    <xf numFmtId="0" fontId="9" fillId="10" borderId="0" xfId="0" applyFont="1" applyFill="1" applyAlignment="1">
      <alignment horizontal="center" vertical="center" wrapText="1"/>
    </xf>
    <xf numFmtId="0" fontId="9" fillId="10" borderId="0" xfId="0" applyFont="1" applyFill="1" applyAlignment="1">
      <alignment horizontal="center" vertical="center"/>
    </xf>
    <xf numFmtId="0" fontId="3" fillId="5" borderId="11" xfId="4" applyBorder="1" applyAlignment="1">
      <alignment horizontal="left" vertical="top" wrapText="1"/>
      <protection locked="0"/>
    </xf>
    <xf numFmtId="0" fontId="14" fillId="7" borderId="13" xfId="6" applyFill="1" applyBorder="1" applyAlignment="1">
      <alignment horizontal="center"/>
    </xf>
    <xf numFmtId="0" fontId="14" fillId="7" borderId="15" xfId="6" applyFill="1" applyBorder="1" applyAlignment="1">
      <alignment horizontal="center"/>
    </xf>
    <xf numFmtId="0" fontId="5" fillId="5" borderId="11" xfId="4" applyFont="1" applyBorder="1" applyAlignment="1">
      <alignment horizontal="left" vertical="top" wrapText="1"/>
      <protection locked="0"/>
    </xf>
    <xf numFmtId="0" fontId="3" fillId="5" borderId="10" xfId="4" applyAlignment="1" applyProtection="1">
      <alignment horizontal="center" vertical="center"/>
    </xf>
    <xf numFmtId="0" fontId="7" fillId="5" borderId="16" xfId="4" applyFont="1" applyBorder="1" applyAlignment="1">
      <alignment horizontal="left" vertical="top" wrapText="1"/>
      <protection locked="0"/>
    </xf>
    <xf numFmtId="0" fontId="14" fillId="7" borderId="14" xfId="6" applyFill="1" applyBorder="1" applyAlignment="1">
      <alignment horizontal="center"/>
    </xf>
    <xf numFmtId="0" fontId="14" fillId="0" borderId="13" xfId="6" applyFill="1" applyBorder="1" applyAlignment="1">
      <alignment horizontal="center"/>
    </xf>
    <xf numFmtId="0" fontId="14" fillId="0" borderId="14" xfId="6" applyFill="1" applyBorder="1" applyAlignment="1">
      <alignment horizontal="center"/>
    </xf>
    <xf numFmtId="0" fontId="14" fillId="0" borderId="15" xfId="6" applyFill="1" applyBorder="1" applyAlignment="1">
      <alignment horizontal="center"/>
    </xf>
    <xf numFmtId="0" fontId="14" fillId="0" borderId="32" xfId="8" applyBorder="1">
      <alignment horizontal="center"/>
    </xf>
    <xf numFmtId="0" fontId="14" fillId="0" borderId="12" xfId="8" applyBorder="1" applyAlignment="1">
      <alignment horizontal="center" wrapText="1"/>
    </xf>
    <xf numFmtId="0" fontId="14" fillId="7" borderId="13" xfId="6" applyFill="1" applyBorder="1" applyAlignment="1">
      <alignment horizontal="left"/>
    </xf>
    <xf numFmtId="0" fontId="14" fillId="7" borderId="14" xfId="6" applyFill="1" applyBorder="1" applyAlignment="1">
      <alignment horizontal="left"/>
    </xf>
    <xf numFmtId="0" fontId="14" fillId="7" borderId="15" xfId="6" applyFill="1" applyBorder="1" applyAlignment="1">
      <alignment horizontal="left"/>
    </xf>
    <xf numFmtId="0" fontId="3" fillId="5" borderId="6" xfId="4" applyBorder="1" applyAlignment="1">
      <alignment horizontal="center"/>
      <protection locked="0"/>
    </xf>
    <xf numFmtId="0" fontId="3" fillId="5" borderId="10" xfId="4" applyAlignment="1">
      <protection locked="0"/>
    </xf>
    <xf numFmtId="0" fontId="4" fillId="5" borderId="10" xfId="2" applyFont="1" applyFill="1" applyBorder="1" applyAlignment="1" applyProtection="1">
      <protection locked="0"/>
    </xf>
    <xf numFmtId="0" fontId="14" fillId="0" borderId="0" xfId="8" applyAlignment="1">
      <alignment horizontal="left" vertical="top"/>
    </xf>
    <xf numFmtId="0" fontId="14" fillId="0" borderId="1" xfId="8" applyBorder="1" applyAlignment="1">
      <alignment horizontal="left" vertical="top"/>
    </xf>
    <xf numFmtId="0" fontId="0" fillId="7" borderId="19" xfId="0" applyFill="1" applyBorder="1" applyAlignment="1">
      <alignment horizontal="center"/>
    </xf>
    <xf numFmtId="0" fontId="0" fillId="7" borderId="20" xfId="0" applyFill="1" applyBorder="1" applyAlignment="1">
      <alignment horizontal="center"/>
    </xf>
    <xf numFmtId="0" fontId="1" fillId="3" borderId="21" xfId="7" applyFont="1" applyBorder="1" applyAlignment="1">
      <alignment horizontal="center"/>
    </xf>
    <xf numFmtId="0" fontId="0" fillId="7" borderId="22" xfId="0" applyFill="1" applyBorder="1" applyAlignment="1">
      <alignment horizontal="center"/>
    </xf>
    <xf numFmtId="0" fontId="0" fillId="7" borderId="23" xfId="0" applyFill="1" applyBorder="1" applyAlignment="1">
      <alignment horizontal="center"/>
    </xf>
    <xf numFmtId="0" fontId="1" fillId="0" borderId="0" xfId="8" applyFont="1" applyAlignment="1">
      <alignment horizontal="center" vertical="center"/>
    </xf>
    <xf numFmtId="0" fontId="0" fillId="7" borderId="19" xfId="0" applyFill="1" applyBorder="1" applyAlignment="1">
      <alignment horizontal="center" vertical="center"/>
    </xf>
    <xf numFmtId="0" fontId="0" fillId="7" borderId="20" xfId="0" applyFill="1" applyBorder="1" applyAlignment="1">
      <alignment horizontal="center" vertical="center"/>
    </xf>
    <xf numFmtId="0" fontId="14" fillId="0" borderId="31" xfId="8" applyBorder="1" applyAlignment="1">
      <alignment horizontal="left" vertical="top"/>
    </xf>
    <xf numFmtId="0" fontId="8" fillId="5" borderId="3" xfId="2" applyFill="1" applyBorder="1" applyAlignment="1" applyProtection="1">
      <alignment horizontal="left" vertical="top" wrapText="1"/>
      <protection locked="0"/>
    </xf>
    <xf numFmtId="0" fontId="8" fillId="5" borderId="0" xfId="2" applyFill="1" applyBorder="1" applyAlignment="1" applyProtection="1">
      <alignment horizontal="left" vertical="top" wrapText="1"/>
      <protection locked="0"/>
    </xf>
    <xf numFmtId="0" fontId="0" fillId="8" borderId="26" xfId="3" applyFont="1" applyBorder="1" applyAlignment="1">
      <alignment horizontal="center" vertical="center" wrapText="1"/>
    </xf>
    <xf numFmtId="0" fontId="0" fillId="8" borderId="27" xfId="3" applyFont="1" applyBorder="1" applyAlignment="1">
      <alignment horizontal="center" vertical="center" wrapText="1"/>
    </xf>
    <xf numFmtId="0" fontId="0" fillId="8" borderId="28" xfId="3" applyFont="1" applyBorder="1" applyAlignment="1">
      <alignment horizontal="center" vertical="center" wrapText="1"/>
    </xf>
    <xf numFmtId="0" fontId="0" fillId="8" borderId="25" xfId="3" applyFont="1" applyBorder="1" applyAlignment="1">
      <alignment horizontal="center" vertical="center" wrapText="1"/>
    </xf>
    <xf numFmtId="0" fontId="0" fillId="8" borderId="29" xfId="3" applyFont="1" applyBorder="1" applyAlignment="1">
      <alignment horizontal="center" vertical="center" wrapText="1"/>
    </xf>
    <xf numFmtId="0" fontId="0" fillId="8" borderId="30" xfId="3" applyFont="1" applyBorder="1" applyAlignment="1">
      <alignment horizontal="center" vertical="center" wrapText="1"/>
    </xf>
    <xf numFmtId="0" fontId="7" fillId="5" borderId="11" xfId="4" applyFont="1" applyBorder="1" applyAlignment="1">
      <alignment horizontal="center" vertical="center" wrapText="1"/>
      <protection locked="0"/>
    </xf>
    <xf numFmtId="0" fontId="14" fillId="7" borderId="16" xfId="6" applyFill="1" applyBorder="1" applyAlignment="1">
      <alignment horizontal="center" vertical="center"/>
    </xf>
    <xf numFmtId="0" fontId="14" fillId="7" borderId="18" xfId="6" applyFill="1" applyBorder="1" applyAlignment="1">
      <alignment horizontal="center" vertical="center"/>
    </xf>
    <xf numFmtId="0" fontId="1" fillId="3" borderId="16" xfId="7" applyFont="1" applyBorder="1" applyAlignment="1">
      <alignment horizontal="center" vertical="center"/>
    </xf>
    <xf numFmtId="0" fontId="1" fillId="3" borderId="0" xfId="7" applyFont="1" applyBorder="1" applyAlignment="1">
      <alignment horizontal="center" vertical="center"/>
    </xf>
    <xf numFmtId="0" fontId="7" fillId="5" borderId="3" xfId="4" applyFont="1" applyBorder="1" applyAlignment="1">
      <alignment horizontal="left" vertical="top" wrapText="1"/>
      <protection locked="0"/>
    </xf>
    <xf numFmtId="0" fontId="3" fillId="5" borderId="25" xfId="4" applyBorder="1" applyAlignment="1">
      <alignment horizontal="left" vertical="top" wrapText="1"/>
      <protection locked="0"/>
    </xf>
    <xf numFmtId="0" fontId="1" fillId="3" borderId="16" xfId="7" applyFont="1" applyBorder="1" applyAlignment="1">
      <alignment horizontal="center" vertical="center" wrapText="1"/>
    </xf>
    <xf numFmtId="0" fontId="1" fillId="3" borderId="0" xfId="7" applyFont="1" applyAlignment="1">
      <alignment horizontal="center" vertical="center" wrapText="1"/>
    </xf>
    <xf numFmtId="0" fontId="3" fillId="5" borderId="8" xfId="4" applyBorder="1" applyAlignment="1">
      <alignment horizontal="left" vertical="center"/>
      <protection locked="0"/>
    </xf>
    <xf numFmtId="0" fontId="3" fillId="5" borderId="9" xfId="4" applyBorder="1" applyAlignment="1">
      <alignment horizontal="left" vertical="center"/>
      <protection locked="0"/>
    </xf>
    <xf numFmtId="0" fontId="14" fillId="0" borderId="0" xfId="8" applyAlignment="1">
      <alignment horizontal="right" wrapText="1"/>
    </xf>
    <xf numFmtId="0" fontId="14" fillId="0" borderId="1" xfId="8" applyBorder="1" applyAlignment="1">
      <alignment horizontal="right" wrapText="1"/>
    </xf>
    <xf numFmtId="0" fontId="3" fillId="5" borderId="2" xfId="4" applyBorder="1" applyAlignment="1">
      <alignment horizontal="center"/>
      <protection locked="0"/>
    </xf>
    <xf numFmtId="0" fontId="14" fillId="0" borderId="11" xfId="8" applyBorder="1" applyAlignment="1">
      <alignment horizontal="left" wrapText="1"/>
    </xf>
    <xf numFmtId="0" fontId="14" fillId="0" borderId="3" xfId="8" applyBorder="1" applyAlignment="1">
      <alignment horizontal="left" wrapText="1"/>
    </xf>
    <xf numFmtId="0" fontId="0" fillId="4" borderId="0" xfId="0" applyFill="1" applyAlignment="1" applyProtection="1">
      <alignment horizontal="center"/>
      <protection hidden="1"/>
    </xf>
    <xf numFmtId="0" fontId="7" fillId="5" borderId="10" xfId="4" applyFont="1" applyAlignment="1">
      <alignment horizontal="center" vertical="center" wrapText="1"/>
      <protection locked="0"/>
    </xf>
    <xf numFmtId="0" fontId="5" fillId="5" borderId="3" xfId="4" applyFont="1" applyBorder="1" applyAlignment="1">
      <alignment horizontal="left" vertical="top" wrapText="1"/>
      <protection locked="0"/>
    </xf>
    <xf numFmtId="0" fontId="14" fillId="0" borderId="1" xfId="8" applyBorder="1" applyAlignment="1">
      <alignment horizontal="center" vertical="center"/>
    </xf>
    <xf numFmtId="0" fontId="14" fillId="0" borderId="5" xfId="8" applyBorder="1" applyAlignment="1">
      <alignment horizontal="center" vertical="center"/>
    </xf>
    <xf numFmtId="0" fontId="2" fillId="5" borderId="2" xfId="4" applyFont="1" applyBorder="1" applyAlignment="1">
      <alignment horizontal="center" vertical="center" wrapText="1"/>
      <protection locked="0"/>
    </xf>
    <xf numFmtId="0" fontId="2" fillId="5" borderId="4" xfId="4" applyFont="1" applyBorder="1" applyAlignment="1">
      <alignment horizontal="center" vertical="center" wrapText="1"/>
      <protection locked="0"/>
    </xf>
    <xf numFmtId="0" fontId="2" fillId="5" borderId="6" xfId="4" applyFont="1" applyBorder="1" applyAlignment="1">
      <alignment horizontal="center" vertical="center" wrapText="1"/>
      <protection locked="0"/>
    </xf>
    <xf numFmtId="0" fontId="3" fillId="5" borderId="2" xfId="4" applyBorder="1" applyAlignment="1">
      <alignment horizontal="center" vertical="center"/>
      <protection locked="0"/>
    </xf>
    <xf numFmtId="0" fontId="3" fillId="5" borderId="4" xfId="4" applyBorder="1" applyAlignment="1">
      <alignment horizontal="center" vertical="center"/>
      <protection locked="0"/>
    </xf>
    <xf numFmtId="0" fontId="3" fillId="5" borderId="6" xfId="4" applyBorder="1" applyAlignment="1">
      <alignment horizontal="center" vertical="center"/>
      <protection locked="0"/>
    </xf>
    <xf numFmtId="0" fontId="3" fillId="5" borderId="2" xfId="4" applyBorder="1" applyAlignment="1">
      <alignment horizontal="center" vertical="center" wrapText="1"/>
      <protection locked="0"/>
    </xf>
    <xf numFmtId="0" fontId="3" fillId="5" borderId="4" xfId="4" applyBorder="1" applyAlignment="1">
      <alignment horizontal="center" vertical="center" wrapText="1"/>
      <protection locked="0"/>
    </xf>
    <xf numFmtId="0" fontId="3" fillId="5" borderId="6" xfId="4" applyBorder="1" applyAlignment="1">
      <alignment horizontal="center" vertical="center" wrapText="1"/>
      <protection locked="0"/>
    </xf>
    <xf numFmtId="0" fontId="0" fillId="4" borderId="3" xfId="0" applyFill="1" applyBorder="1" applyAlignment="1" applyProtection="1">
      <alignment horizontal="center" vertical="center"/>
      <protection hidden="1"/>
    </xf>
    <xf numFmtId="0" fontId="18" fillId="5" borderId="10" xfId="4" applyFont="1" applyAlignment="1">
      <alignment horizontal="left"/>
      <protection locked="0"/>
    </xf>
    <xf numFmtId="49" fontId="18" fillId="5" borderId="10" xfId="4" applyNumberFormat="1" applyFont="1" applyAlignment="1">
      <protection locked="0"/>
    </xf>
  </cellXfs>
  <cellStyles count="9">
    <cellStyle name="40% - 着色 1" xfId="6" builtinId="31"/>
    <cellStyle name="40% - 着色 6" xfId="7" builtinId="51"/>
    <cellStyle name="百分比" xfId="1" builtinId="5"/>
    <cellStyle name="标题行列" xfId="8" xr:uid="{00000000-0005-0000-0000-000031000000}"/>
    <cellStyle name="常规" xfId="0" builtinId="0"/>
    <cellStyle name="超链接" xfId="2" builtinId="8"/>
    <cellStyle name="计算" xfId="5" builtinId="22"/>
    <cellStyle name="输入" xfId="4" builtinId="20"/>
    <cellStyle name="注释" xfId="3" builtinId="10"/>
  </cellStyles>
  <dxfs count="38">
    <dxf>
      <font>
        <strike val="0"/>
        <color theme="0"/>
      </font>
      <fill>
        <patternFill patternType="solid">
          <bgColor theme="0"/>
        </patternFill>
      </fill>
      <border>
        <left/>
        <right/>
        <top/>
        <bottom/>
      </border>
    </dxf>
    <dxf>
      <font>
        <color theme="0"/>
      </font>
      <fill>
        <patternFill patternType="solid">
          <bgColor theme="0"/>
        </patternFill>
      </fill>
    </dxf>
    <dxf>
      <font>
        <color theme="2" tint="-9.9887081514938816E-2"/>
      </font>
      <fill>
        <patternFill patternType="solid">
          <bgColor theme="2" tint="-9.9887081514938816E-2"/>
        </patternFill>
      </fill>
      <border>
        <left/>
        <right/>
        <top/>
        <bottom/>
      </border>
    </dxf>
    <dxf>
      <font>
        <color theme="2" tint="-9.9887081514938816E-2"/>
      </font>
      <fill>
        <patternFill patternType="solid">
          <bgColor theme="2" tint="-9.9887081514938816E-2"/>
        </patternFill>
      </fill>
    </dxf>
    <dxf>
      <font>
        <color theme="2" tint="-9.9887081514938816E-2"/>
      </font>
      <fill>
        <patternFill patternType="solid">
          <bgColor theme="2" tint="-9.9887081514938816E-2"/>
        </patternFill>
      </fill>
      <border>
        <left/>
        <right/>
        <top/>
        <bottom/>
      </border>
    </dxf>
    <dxf>
      <font>
        <color theme="2" tint="-9.9887081514938816E-2"/>
      </font>
      <fill>
        <patternFill patternType="solid">
          <bgColor theme="2" tint="-9.9887081514938816E-2"/>
        </patternFill>
      </fill>
      <border>
        <left/>
        <right/>
        <top/>
        <bottom/>
      </border>
    </dxf>
    <dxf>
      <font>
        <color theme="0"/>
      </font>
      <fill>
        <patternFill patternType="solid">
          <bgColor theme="0"/>
        </patternFill>
      </fill>
    </dxf>
    <dxf>
      <font>
        <color rgb="FF9C0006"/>
      </font>
      <fill>
        <patternFill patternType="solid">
          <bgColor rgb="FFFFC7CE"/>
        </patternFill>
      </fill>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fill>
        <patternFill patternType="solid">
          <bgColor theme="0"/>
        </patternFill>
      </fill>
    </dxf>
    <dxf>
      <font>
        <color theme="0"/>
      </font>
      <fill>
        <patternFill patternType="solid">
          <bgColor theme="0"/>
        </patternFill>
      </fill>
    </dxf>
    <dxf>
      <font>
        <color theme="0"/>
      </font>
      <fill>
        <patternFill patternType="solid">
          <bgColor theme="0"/>
        </patternFill>
      </fill>
      <border>
        <left/>
        <right/>
        <top/>
        <bottom/>
      </border>
    </dxf>
    <dxf>
      <font>
        <color theme="0"/>
      </font>
      <fill>
        <patternFill patternType="solid">
          <bgColor theme="0"/>
        </patternFill>
      </fill>
    </dxf>
    <dxf>
      <font>
        <color theme="0"/>
      </font>
      <fill>
        <patternFill patternType="solid">
          <bgColor theme="0"/>
        </patternFill>
      </fill>
      <border>
        <left/>
        <right/>
        <top/>
        <bottom/>
      </border>
    </dxf>
    <dxf>
      <font>
        <color rgb="FF9C0006"/>
      </font>
      <fill>
        <patternFill patternType="solid">
          <bgColor rgb="FFFFC7CE"/>
        </patternFill>
      </fill>
    </dxf>
    <dxf>
      <font>
        <color rgb="FF9C0006"/>
      </font>
      <fill>
        <patternFill patternType="solid">
          <bgColor rgb="FFFFC7CE"/>
        </patternFill>
      </fill>
    </dxf>
    <dxf>
      <font>
        <color theme="2" tint="-9.9887081514938816E-2"/>
      </font>
      <fill>
        <patternFill patternType="solid">
          <bgColor theme="2" tint="-9.9887081514938816E-2"/>
        </patternFill>
      </fill>
    </dxf>
    <dxf>
      <font>
        <color theme="0"/>
      </font>
      <fill>
        <patternFill patternType="solid">
          <bgColor theme="0"/>
        </patternFill>
      </fill>
      <border>
        <left/>
        <right/>
        <top/>
        <bottom/>
      </border>
    </dxf>
    <dxf>
      <font>
        <color theme="2" tint="-9.9887081514938816E-2"/>
      </font>
      <fill>
        <patternFill patternType="solid">
          <bgColor theme="2" tint="-9.9887081514938816E-2"/>
        </patternFill>
      </fill>
    </dxf>
    <dxf>
      <font>
        <color theme="0"/>
      </font>
      <fill>
        <patternFill patternType="none"/>
      </fill>
      <border>
        <left/>
        <right/>
        <top/>
        <bottom/>
      </border>
    </dxf>
    <dxf>
      <font>
        <color theme="0"/>
      </font>
      <fill>
        <patternFill patternType="none"/>
      </fill>
    </dxf>
    <dxf>
      <font>
        <color theme="0"/>
      </font>
      <fill>
        <patternFill patternType="none"/>
      </fill>
      <border>
        <left/>
        <right/>
        <top/>
        <bottom/>
      </border>
    </dxf>
    <dxf>
      <font>
        <color theme="0"/>
      </font>
      <fill>
        <patternFill patternType="none"/>
      </fill>
      <border>
        <left/>
        <right/>
        <top/>
        <bottom/>
      </border>
    </dxf>
    <dxf>
      <font>
        <color theme="0"/>
      </font>
      <fill>
        <patternFill patternType="solid">
          <bgColor theme="0"/>
        </patternFill>
      </fill>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2" tint="-9.9887081514938816E-2"/>
      </font>
      <fill>
        <patternFill patternType="solid">
          <bgColor theme="2" tint="-9.9887081514938816E-2"/>
        </patternFill>
      </fill>
    </dxf>
    <dxf>
      <font>
        <color theme="0"/>
      </font>
      <fill>
        <patternFill patternType="none"/>
      </fill>
      <border>
        <left/>
        <right/>
        <top/>
        <bottom/>
      </border>
    </dxf>
    <dxf>
      <font>
        <color theme="0"/>
      </font>
      <fill>
        <patternFill patternType="none"/>
      </fill>
      <border>
        <left/>
        <right/>
        <top/>
        <bottom/>
      </border>
    </dxf>
    <dxf>
      <font>
        <color theme="0"/>
      </font>
      <fill>
        <patternFill patternType="none"/>
      </fill>
    </dxf>
    <dxf>
      <font>
        <color theme="0"/>
      </font>
      <fill>
        <patternFill patternType="none"/>
      </fill>
      <border>
        <left/>
        <right/>
        <top/>
        <bottom/>
      </border>
    </dxf>
    <dxf>
      <font>
        <color theme="0"/>
      </font>
      <fill>
        <patternFill patternType="none"/>
      </fill>
      <border>
        <left/>
        <right/>
        <top/>
        <bottom/>
      </border>
    </dxf>
    <dxf>
      <font>
        <color theme="0"/>
      </font>
      <fill>
        <patternFill patternType="solid">
          <bgColor theme="0"/>
        </patternFill>
      </fill>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rgb="FF9C0006"/>
      </font>
      <fill>
        <patternFill patternType="solid">
          <bgColor rgb="FFFFC7CE"/>
        </patternFill>
      </fill>
    </dxf>
  </dxfs>
  <tableStyles count="1" defaultTableStyle="TableStyleMedium2" defaultPivotStyle="PivotStyleLight16">
    <tableStyle name="Invisible" pivot="0" table="0" count="0" xr9:uid="{31FF5821-0663-4D6F-9447-C390D25C6A4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APPS1</c:v>
          </c:tx>
          <c:spPr>
            <a:ln w="19050" cap="rnd">
              <a:solidFill>
                <a:schemeClr val="accent1"/>
              </a:solidFill>
              <a:round/>
            </a:ln>
            <a:effectLst/>
          </c:spPr>
          <c:marker>
            <c:symbol val="none"/>
          </c:marker>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Security'!$B$7:$B$12</c:f>
              <c:numCache>
                <c:formatCode>General</c:formatCode>
                <c:ptCount val="6"/>
                <c:pt idx="0">
                  <c:v>0.504</c:v>
                </c:pt>
                <c:pt idx="1">
                  <c:v>0.65200000000000002</c:v>
                </c:pt>
                <c:pt idx="2">
                  <c:v>1.468</c:v>
                </c:pt>
                <c:pt idx="3">
                  <c:v>2.2679999999999998</c:v>
                </c:pt>
                <c:pt idx="4">
                  <c:v>3.036</c:v>
                </c:pt>
                <c:pt idx="5">
                  <c:v>3.9580000000000002</c:v>
                </c:pt>
              </c:numCache>
            </c:numRef>
          </c:yVal>
          <c:smooth val="0"/>
          <c:extLst>
            <c:ext xmlns:c16="http://schemas.microsoft.com/office/drawing/2014/chart" uri="{C3380CC4-5D6E-409C-BE32-E72D297353CC}">
              <c16:uniqueId val="{00000000-CAF2-4E62-93D0-2D6ACFE9034D}"/>
            </c:ext>
          </c:extLst>
        </c:ser>
        <c:ser>
          <c:idx val="1"/>
          <c:order val="1"/>
          <c:tx>
            <c:v>APPS2</c:v>
          </c:tx>
          <c:spPr>
            <a:ln w="19050" cap="rnd">
              <a:solidFill>
                <a:schemeClr val="accent2"/>
              </a:solidFill>
              <a:round/>
            </a:ln>
            <a:effectLst/>
          </c:spPr>
          <c:marker>
            <c:symbol val="none"/>
          </c:marker>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Security'!$D$7:$D$12</c:f>
              <c:numCache>
                <c:formatCode>General</c:formatCode>
                <c:ptCount val="6"/>
                <c:pt idx="0">
                  <c:v>0.252</c:v>
                </c:pt>
                <c:pt idx="1">
                  <c:v>0.379</c:v>
                </c:pt>
                <c:pt idx="2">
                  <c:v>0.78300000000000003</c:v>
                </c:pt>
                <c:pt idx="3">
                  <c:v>1.1779999999999999</c:v>
                </c:pt>
                <c:pt idx="4">
                  <c:v>1.544</c:v>
                </c:pt>
                <c:pt idx="5">
                  <c:v>2</c:v>
                </c:pt>
              </c:numCache>
            </c:numRef>
          </c:yVal>
          <c:smooth val="0"/>
          <c:extLst>
            <c:ext xmlns:c16="http://schemas.microsoft.com/office/drawing/2014/chart" uri="{C3380CC4-5D6E-409C-BE32-E72D297353CC}">
              <c16:uniqueId val="{00000001-CAF2-4E62-93D0-2D6ACFE9034D}"/>
            </c:ext>
          </c:extLst>
        </c:ser>
        <c:dLbls>
          <c:showLegendKey val="0"/>
          <c:showVal val="0"/>
          <c:showCatName val="0"/>
          <c:showSerName val="0"/>
          <c:showPercent val="0"/>
          <c:showBubbleSize val="0"/>
        </c:dLbls>
        <c:axId val="664187487"/>
        <c:axId val="664192479"/>
      </c:scatterChart>
      <c:valAx>
        <c:axId val="66418748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踏板行程 </a:t>
                </a:r>
                <a:r>
                  <a:rPr lang="en-US" altLang="zh-CN"/>
                  <a:t>travel</a:t>
                </a:r>
                <a:r>
                  <a:rPr lang="en-US"/>
                  <a:t>[%]</a:t>
                </a:r>
              </a:p>
            </c:rich>
          </c:tx>
          <c:overlay val="0"/>
          <c:spPr>
            <a:noFill/>
            <a:ln>
              <a:noFill/>
            </a:ln>
            <a:effectLst/>
          </c:spPr>
          <c:txPr>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64192479"/>
        <c:crosses val="autoZero"/>
        <c:crossBetween val="midCat"/>
      </c:valAx>
      <c:valAx>
        <c:axId val="66419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传感器输出 </a:t>
                </a:r>
                <a:r>
                  <a:rPr lang="en-US" altLang="zh-CN"/>
                  <a:t>Output </a:t>
                </a:r>
                <a:r>
                  <a:rPr lang="en-US" baseline="0"/>
                  <a:t>[V]</a:t>
                </a:r>
                <a:endParaRPr lang="en-US"/>
              </a:p>
            </c:rich>
          </c:tx>
          <c:overlay val="0"/>
          <c:spPr>
            <a:noFill/>
            <a:ln>
              <a:noFill/>
            </a:ln>
            <a:effectLst/>
          </c:spPr>
          <c:txPr>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6641874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8c4150a0-ec3a-40d0-89e6-39667b63b3f5}"/>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png"/><Relationship Id="rId3" Type="http://schemas.openxmlformats.org/officeDocument/2006/relationships/image" Target="../media/image7.png"/><Relationship Id="rId7" Type="http://schemas.openxmlformats.org/officeDocument/2006/relationships/image" Target="../media/image11.png"/><Relationship Id="rId12" Type="http://schemas.openxmlformats.org/officeDocument/2006/relationships/image" Target="../media/image16.png"/><Relationship Id="rId17" Type="http://schemas.openxmlformats.org/officeDocument/2006/relationships/image" Target="../media/image21.png"/><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5" Type="http://schemas.openxmlformats.org/officeDocument/2006/relationships/image" Target="../media/image1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5" Type="http://schemas.openxmlformats.org/officeDocument/2006/relationships/image" Target="../media/image26.svg"/><Relationship Id="rId4" Type="http://schemas.openxmlformats.org/officeDocument/2006/relationships/image" Target="../media/image2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13" Type="http://schemas.openxmlformats.org/officeDocument/2006/relationships/image" Target="../media/image39.svg"/><Relationship Id="rId3" Type="http://schemas.openxmlformats.org/officeDocument/2006/relationships/image" Target="../media/image29.png"/><Relationship Id="rId7" Type="http://schemas.openxmlformats.org/officeDocument/2006/relationships/image" Target="../media/image33.png"/><Relationship Id="rId12" Type="http://schemas.openxmlformats.org/officeDocument/2006/relationships/image" Target="../media/image38.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11" Type="http://schemas.openxmlformats.org/officeDocument/2006/relationships/image" Target="../media/image37.png"/><Relationship Id="rId5" Type="http://schemas.openxmlformats.org/officeDocument/2006/relationships/image" Target="../media/image31.pn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 Id="rId14" Type="http://schemas.openxmlformats.org/officeDocument/2006/relationships/image" Target="../media/image40.png"/></Relationships>
</file>

<file path=xl/drawings/_rels/drawing7.xml.rels><?xml version="1.0" encoding="UTF-8" standalone="yes"?>
<Relationships xmlns="http://schemas.openxmlformats.org/package/2006/relationships"><Relationship Id="rId2" Type="http://schemas.openxmlformats.org/officeDocument/2006/relationships/image" Target="../media/image42.png"/><Relationship Id="rId1" Type="http://schemas.openxmlformats.org/officeDocument/2006/relationships/image" Target="../media/image41.png"/></Relationships>
</file>

<file path=xl/drawings/_rels/drawing8.xml.rels><?xml version="1.0" encoding="UTF-8" standalone="yes"?>
<Relationships xmlns="http://schemas.openxmlformats.org/package/2006/relationships"><Relationship Id="rId8" Type="http://schemas.openxmlformats.org/officeDocument/2006/relationships/image" Target="../media/image50.png"/><Relationship Id="rId13" Type="http://schemas.openxmlformats.org/officeDocument/2006/relationships/image" Target="../media/image41.png"/><Relationship Id="rId3" Type="http://schemas.openxmlformats.org/officeDocument/2006/relationships/image" Target="../media/image45.jpeg"/><Relationship Id="rId7" Type="http://schemas.openxmlformats.org/officeDocument/2006/relationships/image" Target="../media/image49.png"/><Relationship Id="rId12" Type="http://schemas.openxmlformats.org/officeDocument/2006/relationships/image" Target="../media/image54.png"/><Relationship Id="rId2" Type="http://schemas.openxmlformats.org/officeDocument/2006/relationships/image" Target="../media/image44.jpeg"/><Relationship Id="rId1" Type="http://schemas.openxmlformats.org/officeDocument/2006/relationships/image" Target="../media/image43.png"/><Relationship Id="rId6" Type="http://schemas.openxmlformats.org/officeDocument/2006/relationships/image" Target="../media/image48.png"/><Relationship Id="rId11" Type="http://schemas.openxmlformats.org/officeDocument/2006/relationships/image" Target="../media/image53.png"/><Relationship Id="rId5" Type="http://schemas.openxmlformats.org/officeDocument/2006/relationships/image" Target="../media/image47.png"/><Relationship Id="rId10" Type="http://schemas.openxmlformats.org/officeDocument/2006/relationships/image" Target="../media/image52.png"/><Relationship Id="rId4" Type="http://schemas.openxmlformats.org/officeDocument/2006/relationships/image" Target="../media/image46.jpeg"/><Relationship Id="rId9"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xdr:from>
      <xdr:col>4</xdr:col>
      <xdr:colOff>2118995</xdr:colOff>
      <xdr:row>59</xdr:row>
      <xdr:rowOff>80010</xdr:rowOff>
    </xdr:from>
    <xdr:to>
      <xdr:col>6</xdr:col>
      <xdr:colOff>203835</xdr:colOff>
      <xdr:row>62</xdr:row>
      <xdr:rowOff>26035</xdr:rowOff>
    </xdr:to>
    <xdr:sp macro="" textlink="">
      <xdr:nvSpPr>
        <xdr:cNvPr id="3" name="文本框 2">
          <a:extLst>
            <a:ext uri="{FF2B5EF4-FFF2-40B4-BE49-F238E27FC236}">
              <a16:creationId xmlns:a16="http://schemas.microsoft.com/office/drawing/2014/main" id="{00000000-0008-0000-0100-000003000000}"/>
            </a:ext>
          </a:extLst>
        </xdr:cNvPr>
        <xdr:cNvSpPr txBox="1"/>
      </xdr:nvSpPr>
      <xdr:spPr>
        <a:xfrm>
          <a:off x="10558145" y="23619460"/>
          <a:ext cx="2358390" cy="479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a:solidFill>
                <a:srgbClr val="FF0000"/>
              </a:solidFill>
            </a:rPr>
            <a:t>功率跌落后依旧满足TSMP人体保护需求证明位于注释处</a:t>
          </a:r>
        </a:p>
      </xdr:txBody>
    </xdr:sp>
    <xdr:clientData/>
  </xdr:twoCellAnchor>
  <xdr:twoCellAnchor>
    <xdr:from>
      <xdr:col>1</xdr:col>
      <xdr:colOff>1878330</xdr:colOff>
      <xdr:row>0</xdr:row>
      <xdr:rowOff>114935</xdr:rowOff>
    </xdr:from>
    <xdr:to>
      <xdr:col>4</xdr:col>
      <xdr:colOff>137160</xdr:colOff>
      <xdr:row>13</xdr:row>
      <xdr:rowOff>69850</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3281680" y="114935"/>
          <a:ext cx="5294630" cy="2266315"/>
        </a:xfrm>
        <a:prstGeom prst="rect">
          <a:avLst/>
        </a:prstGeom>
        <a:noFill/>
        <a:ln w="28575">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647700</xdr:colOff>
      <xdr:row>3</xdr:row>
      <xdr:rowOff>200660</xdr:rowOff>
    </xdr:from>
    <xdr:to>
      <xdr:col>23</xdr:col>
      <xdr:colOff>45085</xdr:colOff>
      <xdr:row>15</xdr:row>
      <xdr:rowOff>353695</xdr:rowOff>
    </xdr:to>
    <xdr:pic>
      <xdr:nvPicPr>
        <xdr:cNvPr id="4" name="图片 3" descr="电池箱内部原理图">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l="11171" t="9658" r="4820" b="18357"/>
        <a:stretch>
          <a:fillRect/>
        </a:stretch>
      </xdr:blipFill>
      <xdr:spPr>
        <a:xfrm>
          <a:off x="8883650" y="1195070"/>
          <a:ext cx="8236585" cy="5052695"/>
        </a:xfrm>
        <a:prstGeom prst="rect">
          <a:avLst/>
        </a:prstGeom>
      </xdr:spPr>
    </xdr:pic>
    <xdr:clientData/>
  </xdr:twoCellAnchor>
  <xdr:twoCellAnchor>
    <xdr:from>
      <xdr:col>12</xdr:col>
      <xdr:colOff>774700</xdr:colOff>
      <xdr:row>4</xdr:row>
      <xdr:rowOff>184150</xdr:rowOff>
    </xdr:from>
    <xdr:to>
      <xdr:col>16</xdr:col>
      <xdr:colOff>281940</xdr:colOff>
      <xdr:row>5</xdr:row>
      <xdr:rowOff>68580</xdr:rowOff>
    </xdr:to>
    <xdr:sp macro="" textlink="">
      <xdr:nvSpPr>
        <xdr:cNvPr id="2" name="矩形 1">
          <a:extLst>
            <a:ext uri="{FF2B5EF4-FFF2-40B4-BE49-F238E27FC236}">
              <a16:creationId xmlns:a16="http://schemas.microsoft.com/office/drawing/2014/main" id="{00000000-0008-0000-0200-000002000000}"/>
            </a:ext>
          </a:extLst>
        </xdr:cNvPr>
        <xdr:cNvSpPr/>
      </xdr:nvSpPr>
      <xdr:spPr>
        <a:xfrm>
          <a:off x="9696450" y="1586865"/>
          <a:ext cx="2860040" cy="292735"/>
        </a:xfrm>
        <a:prstGeom prst="rect">
          <a:avLst/>
        </a:prstGeom>
        <a:noFill/>
        <a:ln w="12700" cmpd="sng">
          <a:solidFill>
            <a:srgbClr val="FF0000"/>
          </a:solidFill>
          <a:prstDash val="sysDot"/>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15</xdr:col>
      <xdr:colOff>41910</xdr:colOff>
      <xdr:row>16</xdr:row>
      <xdr:rowOff>339725</xdr:rowOff>
    </xdr:from>
    <xdr:to>
      <xdr:col>19</xdr:col>
      <xdr:colOff>184150</xdr:colOff>
      <xdr:row>19</xdr:row>
      <xdr:rowOff>280670</xdr:rowOff>
    </xdr:to>
    <xdr:sp macro="" textlink="">
      <xdr:nvSpPr>
        <xdr:cNvPr id="9" name="文本框 8">
          <a:extLst>
            <a:ext uri="{FF2B5EF4-FFF2-40B4-BE49-F238E27FC236}">
              <a16:creationId xmlns:a16="http://schemas.microsoft.com/office/drawing/2014/main" id="{00000000-0008-0000-0200-000009000000}"/>
            </a:ext>
          </a:extLst>
        </xdr:cNvPr>
        <xdr:cNvSpPr txBox="1"/>
      </xdr:nvSpPr>
      <xdr:spPr>
        <a:xfrm>
          <a:off x="11630660" y="6642100"/>
          <a:ext cx="2885440" cy="1165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solidFill>
                <a:sysClr val="windowText" lastClr="000000"/>
              </a:solidFill>
            </a:rPr>
            <a:t>电压指示器与电压传感器的未保护线缆长度均为</a:t>
          </a:r>
          <a:r>
            <a:rPr lang="en-US" altLang="zh-CN" sz="1100">
              <a:solidFill>
                <a:sysClr val="windowText" lastClr="000000"/>
              </a:solidFill>
            </a:rPr>
            <a:t>6cm</a:t>
          </a:r>
          <a:r>
            <a:rPr lang="zh-CN" altLang="en-US" sz="1100">
              <a:solidFill>
                <a:sysClr val="windowText" lastClr="000000"/>
              </a:solidFill>
            </a:rPr>
            <a:t>。</a:t>
          </a:r>
          <a:r>
            <a:rPr lang="en-US" altLang="zh-CN" sz="1100">
              <a:solidFill>
                <a:sysClr val="windowText" lastClr="000000"/>
              </a:solidFill>
            </a:rPr>
            <a:t>IMD</a:t>
          </a:r>
          <a:r>
            <a:rPr lang="zh-CN" altLang="en-US" sz="1100">
              <a:solidFill>
                <a:sysClr val="windowText" lastClr="000000"/>
              </a:solidFill>
            </a:rPr>
            <a:t>内置</a:t>
          </a:r>
          <a:r>
            <a:rPr lang="en-US" altLang="zh-CN" sz="1100">
              <a:solidFill>
                <a:sysClr val="windowText" lastClr="000000"/>
              </a:solidFill>
            </a:rPr>
            <a:t>600V/2A</a:t>
          </a:r>
          <a:r>
            <a:rPr lang="zh-CN" altLang="en-US" sz="1100">
              <a:solidFill>
                <a:sysClr val="windowText" lastClr="000000"/>
              </a:solidFill>
            </a:rPr>
            <a:t>保险丝，</a:t>
          </a:r>
          <a:r>
            <a:rPr lang="en-US" altLang="zh-CN" sz="1100">
              <a:solidFill>
                <a:sysClr val="windowText" lastClr="000000"/>
              </a:solidFill>
            </a:rPr>
            <a:t>IMD 支路从取电点至 IMD 内置保险丝前的未保护线长</a:t>
          </a:r>
          <a:r>
            <a:rPr lang="zh-CN" altLang="en-US" sz="1100">
              <a:solidFill>
                <a:sysClr val="windowText" lastClr="000000"/>
              </a:solidFill>
            </a:rPr>
            <a:t>为</a:t>
          </a:r>
          <a:r>
            <a:rPr lang="en-US" altLang="zh-CN" sz="1100">
              <a:solidFill>
                <a:sysClr val="windowText" lastClr="000000"/>
              </a:solidFill>
            </a:rPr>
            <a:t>3cm</a:t>
          </a:r>
          <a:r>
            <a:rPr lang="zh-CN" altLang="en-US" sz="1100">
              <a:solidFill>
                <a:sysClr val="windowText" lastClr="000000"/>
              </a:solidFill>
            </a:rPr>
            <a:t>（未保护线缆</a:t>
          </a:r>
          <a:r>
            <a:rPr lang="en-US" altLang="zh-CN" sz="1100">
              <a:solidFill>
                <a:sysClr val="windowText" lastClr="000000"/>
              </a:solidFill>
            </a:rPr>
            <a:t>3cm</a:t>
          </a:r>
          <a:r>
            <a:rPr lang="zh-CN" altLang="en-US" sz="1100">
              <a:solidFill>
                <a:sysClr val="windowText" lastClr="000000"/>
              </a:solidFill>
            </a:rPr>
            <a:t>）</a:t>
          </a:r>
          <a:r>
            <a:rPr lang="en-US" altLang="zh-CN" sz="1100">
              <a:solidFill>
                <a:sysClr val="windowText" lastClr="000000"/>
              </a:solidFill>
            </a:rPr>
            <a:t>，且全程位于电池箱/高压壳体内并具备机械防护。</a:t>
          </a:r>
          <a:endParaRPr lang="en-US" altLang="zh-CN" sz="1100">
            <a:solidFill>
              <a:srgbClr val="FF0000"/>
            </a:solidFill>
          </a:endParaRPr>
        </a:p>
        <a:p>
          <a:pPr algn="l"/>
          <a:endParaRPr lang="en-US" altLang="zh-CN" sz="1100">
            <a:solidFill>
              <a:srgbClr val="FF0000"/>
            </a:solidFill>
          </a:endParaRPr>
        </a:p>
      </xdr:txBody>
    </xdr:sp>
    <xdr:clientData/>
  </xdr:twoCellAnchor>
  <xdr:twoCellAnchor editAs="oneCell">
    <xdr:from>
      <xdr:col>0</xdr:col>
      <xdr:colOff>230505</xdr:colOff>
      <xdr:row>1</xdr:row>
      <xdr:rowOff>379730</xdr:rowOff>
    </xdr:from>
    <xdr:to>
      <xdr:col>10</xdr:col>
      <xdr:colOff>743585</xdr:colOff>
      <xdr:row>25</xdr:row>
      <xdr:rowOff>288290</xdr:rowOff>
    </xdr:to>
    <xdr:pic>
      <xdr:nvPicPr>
        <xdr:cNvPr id="3" name="图片 2" descr="箱外驱动系统">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l="4086" t="10848" r="54766" b="15054"/>
        <a:stretch>
          <a:fillRect/>
        </a:stretch>
      </xdr:blipFill>
      <xdr:spPr>
        <a:xfrm>
          <a:off x="230505" y="557530"/>
          <a:ext cx="7523480" cy="9707880"/>
        </a:xfrm>
        <a:prstGeom prst="rect">
          <a:avLst/>
        </a:prstGeom>
      </xdr:spPr>
    </xdr:pic>
    <xdr:clientData/>
  </xdr:twoCellAnchor>
  <xdr:twoCellAnchor>
    <xdr:from>
      <xdr:col>7</xdr:col>
      <xdr:colOff>127000</xdr:colOff>
      <xdr:row>21</xdr:row>
      <xdr:rowOff>375920</xdr:rowOff>
    </xdr:from>
    <xdr:to>
      <xdr:col>10</xdr:col>
      <xdr:colOff>361950</xdr:colOff>
      <xdr:row>23</xdr:row>
      <xdr:rowOff>293370</xdr:rowOff>
    </xdr:to>
    <xdr:sp macro="" textlink="">
      <xdr:nvSpPr>
        <xdr:cNvPr id="8" name="文本框 7">
          <a:extLst>
            <a:ext uri="{FF2B5EF4-FFF2-40B4-BE49-F238E27FC236}">
              <a16:creationId xmlns:a16="http://schemas.microsoft.com/office/drawing/2014/main" id="{00000000-0008-0000-0200-000008000000}"/>
            </a:ext>
          </a:extLst>
        </xdr:cNvPr>
        <xdr:cNvSpPr txBox="1"/>
      </xdr:nvSpPr>
      <xdr:spPr>
        <a:xfrm>
          <a:off x="5080000" y="8719820"/>
          <a:ext cx="2292350" cy="734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a:solidFill>
                <a:sysClr val="windowText" lastClr="000000"/>
              </a:solidFill>
            </a:rPr>
            <a:t>电机控制器仅有低压接插件（规格书已列出），高压线是控制器壳体内螺栓压接的</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156845</xdr:colOff>
      <xdr:row>46</xdr:row>
      <xdr:rowOff>102870</xdr:rowOff>
    </xdr:from>
    <xdr:to>
      <xdr:col>7</xdr:col>
      <xdr:colOff>1165225</xdr:colOff>
      <xdr:row>50</xdr:row>
      <xdr:rowOff>132080</xdr:rowOff>
    </xdr:to>
    <xdr:sp macro="" textlink="">
      <xdr:nvSpPr>
        <xdr:cNvPr id="3" name="矩形 2">
          <a:extLst>
            <a:ext uri="{FF2B5EF4-FFF2-40B4-BE49-F238E27FC236}">
              <a16:creationId xmlns:a16="http://schemas.microsoft.com/office/drawing/2014/main" id="{00000000-0008-0000-0300-000003000000}"/>
            </a:ext>
          </a:extLst>
        </xdr:cNvPr>
        <xdr:cNvSpPr/>
      </xdr:nvSpPr>
      <xdr:spPr>
        <a:xfrm>
          <a:off x="5020945" y="8332470"/>
          <a:ext cx="2983230" cy="740410"/>
        </a:xfrm>
        <a:prstGeom prst="rect">
          <a:avLst/>
        </a:prstGeom>
        <a:solidFill>
          <a:sysClr val="window" lastClr="FFFFFF"/>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600">
              <a:solidFill>
                <a:srgbClr val="FF0000"/>
              </a:solidFill>
            </a:rPr>
            <a:t>有模组壳防误插设计与高压线长度限制防误插；</a:t>
          </a:r>
        </a:p>
      </xdr:txBody>
    </xdr:sp>
    <xdr:clientData/>
  </xdr:twoCellAnchor>
  <xdr:twoCellAnchor>
    <xdr:from>
      <xdr:col>19</xdr:col>
      <xdr:colOff>423545</xdr:colOff>
      <xdr:row>42</xdr:row>
      <xdr:rowOff>175895</xdr:rowOff>
    </xdr:from>
    <xdr:to>
      <xdr:col>20</xdr:col>
      <xdr:colOff>99060</xdr:colOff>
      <xdr:row>44</xdr:row>
      <xdr:rowOff>99695</xdr:rowOff>
    </xdr:to>
    <xdr:sp macro="" textlink="">
      <xdr:nvSpPr>
        <xdr:cNvPr id="11" name="文本框 10">
          <a:extLst>
            <a:ext uri="{FF2B5EF4-FFF2-40B4-BE49-F238E27FC236}">
              <a16:creationId xmlns:a16="http://schemas.microsoft.com/office/drawing/2014/main" id="{00000000-0008-0000-0300-00000B000000}"/>
            </a:ext>
          </a:extLst>
        </xdr:cNvPr>
        <xdr:cNvSpPr txBox="1"/>
      </xdr:nvSpPr>
      <xdr:spPr>
        <a:xfrm>
          <a:off x="18730595" y="7694295"/>
          <a:ext cx="647065"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采集板</a:t>
          </a:r>
          <a:endParaRPr lang="en-US" altLang="zh-CN" sz="1100"/>
        </a:p>
        <a:p>
          <a:endParaRPr lang="zh-CN" altLang="en-US" sz="1100"/>
        </a:p>
      </xdr:txBody>
    </xdr:sp>
    <xdr:clientData/>
  </xdr:twoCellAnchor>
  <xdr:oneCellAnchor>
    <xdr:from>
      <xdr:col>18</xdr:col>
      <xdr:colOff>199390</xdr:colOff>
      <xdr:row>44</xdr:row>
      <xdr:rowOff>167640</xdr:rowOff>
    </xdr:from>
    <xdr:ext cx="6233795" cy="814705"/>
    <xdr:sp macro="" textlink="">
      <xdr:nvSpPr>
        <xdr:cNvPr id="13" name="文本框 12">
          <a:extLst>
            <a:ext uri="{FF2B5EF4-FFF2-40B4-BE49-F238E27FC236}">
              <a16:creationId xmlns:a16="http://schemas.microsoft.com/office/drawing/2014/main" id="{00000000-0008-0000-0300-00000D000000}"/>
            </a:ext>
          </a:extLst>
        </xdr:cNvPr>
        <xdr:cNvSpPr txBox="1"/>
      </xdr:nvSpPr>
      <xdr:spPr>
        <a:xfrm>
          <a:off x="17693640" y="8041640"/>
          <a:ext cx="6233795" cy="81470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a:solidFill>
                <a:sysClr val="windowText" lastClr="000000"/>
              </a:solidFill>
            </a:rPr>
            <a:t>装配后温度传感器通过卡夫特K-5207导热胶</a:t>
          </a:r>
          <a:r>
            <a:rPr lang="en-US" altLang="zh-CN" sz="1100">
              <a:solidFill>
                <a:sysClr val="windowText" lastClr="000000"/>
              </a:solidFill>
            </a:rPr>
            <a:t>(导热系数为 2.5±0.5 W/(m·K);电阻率为 1.0×10¹⁴ Ω·cm，击穿电压强度 ≥15KV/mm;阻燃等级达到 UL94 V-0)</a:t>
          </a:r>
          <a:r>
            <a:rPr lang="zh-CN" altLang="en-US" sz="1100">
              <a:solidFill>
                <a:sysClr val="windowText" lastClr="000000"/>
              </a:solidFill>
            </a:rPr>
            <a:t>直接粘接于电芯极耳焊接处表面。</a:t>
          </a:r>
          <a:r>
            <a:rPr lang="en-US" altLang="zh-CN" sz="1100">
              <a:solidFill>
                <a:sysClr val="windowText" lastClr="000000"/>
              </a:solidFill>
            </a:rPr>
            <a:t>装配后胶厚度约0.4mm，该厚度下绝缘耐压裕量（15KV/mm × 0.4mm = 6KV）远超TS最高电压(414V)要求，同时保证较低热阻以确保测温响应灵敏度.</a:t>
          </a:r>
        </a:p>
      </xdr:txBody>
    </xdr:sp>
    <xdr:clientData/>
  </xdr:oneCellAnchor>
  <xdr:twoCellAnchor>
    <xdr:from>
      <xdr:col>26</xdr:col>
      <xdr:colOff>776605</xdr:colOff>
      <xdr:row>46</xdr:row>
      <xdr:rowOff>28575</xdr:rowOff>
    </xdr:from>
    <xdr:to>
      <xdr:col>34</xdr:col>
      <xdr:colOff>808990</xdr:colOff>
      <xdr:row>50</xdr:row>
      <xdr:rowOff>167005</xdr:rowOff>
    </xdr:to>
    <xdr:sp macro="" textlink="">
      <xdr:nvSpPr>
        <xdr:cNvPr id="16" name="文本框 15">
          <a:extLst>
            <a:ext uri="{FF2B5EF4-FFF2-40B4-BE49-F238E27FC236}">
              <a16:creationId xmlns:a16="http://schemas.microsoft.com/office/drawing/2014/main" id="{00000000-0008-0000-0300-000010000000}"/>
            </a:ext>
          </a:extLst>
        </xdr:cNvPr>
        <xdr:cNvSpPr txBox="1"/>
      </xdr:nvSpPr>
      <xdr:spPr>
        <a:xfrm>
          <a:off x="24932005" y="8258175"/>
          <a:ext cx="6820535" cy="8496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a:solidFill>
                <a:sysClr val="windowText" lastClr="000000"/>
              </a:solidFill>
            </a:rPr>
            <a:t>模组壳采用abs材料3D打印 使电芯与箱内隔板绝缘 模组壳与箱体隔板间有一层formex材料进一步实现绝缘 模组上方也采用abs材料3D打印的盖板。同时AIR与主熔断器朝向电芯模组及金属箱体的所有暴露面，均使用K25-30G(0.055mm)KAPTON TAPE聚酰亚胺胶带完全包裹，实际缠绕不少于3层（总厚度≥0.165mm），无空气间隙暴露，同时外部还使用了一层Formex GK-17BK。</a:t>
          </a:r>
        </a:p>
      </xdr:txBody>
    </xdr:sp>
    <xdr:clientData/>
  </xdr:twoCellAnchor>
  <xdr:twoCellAnchor>
    <xdr:from>
      <xdr:col>36</xdr:col>
      <xdr:colOff>646430</xdr:colOff>
      <xdr:row>48</xdr:row>
      <xdr:rowOff>63500</xdr:rowOff>
    </xdr:from>
    <xdr:to>
      <xdr:col>38</xdr:col>
      <xdr:colOff>661670</xdr:colOff>
      <xdr:row>49</xdr:row>
      <xdr:rowOff>123825</xdr:rowOff>
    </xdr:to>
    <xdr:sp macro="" textlink="">
      <xdr:nvSpPr>
        <xdr:cNvPr id="19" name="文本框 18">
          <a:extLst>
            <a:ext uri="{FF2B5EF4-FFF2-40B4-BE49-F238E27FC236}">
              <a16:creationId xmlns:a16="http://schemas.microsoft.com/office/drawing/2014/main" id="{00000000-0008-0000-0300-000013000000}"/>
            </a:ext>
          </a:extLst>
        </xdr:cNvPr>
        <xdr:cNvSpPr txBox="1"/>
      </xdr:nvSpPr>
      <xdr:spPr>
        <a:xfrm>
          <a:off x="33215580" y="8648700"/>
          <a:ext cx="164084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与电池箱栓接的隔板</a:t>
          </a:r>
        </a:p>
      </xdr:txBody>
    </xdr:sp>
    <xdr:clientData/>
  </xdr:twoCellAnchor>
  <xdr:twoCellAnchor>
    <xdr:from>
      <xdr:col>39</xdr:col>
      <xdr:colOff>725805</xdr:colOff>
      <xdr:row>47</xdr:row>
      <xdr:rowOff>39370</xdr:rowOff>
    </xdr:from>
    <xdr:to>
      <xdr:col>43</xdr:col>
      <xdr:colOff>810895</xdr:colOff>
      <xdr:row>50</xdr:row>
      <xdr:rowOff>41275</xdr:rowOff>
    </xdr:to>
    <xdr:sp macro="" textlink="">
      <xdr:nvSpPr>
        <xdr:cNvPr id="20" name="文本框 19">
          <a:extLst>
            <a:ext uri="{FF2B5EF4-FFF2-40B4-BE49-F238E27FC236}">
              <a16:creationId xmlns:a16="http://schemas.microsoft.com/office/drawing/2014/main" id="{00000000-0008-0000-0300-000014000000}"/>
            </a:ext>
          </a:extLst>
        </xdr:cNvPr>
        <xdr:cNvSpPr txBox="1"/>
      </xdr:nvSpPr>
      <xdr:spPr>
        <a:xfrm>
          <a:off x="35733355" y="8446770"/>
          <a:ext cx="3336290" cy="535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模组壳通过</a:t>
          </a:r>
          <a:r>
            <a:rPr lang="en-US" altLang="zh-CN" sz="1100"/>
            <a:t>3D</a:t>
          </a:r>
          <a:r>
            <a:rPr lang="zh-CN" altLang="en-US" sz="1100"/>
            <a:t>打印，使用</a:t>
          </a:r>
          <a:r>
            <a:rPr lang="en-US" altLang="zh-CN" sz="1100"/>
            <a:t>abs</a:t>
          </a:r>
          <a:r>
            <a:rPr lang="zh-CN" altLang="en-US" sz="1100"/>
            <a:t>材料，再通过模组壳与隔板间使用</a:t>
          </a:r>
          <a:r>
            <a:rPr lang="en-US" altLang="zh-CN" sz="1100"/>
            <a:t>foemex</a:t>
          </a:r>
          <a:r>
            <a:rPr lang="zh-CN" altLang="en-US" sz="1100"/>
            <a:t>，实现电芯和电池箱内部的绝缘</a:t>
          </a:r>
        </a:p>
      </xdr:txBody>
    </xdr:sp>
    <xdr:clientData/>
  </xdr:twoCellAnchor>
  <xdr:twoCellAnchor>
    <xdr:from>
      <xdr:col>49</xdr:col>
      <xdr:colOff>343535</xdr:colOff>
      <xdr:row>37</xdr:row>
      <xdr:rowOff>83820</xdr:rowOff>
    </xdr:from>
    <xdr:to>
      <xdr:col>52</xdr:col>
      <xdr:colOff>523875</xdr:colOff>
      <xdr:row>40</xdr:row>
      <xdr:rowOff>109855</xdr:rowOff>
    </xdr:to>
    <xdr:sp macro="" textlink="">
      <xdr:nvSpPr>
        <xdr:cNvPr id="22" name="文本框 21">
          <a:extLst>
            <a:ext uri="{FF2B5EF4-FFF2-40B4-BE49-F238E27FC236}">
              <a16:creationId xmlns:a16="http://schemas.microsoft.com/office/drawing/2014/main" id="{00000000-0008-0000-0300-000016000000}"/>
            </a:ext>
          </a:extLst>
        </xdr:cNvPr>
        <xdr:cNvSpPr txBox="1"/>
      </xdr:nvSpPr>
      <xdr:spPr>
        <a:xfrm>
          <a:off x="43479085" y="6713220"/>
          <a:ext cx="2618740" cy="559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100"/>
            <a:t>模组上方采用</a:t>
          </a:r>
          <a:r>
            <a:rPr lang="en-US" altLang="zh-CN" sz="1100"/>
            <a:t>ABS</a:t>
          </a:r>
          <a:r>
            <a:rPr lang="zh-CN" altLang="en-US" sz="1100"/>
            <a:t>材料打印的盖板，盖板下方附有</a:t>
          </a:r>
          <a:r>
            <a:rPr lang="en-US" altLang="zh-CN" sz="1100"/>
            <a:t>Formex</a:t>
          </a:r>
          <a:r>
            <a:rPr lang="zh-CN" altLang="en-US" sz="1100"/>
            <a:t>材料，从而实现绝缘。</a:t>
          </a:r>
        </a:p>
        <a:p>
          <a:endParaRPr lang="zh-CN" altLang="en-US" sz="1100"/>
        </a:p>
      </xdr:txBody>
    </xdr:sp>
    <xdr:clientData/>
  </xdr:twoCellAnchor>
  <xdr:twoCellAnchor editAs="oneCell">
    <xdr:from>
      <xdr:col>0</xdr:col>
      <xdr:colOff>635</xdr:colOff>
      <xdr:row>62</xdr:row>
      <xdr:rowOff>50800</xdr:rowOff>
    </xdr:from>
    <xdr:to>
      <xdr:col>4</xdr:col>
      <xdr:colOff>1183640</xdr:colOff>
      <xdr:row>73</xdr:row>
      <xdr:rowOff>95250</xdr:rowOff>
    </xdr:to>
    <xdr:pic>
      <xdr:nvPicPr>
        <xdr:cNvPr id="26" name="图片 25" descr="电池箱内部原理图_01(1)">
          <a:extLst>
            <a:ext uri="{FF2B5EF4-FFF2-40B4-BE49-F238E27FC236}">
              <a16:creationId xmlns:a16="http://schemas.microsoft.com/office/drawing/2014/main" id="{00000000-0008-0000-0300-00001A000000}"/>
            </a:ext>
          </a:extLst>
        </xdr:cNvPr>
        <xdr:cNvPicPr>
          <a:picLocks noChangeAspect="1"/>
        </xdr:cNvPicPr>
      </xdr:nvPicPr>
      <xdr:blipFill>
        <a:blip xmlns:r="http://schemas.openxmlformats.org/officeDocument/2006/relationships" r:embed="rId1"/>
        <a:srcRect l="12843" t="80764" r="65282" b="6573"/>
        <a:stretch>
          <a:fillRect/>
        </a:stretch>
      </xdr:blipFill>
      <xdr:spPr>
        <a:xfrm>
          <a:off x="635" y="11890375"/>
          <a:ext cx="4834255" cy="2000250"/>
        </a:xfrm>
        <a:prstGeom prst="rect">
          <a:avLst/>
        </a:prstGeom>
      </xdr:spPr>
    </xdr:pic>
    <xdr:clientData/>
  </xdr:twoCellAnchor>
  <xdr:twoCellAnchor editAs="oneCell">
    <xdr:from>
      <xdr:col>9</xdr:col>
      <xdr:colOff>0</xdr:colOff>
      <xdr:row>32</xdr:row>
      <xdr:rowOff>0</xdr:rowOff>
    </xdr:from>
    <xdr:to>
      <xdr:col>11</xdr:col>
      <xdr:colOff>721360</xdr:colOff>
      <xdr:row>39</xdr:row>
      <xdr:rowOff>153035</xdr:rowOff>
    </xdr:to>
    <xdr:pic>
      <xdr:nvPicPr>
        <xdr:cNvPr id="28" name="图片 27">
          <a:extLst>
            <a:ext uri="{FF2B5EF4-FFF2-40B4-BE49-F238E27FC236}">
              <a16:creationId xmlns:a16="http://schemas.microsoft.com/office/drawing/2014/main" id="{00000000-0008-0000-0300-00001C000000}"/>
            </a:ext>
          </a:extLst>
        </xdr:cNvPr>
        <xdr:cNvPicPr>
          <a:picLocks noChangeAspect="1"/>
        </xdr:cNvPicPr>
      </xdr:nvPicPr>
      <xdr:blipFill>
        <a:blip xmlns:r="http://schemas.openxmlformats.org/officeDocument/2006/relationships" r:embed="rId2"/>
        <a:stretch>
          <a:fillRect/>
        </a:stretch>
      </xdr:blipFill>
      <xdr:spPr>
        <a:xfrm>
          <a:off x="8928100" y="5740400"/>
          <a:ext cx="2429510" cy="1397635"/>
        </a:xfrm>
        <a:prstGeom prst="rect">
          <a:avLst/>
        </a:prstGeom>
        <a:noFill/>
        <a:ln w="9525">
          <a:noFill/>
        </a:ln>
      </xdr:spPr>
    </xdr:pic>
    <xdr:clientData/>
  </xdr:twoCellAnchor>
  <xdr:twoCellAnchor editAs="oneCell">
    <xdr:from>
      <xdr:col>9</xdr:col>
      <xdr:colOff>42545</xdr:colOff>
      <xdr:row>41</xdr:row>
      <xdr:rowOff>177165</xdr:rowOff>
    </xdr:from>
    <xdr:to>
      <xdr:col>11</xdr:col>
      <xdr:colOff>739775</xdr:colOff>
      <xdr:row>51</xdr:row>
      <xdr:rowOff>22860</xdr:rowOff>
    </xdr:to>
    <xdr:pic>
      <xdr:nvPicPr>
        <xdr:cNvPr id="29" name="图片 28">
          <a:extLst>
            <a:ext uri="{FF2B5EF4-FFF2-40B4-BE49-F238E27FC236}">
              <a16:creationId xmlns:a16="http://schemas.microsoft.com/office/drawing/2014/main" id="{00000000-0008-0000-0300-00001D000000}"/>
            </a:ext>
          </a:extLst>
        </xdr:cNvPr>
        <xdr:cNvPicPr>
          <a:picLocks noChangeAspect="1"/>
        </xdr:cNvPicPr>
      </xdr:nvPicPr>
      <xdr:blipFill>
        <a:blip xmlns:r="http://schemas.openxmlformats.org/officeDocument/2006/relationships" r:embed="rId3"/>
        <a:stretch>
          <a:fillRect/>
        </a:stretch>
      </xdr:blipFill>
      <xdr:spPr>
        <a:xfrm>
          <a:off x="8970645" y="7517765"/>
          <a:ext cx="2405380" cy="1623695"/>
        </a:xfrm>
        <a:prstGeom prst="rect">
          <a:avLst/>
        </a:prstGeom>
        <a:noFill/>
        <a:ln w="9525">
          <a:noFill/>
        </a:ln>
      </xdr:spPr>
    </xdr:pic>
    <xdr:clientData/>
  </xdr:twoCellAnchor>
  <xdr:twoCellAnchor editAs="oneCell">
    <xdr:from>
      <xdr:col>13</xdr:col>
      <xdr:colOff>27940</xdr:colOff>
      <xdr:row>32</xdr:row>
      <xdr:rowOff>6985</xdr:rowOff>
    </xdr:from>
    <xdr:to>
      <xdr:col>16</xdr:col>
      <xdr:colOff>274320</xdr:colOff>
      <xdr:row>49</xdr:row>
      <xdr:rowOff>4445</xdr:rowOff>
    </xdr:to>
    <xdr:pic>
      <xdr:nvPicPr>
        <xdr:cNvPr id="30" name="图片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4"/>
        <a:stretch>
          <a:fillRect/>
        </a:stretch>
      </xdr:blipFill>
      <xdr:spPr>
        <a:xfrm>
          <a:off x="12289790" y="5747385"/>
          <a:ext cx="3376930" cy="3020060"/>
        </a:xfrm>
        <a:prstGeom prst="rect">
          <a:avLst/>
        </a:prstGeom>
        <a:noFill/>
        <a:ln w="9525">
          <a:noFill/>
        </a:ln>
      </xdr:spPr>
    </xdr:pic>
    <xdr:clientData/>
  </xdr:twoCellAnchor>
  <xdr:twoCellAnchor>
    <xdr:from>
      <xdr:col>13</xdr:col>
      <xdr:colOff>41910</xdr:colOff>
      <xdr:row>48</xdr:row>
      <xdr:rowOff>169545</xdr:rowOff>
    </xdr:from>
    <xdr:to>
      <xdr:col>16</xdr:col>
      <xdr:colOff>892175</xdr:colOff>
      <xdr:row>50</xdr:row>
      <xdr:rowOff>125095</xdr:rowOff>
    </xdr:to>
    <xdr:sp macro="" textlink="">
      <xdr:nvSpPr>
        <xdr:cNvPr id="31" name="文本框 30">
          <a:extLst>
            <a:ext uri="{FF2B5EF4-FFF2-40B4-BE49-F238E27FC236}">
              <a16:creationId xmlns:a16="http://schemas.microsoft.com/office/drawing/2014/main" id="{00000000-0008-0000-0300-00001F000000}"/>
            </a:ext>
          </a:extLst>
        </xdr:cNvPr>
        <xdr:cNvSpPr txBox="1"/>
      </xdr:nvSpPr>
      <xdr:spPr>
        <a:xfrm>
          <a:off x="12303760" y="8754745"/>
          <a:ext cx="3980815" cy="311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solidFill>
                <a:srgbClr val="FF0000"/>
              </a:solidFill>
            </a:rPr>
            <a:t>极耳采用激光焊接，蓝色部分为焊接支撑板</a:t>
          </a:r>
        </a:p>
      </xdr:txBody>
    </xdr:sp>
    <xdr:clientData/>
  </xdr:twoCellAnchor>
  <xdr:twoCellAnchor editAs="oneCell">
    <xdr:from>
      <xdr:col>0</xdr:col>
      <xdr:colOff>0</xdr:colOff>
      <xdr:row>32</xdr:row>
      <xdr:rowOff>0</xdr:rowOff>
    </xdr:from>
    <xdr:to>
      <xdr:col>1</xdr:col>
      <xdr:colOff>575945</xdr:colOff>
      <xdr:row>40</xdr:row>
      <xdr:rowOff>45085</xdr:rowOff>
    </xdr:to>
    <xdr:pic>
      <xdr:nvPicPr>
        <xdr:cNvPr id="33" name="图片 32" descr="2e79f9ab20c9c0ff80abc247f0880594">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5"/>
        <a:stretch>
          <a:fillRect/>
        </a:stretch>
      </xdr:blipFill>
      <xdr:spPr>
        <a:xfrm>
          <a:off x="0" y="5740400"/>
          <a:ext cx="1661795" cy="1467485"/>
        </a:xfrm>
        <a:prstGeom prst="rect">
          <a:avLst/>
        </a:prstGeom>
      </xdr:spPr>
    </xdr:pic>
    <xdr:clientData/>
  </xdr:twoCellAnchor>
  <xdr:twoCellAnchor editAs="oneCell">
    <xdr:from>
      <xdr:col>1</xdr:col>
      <xdr:colOff>582295</xdr:colOff>
      <xdr:row>31</xdr:row>
      <xdr:rowOff>177165</xdr:rowOff>
    </xdr:from>
    <xdr:to>
      <xdr:col>4</xdr:col>
      <xdr:colOff>913765</xdr:colOff>
      <xdr:row>46</xdr:row>
      <xdr:rowOff>135255</xdr:rowOff>
    </xdr:to>
    <xdr:pic>
      <xdr:nvPicPr>
        <xdr:cNvPr id="35" name="图片 34" descr="22d1c0018b5f69341961aca118d0adaf">
          <a:extLst>
            <a:ext uri="{FF2B5EF4-FFF2-40B4-BE49-F238E27FC236}">
              <a16:creationId xmlns:a16="http://schemas.microsoft.com/office/drawing/2014/main" id="{00000000-0008-0000-0300-000023000000}"/>
            </a:ext>
          </a:extLst>
        </xdr:cNvPr>
        <xdr:cNvPicPr>
          <a:picLocks noChangeAspect="1"/>
        </xdr:cNvPicPr>
      </xdr:nvPicPr>
      <xdr:blipFill>
        <a:blip xmlns:r="http://schemas.openxmlformats.org/officeDocument/2006/relationships" r:embed="rId6"/>
        <a:stretch>
          <a:fillRect/>
        </a:stretch>
      </xdr:blipFill>
      <xdr:spPr>
        <a:xfrm>
          <a:off x="1668145" y="5739765"/>
          <a:ext cx="2896870" cy="2625090"/>
        </a:xfrm>
        <a:prstGeom prst="rect">
          <a:avLst/>
        </a:prstGeom>
      </xdr:spPr>
    </xdr:pic>
    <xdr:clientData/>
  </xdr:twoCellAnchor>
  <xdr:twoCellAnchor editAs="oneCell">
    <xdr:from>
      <xdr:col>4</xdr:col>
      <xdr:colOff>788670</xdr:colOff>
      <xdr:row>32</xdr:row>
      <xdr:rowOff>130175</xdr:rowOff>
    </xdr:from>
    <xdr:to>
      <xdr:col>8</xdr:col>
      <xdr:colOff>48260</xdr:colOff>
      <xdr:row>45</xdr:row>
      <xdr:rowOff>52070</xdr:rowOff>
    </xdr:to>
    <xdr:pic>
      <xdr:nvPicPr>
        <xdr:cNvPr id="37" name="图片 36" descr="6515a498d00cd13b588b57f8cfd959f7">
          <a:extLst>
            <a:ext uri="{FF2B5EF4-FFF2-40B4-BE49-F238E27FC236}">
              <a16:creationId xmlns:a16="http://schemas.microsoft.com/office/drawing/2014/main" id="{00000000-0008-0000-0300-000025000000}"/>
            </a:ext>
          </a:extLst>
        </xdr:cNvPr>
        <xdr:cNvPicPr>
          <a:picLocks noChangeAspect="1"/>
        </xdr:cNvPicPr>
      </xdr:nvPicPr>
      <xdr:blipFill>
        <a:blip xmlns:r="http://schemas.openxmlformats.org/officeDocument/2006/relationships" r:embed="rId7"/>
        <a:stretch>
          <a:fillRect/>
        </a:stretch>
      </xdr:blipFill>
      <xdr:spPr>
        <a:xfrm>
          <a:off x="4439920" y="5870575"/>
          <a:ext cx="3723640" cy="2233295"/>
        </a:xfrm>
        <a:prstGeom prst="rect">
          <a:avLst/>
        </a:prstGeom>
      </xdr:spPr>
    </xdr:pic>
    <xdr:clientData/>
  </xdr:twoCellAnchor>
  <xdr:twoCellAnchor editAs="oneCell">
    <xdr:from>
      <xdr:col>27</xdr:col>
      <xdr:colOff>8255</xdr:colOff>
      <xdr:row>32</xdr:row>
      <xdr:rowOff>2540</xdr:rowOff>
    </xdr:from>
    <xdr:to>
      <xdr:col>30</xdr:col>
      <xdr:colOff>795655</xdr:colOff>
      <xdr:row>45</xdr:row>
      <xdr:rowOff>78105</xdr:rowOff>
    </xdr:to>
    <xdr:pic>
      <xdr:nvPicPr>
        <xdr:cNvPr id="40" name="图片 39" descr="5a38f92c64d73b224db2420c978984c1">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8"/>
        <a:srcRect l="13354" t="15751"/>
        <a:stretch>
          <a:fillRect/>
        </a:stretch>
      </xdr:blipFill>
      <xdr:spPr>
        <a:xfrm>
          <a:off x="24976455" y="5742940"/>
          <a:ext cx="3225800" cy="2386965"/>
        </a:xfrm>
        <a:prstGeom prst="rect">
          <a:avLst/>
        </a:prstGeom>
      </xdr:spPr>
    </xdr:pic>
    <xdr:clientData/>
  </xdr:twoCellAnchor>
  <xdr:twoCellAnchor editAs="oneCell">
    <xdr:from>
      <xdr:col>30</xdr:col>
      <xdr:colOff>608965</xdr:colOff>
      <xdr:row>32</xdr:row>
      <xdr:rowOff>11430</xdr:rowOff>
    </xdr:from>
    <xdr:to>
      <xdr:col>34</xdr:col>
      <xdr:colOff>796925</xdr:colOff>
      <xdr:row>46</xdr:row>
      <xdr:rowOff>27940</xdr:rowOff>
    </xdr:to>
    <xdr:pic>
      <xdr:nvPicPr>
        <xdr:cNvPr id="41" name="图片 40">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9"/>
        <a:stretch>
          <a:fillRect/>
        </a:stretch>
      </xdr:blipFill>
      <xdr:spPr>
        <a:xfrm>
          <a:off x="28015565" y="5751830"/>
          <a:ext cx="3724910" cy="2505710"/>
        </a:xfrm>
        <a:prstGeom prst="rect">
          <a:avLst/>
        </a:prstGeom>
        <a:noFill/>
        <a:ln w="9525">
          <a:noFill/>
        </a:ln>
      </xdr:spPr>
    </xdr:pic>
    <xdr:clientData/>
  </xdr:twoCellAnchor>
  <xdr:twoCellAnchor editAs="oneCell">
    <xdr:from>
      <xdr:col>45</xdr:col>
      <xdr:colOff>0</xdr:colOff>
      <xdr:row>31</xdr:row>
      <xdr:rowOff>177165</xdr:rowOff>
    </xdr:from>
    <xdr:to>
      <xdr:col>49</xdr:col>
      <xdr:colOff>260985</xdr:colOff>
      <xdr:row>49</xdr:row>
      <xdr:rowOff>99060</xdr:rowOff>
    </xdr:to>
    <xdr:pic>
      <xdr:nvPicPr>
        <xdr:cNvPr id="46" name="图片 45" descr="da7b2827df1eabf538372eda01f2eb03">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10"/>
        <a:stretch>
          <a:fillRect/>
        </a:stretch>
      </xdr:blipFill>
      <xdr:spPr>
        <a:xfrm>
          <a:off x="39884350" y="5739765"/>
          <a:ext cx="3512185" cy="3122295"/>
        </a:xfrm>
        <a:prstGeom prst="rect">
          <a:avLst/>
        </a:prstGeom>
      </xdr:spPr>
    </xdr:pic>
    <xdr:clientData/>
  </xdr:twoCellAnchor>
  <xdr:twoCellAnchor editAs="oneCell">
    <xdr:from>
      <xdr:col>6</xdr:col>
      <xdr:colOff>133350</xdr:colOff>
      <xdr:row>63</xdr:row>
      <xdr:rowOff>12065</xdr:rowOff>
    </xdr:from>
    <xdr:to>
      <xdr:col>7</xdr:col>
      <xdr:colOff>1265555</xdr:colOff>
      <xdr:row>73</xdr:row>
      <xdr:rowOff>33655</xdr:rowOff>
    </xdr:to>
    <xdr:pic>
      <xdr:nvPicPr>
        <xdr:cNvPr id="48" name="图片 47">
          <a:extLst>
            <a:ext uri="{FF2B5EF4-FFF2-40B4-BE49-F238E27FC236}">
              <a16:creationId xmlns:a16="http://schemas.microsoft.com/office/drawing/2014/main" id="{00000000-0008-0000-0300-000030000000}"/>
            </a:ext>
          </a:extLst>
        </xdr:cNvPr>
        <xdr:cNvPicPr>
          <a:picLocks noChangeAspect="1"/>
        </xdr:cNvPicPr>
      </xdr:nvPicPr>
      <xdr:blipFill>
        <a:blip xmlns:r="http://schemas.openxmlformats.org/officeDocument/2006/relationships" r:embed="rId11"/>
        <a:srcRect l="18811"/>
        <a:stretch>
          <a:fillRect/>
        </a:stretch>
      </xdr:blipFill>
      <xdr:spPr>
        <a:xfrm>
          <a:off x="5810250" y="12029440"/>
          <a:ext cx="2294255" cy="1799590"/>
        </a:xfrm>
        <a:prstGeom prst="rect">
          <a:avLst/>
        </a:prstGeom>
        <a:noFill/>
        <a:ln w="9525">
          <a:noFill/>
        </a:ln>
      </xdr:spPr>
    </xdr:pic>
    <xdr:clientData/>
  </xdr:twoCellAnchor>
  <xdr:twoCellAnchor editAs="oneCell">
    <xdr:from>
      <xdr:col>4</xdr:col>
      <xdr:colOff>560070</xdr:colOff>
      <xdr:row>72</xdr:row>
      <xdr:rowOff>53975</xdr:rowOff>
    </xdr:from>
    <xdr:to>
      <xdr:col>6</xdr:col>
      <xdr:colOff>478790</xdr:colOff>
      <xdr:row>81</xdr:row>
      <xdr:rowOff>174625</xdr:rowOff>
    </xdr:to>
    <xdr:pic>
      <xdr:nvPicPr>
        <xdr:cNvPr id="50" name="图片 49">
          <a:extLst>
            <a:ext uri="{FF2B5EF4-FFF2-40B4-BE49-F238E27FC236}">
              <a16:creationId xmlns:a16="http://schemas.microsoft.com/office/drawing/2014/main" id="{00000000-0008-0000-0300-000032000000}"/>
            </a:ext>
          </a:extLst>
        </xdr:cNvPr>
        <xdr:cNvPicPr>
          <a:picLocks noChangeAspect="1"/>
        </xdr:cNvPicPr>
      </xdr:nvPicPr>
      <xdr:blipFill>
        <a:blip xmlns:r="http://schemas.openxmlformats.org/officeDocument/2006/relationships" r:embed="rId12"/>
        <a:srcRect t="16296" r="22711"/>
        <a:stretch>
          <a:fillRect/>
        </a:stretch>
      </xdr:blipFill>
      <xdr:spPr>
        <a:xfrm>
          <a:off x="4211320" y="13671550"/>
          <a:ext cx="1944370" cy="1720850"/>
        </a:xfrm>
        <a:prstGeom prst="rect">
          <a:avLst/>
        </a:prstGeom>
        <a:noFill/>
        <a:ln w="9525">
          <a:noFill/>
        </a:ln>
      </xdr:spPr>
    </xdr:pic>
    <xdr:clientData/>
  </xdr:twoCellAnchor>
  <xdr:twoCellAnchor editAs="oneCell">
    <xdr:from>
      <xdr:col>17</xdr:col>
      <xdr:colOff>809625</xdr:colOff>
      <xdr:row>31</xdr:row>
      <xdr:rowOff>174625</xdr:rowOff>
    </xdr:from>
    <xdr:to>
      <xdr:col>21</xdr:col>
      <xdr:colOff>742950</xdr:colOff>
      <xdr:row>42</xdr:row>
      <xdr:rowOff>115570</xdr:rowOff>
    </xdr:to>
    <xdr:pic>
      <xdr:nvPicPr>
        <xdr:cNvPr id="52" name="图片 51">
          <a:extLst>
            <a:ext uri="{FF2B5EF4-FFF2-40B4-BE49-F238E27FC236}">
              <a16:creationId xmlns:a16="http://schemas.microsoft.com/office/drawing/2014/main" id="{00000000-0008-0000-0300-000034000000}"/>
            </a:ext>
          </a:extLst>
        </xdr:cNvPr>
        <xdr:cNvPicPr>
          <a:picLocks noChangeAspect="1"/>
        </xdr:cNvPicPr>
      </xdr:nvPicPr>
      <xdr:blipFill>
        <a:blip xmlns:r="http://schemas.openxmlformats.org/officeDocument/2006/relationships" r:embed="rId13"/>
        <a:stretch>
          <a:fillRect/>
        </a:stretch>
      </xdr:blipFill>
      <xdr:spPr>
        <a:xfrm>
          <a:off x="17491075" y="5737225"/>
          <a:ext cx="3343275" cy="1896745"/>
        </a:xfrm>
        <a:prstGeom prst="rect">
          <a:avLst/>
        </a:prstGeom>
        <a:noFill/>
        <a:ln w="9525">
          <a:noFill/>
        </a:ln>
      </xdr:spPr>
    </xdr:pic>
    <xdr:clientData/>
  </xdr:twoCellAnchor>
  <xdr:twoCellAnchor editAs="oneCell">
    <xdr:from>
      <xdr:col>21</xdr:col>
      <xdr:colOff>811530</xdr:colOff>
      <xdr:row>32</xdr:row>
      <xdr:rowOff>12700</xdr:rowOff>
    </xdr:from>
    <xdr:to>
      <xdr:col>25</xdr:col>
      <xdr:colOff>472440</xdr:colOff>
      <xdr:row>44</xdr:row>
      <xdr:rowOff>148590</xdr:rowOff>
    </xdr:to>
    <xdr:pic>
      <xdr:nvPicPr>
        <xdr:cNvPr id="53" name="图片 52">
          <a:extLst>
            <a:ext uri="{FF2B5EF4-FFF2-40B4-BE49-F238E27FC236}">
              <a16:creationId xmlns:a16="http://schemas.microsoft.com/office/drawing/2014/main" id="{00000000-0008-0000-0300-000035000000}"/>
            </a:ext>
          </a:extLst>
        </xdr:cNvPr>
        <xdr:cNvPicPr>
          <a:picLocks noChangeAspect="1"/>
        </xdr:cNvPicPr>
      </xdr:nvPicPr>
      <xdr:blipFill>
        <a:blip xmlns:r="http://schemas.openxmlformats.org/officeDocument/2006/relationships" r:embed="rId14"/>
        <a:stretch>
          <a:fillRect/>
        </a:stretch>
      </xdr:blipFill>
      <xdr:spPr>
        <a:xfrm>
          <a:off x="20902930" y="5753100"/>
          <a:ext cx="2912110" cy="2269490"/>
        </a:xfrm>
        <a:prstGeom prst="rect">
          <a:avLst/>
        </a:prstGeom>
        <a:noFill/>
        <a:ln w="9525">
          <a:noFill/>
        </a:ln>
      </xdr:spPr>
    </xdr:pic>
    <xdr:clientData/>
  </xdr:twoCellAnchor>
  <xdr:twoCellAnchor editAs="oneCell">
    <xdr:from>
      <xdr:col>48</xdr:col>
      <xdr:colOff>461010</xdr:colOff>
      <xdr:row>40</xdr:row>
      <xdr:rowOff>132715</xdr:rowOff>
    </xdr:from>
    <xdr:to>
      <xdr:col>52</xdr:col>
      <xdr:colOff>744855</xdr:colOff>
      <xdr:row>50</xdr:row>
      <xdr:rowOff>113030</xdr:rowOff>
    </xdr:to>
    <xdr:pic>
      <xdr:nvPicPr>
        <xdr:cNvPr id="4" name="图片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5"/>
        <a:stretch>
          <a:fillRect/>
        </a:stretch>
      </xdr:blipFill>
      <xdr:spPr>
        <a:xfrm>
          <a:off x="42783760" y="7295515"/>
          <a:ext cx="3535045" cy="1758315"/>
        </a:xfrm>
        <a:prstGeom prst="rect">
          <a:avLst/>
        </a:prstGeom>
        <a:noFill/>
        <a:ln w="9525">
          <a:noFill/>
        </a:ln>
      </xdr:spPr>
    </xdr:pic>
    <xdr:clientData/>
  </xdr:twoCellAnchor>
  <xdr:twoCellAnchor>
    <xdr:from>
      <xdr:col>6</xdr:col>
      <xdr:colOff>833755</xdr:colOff>
      <xdr:row>74</xdr:row>
      <xdr:rowOff>71755</xdr:rowOff>
    </xdr:from>
    <xdr:to>
      <xdr:col>7</xdr:col>
      <xdr:colOff>1132205</xdr:colOff>
      <xdr:row>77</xdr:row>
      <xdr:rowOff>64770</xdr:rowOff>
    </xdr:to>
    <xdr:sp macro="" textlink="">
      <xdr:nvSpPr>
        <xdr:cNvPr id="5" name="文本框 4">
          <a:extLst>
            <a:ext uri="{FF2B5EF4-FFF2-40B4-BE49-F238E27FC236}">
              <a16:creationId xmlns:a16="http://schemas.microsoft.com/office/drawing/2014/main" id="{00000000-0008-0000-0300-000005000000}"/>
            </a:ext>
          </a:extLst>
        </xdr:cNvPr>
        <xdr:cNvSpPr txBox="1"/>
      </xdr:nvSpPr>
      <xdr:spPr>
        <a:xfrm>
          <a:off x="6510655" y="14044930"/>
          <a:ext cx="1460500" cy="526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zh-CN" altLang="en-US" sz="1100">
              <a:solidFill>
                <a:srgbClr val="FF0000"/>
              </a:solidFill>
            </a:rPr>
            <a:t>电压传感器螺栓压接</a:t>
          </a:r>
        </a:p>
      </xdr:txBody>
    </xdr:sp>
    <xdr:clientData/>
  </xdr:twoCellAnchor>
  <xdr:twoCellAnchor editAs="oneCell">
    <xdr:from>
      <xdr:col>36</xdr:col>
      <xdr:colOff>0</xdr:colOff>
      <xdr:row>31</xdr:row>
      <xdr:rowOff>177165</xdr:rowOff>
    </xdr:from>
    <xdr:to>
      <xdr:col>39</xdr:col>
      <xdr:colOff>274955</xdr:colOff>
      <xdr:row>46</xdr:row>
      <xdr:rowOff>139700</xdr:rowOff>
    </xdr:to>
    <xdr:pic>
      <xdr:nvPicPr>
        <xdr:cNvPr id="6" name="图片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6"/>
        <a:stretch>
          <a:fillRect/>
        </a:stretch>
      </xdr:blipFill>
      <xdr:spPr>
        <a:xfrm>
          <a:off x="32569150" y="5739765"/>
          <a:ext cx="2713355" cy="2629535"/>
        </a:xfrm>
        <a:prstGeom prst="rect">
          <a:avLst/>
        </a:prstGeom>
        <a:noFill/>
        <a:ln w="9525">
          <a:noFill/>
        </a:ln>
      </xdr:spPr>
    </xdr:pic>
    <xdr:clientData/>
  </xdr:twoCellAnchor>
  <xdr:twoCellAnchor editAs="oneCell">
    <xdr:from>
      <xdr:col>39</xdr:col>
      <xdr:colOff>432435</xdr:colOff>
      <xdr:row>32</xdr:row>
      <xdr:rowOff>57150</xdr:rowOff>
    </xdr:from>
    <xdr:to>
      <xdr:col>43</xdr:col>
      <xdr:colOff>610235</xdr:colOff>
      <xdr:row>45</xdr:row>
      <xdr:rowOff>120650</xdr:rowOff>
    </xdr:to>
    <xdr:pic>
      <xdr:nvPicPr>
        <xdr:cNvPr id="7" name="图片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7"/>
        <a:stretch>
          <a:fillRect/>
        </a:stretch>
      </xdr:blipFill>
      <xdr:spPr>
        <a:xfrm>
          <a:off x="35439985" y="5797550"/>
          <a:ext cx="3429000" cy="2374900"/>
        </a:xfrm>
        <a:prstGeom prst="rect">
          <a:avLst/>
        </a:prstGeom>
        <a:noFill/>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920750</xdr:colOff>
      <xdr:row>18</xdr:row>
      <xdr:rowOff>81280</xdr:rowOff>
    </xdr:from>
    <xdr:to>
      <xdr:col>25</xdr:col>
      <xdr:colOff>675640</xdr:colOff>
      <xdr:row>30</xdr:row>
      <xdr:rowOff>23495</xdr:rowOff>
    </xdr:to>
    <xdr:pic>
      <xdr:nvPicPr>
        <xdr:cNvPr id="4" name="图片 3" descr="dc2669d4a698ea1f4b3a2fee477ab63f">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17335500" y="3281680"/>
          <a:ext cx="3336290" cy="2075815"/>
        </a:xfrm>
        <a:prstGeom prst="rect">
          <a:avLst/>
        </a:prstGeom>
      </xdr:spPr>
    </xdr:pic>
    <xdr:clientData/>
  </xdr:twoCellAnchor>
  <xdr:twoCellAnchor editAs="oneCell">
    <xdr:from>
      <xdr:col>18</xdr:col>
      <xdr:colOff>43815</xdr:colOff>
      <xdr:row>11</xdr:row>
      <xdr:rowOff>170815</xdr:rowOff>
    </xdr:from>
    <xdr:to>
      <xdr:col>23</xdr:col>
      <xdr:colOff>132080</xdr:colOff>
      <xdr:row>24</xdr:row>
      <xdr:rowOff>118110</xdr:rowOff>
    </xdr:to>
    <xdr:pic>
      <xdr:nvPicPr>
        <xdr:cNvPr id="5" name="图片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rcRect l="3414" t="16293" r="10840" b="16577"/>
        <a:stretch>
          <a:fillRect/>
        </a:stretch>
      </xdr:blipFill>
      <xdr:spPr>
        <a:xfrm>
          <a:off x="14121765" y="2126615"/>
          <a:ext cx="4355465" cy="2258695"/>
        </a:xfrm>
        <a:prstGeom prst="rect">
          <a:avLst/>
        </a:prstGeom>
      </xdr:spPr>
    </xdr:pic>
    <xdr:clientData/>
  </xdr:twoCellAnchor>
  <xdr:twoCellAnchor editAs="oneCell">
    <xdr:from>
      <xdr:col>9</xdr:col>
      <xdr:colOff>33655</xdr:colOff>
      <xdr:row>11</xdr:row>
      <xdr:rowOff>16510</xdr:rowOff>
    </xdr:from>
    <xdr:to>
      <xdr:col>16</xdr:col>
      <xdr:colOff>298450</xdr:colOff>
      <xdr:row>29</xdr:row>
      <xdr:rowOff>174625</xdr:rowOff>
    </xdr:to>
    <xdr:pic>
      <xdr:nvPicPr>
        <xdr:cNvPr id="7" name="图片 6" descr="充电安全回路_01">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3"/>
        <a:srcRect l="5443" t="11891" r="8614" b="20906"/>
        <a:stretch>
          <a:fillRect/>
        </a:stretch>
      </xdr:blipFill>
      <xdr:spPr>
        <a:xfrm>
          <a:off x="6955155" y="1972310"/>
          <a:ext cx="6049645" cy="3358515"/>
        </a:xfrm>
        <a:prstGeom prst="rect">
          <a:avLst/>
        </a:prstGeom>
      </xdr:spPr>
    </xdr:pic>
    <xdr:clientData/>
  </xdr:twoCellAnchor>
  <xdr:twoCellAnchor editAs="oneCell">
    <xdr:from>
      <xdr:col>0</xdr:col>
      <xdr:colOff>6350</xdr:colOff>
      <xdr:row>11</xdr:row>
      <xdr:rowOff>19050</xdr:rowOff>
    </xdr:from>
    <xdr:to>
      <xdr:col>7</xdr:col>
      <xdr:colOff>389255</xdr:colOff>
      <xdr:row>29</xdr:row>
      <xdr:rowOff>160020</xdr:rowOff>
    </xdr:to>
    <xdr:pic>
      <xdr:nvPicPr>
        <xdr:cNvPr id="8" name="图片 7" descr="充电驱动系统回路">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l="4924" t="11880" r="6881" b="17910"/>
        <a:stretch>
          <a:fillRect/>
        </a:stretch>
      </xdr:blipFill>
      <xdr:spPr>
        <a:xfrm>
          <a:off x="6350" y="1974850"/>
          <a:ext cx="5932805" cy="33413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13</xdr:row>
      <xdr:rowOff>95249</xdr:rowOff>
    </xdr:from>
    <xdr:to>
      <xdr:col>6</xdr:col>
      <xdr:colOff>9525</xdr:colOff>
      <xdr:row>34</xdr:row>
      <xdr:rowOff>19049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24</xdr:col>
      <xdr:colOff>6985</xdr:colOff>
      <xdr:row>8</xdr:row>
      <xdr:rowOff>12700</xdr:rowOff>
    </xdr:from>
    <xdr:to>
      <xdr:col>32</xdr:col>
      <xdr:colOff>757555</xdr:colOff>
      <xdr:row>34</xdr:row>
      <xdr:rowOff>89535</xdr:rowOff>
    </xdr:to>
    <xdr:pic>
      <xdr:nvPicPr>
        <xdr:cNvPr id="3" name="图片 2" descr="TSAL分布图_01(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rcRect l="8759" t="8403" r="3707" b="18704"/>
        <a:stretch>
          <a:fillRect/>
        </a:stretch>
      </xdr:blipFill>
      <xdr:spPr>
        <a:xfrm>
          <a:off x="18104485" y="2089150"/>
          <a:ext cx="8065770" cy="4699635"/>
        </a:xfrm>
        <a:prstGeom prst="rect">
          <a:avLst/>
        </a:prstGeom>
      </xdr:spPr>
    </xdr:pic>
    <xdr:clientData/>
  </xdr:twoCellAnchor>
  <xdr:twoCellAnchor editAs="oneCell">
    <xdr:from>
      <xdr:col>44</xdr:col>
      <xdr:colOff>419735</xdr:colOff>
      <xdr:row>9</xdr:row>
      <xdr:rowOff>122555</xdr:rowOff>
    </xdr:from>
    <xdr:to>
      <xdr:col>46</xdr:col>
      <xdr:colOff>654685</xdr:colOff>
      <xdr:row>19</xdr:row>
      <xdr:rowOff>132080</xdr:rowOff>
    </xdr:to>
    <xdr:pic>
      <xdr:nvPicPr>
        <xdr:cNvPr id="8" name="图片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2"/>
        <a:srcRect r="20553"/>
        <a:stretch>
          <a:fillRect/>
        </a:stretch>
      </xdr:blipFill>
      <xdr:spPr>
        <a:xfrm>
          <a:off x="34290635" y="2376805"/>
          <a:ext cx="3028950" cy="1787525"/>
        </a:xfrm>
        <a:prstGeom prst="rect">
          <a:avLst/>
        </a:prstGeom>
      </xdr:spPr>
    </xdr:pic>
    <xdr:clientData/>
  </xdr:twoCellAnchor>
  <xdr:twoCellAnchor editAs="oneCell">
    <xdr:from>
      <xdr:col>35</xdr:col>
      <xdr:colOff>684530</xdr:colOff>
      <xdr:row>22</xdr:row>
      <xdr:rowOff>95885</xdr:rowOff>
    </xdr:from>
    <xdr:to>
      <xdr:col>45</xdr:col>
      <xdr:colOff>1620520</xdr:colOff>
      <xdr:row>33</xdr:row>
      <xdr:rowOff>77470</xdr:rowOff>
    </xdr:to>
    <xdr:pic>
      <xdr:nvPicPr>
        <xdr:cNvPr id="9" name="图片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28383230" y="4661535"/>
          <a:ext cx="7793990" cy="1937385"/>
        </a:xfrm>
        <a:prstGeom prst="rect">
          <a:avLst/>
        </a:prstGeom>
      </xdr:spPr>
    </xdr:pic>
    <xdr:clientData/>
  </xdr:twoCellAnchor>
  <xdr:oneCellAnchor>
    <xdr:from>
      <xdr:col>12</xdr:col>
      <xdr:colOff>185420</xdr:colOff>
      <xdr:row>89</xdr:row>
      <xdr:rowOff>28575</xdr:rowOff>
    </xdr:from>
    <xdr:ext cx="7188200" cy="1223645"/>
    <xdr:sp macro="" textlink="">
      <xdr:nvSpPr>
        <xdr:cNvPr id="11" name="文本框 10">
          <a:extLst>
            <a:ext uri="{FF2B5EF4-FFF2-40B4-BE49-F238E27FC236}">
              <a16:creationId xmlns:a16="http://schemas.microsoft.com/office/drawing/2014/main" id="{00000000-0008-0000-0800-00000B000000}"/>
            </a:ext>
          </a:extLst>
        </xdr:cNvPr>
        <xdr:cNvSpPr txBox="1"/>
      </xdr:nvSpPr>
      <xdr:spPr>
        <a:xfrm>
          <a:off x="10053320" y="18448655"/>
          <a:ext cx="7188200" cy="122364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lstStyle/>
        <a:p>
          <a:pPr algn="l"/>
          <a:r>
            <a:rPr lang="zh-CN" altLang="en-US" sz="1100">
              <a:solidFill>
                <a:sysClr val="windowText" lastClr="000000"/>
              </a:solidFill>
            </a:rPr>
            <a:t>本安全回路锁存电路基于纯硬件逻辑架构搭建，利用D触发器（SN74LVC1G74）对IMD、AMS及EBS等系统关键故障信号实现脉冲触发与电平锁存；锁存状态经AO3400 MOSFET控制常开继电器（RLY1、</a:t>
          </a:r>
          <a:r>
            <a:rPr lang="en-US" altLang="zh-CN" sz="1100">
              <a:solidFill>
                <a:sysClr val="windowText" lastClr="000000"/>
              </a:solidFill>
            </a:rPr>
            <a:t>RLY2</a:t>
          </a:r>
          <a:r>
            <a:rPr lang="zh-CN" altLang="en-US" sz="1100">
              <a:solidFill>
                <a:sysClr val="windowText" lastClr="000000"/>
              </a:solidFill>
            </a:rPr>
            <a:t>、</a:t>
          </a:r>
          <a:r>
            <a:rPr lang="en-US" altLang="zh-CN" sz="1100">
              <a:solidFill>
                <a:sysClr val="windowText" lastClr="000000"/>
              </a:solidFill>
            </a:rPr>
            <a:t>RLY3</a:t>
          </a:r>
          <a:r>
            <a:rPr lang="zh-CN" altLang="en-US" sz="1100">
              <a:solidFill>
                <a:sysClr val="windowText" lastClr="000000"/>
              </a:solidFill>
            </a:rPr>
            <a:t>）线圈使其失电，最终将安全回路可靠断开。该电路复位机制严格限定为仅可执行外部手动复位（Manual reset only），杜绝了系统自动重新闭合的风险，完全满足规则EV6.1.6的锁存与手动复位要求；同时，电路断电后常开继电器触点自然断开，精准落实了EV6.1.7的故障安全与断电保护原则，且整体驱动级与逻辑控制均未采用任何可编程器件，符合EV6.1.9关于系统关键信号控制及合规性的各项设计准则。</a:t>
          </a:r>
        </a:p>
      </xdr:txBody>
    </xdr:sp>
    <xdr:clientData/>
  </xdr:oneCellAnchor>
  <xdr:twoCellAnchor editAs="oneCell">
    <xdr:from>
      <xdr:col>36</xdr:col>
      <xdr:colOff>0</xdr:colOff>
      <xdr:row>49</xdr:row>
      <xdr:rowOff>0</xdr:rowOff>
    </xdr:from>
    <xdr:to>
      <xdr:col>43</xdr:col>
      <xdr:colOff>112395</xdr:colOff>
      <xdr:row>60</xdr:row>
      <xdr:rowOff>85090</xdr:rowOff>
    </xdr:to>
    <xdr:pic>
      <xdr:nvPicPr>
        <xdr:cNvPr id="12" name="图片 11">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4"/>
        <a:stretch>
          <a:fillRect/>
        </a:stretch>
      </xdr:blipFill>
      <xdr:spPr>
        <a:xfrm>
          <a:off x="28384500" y="9745980"/>
          <a:ext cx="4912995" cy="2396490"/>
        </a:xfrm>
        <a:prstGeom prst="rect">
          <a:avLst/>
        </a:prstGeom>
      </xdr:spPr>
    </xdr:pic>
    <xdr:clientData/>
  </xdr:twoCellAnchor>
  <xdr:twoCellAnchor editAs="oneCell">
    <xdr:from>
      <xdr:col>43</xdr:col>
      <xdr:colOff>356235</xdr:colOff>
      <xdr:row>49</xdr:row>
      <xdr:rowOff>162560</xdr:rowOff>
    </xdr:from>
    <xdr:to>
      <xdr:col>46</xdr:col>
      <xdr:colOff>358775</xdr:colOff>
      <xdr:row>59</xdr:row>
      <xdr:rowOff>385445</xdr:rowOff>
    </xdr:to>
    <xdr:pic>
      <xdr:nvPicPr>
        <xdr:cNvPr id="13" name="图片 12">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5"/>
        <a:stretch>
          <a:fillRect/>
        </a:stretch>
      </xdr:blipFill>
      <xdr:spPr>
        <a:xfrm>
          <a:off x="33541335" y="9908540"/>
          <a:ext cx="3482340" cy="2000885"/>
        </a:xfrm>
        <a:prstGeom prst="rect">
          <a:avLst/>
        </a:prstGeom>
      </xdr:spPr>
    </xdr:pic>
    <xdr:clientData/>
  </xdr:twoCellAnchor>
  <xdr:twoCellAnchor editAs="oneCell">
    <xdr:from>
      <xdr:col>39</xdr:col>
      <xdr:colOff>542925</xdr:colOff>
      <xdr:row>60</xdr:row>
      <xdr:rowOff>235585</xdr:rowOff>
    </xdr:from>
    <xdr:to>
      <xdr:col>46</xdr:col>
      <xdr:colOff>633095</xdr:colOff>
      <xdr:row>73</xdr:row>
      <xdr:rowOff>105410</xdr:rowOff>
    </xdr:to>
    <xdr:pic>
      <xdr:nvPicPr>
        <xdr:cNvPr id="15" name="图片 14">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6"/>
        <a:stretch>
          <a:fillRect/>
        </a:stretch>
      </xdr:blipFill>
      <xdr:spPr>
        <a:xfrm>
          <a:off x="30984825" y="12292965"/>
          <a:ext cx="6313170" cy="2676525"/>
        </a:xfrm>
        <a:prstGeom prst="rect">
          <a:avLst/>
        </a:prstGeom>
      </xdr:spPr>
    </xdr:pic>
    <xdr:clientData/>
  </xdr:twoCellAnchor>
  <xdr:twoCellAnchor editAs="oneCell">
    <xdr:from>
      <xdr:col>48</xdr:col>
      <xdr:colOff>0</xdr:colOff>
      <xdr:row>49</xdr:row>
      <xdr:rowOff>0</xdr:rowOff>
    </xdr:from>
    <xdr:to>
      <xdr:col>52</xdr:col>
      <xdr:colOff>462915</xdr:colOff>
      <xdr:row>60</xdr:row>
      <xdr:rowOff>283845</xdr:rowOff>
    </xdr:to>
    <xdr:pic>
      <xdr:nvPicPr>
        <xdr:cNvPr id="16" name="图片 15">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7"/>
        <a:stretch>
          <a:fillRect/>
        </a:stretch>
      </xdr:blipFill>
      <xdr:spPr>
        <a:xfrm>
          <a:off x="38036500" y="9745980"/>
          <a:ext cx="3206115" cy="2595245"/>
        </a:xfrm>
        <a:prstGeom prst="rect">
          <a:avLst/>
        </a:prstGeom>
      </xdr:spPr>
    </xdr:pic>
    <xdr:clientData/>
  </xdr:twoCellAnchor>
  <xdr:twoCellAnchor editAs="oneCell">
    <xdr:from>
      <xdr:col>48</xdr:col>
      <xdr:colOff>0</xdr:colOff>
      <xdr:row>60</xdr:row>
      <xdr:rowOff>341630</xdr:rowOff>
    </xdr:from>
    <xdr:to>
      <xdr:col>58</xdr:col>
      <xdr:colOff>513080</xdr:colOff>
      <xdr:row>73</xdr:row>
      <xdr:rowOff>61595</xdr:rowOff>
    </xdr:to>
    <xdr:pic>
      <xdr:nvPicPr>
        <xdr:cNvPr id="17" name="图片 16">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8"/>
        <a:stretch>
          <a:fillRect/>
        </a:stretch>
      </xdr:blipFill>
      <xdr:spPr>
        <a:xfrm>
          <a:off x="38036500" y="12399010"/>
          <a:ext cx="7371080" cy="2526665"/>
        </a:xfrm>
        <a:prstGeom prst="rect">
          <a:avLst/>
        </a:prstGeom>
      </xdr:spPr>
    </xdr:pic>
    <xdr:clientData/>
  </xdr:twoCellAnchor>
  <xdr:twoCellAnchor>
    <xdr:from>
      <xdr:col>26</xdr:col>
      <xdr:colOff>207645</xdr:colOff>
      <xdr:row>22</xdr:row>
      <xdr:rowOff>116205</xdr:rowOff>
    </xdr:from>
    <xdr:to>
      <xdr:col>26</xdr:col>
      <xdr:colOff>654685</xdr:colOff>
      <xdr:row>24</xdr:row>
      <xdr:rowOff>64135</xdr:rowOff>
    </xdr:to>
    <xdr:sp macro="" textlink="">
      <xdr:nvSpPr>
        <xdr:cNvPr id="19" name="矩形 18">
          <a:extLst>
            <a:ext uri="{FF2B5EF4-FFF2-40B4-BE49-F238E27FC236}">
              <a16:creationId xmlns:a16="http://schemas.microsoft.com/office/drawing/2014/main" id="{00000000-0008-0000-0800-000013000000}"/>
            </a:ext>
          </a:extLst>
        </xdr:cNvPr>
        <xdr:cNvSpPr/>
      </xdr:nvSpPr>
      <xdr:spPr>
        <a:xfrm>
          <a:off x="20133945" y="4681855"/>
          <a:ext cx="447040" cy="303530"/>
        </a:xfrm>
        <a:prstGeom prst="rect">
          <a:avLst/>
        </a:prstGeom>
        <a:noFill/>
        <a:ln w="12700" cmpd="sng">
          <a:solidFill>
            <a:srgbClr val="FF0000"/>
          </a:solidFill>
          <a:prstDash val="sysDot"/>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30</xdr:col>
      <xdr:colOff>44450</xdr:colOff>
      <xdr:row>27</xdr:row>
      <xdr:rowOff>137160</xdr:rowOff>
    </xdr:from>
    <xdr:to>
      <xdr:col>30</xdr:col>
      <xdr:colOff>645160</xdr:colOff>
      <xdr:row>29</xdr:row>
      <xdr:rowOff>84455</xdr:rowOff>
    </xdr:to>
    <xdr:sp macro="" textlink="">
      <xdr:nvSpPr>
        <xdr:cNvPr id="20" name="矩形 19">
          <a:extLst>
            <a:ext uri="{FF2B5EF4-FFF2-40B4-BE49-F238E27FC236}">
              <a16:creationId xmlns:a16="http://schemas.microsoft.com/office/drawing/2014/main" id="{00000000-0008-0000-0800-000014000000}"/>
            </a:ext>
          </a:extLst>
        </xdr:cNvPr>
        <xdr:cNvSpPr/>
      </xdr:nvSpPr>
      <xdr:spPr>
        <a:xfrm>
          <a:off x="23628350" y="5591810"/>
          <a:ext cx="600710" cy="302895"/>
        </a:xfrm>
        <a:prstGeom prst="rect">
          <a:avLst/>
        </a:prstGeom>
        <a:noFill/>
        <a:ln w="12700" cmpd="sng">
          <a:solidFill>
            <a:srgbClr val="FF0000"/>
          </a:solidFill>
          <a:prstDash val="sysDot"/>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36</xdr:col>
      <xdr:colOff>6350</xdr:colOff>
      <xdr:row>8</xdr:row>
      <xdr:rowOff>5715</xdr:rowOff>
    </xdr:from>
    <xdr:to>
      <xdr:col>44</xdr:col>
      <xdr:colOff>425450</xdr:colOff>
      <xdr:row>21</xdr:row>
      <xdr:rowOff>3810</xdr:rowOff>
    </xdr:to>
    <xdr:pic>
      <xdr:nvPicPr>
        <xdr:cNvPr id="2" name="图片 1" descr="a2b4d877cd91f1ea1886b35e2cdf36ac">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9"/>
        <a:stretch>
          <a:fillRect/>
        </a:stretch>
      </xdr:blipFill>
      <xdr:spPr>
        <a:xfrm>
          <a:off x="28390850" y="2082165"/>
          <a:ext cx="5905500" cy="2309495"/>
        </a:xfrm>
        <a:prstGeom prst="rect">
          <a:avLst/>
        </a:prstGeom>
      </xdr:spPr>
    </xdr:pic>
    <xdr:clientData/>
  </xdr:twoCellAnchor>
  <xdr:twoCellAnchor editAs="oneCell">
    <xdr:from>
      <xdr:col>12</xdr:col>
      <xdr:colOff>6985</xdr:colOff>
      <xdr:row>9</xdr:row>
      <xdr:rowOff>6985</xdr:rowOff>
    </xdr:from>
    <xdr:to>
      <xdr:col>23</xdr:col>
      <xdr:colOff>17145</xdr:colOff>
      <xdr:row>32</xdr:row>
      <xdr:rowOff>50165</xdr:rowOff>
    </xdr:to>
    <xdr:pic>
      <xdr:nvPicPr>
        <xdr:cNvPr id="18" name="图片 17" descr="SCH_Schematic1_1-P1_2026-08-19">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0"/>
        <a:srcRect b="21249"/>
        <a:stretch>
          <a:fillRect/>
        </a:stretch>
      </xdr:blipFill>
      <xdr:spPr>
        <a:xfrm>
          <a:off x="9874885" y="2261235"/>
          <a:ext cx="7553960" cy="4132580"/>
        </a:xfrm>
        <a:prstGeom prst="rect">
          <a:avLst/>
        </a:prstGeom>
      </xdr:spPr>
    </xdr:pic>
    <xdr:clientData/>
  </xdr:twoCellAnchor>
  <xdr:twoCellAnchor editAs="oneCell">
    <xdr:from>
      <xdr:col>36</xdr:col>
      <xdr:colOff>109855</xdr:colOff>
      <xdr:row>60</xdr:row>
      <xdr:rowOff>100965</xdr:rowOff>
    </xdr:from>
    <xdr:to>
      <xdr:col>39</xdr:col>
      <xdr:colOff>370205</xdr:colOff>
      <xdr:row>74</xdr:row>
      <xdr:rowOff>76835</xdr:rowOff>
    </xdr:to>
    <xdr:pic>
      <xdr:nvPicPr>
        <xdr:cNvPr id="21" name="图片 20">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11"/>
        <a:stretch>
          <a:fillRect/>
        </a:stretch>
      </xdr:blipFill>
      <xdr:spPr>
        <a:xfrm>
          <a:off x="28494355" y="12158345"/>
          <a:ext cx="2317750" cy="2960370"/>
        </a:xfrm>
        <a:prstGeom prst="rect">
          <a:avLst/>
        </a:prstGeom>
        <a:noFill/>
        <a:ln w="9525">
          <a:noFill/>
        </a:ln>
      </xdr:spPr>
    </xdr:pic>
    <xdr:clientData/>
  </xdr:twoCellAnchor>
  <xdr:twoCellAnchor editAs="oneCell">
    <xdr:from>
      <xdr:col>2</xdr:col>
      <xdr:colOff>551642</xdr:colOff>
      <xdr:row>8</xdr:row>
      <xdr:rowOff>146266</xdr:rowOff>
    </xdr:from>
    <xdr:to>
      <xdr:col>8</xdr:col>
      <xdr:colOff>1011979</xdr:colOff>
      <xdr:row>34</xdr:row>
      <xdr:rowOff>149411</xdr:rowOff>
    </xdr:to>
    <xdr:pic>
      <xdr:nvPicPr>
        <xdr:cNvPr id="5" name="图形 4">
          <a:extLst>
            <a:ext uri="{FF2B5EF4-FFF2-40B4-BE49-F238E27FC236}">
              <a16:creationId xmlns:a16="http://schemas.microsoft.com/office/drawing/2014/main" id="{903AD711-E14D-9434-DE1B-123CD582C806}"/>
            </a:ext>
          </a:extLst>
        </xdr:cNvPr>
        <xdr:cNvPicPr>
          <a:picLocks noChangeAspect="1"/>
        </xdr:cNvPicPr>
      </xdr:nvPicPr>
      <xdr:blipFill rotWithShape="1">
        <a:blip xmlns:r="http://schemas.openxmlformats.org/officeDocument/2006/relationships" r:embed="rId12">
          <a:extLst>
            <a:ext uri="{96DAC541-7B7A-43D3-8B79-37D633B846F1}">
              <asvg:svgBlip xmlns:asvg="http://schemas.microsoft.com/office/drawing/2016/SVG/main" r:embed="rId13"/>
            </a:ext>
          </a:extLst>
        </a:blip>
        <a:srcRect l="4685" t="7627" r="32719" b="8292"/>
        <a:stretch>
          <a:fillRect/>
        </a:stretch>
      </xdr:blipFill>
      <xdr:spPr>
        <a:xfrm>
          <a:off x="2187701" y="2223090"/>
          <a:ext cx="4920278" cy="4664792"/>
        </a:xfrm>
        <a:prstGeom prst="rect">
          <a:avLst/>
        </a:prstGeom>
      </xdr:spPr>
    </xdr:pic>
    <xdr:clientData/>
  </xdr:twoCellAnchor>
  <xdr:twoCellAnchor editAs="oneCell">
    <xdr:from>
      <xdr:col>11</xdr:col>
      <xdr:colOff>679450</xdr:colOff>
      <xdr:row>67</xdr:row>
      <xdr:rowOff>19051</xdr:rowOff>
    </xdr:from>
    <xdr:to>
      <xdr:col>23</xdr:col>
      <xdr:colOff>19049</xdr:colOff>
      <xdr:row>89</xdr:row>
      <xdr:rowOff>19051</xdr:rowOff>
    </xdr:to>
    <xdr:pic>
      <xdr:nvPicPr>
        <xdr:cNvPr id="14" name="图片 13">
          <a:extLst>
            <a:ext uri="{FF2B5EF4-FFF2-40B4-BE49-F238E27FC236}">
              <a16:creationId xmlns:a16="http://schemas.microsoft.com/office/drawing/2014/main" id="{5539EA60-03C3-06BF-2CB0-20BDE95938F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861550" y="13798551"/>
          <a:ext cx="7569199" cy="46228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7</xdr:col>
      <xdr:colOff>530225</xdr:colOff>
      <xdr:row>30</xdr:row>
      <xdr:rowOff>46990</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2489200"/>
          <a:ext cx="5559425" cy="2891790"/>
        </a:xfrm>
        <a:prstGeom prst="rect">
          <a:avLst/>
        </a:prstGeom>
        <a:noFill/>
        <a:ln w="9525">
          <a:noFill/>
        </a:ln>
      </xdr:spPr>
    </xdr:pic>
    <xdr:clientData/>
  </xdr:twoCellAnchor>
  <xdr:twoCellAnchor>
    <xdr:from>
      <xdr:col>1</xdr:col>
      <xdr:colOff>521970</xdr:colOff>
      <xdr:row>30</xdr:row>
      <xdr:rowOff>66040</xdr:rowOff>
    </xdr:from>
    <xdr:to>
      <xdr:col>6</xdr:col>
      <xdr:colOff>405765</xdr:colOff>
      <xdr:row>32</xdr:row>
      <xdr:rowOff>28575</xdr:rowOff>
    </xdr:to>
    <xdr:sp macro="" textlink="">
      <xdr:nvSpPr>
        <xdr:cNvPr id="3" name="文本框 2">
          <a:extLst>
            <a:ext uri="{FF2B5EF4-FFF2-40B4-BE49-F238E27FC236}">
              <a16:creationId xmlns:a16="http://schemas.microsoft.com/office/drawing/2014/main" id="{00000000-0008-0000-0900-000003000000}"/>
            </a:ext>
          </a:extLst>
        </xdr:cNvPr>
        <xdr:cNvSpPr txBox="1"/>
      </xdr:nvSpPr>
      <xdr:spPr>
        <a:xfrm>
          <a:off x="1436370" y="5400040"/>
          <a:ext cx="3312795" cy="3181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zh-CN" altLang="en-US" sz="1100">
              <a:solidFill>
                <a:sysClr val="windowText" lastClr="000000"/>
              </a:solidFill>
            </a:rPr>
            <a:t>图中壳体为高压电力分配盒，图中保险丝未画出</a:t>
          </a:r>
        </a:p>
      </xdr:txBody>
    </xdr:sp>
    <xdr:clientData/>
  </xdr:twoCellAnchor>
  <xdr:twoCellAnchor editAs="oneCell">
    <xdr:from>
      <xdr:col>9</xdr:col>
      <xdr:colOff>0</xdr:colOff>
      <xdr:row>14</xdr:row>
      <xdr:rowOff>0</xdr:rowOff>
    </xdr:from>
    <xdr:to>
      <xdr:col>16</xdr:col>
      <xdr:colOff>525145</xdr:colOff>
      <xdr:row>30</xdr:row>
      <xdr:rowOff>101600</xdr:rowOff>
    </xdr:to>
    <xdr:pic>
      <xdr:nvPicPr>
        <xdr:cNvPr id="4" name="图片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a:stretch>
          <a:fillRect/>
        </a:stretch>
      </xdr:blipFill>
      <xdr:spPr>
        <a:xfrm>
          <a:off x="6400800" y="2489200"/>
          <a:ext cx="5325745" cy="2946400"/>
        </a:xfrm>
        <a:prstGeom prst="rect">
          <a:avLst/>
        </a:prstGeom>
        <a:noFill/>
        <a:ln w="9525">
          <a:noFill/>
        </a:ln>
      </xdr:spPr>
    </xdr:pic>
    <xdr:clientData/>
  </xdr:twoCellAnchor>
  <xdr:twoCellAnchor editAs="oneCell">
    <xdr:from>
      <xdr:col>18</xdr:col>
      <xdr:colOff>0</xdr:colOff>
      <xdr:row>14</xdr:row>
      <xdr:rowOff>0</xdr:rowOff>
    </xdr:from>
    <xdr:to>
      <xdr:col>24</xdr:col>
      <xdr:colOff>1613535</xdr:colOff>
      <xdr:row>31</xdr:row>
      <xdr:rowOff>146685</xdr:rowOff>
    </xdr:to>
    <xdr:pic>
      <xdr:nvPicPr>
        <xdr:cNvPr id="5" name="图片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2573000" y="2489200"/>
          <a:ext cx="5728335" cy="3169285"/>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3952240</xdr:colOff>
      <xdr:row>12</xdr:row>
      <xdr:rowOff>69215</xdr:rowOff>
    </xdr:to>
    <xdr:pic>
      <xdr:nvPicPr>
        <xdr:cNvPr id="2" name="图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3251200" y="889000"/>
          <a:ext cx="3952240" cy="2355215"/>
        </a:xfrm>
        <a:prstGeom prst="rect">
          <a:avLst/>
        </a:prstGeom>
        <a:noFill/>
        <a:ln w="9525">
          <a:noFill/>
        </a:ln>
      </xdr:spPr>
    </xdr:pic>
    <xdr:clientData/>
  </xdr:twoCellAnchor>
  <xdr:twoCellAnchor editAs="oneCell">
    <xdr:from>
      <xdr:col>2</xdr:col>
      <xdr:colOff>0</xdr:colOff>
      <xdr:row>23</xdr:row>
      <xdr:rowOff>0</xdr:rowOff>
    </xdr:from>
    <xdr:to>
      <xdr:col>2</xdr:col>
      <xdr:colOff>3073400</xdr:colOff>
      <xdr:row>32</xdr:row>
      <xdr:rowOff>121285</xdr:rowOff>
    </xdr:to>
    <xdr:pic>
      <xdr:nvPicPr>
        <xdr:cNvPr id="4" name="图片 3" descr="87531eb9c8d10f0b8cc598437b68981f">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3251200" y="5969000"/>
          <a:ext cx="3073400" cy="2407285"/>
        </a:xfrm>
        <a:prstGeom prst="rect">
          <a:avLst/>
        </a:prstGeom>
      </xdr:spPr>
    </xdr:pic>
    <xdr:clientData/>
  </xdr:twoCellAnchor>
  <xdr:twoCellAnchor editAs="oneCell">
    <xdr:from>
      <xdr:col>2</xdr:col>
      <xdr:colOff>0</xdr:colOff>
      <xdr:row>33</xdr:row>
      <xdr:rowOff>0</xdr:rowOff>
    </xdr:from>
    <xdr:to>
      <xdr:col>2</xdr:col>
      <xdr:colOff>1083945</xdr:colOff>
      <xdr:row>42</xdr:row>
      <xdr:rowOff>189230</xdr:rowOff>
    </xdr:to>
    <xdr:pic>
      <xdr:nvPicPr>
        <xdr:cNvPr id="5" name="图片 4" descr="4bdff80b42700266b1b76095e9322c70">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3251200" y="8509000"/>
          <a:ext cx="1083945" cy="2475230"/>
        </a:xfrm>
        <a:prstGeom prst="rect">
          <a:avLst/>
        </a:prstGeom>
      </xdr:spPr>
    </xdr:pic>
    <xdr:clientData/>
  </xdr:twoCellAnchor>
  <xdr:twoCellAnchor editAs="oneCell">
    <xdr:from>
      <xdr:col>2</xdr:col>
      <xdr:colOff>0</xdr:colOff>
      <xdr:row>43</xdr:row>
      <xdr:rowOff>0</xdr:rowOff>
    </xdr:from>
    <xdr:to>
      <xdr:col>2</xdr:col>
      <xdr:colOff>1581150</xdr:colOff>
      <xdr:row>52</xdr:row>
      <xdr:rowOff>201930</xdr:rowOff>
    </xdr:to>
    <xdr:pic>
      <xdr:nvPicPr>
        <xdr:cNvPr id="6" name="图片 5" descr="d0942c42b3be8cc197124f09dc1add5b">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4"/>
        <a:stretch>
          <a:fillRect/>
        </a:stretch>
      </xdr:blipFill>
      <xdr:spPr>
        <a:xfrm>
          <a:off x="3251200" y="11049000"/>
          <a:ext cx="1581150" cy="2487930"/>
        </a:xfrm>
        <a:prstGeom prst="rect">
          <a:avLst/>
        </a:prstGeom>
      </xdr:spPr>
    </xdr:pic>
    <xdr:clientData/>
  </xdr:twoCellAnchor>
  <xdr:twoCellAnchor editAs="oneCell">
    <xdr:from>
      <xdr:col>2</xdr:col>
      <xdr:colOff>187960</xdr:colOff>
      <xdr:row>73</xdr:row>
      <xdr:rowOff>246380</xdr:rowOff>
    </xdr:from>
    <xdr:to>
      <xdr:col>2</xdr:col>
      <xdr:colOff>4432300</xdr:colOff>
      <xdr:row>82</xdr:row>
      <xdr:rowOff>86995</xdr:rowOff>
    </xdr:to>
    <xdr:pic>
      <xdr:nvPicPr>
        <xdr:cNvPr id="13" name="图片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5"/>
        <a:stretch>
          <a:fillRect/>
        </a:stretch>
      </xdr:blipFill>
      <xdr:spPr>
        <a:xfrm>
          <a:off x="3439160" y="18915380"/>
          <a:ext cx="4244340" cy="2126615"/>
        </a:xfrm>
        <a:prstGeom prst="rect">
          <a:avLst/>
        </a:prstGeom>
        <a:noFill/>
        <a:ln w="9525">
          <a:noFill/>
        </a:ln>
      </xdr:spPr>
    </xdr:pic>
    <xdr:clientData/>
  </xdr:twoCellAnchor>
  <xdr:twoCellAnchor editAs="oneCell">
    <xdr:from>
      <xdr:col>2</xdr:col>
      <xdr:colOff>596900</xdr:colOff>
      <xdr:row>13</xdr:row>
      <xdr:rowOff>112395</xdr:rowOff>
    </xdr:from>
    <xdr:to>
      <xdr:col>2</xdr:col>
      <xdr:colOff>4549140</xdr:colOff>
      <xdr:row>22</xdr:row>
      <xdr:rowOff>181610</xdr:rowOff>
    </xdr:to>
    <xdr:pic>
      <xdr:nvPicPr>
        <xdr:cNvPr id="14" name="图片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1"/>
        <a:stretch>
          <a:fillRect/>
        </a:stretch>
      </xdr:blipFill>
      <xdr:spPr>
        <a:xfrm>
          <a:off x="3848100" y="3541395"/>
          <a:ext cx="3952240" cy="2355215"/>
        </a:xfrm>
        <a:prstGeom prst="rect">
          <a:avLst/>
        </a:prstGeom>
        <a:noFill/>
        <a:ln w="9525">
          <a:noFill/>
        </a:ln>
      </xdr:spPr>
    </xdr:pic>
    <xdr:clientData/>
  </xdr:twoCellAnchor>
  <xdr:twoCellAnchor editAs="oneCell">
    <xdr:from>
      <xdr:col>2</xdr:col>
      <xdr:colOff>61595</xdr:colOff>
      <xdr:row>55</xdr:row>
      <xdr:rowOff>41910</xdr:rowOff>
    </xdr:from>
    <xdr:to>
      <xdr:col>2</xdr:col>
      <xdr:colOff>2630805</xdr:colOff>
      <xdr:row>61</xdr:row>
      <xdr:rowOff>157480</xdr:rowOff>
    </xdr:to>
    <xdr:pic>
      <xdr:nvPicPr>
        <xdr:cNvPr id="15" name="图片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6"/>
        <a:stretch>
          <a:fillRect/>
        </a:stretch>
      </xdr:blipFill>
      <xdr:spPr>
        <a:xfrm>
          <a:off x="3312795" y="14138910"/>
          <a:ext cx="2569210" cy="1639570"/>
        </a:xfrm>
        <a:prstGeom prst="rect">
          <a:avLst/>
        </a:prstGeom>
        <a:noFill/>
        <a:ln w="9525">
          <a:noFill/>
        </a:ln>
      </xdr:spPr>
    </xdr:pic>
    <xdr:clientData/>
  </xdr:twoCellAnchor>
  <xdr:twoCellAnchor editAs="oneCell">
    <xdr:from>
      <xdr:col>2</xdr:col>
      <xdr:colOff>2661285</xdr:colOff>
      <xdr:row>55</xdr:row>
      <xdr:rowOff>124460</xdr:rowOff>
    </xdr:from>
    <xdr:to>
      <xdr:col>2</xdr:col>
      <xdr:colOff>5254625</xdr:colOff>
      <xdr:row>60</xdr:row>
      <xdr:rowOff>192405</xdr:rowOff>
    </xdr:to>
    <xdr:pic>
      <xdr:nvPicPr>
        <xdr:cNvPr id="16" name="图片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7"/>
        <a:stretch>
          <a:fillRect/>
        </a:stretch>
      </xdr:blipFill>
      <xdr:spPr>
        <a:xfrm>
          <a:off x="5912485" y="14221460"/>
          <a:ext cx="2593340" cy="1337945"/>
        </a:xfrm>
        <a:prstGeom prst="rect">
          <a:avLst/>
        </a:prstGeom>
        <a:noFill/>
        <a:ln w="9525">
          <a:noFill/>
        </a:ln>
      </xdr:spPr>
    </xdr:pic>
    <xdr:clientData/>
  </xdr:twoCellAnchor>
  <xdr:twoCellAnchor editAs="oneCell">
    <xdr:from>
      <xdr:col>2</xdr:col>
      <xdr:colOff>83185</xdr:colOff>
      <xdr:row>63</xdr:row>
      <xdr:rowOff>201930</xdr:rowOff>
    </xdr:from>
    <xdr:to>
      <xdr:col>2</xdr:col>
      <xdr:colOff>2533650</xdr:colOff>
      <xdr:row>71</xdr:row>
      <xdr:rowOff>197485</xdr:rowOff>
    </xdr:to>
    <xdr:pic>
      <xdr:nvPicPr>
        <xdr:cNvPr id="17" name="图片 16">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8"/>
        <a:stretch>
          <a:fillRect/>
        </a:stretch>
      </xdr:blipFill>
      <xdr:spPr>
        <a:xfrm>
          <a:off x="3334385" y="16330930"/>
          <a:ext cx="2450465" cy="2027555"/>
        </a:xfrm>
        <a:prstGeom prst="rect">
          <a:avLst/>
        </a:prstGeom>
        <a:noFill/>
        <a:ln w="9525">
          <a:noFill/>
        </a:ln>
      </xdr:spPr>
    </xdr:pic>
    <xdr:clientData/>
  </xdr:twoCellAnchor>
  <xdr:twoCellAnchor editAs="oneCell">
    <xdr:from>
      <xdr:col>2</xdr:col>
      <xdr:colOff>2618740</xdr:colOff>
      <xdr:row>64</xdr:row>
      <xdr:rowOff>67945</xdr:rowOff>
    </xdr:from>
    <xdr:to>
      <xdr:col>2</xdr:col>
      <xdr:colOff>5257165</xdr:colOff>
      <xdr:row>71</xdr:row>
      <xdr:rowOff>42545</xdr:rowOff>
    </xdr:to>
    <xdr:pic>
      <xdr:nvPicPr>
        <xdr:cNvPr id="18" name="图片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9"/>
        <a:stretch>
          <a:fillRect/>
        </a:stretch>
      </xdr:blipFill>
      <xdr:spPr>
        <a:xfrm>
          <a:off x="5869940" y="16450945"/>
          <a:ext cx="2638425" cy="1752600"/>
        </a:xfrm>
        <a:prstGeom prst="rect">
          <a:avLst/>
        </a:prstGeom>
        <a:noFill/>
        <a:ln w="9525">
          <a:noFill/>
        </a:ln>
      </xdr:spPr>
    </xdr:pic>
    <xdr:clientData/>
  </xdr:twoCellAnchor>
  <xdr:twoCellAnchor editAs="oneCell">
    <xdr:from>
      <xdr:col>2</xdr:col>
      <xdr:colOff>448310</xdr:colOff>
      <xdr:row>83</xdr:row>
      <xdr:rowOff>100330</xdr:rowOff>
    </xdr:from>
    <xdr:to>
      <xdr:col>2</xdr:col>
      <xdr:colOff>4615180</xdr:colOff>
      <xdr:row>92</xdr:row>
      <xdr:rowOff>210185</xdr:rowOff>
    </xdr:to>
    <xdr:pic>
      <xdr:nvPicPr>
        <xdr:cNvPr id="19" name="图片 18">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0"/>
        <a:stretch>
          <a:fillRect/>
        </a:stretch>
      </xdr:blipFill>
      <xdr:spPr>
        <a:xfrm>
          <a:off x="3699510" y="21309330"/>
          <a:ext cx="4166870" cy="2395855"/>
        </a:xfrm>
        <a:prstGeom prst="rect">
          <a:avLst/>
        </a:prstGeom>
        <a:noFill/>
        <a:ln w="9525">
          <a:noFill/>
        </a:ln>
      </xdr:spPr>
    </xdr:pic>
    <xdr:clientData/>
  </xdr:twoCellAnchor>
  <xdr:twoCellAnchor editAs="oneCell">
    <xdr:from>
      <xdr:col>12</xdr:col>
      <xdr:colOff>175260</xdr:colOff>
      <xdr:row>3</xdr:row>
      <xdr:rowOff>231140</xdr:rowOff>
    </xdr:from>
    <xdr:to>
      <xdr:col>12</xdr:col>
      <xdr:colOff>4044950</xdr:colOff>
      <xdr:row>12</xdr:row>
      <xdr:rowOff>34290</xdr:rowOff>
    </xdr:to>
    <xdr:pic>
      <xdr:nvPicPr>
        <xdr:cNvPr id="20" name="图片 19">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11"/>
        <a:stretch>
          <a:fillRect/>
        </a:stretch>
      </xdr:blipFill>
      <xdr:spPr>
        <a:xfrm>
          <a:off x="27035760" y="1120140"/>
          <a:ext cx="3869690" cy="2089150"/>
        </a:xfrm>
        <a:prstGeom prst="rect">
          <a:avLst/>
        </a:prstGeom>
        <a:noFill/>
        <a:ln w="9525">
          <a:noFill/>
        </a:ln>
      </xdr:spPr>
    </xdr:pic>
    <xdr:clientData/>
  </xdr:twoCellAnchor>
  <xdr:twoCellAnchor editAs="oneCell">
    <xdr:from>
      <xdr:col>12</xdr:col>
      <xdr:colOff>129540</xdr:colOff>
      <xdr:row>13</xdr:row>
      <xdr:rowOff>14605</xdr:rowOff>
    </xdr:from>
    <xdr:to>
      <xdr:col>12</xdr:col>
      <xdr:colOff>4018915</xdr:colOff>
      <xdr:row>22</xdr:row>
      <xdr:rowOff>93980</xdr:rowOff>
    </xdr:to>
    <xdr:pic>
      <xdr:nvPicPr>
        <xdr:cNvPr id="21" name="图片 20">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12"/>
        <a:stretch>
          <a:fillRect/>
        </a:stretch>
      </xdr:blipFill>
      <xdr:spPr>
        <a:xfrm>
          <a:off x="26990040" y="3443605"/>
          <a:ext cx="3889375" cy="2365375"/>
        </a:xfrm>
        <a:prstGeom prst="rect">
          <a:avLst/>
        </a:prstGeom>
        <a:noFill/>
        <a:ln w="9525">
          <a:noFill/>
        </a:ln>
      </xdr:spPr>
    </xdr:pic>
    <xdr:clientData/>
  </xdr:twoCellAnchor>
  <xdr:twoCellAnchor editAs="oneCell">
    <xdr:from>
      <xdr:col>12</xdr:col>
      <xdr:colOff>180340</xdr:colOff>
      <xdr:row>23</xdr:row>
      <xdr:rowOff>31115</xdr:rowOff>
    </xdr:from>
    <xdr:to>
      <xdr:col>12</xdr:col>
      <xdr:colOff>3884295</xdr:colOff>
      <xdr:row>30</xdr:row>
      <xdr:rowOff>184150</xdr:rowOff>
    </xdr:to>
    <xdr:pic>
      <xdr:nvPicPr>
        <xdr:cNvPr id="22" name="图片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13"/>
        <a:stretch>
          <a:fillRect/>
        </a:stretch>
      </xdr:blipFill>
      <xdr:spPr>
        <a:xfrm>
          <a:off x="27040840" y="6000115"/>
          <a:ext cx="3703955" cy="1931035"/>
        </a:xfrm>
        <a:prstGeom prst="rect">
          <a:avLst/>
        </a:prstGeom>
        <a:noFill/>
        <a:ln w="9525">
          <a:noFill/>
        </a:ln>
      </xdr:spPr>
    </xdr:pic>
    <xdr:clientData/>
  </xdr:twoCellAnchor>
  <xdr:oneCellAnchor>
    <xdr:from>
      <xdr:col>12</xdr:col>
      <xdr:colOff>1963420</xdr:colOff>
      <xdr:row>28</xdr:row>
      <xdr:rowOff>37465</xdr:rowOff>
    </xdr:from>
    <xdr:ext cx="2041525" cy="280670"/>
    <xdr:sp macro="" textlink="">
      <xdr:nvSpPr>
        <xdr:cNvPr id="23" name="文本框 22">
          <a:extLst>
            <a:ext uri="{FF2B5EF4-FFF2-40B4-BE49-F238E27FC236}">
              <a16:creationId xmlns:a16="http://schemas.microsoft.com/office/drawing/2014/main" id="{00000000-0008-0000-0A00-000017000000}"/>
            </a:ext>
          </a:extLst>
        </xdr:cNvPr>
        <xdr:cNvSpPr txBox="1"/>
      </xdr:nvSpPr>
      <xdr:spPr>
        <a:xfrm>
          <a:off x="28823920" y="7276465"/>
          <a:ext cx="2041525" cy="28067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a:solidFill>
                <a:srgbClr val="FF0000"/>
              </a:solidFill>
            </a:rPr>
            <a:t>接地点（与低压插头地线相连）</a:t>
          </a:r>
        </a:p>
      </xdr:txBody>
    </xdr:sp>
    <xdr:clientData/>
  </xdr:oneCellAnchor>
  <xdr:twoCellAnchor>
    <xdr:from>
      <xdr:col>12</xdr:col>
      <xdr:colOff>2984500</xdr:colOff>
      <xdr:row>25</xdr:row>
      <xdr:rowOff>23495</xdr:rowOff>
    </xdr:from>
    <xdr:to>
      <xdr:col>12</xdr:col>
      <xdr:colOff>2987040</xdr:colOff>
      <xdr:row>28</xdr:row>
      <xdr:rowOff>36830</xdr:rowOff>
    </xdr:to>
    <xdr:cxnSp macro="">
      <xdr:nvCxnSpPr>
        <xdr:cNvPr id="24" name="直接箭头连接符 23">
          <a:extLst>
            <a:ext uri="{FF2B5EF4-FFF2-40B4-BE49-F238E27FC236}">
              <a16:creationId xmlns:a16="http://schemas.microsoft.com/office/drawing/2014/main" id="{00000000-0008-0000-0A00-000018000000}"/>
            </a:ext>
          </a:extLst>
        </xdr:cNvPr>
        <xdr:cNvCxnSpPr>
          <a:stCxn id="23" idx="0"/>
        </xdr:cNvCxnSpPr>
      </xdr:nvCxnSpPr>
      <xdr:spPr>
        <a:xfrm flipV="1">
          <a:off x="29845000" y="6500495"/>
          <a:ext cx="2540" cy="775335"/>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12</xdr:col>
      <xdr:colOff>162560</xdr:colOff>
      <xdr:row>30</xdr:row>
      <xdr:rowOff>205105</xdr:rowOff>
    </xdr:from>
    <xdr:to>
      <xdr:col>12</xdr:col>
      <xdr:colOff>4255770</xdr:colOff>
      <xdr:row>32</xdr:row>
      <xdr:rowOff>212725</xdr:rowOff>
    </xdr:to>
    <xdr:sp macro="" textlink="">
      <xdr:nvSpPr>
        <xdr:cNvPr id="25" name="文本框 24">
          <a:extLst>
            <a:ext uri="{FF2B5EF4-FFF2-40B4-BE49-F238E27FC236}">
              <a16:creationId xmlns:a16="http://schemas.microsoft.com/office/drawing/2014/main" id="{00000000-0008-0000-0A00-000019000000}"/>
            </a:ext>
          </a:extLst>
        </xdr:cNvPr>
        <xdr:cNvSpPr txBox="1"/>
      </xdr:nvSpPr>
      <xdr:spPr>
        <a:xfrm>
          <a:off x="27023060" y="7952105"/>
          <a:ext cx="4093210" cy="515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sz="1100"/>
            <a:t>能量计外为电力分配盒，壳体选用3mm厚阻燃级工程塑料（ABS）注塑成型，内部全面铺设FORMEX绝缘阻燃材料作为内衬隔离层</a:t>
          </a:r>
        </a:p>
      </xdr:txBody>
    </xdr:sp>
    <xdr:clientData/>
  </xdr:twoCellAnchor>
  <xdr:twoCellAnchor>
    <xdr:from>
      <xdr:col>12</xdr:col>
      <xdr:colOff>1814195</xdr:colOff>
      <xdr:row>27</xdr:row>
      <xdr:rowOff>8890</xdr:rowOff>
    </xdr:from>
    <xdr:to>
      <xdr:col>12</xdr:col>
      <xdr:colOff>2984500</xdr:colOff>
      <xdr:row>28</xdr:row>
      <xdr:rowOff>36830</xdr:rowOff>
    </xdr:to>
    <xdr:cxnSp macro="">
      <xdr:nvCxnSpPr>
        <xdr:cNvPr id="3" name="直接箭头连接符 2">
          <a:extLst>
            <a:ext uri="{FF2B5EF4-FFF2-40B4-BE49-F238E27FC236}">
              <a16:creationId xmlns:a16="http://schemas.microsoft.com/office/drawing/2014/main" id="{00000000-0008-0000-0A00-000003000000}"/>
            </a:ext>
          </a:extLst>
        </xdr:cNvPr>
        <xdr:cNvCxnSpPr>
          <a:stCxn id="23" idx="0"/>
        </xdr:cNvCxnSpPr>
      </xdr:nvCxnSpPr>
      <xdr:spPr>
        <a:xfrm flipH="1" flipV="1">
          <a:off x="28674695" y="6993890"/>
          <a:ext cx="1170305" cy="281940"/>
        </a:xfrm>
        <a:prstGeom prst="straightConnector1">
          <a:avLst/>
        </a:prstGeom>
        <a:ln>
          <a:solidFill>
            <a:srgbClr val="FF0000"/>
          </a:solidFill>
          <a:tailEnd type="arrow"/>
        </a:ln>
      </xdr:spPr>
      <xdr:style>
        <a:lnRef idx="2">
          <a:schemeClr val="accent1"/>
        </a:lnRef>
        <a:fillRef idx="0">
          <a:srgbClr val="FFFFFF"/>
        </a:fillRef>
        <a:effectRef idx="0">
          <a:srgbClr val="FFFFFF"/>
        </a:effectRef>
        <a:fontRef idx="minor">
          <a:schemeClr val="tx1"/>
        </a:fontRef>
      </xdr:style>
    </xdr:cxnSp>
    <xdr:clientData/>
  </xdr:twoCellAnchor>
  <xdr:twoCellAnchor>
    <xdr:from>
      <xdr:col>9</xdr:col>
      <xdr:colOff>536575</xdr:colOff>
      <xdr:row>22</xdr:row>
      <xdr:rowOff>193040</xdr:rowOff>
    </xdr:from>
    <xdr:to>
      <xdr:col>14</xdr:col>
      <xdr:colOff>155575</xdr:colOff>
      <xdr:row>33</xdr:row>
      <xdr:rowOff>88265</xdr:rowOff>
    </xdr:to>
    <xdr:sp macro="" textlink="">
      <xdr:nvSpPr>
        <xdr:cNvPr id="7" name="矩形 6">
          <a:extLst>
            <a:ext uri="{FF2B5EF4-FFF2-40B4-BE49-F238E27FC236}">
              <a16:creationId xmlns:a16="http://schemas.microsoft.com/office/drawing/2014/main" id="{00000000-0008-0000-0A00-000007000000}"/>
            </a:ext>
          </a:extLst>
        </xdr:cNvPr>
        <xdr:cNvSpPr/>
      </xdr:nvSpPr>
      <xdr:spPr>
        <a:xfrm>
          <a:off x="23339425" y="5908040"/>
          <a:ext cx="9563100" cy="2689225"/>
        </a:xfrm>
        <a:prstGeom prst="rect">
          <a:avLst/>
        </a:prstGeom>
        <a:noFill/>
        <a:ln w="28575" cmpd="sng">
          <a:solidFill>
            <a:srgbClr val="FF0000"/>
          </a:solidFill>
          <a:prstDash val="solid"/>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zh-CN" altLang="en-US" sz="1100"/>
        </a:p>
      </xdr:txBody>
    </xdr:sp>
    <xdr:clientData/>
  </xdr:twoCellAnchor>
  <xdr:twoCellAnchor>
    <xdr:from>
      <xdr:col>9</xdr:col>
      <xdr:colOff>589280</xdr:colOff>
      <xdr:row>23</xdr:row>
      <xdr:rowOff>28575</xdr:rowOff>
    </xdr:from>
    <xdr:to>
      <xdr:col>11</xdr:col>
      <xdr:colOff>1051560</xdr:colOff>
      <xdr:row>24</xdr:row>
      <xdr:rowOff>103505</xdr:rowOff>
    </xdr:to>
    <xdr:sp macro="" textlink="">
      <xdr:nvSpPr>
        <xdr:cNvPr id="8" name="文本框 7">
          <a:extLst>
            <a:ext uri="{FF2B5EF4-FFF2-40B4-BE49-F238E27FC236}">
              <a16:creationId xmlns:a16="http://schemas.microsoft.com/office/drawing/2014/main" id="{00000000-0008-0000-0A00-000008000000}"/>
            </a:ext>
          </a:extLst>
        </xdr:cNvPr>
        <xdr:cNvSpPr txBox="1"/>
      </xdr:nvSpPr>
      <xdr:spPr>
        <a:xfrm>
          <a:off x="23392130" y="5997575"/>
          <a:ext cx="2392680" cy="328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zh-CN" altLang="en-US" sz="1100">
              <a:solidFill>
                <a:srgbClr val="FF0000"/>
              </a:solidFill>
            </a:rPr>
            <a:t>能量计材料类型已更正</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pan.baidu.com/s/1LZZB1qbEfzBnA3bHuyFkzw?pwd=2333" TargetMode="External"/><Relationship Id="rId18" Type="http://schemas.openxmlformats.org/officeDocument/2006/relationships/hyperlink" Target="https://pan.baidu.com/s/1CULZ57I2hA7nIlk-IjDt7Q?pwd=2333" TargetMode="External"/><Relationship Id="rId26" Type="http://schemas.openxmlformats.org/officeDocument/2006/relationships/hyperlink" Target="https://pan.baidu.com/s/11gGhPszxUQLcGan4NdEr6Q?pwd=2333" TargetMode="External"/><Relationship Id="rId39" Type="http://schemas.openxmlformats.org/officeDocument/2006/relationships/hyperlink" Target="https://pan.baidu.com/s/1t3C6SPlvH-Hpz4_vG17DzA?pwd=2333" TargetMode="External"/><Relationship Id="rId21" Type="http://schemas.openxmlformats.org/officeDocument/2006/relationships/hyperlink" Target="http://www.bm-bussmann.com/products/North-American-High-Speed-fuses/FWH_500V_North_American_High_Speed_Fuse_94.html" TargetMode="External"/><Relationship Id="rId34" Type="http://schemas.openxmlformats.org/officeDocument/2006/relationships/hyperlink" Target="https://pan.baidu.com/s/1-ED7sZVdRER-uIUQPEIWlQ?pwd=2333" TargetMode="External"/><Relationship Id="rId42" Type="http://schemas.openxmlformats.org/officeDocument/2006/relationships/hyperlink" Target="https://pan.baidu.com/s/13vkWGMrlqIQbJcwMTgUMNQ?pwd=2333" TargetMode="External"/><Relationship Id="rId47" Type="http://schemas.openxmlformats.org/officeDocument/2006/relationships/hyperlink" Target="https://pan.baidu.com/s/1r1sLYiS2RNt_KowuQWFD9w?pwd=2333" TargetMode="External"/><Relationship Id="rId7" Type="http://schemas.openxmlformats.org/officeDocument/2006/relationships/hyperlink" Target="https://pan.baidu.com/s/1LZZB1qbEfzBnA3bHuyFkzw?pwd=2333" TargetMode="External"/><Relationship Id="rId2" Type="http://schemas.openxmlformats.org/officeDocument/2006/relationships/hyperlink" Target="https://pan.baidu.com/s/1LZZB1qbEfzBnA3bHuyFkzw?pwd=2333" TargetMode="External"/><Relationship Id="rId16" Type="http://schemas.openxmlformats.org/officeDocument/2006/relationships/hyperlink" Target="https://pan.baidu.com/s/1CULZ57I2hA7nIlk-IjDt7Q?pwd=2333" TargetMode="External"/><Relationship Id="rId29" Type="http://schemas.openxmlformats.org/officeDocument/2006/relationships/hyperlink" Target="https://www.scii.cn/storage/files/ebfdbd8df5009fee4ede53e7d1cdb88f.pdf" TargetMode="External"/><Relationship Id="rId11" Type="http://schemas.openxmlformats.org/officeDocument/2006/relationships/hyperlink" Target="https://pan.baidu.com/s/1LZZB1qbEfzBnA3bHuyFkzw?pwd=2333" TargetMode="External"/><Relationship Id="rId24" Type="http://schemas.openxmlformats.org/officeDocument/2006/relationships/hyperlink" Target="https://pan.baidu.com/s/1eLUfGXt7SgpWxUK6WlNUmA?pwd=2333" TargetMode="External"/><Relationship Id="rId32" Type="http://schemas.openxmlformats.org/officeDocument/2006/relationships/hyperlink" Target="https://pan.baidu.com/s/1pEfWz0ib4yBaqfwz-NQ_lQ?pwd=2333" TargetMode="External"/><Relationship Id="rId37" Type="http://schemas.openxmlformats.org/officeDocument/2006/relationships/hyperlink" Target="https://pan.baidu.com/s/14AU9KImtnVlqjuqqYTe57g?pwd=2333" TargetMode="External"/><Relationship Id="rId40" Type="http://schemas.openxmlformats.org/officeDocument/2006/relationships/hyperlink" Target="http://www.bm-bussmann.com/products/Low_Voltage_Supplementary_Fuses/PV_Series_1000Vdc_10x38mm_Photovoltaic_fuses_458.html" TargetMode="External"/><Relationship Id="rId45" Type="http://schemas.openxmlformats.org/officeDocument/2006/relationships/hyperlink" Target="https://pan.baidu.com/s/12bsnFRcYgJztTpkLRB1e1g?pwd=2333" TargetMode="External"/><Relationship Id="rId5" Type="http://schemas.openxmlformats.org/officeDocument/2006/relationships/hyperlink" Target="https://pan.baidu.com/s/1J3u9YNsIRxrMnlQ3nLL19Q?pwd=2333" TargetMode="External"/><Relationship Id="rId15" Type="http://schemas.openxmlformats.org/officeDocument/2006/relationships/hyperlink" Target="https://pan.baidu.com/s/1CULZ57I2hA7nIlk-IjDt7Q?pwd=2333" TargetMode="External"/><Relationship Id="rId23" Type="http://schemas.openxmlformats.org/officeDocument/2006/relationships/hyperlink" Target="http://www.bm-bussmann.com/products/Low_Voltage_Supplementary_Fuses/PV_Series_1000Vdc_10x38mm_Photovoltaic_fuses_458.html" TargetMode="External"/><Relationship Id="rId28" Type="http://schemas.openxmlformats.org/officeDocument/2006/relationships/hyperlink" Target="https://pan.baidu.com/s/1k3YxM0I_fa8Saqx8wUIfVw?pwd=2333" TargetMode="External"/><Relationship Id="rId36" Type="http://schemas.openxmlformats.org/officeDocument/2006/relationships/hyperlink" Target="https://pan.baidu.com/s/1EE-keED9eYR22U656RbtHw?pwd=2333" TargetMode="External"/><Relationship Id="rId49" Type="http://schemas.openxmlformats.org/officeDocument/2006/relationships/drawing" Target="../drawings/drawing1.xml"/><Relationship Id="rId10" Type="http://schemas.openxmlformats.org/officeDocument/2006/relationships/hyperlink" Target="https://pan.baidu.com/s/1LZZB1qbEfzBnA3bHuyFkzw?pwd=2333" TargetMode="External"/><Relationship Id="rId19" Type="http://schemas.openxmlformats.org/officeDocument/2006/relationships/hyperlink" Target="https://pan.baidu.com/s/19hAK8e5gK0uR8vv1O0AxZQ?pwd=2333" TargetMode="External"/><Relationship Id="rId31" Type="http://schemas.openxmlformats.org/officeDocument/2006/relationships/hyperlink" Target="https://www.scii.cn/storage/files/c1f690b91f770c047ad5146f526a11bf.pdf" TargetMode="External"/><Relationship Id="rId44" Type="http://schemas.openxmlformats.org/officeDocument/2006/relationships/hyperlink" Target="https://www.te.com.cn/commerce/DocumentDelivery/DDEController?Action=srchrtrv&amp;DocNm=108-151010&amp;DocType=Specification%20Or%20Standard&amp;DocLang=English&amp;DocFormat=pdf&amp;PartCntxt=DTM06-12SA" TargetMode="External"/><Relationship Id="rId4" Type="http://schemas.openxmlformats.org/officeDocument/2006/relationships/hyperlink" Target="https://pan.baidu.com/s/1CULZ57I2hA7nIlk-IjDt7Q?pwd=2333" TargetMode="External"/><Relationship Id="rId9" Type="http://schemas.openxmlformats.org/officeDocument/2006/relationships/hyperlink" Target="https://pan.baidu.com/s/1LZZB1qbEfzBnA3bHuyFkzw?pwd=2333" TargetMode="External"/><Relationship Id="rId14" Type="http://schemas.openxmlformats.org/officeDocument/2006/relationships/hyperlink" Target="https://pan.baidu.com/s/1LZZB1qbEfzBnA3bHuyFkzw?pwd=2333" TargetMode="External"/><Relationship Id="rId22" Type="http://schemas.openxmlformats.org/officeDocument/2006/relationships/hyperlink" Target="https://item.szlcsc.com/datasheet/0466.250NRHF/84722.html" TargetMode="External"/><Relationship Id="rId27" Type="http://schemas.openxmlformats.org/officeDocument/2006/relationships/hyperlink" Target="https://pan.baidu.com/s/1k3YxM0I_fa8Saqx8wUIfVw?pwd=2333" TargetMode="External"/><Relationship Id="rId30" Type="http://schemas.openxmlformats.org/officeDocument/2006/relationships/hyperlink" Target="https://yzvideo-c.yizimg.com/351305/202244-201130198.pdf" TargetMode="External"/><Relationship Id="rId35" Type="http://schemas.openxmlformats.org/officeDocument/2006/relationships/hyperlink" Target="https://pan.baidu.com/s/15KHECqUicnj_nECq7DFOxQ?pwd=2333" TargetMode="External"/><Relationship Id="rId43" Type="http://schemas.openxmlformats.org/officeDocument/2006/relationships/hyperlink" Target="https://pan.baidu.com/s/1pYTgynmCwR-O9GerYs-tzQ?pwd=2333" TargetMode="External"/><Relationship Id="rId48" Type="http://schemas.openxmlformats.org/officeDocument/2006/relationships/hyperlink" Target="https://pan.baidu.com/s/1tS_PNErl6ZldFfJa3XGNBw?pwd=2333" TargetMode="External"/><Relationship Id="rId8" Type="http://schemas.openxmlformats.org/officeDocument/2006/relationships/hyperlink" Target="https://pan.baidu.com/s/1LZZB1qbEfzBnA3bHuyFkzw?pwd=2333" TargetMode="External"/><Relationship Id="rId3" Type="http://schemas.openxmlformats.org/officeDocument/2006/relationships/hyperlink" Target="https://pan.baidu.com/s/1J3u9YNsIRxrMnlQ3nLL19Q?pwd=2333" TargetMode="External"/><Relationship Id="rId12" Type="http://schemas.openxmlformats.org/officeDocument/2006/relationships/hyperlink" Target="https://pan.baidu.com/s/1LZZB1qbEfzBnA3bHuyFkzw?pwd=2333" TargetMode="External"/><Relationship Id="rId17" Type="http://schemas.openxmlformats.org/officeDocument/2006/relationships/hyperlink" Target="https://pan.baidu.com/s/1CULZ57I2hA7nIlk-IjDt7Q?pwd=2333" TargetMode="External"/><Relationship Id="rId25" Type="http://schemas.openxmlformats.org/officeDocument/2006/relationships/hyperlink" Target="http://www.bm-bussmann.com/products/Low_Voltage_Supplementary_Fuses/PV_Series_1000Vdc_10x38mm_Photovoltaic_fuses_458.html" TargetMode="External"/><Relationship Id="rId33" Type="http://schemas.openxmlformats.org/officeDocument/2006/relationships/hyperlink" Target="https://pan.baidu.com/s/1FUwpprS4-rU0-jDJfnZjVw?pwd=2333" TargetMode="External"/><Relationship Id="rId38" Type="http://schemas.openxmlformats.org/officeDocument/2006/relationships/hyperlink" Target="https://pan.baidu.com/s/1uhFWecMQu8606Vkbknw-tA?pwd=2333" TargetMode="External"/><Relationship Id="rId46" Type="http://schemas.openxmlformats.org/officeDocument/2006/relationships/hyperlink" Target="https://www.littelfuse.com/assetdocs/littelfuse-datasheet-142-bf1-58v?assetguid=837e42d2-ca5a-4d2e-8438-0342b74c753a" TargetMode="External"/><Relationship Id="rId20" Type="http://schemas.openxmlformats.org/officeDocument/2006/relationships/hyperlink" Target="https://pan.baidu.com/s/1CULZ57I2hA7nIlk-IjDt7Q?pwd=2333" TargetMode="External"/><Relationship Id="rId41" Type="http://schemas.openxmlformats.org/officeDocument/2006/relationships/hyperlink" Target="http://www.bm-bussmann.com/products/Low_Voltage_Supplementary_Fuses/PV_Series_1000Vdc_10x38mm_Photovoltaic_fuses_458.html" TargetMode="External"/><Relationship Id="rId1" Type="http://schemas.openxmlformats.org/officeDocument/2006/relationships/hyperlink" Target="https://pan.baidu.com/s/1W6NBkswv9XYE9LU2SyG3Uw?pwd=2333" TargetMode="External"/><Relationship Id="rId6" Type="http://schemas.openxmlformats.org/officeDocument/2006/relationships/hyperlink" Target="https://pan.baidu.com/s/1LZZB1qbEfzBnA3bHuyFkzw?pwd=233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pan.baidu.com/s/1t3C6SPlvH-Hpz4_vG17DzA?pwd=2333" TargetMode="External"/><Relationship Id="rId1" Type="http://schemas.openxmlformats.org/officeDocument/2006/relationships/hyperlink" Target="https://test123.acrel.cn/download/common/upload/2025/507%20BD100%E7%B3%BB%E5%88%97%E7%94%B5%E9%87%8F%E5%8F%98%E9%80%81%E5%99%A8%E8%AF%B4%E6%98%8E%E4%B9%A6V1.2-20220428%28V3.2%29.pdf"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pan.baidu.com/s/18hUbjD0CfzV9bxl_ESFSvA?pwd=2333"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pan.baidu.com/s/12OnfNxxb5OMPehBazjE3aQ?pwd=pm7a"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img1.17img.cn/17img/files/202411/attachment/c7157b08-678e-43f2-b269-68e4a913b8d8.pdf" TargetMode="External"/><Relationship Id="rId2" Type="http://schemas.openxmlformats.org/officeDocument/2006/relationships/hyperlink" Target="https://test123.acrel.cn/download/common/upload/2025/507%20BD100%E7%B3%BB%E5%88%97%E7%94%B5%E9%87%8F%E5%8F%98%E9%80%81%E5%99%A8%E8%AF%B4%E6%98%8E%E4%B9%A6V1.2-20220428%28V3.2%29.pdf" TargetMode="External"/><Relationship Id="rId1" Type="http://schemas.openxmlformats.org/officeDocument/2006/relationships/hyperlink" Target="https://pan.baidu.com/s/1jTz5D6MeNCzaIpBUucRrHw?pwd=2333" TargetMode="Externa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hyperlink" Target="https://pan.baidu.com/s/1XM4lFCeFB59yYpShLAYqZA?pwd=2333" TargetMode="External"/><Relationship Id="rId2" Type="http://schemas.openxmlformats.org/officeDocument/2006/relationships/hyperlink" Target="https://pan.baidu.com/s/1aoubApKZ8Op4ddLQPiMQOg?pwd=2333" TargetMode="External"/><Relationship Id="rId1" Type="http://schemas.openxmlformats.org/officeDocument/2006/relationships/hyperlink" Target="https://pan.baidu.com/s/1BTg_m391ebjkLEsbABPMBw?pwd=2333" TargetMode="External"/><Relationship Id="rId6" Type="http://schemas.openxmlformats.org/officeDocument/2006/relationships/drawing" Target="../drawings/drawing7.xml"/><Relationship Id="rId5" Type="http://schemas.openxmlformats.org/officeDocument/2006/relationships/hyperlink" Target="https://pan.baidu.com/s/1BTg_m391ebjkLEsbABPMBw?pwd=2333" TargetMode="External"/><Relationship Id="rId4" Type="http://schemas.openxmlformats.org/officeDocument/2006/relationships/hyperlink" Target="https://pan.baidu.com/s/1aoubApKZ8Op4ddLQPiMQOg?pwd=2333"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60"/>
  <sheetViews>
    <sheetView workbookViewId="0">
      <selection activeCell="A2" sqref="A2:H18"/>
    </sheetView>
  </sheetViews>
  <sheetFormatPr defaultColWidth="9" defaultRowHeight="14" x14ac:dyDescent="0.3"/>
  <cols>
    <col min="8" max="8" width="48.58203125" customWidth="1"/>
    <col min="10" max="10" width="35.6640625" customWidth="1"/>
    <col min="11" max="11" width="21.9140625" customWidth="1"/>
    <col min="13" max="13" width="10.9140625" customWidth="1"/>
    <col min="14" max="14" width="12.9140625" customWidth="1"/>
  </cols>
  <sheetData>
    <row r="1" spans="1:15" s="18" customFormat="1" ht="24.9" customHeight="1" x14ac:dyDescent="0.3">
      <c r="A1" s="183" t="s">
        <v>0</v>
      </c>
      <c r="B1" s="186"/>
      <c r="C1" s="186"/>
      <c r="D1" s="186"/>
      <c r="E1" s="186"/>
      <c r="F1" s="186"/>
      <c r="G1" s="186"/>
      <c r="H1" s="186"/>
      <c r="J1" s="183" t="s">
        <v>1</v>
      </c>
      <c r="K1" s="183"/>
      <c r="M1" s="183" t="s">
        <v>2</v>
      </c>
      <c r="N1" s="183"/>
    </row>
    <row r="2" spans="1:15" ht="24.9" customHeight="1" x14ac:dyDescent="0.3">
      <c r="A2" s="197" t="s">
        <v>3</v>
      </c>
      <c r="B2" s="198"/>
      <c r="C2" s="198"/>
      <c r="D2" s="198"/>
      <c r="E2" s="198"/>
      <c r="F2" s="198"/>
      <c r="G2" s="198"/>
      <c r="H2" s="198"/>
      <c r="J2" s="10" t="s">
        <v>4</v>
      </c>
      <c r="K2" s="9" t="str">
        <f ca="1">'规格书 Datasheet'!B1</f>
        <v>OK</v>
      </c>
      <c r="M2" s="196" t="str">
        <f ca="1">IF(COUNTIF(K2:K12,"="&amp;IncompleteText),IncompleteText,IF(COUNTIF(K2:K12,"="&amp;ErrorText),ErrorText,OKText))</f>
        <v>OK</v>
      </c>
      <c r="N2" s="196"/>
    </row>
    <row r="3" spans="1:15" ht="24.9" customHeight="1" x14ac:dyDescent="0.3">
      <c r="A3" s="198"/>
      <c r="B3" s="198"/>
      <c r="C3" s="198"/>
      <c r="D3" s="198"/>
      <c r="E3" s="198"/>
      <c r="F3" s="198"/>
      <c r="G3" s="198"/>
      <c r="H3" s="198"/>
      <c r="J3" s="10" t="s">
        <v>5</v>
      </c>
      <c r="K3" s="9" t="str">
        <f ca="1">'驱动系统原理图 TS Schematics'!$B$1</f>
        <v>OK</v>
      </c>
      <c r="M3" s="196"/>
      <c r="N3" s="196"/>
    </row>
    <row r="4" spans="1:15" ht="24.9" customHeight="1" x14ac:dyDescent="0.3">
      <c r="A4" s="198"/>
      <c r="B4" s="198"/>
      <c r="C4" s="198"/>
      <c r="D4" s="198"/>
      <c r="E4" s="198"/>
      <c r="F4" s="198"/>
      <c r="G4" s="198"/>
      <c r="H4" s="198"/>
      <c r="J4" s="10" t="s">
        <v>6</v>
      </c>
      <c r="K4" s="9" t="str">
        <f ca="1">'电池箱 Accumulator'!$B$1</f>
        <v>OK</v>
      </c>
      <c r="M4" s="196"/>
      <c r="N4" s="196"/>
    </row>
    <row r="5" spans="1:15" ht="24.9" customHeight="1" x14ac:dyDescent="0.3">
      <c r="A5" s="198"/>
      <c r="B5" s="198"/>
      <c r="C5" s="198"/>
      <c r="D5" s="198"/>
      <c r="E5" s="198"/>
      <c r="F5" s="198"/>
      <c r="G5" s="198"/>
      <c r="H5" s="198"/>
      <c r="J5" s="10" t="s">
        <v>7</v>
      </c>
      <c r="K5" s="9" t="str">
        <f ca="1">'备用电池箱 Spare Accumulator'!$B$1</f>
        <v>OK</v>
      </c>
      <c r="M5" s="196"/>
      <c r="N5" s="196"/>
    </row>
    <row r="6" spans="1:15" ht="24.9" customHeight="1" x14ac:dyDescent="0.3">
      <c r="A6" s="198"/>
      <c r="B6" s="198"/>
      <c r="C6" s="198"/>
      <c r="D6" s="198"/>
      <c r="E6" s="198"/>
      <c r="F6" s="198"/>
      <c r="G6" s="198"/>
      <c r="H6" s="198"/>
      <c r="J6" s="10" t="s">
        <v>8</v>
      </c>
      <c r="K6" s="9" t="str">
        <f ca="1">'预充电放电 PrechargeDischarge'!B1</f>
        <v>OK</v>
      </c>
    </row>
    <row r="7" spans="1:15" ht="24.9" customHeight="1" x14ac:dyDescent="0.3">
      <c r="A7" s="198"/>
      <c r="B7" s="198"/>
      <c r="C7" s="198"/>
      <c r="D7" s="198"/>
      <c r="E7" s="198"/>
      <c r="F7" s="198"/>
      <c r="G7" s="198"/>
      <c r="H7" s="198"/>
      <c r="J7" s="10" t="s">
        <v>9</v>
      </c>
      <c r="K7" s="9" t="str">
        <f ca="1">'充电 Charging'!B1</f>
        <v>OK</v>
      </c>
    </row>
    <row r="8" spans="1:15" ht="24.9" customHeight="1" x14ac:dyDescent="0.3">
      <c r="A8" s="198"/>
      <c r="B8" s="198"/>
      <c r="C8" s="198"/>
      <c r="D8" s="198"/>
      <c r="E8" s="198"/>
      <c r="F8" s="198"/>
      <c r="G8" s="198"/>
      <c r="H8" s="198"/>
      <c r="J8" s="10" t="s">
        <v>10</v>
      </c>
      <c r="K8" s="9" t="str">
        <f ca="1">'安全系统 Shutdown circuit'!B1</f>
        <v>OK</v>
      </c>
    </row>
    <row r="9" spans="1:15" ht="24.9" customHeight="1" x14ac:dyDescent="0.3">
      <c r="A9" s="198"/>
      <c r="B9" s="198"/>
      <c r="C9" s="198"/>
      <c r="D9" s="198"/>
      <c r="E9" s="198"/>
      <c r="F9" s="198"/>
      <c r="G9" s="198"/>
      <c r="H9" s="198"/>
      <c r="J9" s="10" t="s">
        <v>11</v>
      </c>
      <c r="K9" s="9" t="str">
        <f ca="1">'扭矩指令 Torque Security'!B1</f>
        <v>OK</v>
      </c>
    </row>
    <row r="10" spans="1:15" ht="24.9" customHeight="1" x14ac:dyDescent="0.3">
      <c r="A10" s="198"/>
      <c r="B10" s="198"/>
      <c r="C10" s="198"/>
      <c r="D10" s="198"/>
      <c r="E10" s="198"/>
      <c r="F10" s="198"/>
      <c r="G10" s="198"/>
      <c r="H10" s="198"/>
      <c r="J10" s="10" t="s">
        <v>12</v>
      </c>
      <c r="K10" s="9" t="str">
        <f ca="1">'其他 Others'!B1</f>
        <v>OK</v>
      </c>
    </row>
    <row r="11" spans="1:15" ht="24.9" customHeight="1" x14ac:dyDescent="0.3">
      <c r="A11" s="198"/>
      <c r="B11" s="198"/>
      <c r="C11" s="198"/>
      <c r="D11" s="198"/>
      <c r="E11" s="198"/>
      <c r="F11" s="198"/>
      <c r="G11" s="198"/>
      <c r="H11" s="198"/>
      <c r="J11" s="10" t="s">
        <v>13</v>
      </c>
      <c r="K11" s="9" t="str">
        <f ca="1">'接地 Grounding'!B1</f>
        <v>OK</v>
      </c>
    </row>
    <row r="12" spans="1:15" ht="24.9" customHeight="1" x14ac:dyDescent="0.3">
      <c r="A12" s="198"/>
      <c r="B12" s="198"/>
      <c r="C12" s="198"/>
      <c r="D12" s="198"/>
      <c r="E12" s="198"/>
      <c r="F12" s="198"/>
      <c r="G12" s="198"/>
      <c r="H12" s="198"/>
      <c r="J12" s="10" t="s">
        <v>14</v>
      </c>
      <c r="K12" s="9" t="str">
        <f>O13</f>
        <v>OK</v>
      </c>
    </row>
    <row r="13" spans="1:15" ht="24.9" customHeight="1" x14ac:dyDescent="0.3">
      <c r="A13" s="198"/>
      <c r="B13" s="198"/>
      <c r="C13" s="198"/>
      <c r="D13" s="198"/>
      <c r="E13" s="198"/>
      <c r="F13" s="198"/>
      <c r="G13" s="198"/>
      <c r="H13" s="198"/>
      <c r="J13" s="183" t="s">
        <v>14</v>
      </c>
      <c r="K13" s="183"/>
      <c r="L13" s="183"/>
      <c r="M13" s="183"/>
      <c r="N13" s="183"/>
      <c r="O13" s="9" t="str">
        <f>IF(COUNTIF(O14:O16,"="&amp;IncompleteText),IncompleteText,IF(COUNTIF(O14:O16,"="&amp;ErrorText),ErrorText,OKText))</f>
        <v>OK</v>
      </c>
    </row>
    <row r="14" spans="1:15" ht="24.9" customHeight="1" x14ac:dyDescent="0.3">
      <c r="A14" s="198"/>
      <c r="B14" s="198"/>
      <c r="C14" s="198"/>
      <c r="D14" s="198"/>
      <c r="E14" s="198"/>
      <c r="F14" s="198"/>
      <c r="G14" s="198"/>
      <c r="H14" s="198"/>
      <c r="J14" s="11" t="s">
        <v>15</v>
      </c>
      <c r="K14" s="125" t="s">
        <v>16</v>
      </c>
      <c r="L14" s="125"/>
      <c r="M14" s="125"/>
      <c r="N14" s="125"/>
      <c r="O14" s="9" t="str">
        <f>IF(ISBLANK(K14),IncompleteText,OKText)</f>
        <v>OK</v>
      </c>
    </row>
    <row r="15" spans="1:15" ht="24.9" customHeight="1" x14ac:dyDescent="0.3">
      <c r="A15" s="198"/>
      <c r="B15" s="198"/>
      <c r="C15" s="198"/>
      <c r="D15" s="198"/>
      <c r="E15" s="198"/>
      <c r="F15" s="198"/>
      <c r="G15" s="198"/>
      <c r="H15" s="198"/>
      <c r="J15" s="11" t="s">
        <v>17</v>
      </c>
      <c r="K15" s="125" t="s">
        <v>18</v>
      </c>
      <c r="L15" s="125"/>
      <c r="M15" s="125"/>
      <c r="N15" s="125"/>
      <c r="O15" s="9" t="str">
        <f>IF(ISBLANK(K15),IncompleteText,OKText)</f>
        <v>OK</v>
      </c>
    </row>
    <row r="16" spans="1:15" ht="24.9" customHeight="1" x14ac:dyDescent="0.3">
      <c r="A16" s="198"/>
      <c r="B16" s="198"/>
      <c r="C16" s="198"/>
      <c r="D16" s="198"/>
      <c r="E16" s="198"/>
      <c r="F16" s="198"/>
      <c r="G16" s="198"/>
      <c r="H16" s="198"/>
      <c r="J16" s="11" t="s">
        <v>19</v>
      </c>
      <c r="K16" s="125" t="s">
        <v>20</v>
      </c>
      <c r="L16" s="125"/>
      <c r="M16" s="125"/>
      <c r="N16" s="125"/>
      <c r="O16" s="9" t="str">
        <f>IF(ISBLANK(K16),IncompleteText,OKText)</f>
        <v>OK</v>
      </c>
    </row>
    <row r="17" spans="1:15" ht="24.9" customHeight="1" x14ac:dyDescent="0.3">
      <c r="A17" s="198"/>
      <c r="B17" s="198"/>
      <c r="C17" s="198"/>
      <c r="D17" s="198"/>
      <c r="E17" s="198"/>
      <c r="F17" s="198"/>
      <c r="G17" s="198"/>
      <c r="H17" s="198"/>
    </row>
    <row r="18" spans="1:15" ht="24.9" customHeight="1" x14ac:dyDescent="0.3">
      <c r="A18" s="198"/>
      <c r="B18" s="198"/>
      <c r="C18" s="198"/>
      <c r="D18" s="198"/>
      <c r="E18" s="198"/>
      <c r="F18" s="198"/>
      <c r="G18" s="198"/>
      <c r="H18" s="198"/>
      <c r="J18" s="85" t="s">
        <v>21</v>
      </c>
      <c r="K18" s="86">
        <f>MaxTSVoltage</f>
        <v>365.4</v>
      </c>
      <c r="L18" s="87" t="s">
        <v>22</v>
      </c>
    </row>
    <row r="19" spans="1:15" ht="30" customHeight="1" x14ac:dyDescent="0.3">
      <c r="J19" s="88" t="s">
        <v>23</v>
      </c>
      <c r="K19" s="89">
        <f>FuseNoiCur</f>
        <v>60</v>
      </c>
      <c r="L19" s="90" t="s">
        <v>24</v>
      </c>
    </row>
    <row r="21" spans="1:15" x14ac:dyDescent="0.3">
      <c r="A21" s="94" t="s">
        <v>25</v>
      </c>
      <c r="B21" s="94"/>
      <c r="C21" s="94"/>
      <c r="D21" s="94"/>
      <c r="E21" s="94"/>
      <c r="F21" s="94"/>
      <c r="G21" s="94"/>
      <c r="H21" s="94"/>
      <c r="I21" s="187" t="s">
        <v>26</v>
      </c>
      <c r="J21" s="187"/>
      <c r="K21" s="187"/>
      <c r="L21" s="187"/>
      <c r="M21" s="187"/>
      <c r="N21" s="187"/>
      <c r="O21" s="187"/>
    </row>
    <row r="22" spans="1:15" x14ac:dyDescent="0.3">
      <c r="A22" s="188"/>
      <c r="B22" s="189"/>
      <c r="C22" s="189"/>
      <c r="D22" s="189"/>
      <c r="E22" s="189"/>
      <c r="F22" s="189"/>
      <c r="G22" s="189"/>
      <c r="H22" s="190"/>
      <c r="I22" s="188"/>
      <c r="J22" s="189"/>
      <c r="K22" s="189"/>
      <c r="L22" s="189"/>
      <c r="M22" s="189"/>
      <c r="N22" s="189"/>
      <c r="O22" s="189"/>
    </row>
    <row r="23" spans="1:15" x14ac:dyDescent="0.3">
      <c r="A23" s="191"/>
      <c r="B23" s="114"/>
      <c r="C23" s="114"/>
      <c r="D23" s="114"/>
      <c r="E23" s="114"/>
      <c r="F23" s="114"/>
      <c r="G23" s="114"/>
      <c r="H23" s="192"/>
      <c r="I23" s="191"/>
      <c r="J23" s="114"/>
      <c r="K23" s="114"/>
      <c r="L23" s="114"/>
      <c r="M23" s="114"/>
      <c r="N23" s="114"/>
      <c r="O23" s="114"/>
    </row>
    <row r="24" spans="1:15" x14ac:dyDescent="0.3">
      <c r="A24" s="191"/>
      <c r="B24" s="114"/>
      <c r="C24" s="114"/>
      <c r="D24" s="114"/>
      <c r="E24" s="114"/>
      <c r="F24" s="114"/>
      <c r="G24" s="114"/>
      <c r="H24" s="192"/>
      <c r="I24" s="191"/>
      <c r="J24" s="114"/>
      <c r="K24" s="114"/>
      <c r="L24" s="114"/>
      <c r="M24" s="114"/>
      <c r="N24" s="114"/>
      <c r="O24" s="114"/>
    </row>
    <row r="25" spans="1:15" x14ac:dyDescent="0.3">
      <c r="A25" s="191"/>
      <c r="B25" s="114"/>
      <c r="C25" s="114"/>
      <c r="D25" s="114"/>
      <c r="E25" s="114"/>
      <c r="F25" s="114"/>
      <c r="G25" s="114"/>
      <c r="H25" s="192"/>
      <c r="I25" s="191"/>
      <c r="J25" s="114"/>
      <c r="K25" s="114"/>
      <c r="L25" s="114"/>
      <c r="M25" s="114"/>
      <c r="N25" s="114"/>
      <c r="O25" s="114"/>
    </row>
    <row r="26" spans="1:15" x14ac:dyDescent="0.3">
      <c r="A26" s="191"/>
      <c r="B26" s="114"/>
      <c r="C26" s="114"/>
      <c r="D26" s="114"/>
      <c r="E26" s="114"/>
      <c r="F26" s="114"/>
      <c r="G26" s="114"/>
      <c r="H26" s="192"/>
      <c r="I26" s="191"/>
      <c r="J26" s="114"/>
      <c r="K26" s="114"/>
      <c r="L26" s="114"/>
      <c r="M26" s="114"/>
      <c r="N26" s="114"/>
      <c r="O26" s="114"/>
    </row>
    <row r="27" spans="1:15" x14ac:dyDescent="0.3">
      <c r="A27" s="191"/>
      <c r="B27" s="114"/>
      <c r="C27" s="114"/>
      <c r="D27" s="114"/>
      <c r="E27" s="114"/>
      <c r="F27" s="114"/>
      <c r="G27" s="114"/>
      <c r="H27" s="192"/>
      <c r="I27" s="191"/>
      <c r="J27" s="114"/>
      <c r="K27" s="114"/>
      <c r="L27" s="114"/>
      <c r="M27" s="114"/>
      <c r="N27" s="114"/>
      <c r="O27" s="114"/>
    </row>
    <row r="28" spans="1:15" x14ac:dyDescent="0.3">
      <c r="A28" s="191"/>
      <c r="B28" s="114"/>
      <c r="C28" s="114"/>
      <c r="D28" s="114"/>
      <c r="E28" s="114"/>
      <c r="F28" s="114"/>
      <c r="G28" s="114"/>
      <c r="H28" s="192"/>
      <c r="I28" s="191"/>
      <c r="J28" s="114"/>
      <c r="K28" s="114"/>
      <c r="L28" s="114"/>
      <c r="M28" s="114"/>
      <c r="N28" s="114"/>
      <c r="O28" s="114"/>
    </row>
    <row r="29" spans="1:15" x14ac:dyDescent="0.3">
      <c r="A29" s="191"/>
      <c r="B29" s="114"/>
      <c r="C29" s="114"/>
      <c r="D29" s="114"/>
      <c r="E29" s="114"/>
      <c r="F29" s="114"/>
      <c r="G29" s="114"/>
      <c r="H29" s="192"/>
      <c r="I29" s="191"/>
      <c r="J29" s="114"/>
      <c r="K29" s="114"/>
      <c r="L29" s="114"/>
      <c r="M29" s="114"/>
      <c r="N29" s="114"/>
      <c r="O29" s="114"/>
    </row>
    <row r="30" spans="1:15" x14ac:dyDescent="0.3">
      <c r="A30" s="191"/>
      <c r="B30" s="114"/>
      <c r="C30" s="114"/>
      <c r="D30" s="114"/>
      <c r="E30" s="114"/>
      <c r="F30" s="114"/>
      <c r="G30" s="114"/>
      <c r="H30" s="192"/>
      <c r="I30" s="191"/>
      <c r="J30" s="114"/>
      <c r="K30" s="114"/>
      <c r="L30" s="114"/>
      <c r="M30" s="114"/>
      <c r="N30" s="114"/>
      <c r="O30" s="114"/>
    </row>
    <row r="31" spans="1:15" x14ac:dyDescent="0.3">
      <c r="A31" s="191"/>
      <c r="B31" s="114"/>
      <c r="C31" s="114"/>
      <c r="D31" s="114"/>
      <c r="E31" s="114"/>
      <c r="F31" s="114"/>
      <c r="G31" s="114"/>
      <c r="H31" s="192"/>
      <c r="I31" s="191"/>
      <c r="J31" s="114"/>
      <c r="K31" s="114"/>
      <c r="L31" s="114"/>
      <c r="M31" s="114"/>
      <c r="N31" s="114"/>
      <c r="O31" s="114"/>
    </row>
    <row r="32" spans="1:15" x14ac:dyDescent="0.3">
      <c r="A32" s="191"/>
      <c r="B32" s="114"/>
      <c r="C32" s="114"/>
      <c r="D32" s="114"/>
      <c r="E32" s="114"/>
      <c r="F32" s="114"/>
      <c r="G32" s="114"/>
      <c r="H32" s="192"/>
      <c r="I32" s="191"/>
      <c r="J32" s="114"/>
      <c r="K32" s="114"/>
      <c r="L32" s="114"/>
      <c r="M32" s="114"/>
      <c r="N32" s="114"/>
      <c r="O32" s="114"/>
    </row>
    <row r="33" spans="1:15" x14ac:dyDescent="0.3">
      <c r="A33" s="191"/>
      <c r="B33" s="114"/>
      <c r="C33" s="114"/>
      <c r="D33" s="114"/>
      <c r="E33" s="114"/>
      <c r="F33" s="114"/>
      <c r="G33" s="114"/>
      <c r="H33" s="192"/>
      <c r="I33" s="191"/>
      <c r="J33" s="114"/>
      <c r="K33" s="114"/>
      <c r="L33" s="114"/>
      <c r="M33" s="114"/>
      <c r="N33" s="114"/>
      <c r="O33" s="114"/>
    </row>
    <row r="34" spans="1:15" x14ac:dyDescent="0.3">
      <c r="A34" s="191"/>
      <c r="B34" s="114"/>
      <c r="C34" s="114"/>
      <c r="D34" s="114"/>
      <c r="E34" s="114"/>
      <c r="F34" s="114"/>
      <c r="G34" s="114"/>
      <c r="H34" s="192"/>
      <c r="I34" s="191"/>
      <c r="J34" s="114"/>
      <c r="K34" s="114"/>
      <c r="L34" s="114"/>
      <c r="M34" s="114"/>
      <c r="N34" s="114"/>
      <c r="O34" s="114"/>
    </row>
    <row r="35" spans="1:15" x14ac:dyDescent="0.3">
      <c r="A35" s="191"/>
      <c r="B35" s="114"/>
      <c r="C35" s="114"/>
      <c r="D35" s="114"/>
      <c r="E35" s="114"/>
      <c r="F35" s="114"/>
      <c r="G35" s="114"/>
      <c r="H35" s="192"/>
      <c r="I35" s="191"/>
      <c r="J35" s="114"/>
      <c r="K35" s="114"/>
      <c r="L35" s="114"/>
      <c r="M35" s="114"/>
      <c r="N35" s="114"/>
      <c r="O35" s="114"/>
    </row>
    <row r="36" spans="1:15" x14ac:dyDescent="0.3">
      <c r="A36" s="191"/>
      <c r="B36" s="114"/>
      <c r="C36" s="114"/>
      <c r="D36" s="114"/>
      <c r="E36" s="114"/>
      <c r="F36" s="114"/>
      <c r="G36" s="114"/>
      <c r="H36" s="192"/>
      <c r="I36" s="191"/>
      <c r="J36" s="114"/>
      <c r="K36" s="114"/>
      <c r="L36" s="114"/>
      <c r="M36" s="114"/>
      <c r="N36" s="114"/>
      <c r="O36" s="114"/>
    </row>
    <row r="37" spans="1:15" x14ac:dyDescent="0.3">
      <c r="A37" s="191"/>
      <c r="B37" s="114"/>
      <c r="C37" s="114"/>
      <c r="D37" s="114"/>
      <c r="E37" s="114"/>
      <c r="F37" s="114"/>
      <c r="G37" s="114"/>
      <c r="H37" s="192"/>
      <c r="I37" s="191"/>
      <c r="J37" s="114"/>
      <c r="K37" s="114"/>
      <c r="L37" s="114"/>
      <c r="M37" s="114"/>
      <c r="N37" s="114"/>
      <c r="O37" s="114"/>
    </row>
    <row r="38" spans="1:15" x14ac:dyDescent="0.3">
      <c r="A38" s="191"/>
      <c r="B38" s="114"/>
      <c r="C38" s="114"/>
      <c r="D38" s="114"/>
      <c r="E38" s="114"/>
      <c r="F38" s="114"/>
      <c r="G38" s="114"/>
      <c r="H38" s="192"/>
      <c r="I38" s="191"/>
      <c r="J38" s="114"/>
      <c r="K38" s="114"/>
      <c r="L38" s="114"/>
      <c r="M38" s="114"/>
      <c r="N38" s="114"/>
      <c r="O38" s="114"/>
    </row>
    <row r="39" spans="1:15" x14ac:dyDescent="0.3">
      <c r="A39" s="191"/>
      <c r="B39" s="114"/>
      <c r="C39" s="114"/>
      <c r="D39" s="114"/>
      <c r="E39" s="114"/>
      <c r="F39" s="114"/>
      <c r="G39" s="114"/>
      <c r="H39" s="192"/>
      <c r="I39" s="191"/>
      <c r="J39" s="114"/>
      <c r="K39" s="114"/>
      <c r="L39" s="114"/>
      <c r="M39" s="114"/>
      <c r="N39" s="114"/>
      <c r="O39" s="114"/>
    </row>
    <row r="40" spans="1:15" x14ac:dyDescent="0.3">
      <c r="A40" s="191"/>
      <c r="B40" s="114"/>
      <c r="C40" s="114"/>
      <c r="D40" s="114"/>
      <c r="E40" s="114"/>
      <c r="F40" s="114"/>
      <c r="G40" s="114"/>
      <c r="H40" s="192"/>
      <c r="I40" s="191"/>
      <c r="J40" s="114"/>
      <c r="K40" s="114"/>
      <c r="L40" s="114"/>
      <c r="M40" s="114"/>
      <c r="N40" s="114"/>
      <c r="O40" s="114"/>
    </row>
    <row r="41" spans="1:15" x14ac:dyDescent="0.3">
      <c r="A41" s="191"/>
      <c r="B41" s="114"/>
      <c r="C41" s="114"/>
      <c r="D41" s="114"/>
      <c r="E41" s="114"/>
      <c r="F41" s="114"/>
      <c r="G41" s="114"/>
      <c r="H41" s="192"/>
      <c r="I41" s="191"/>
      <c r="J41" s="114"/>
      <c r="K41" s="114"/>
      <c r="L41" s="114"/>
      <c r="M41" s="114"/>
      <c r="N41" s="114"/>
      <c r="O41" s="114"/>
    </row>
    <row r="42" spans="1:15" x14ac:dyDescent="0.3">
      <c r="A42" s="191"/>
      <c r="B42" s="114"/>
      <c r="C42" s="114"/>
      <c r="D42" s="114"/>
      <c r="E42" s="114"/>
      <c r="F42" s="114"/>
      <c r="G42" s="114"/>
      <c r="H42" s="192"/>
      <c r="I42" s="191"/>
      <c r="J42" s="114"/>
      <c r="K42" s="114"/>
      <c r="L42" s="114"/>
      <c r="M42" s="114"/>
      <c r="N42" s="114"/>
      <c r="O42" s="114"/>
    </row>
    <row r="43" spans="1:15" x14ac:dyDescent="0.3">
      <c r="A43" s="191"/>
      <c r="B43" s="114"/>
      <c r="C43" s="114"/>
      <c r="D43" s="114"/>
      <c r="E43" s="114"/>
      <c r="F43" s="114"/>
      <c r="G43" s="114"/>
      <c r="H43" s="192"/>
      <c r="I43" s="191"/>
      <c r="J43" s="114"/>
      <c r="K43" s="114"/>
      <c r="L43" s="114"/>
      <c r="M43" s="114"/>
      <c r="N43" s="114"/>
      <c r="O43" s="114"/>
    </row>
    <row r="44" spans="1:15" x14ac:dyDescent="0.3">
      <c r="A44" s="191"/>
      <c r="B44" s="114"/>
      <c r="C44" s="114"/>
      <c r="D44" s="114"/>
      <c r="E44" s="114"/>
      <c r="F44" s="114"/>
      <c r="G44" s="114"/>
      <c r="H44" s="192"/>
      <c r="I44" s="191"/>
      <c r="J44" s="114"/>
      <c r="K44" s="114"/>
      <c r="L44" s="114"/>
      <c r="M44" s="114"/>
      <c r="N44" s="114"/>
      <c r="O44" s="114"/>
    </row>
    <row r="45" spans="1:15" x14ac:dyDescent="0.3">
      <c r="A45" s="191"/>
      <c r="B45" s="114"/>
      <c r="C45" s="114"/>
      <c r="D45" s="114"/>
      <c r="E45" s="114"/>
      <c r="F45" s="114"/>
      <c r="G45" s="114"/>
      <c r="H45" s="192"/>
      <c r="I45" s="191"/>
      <c r="J45" s="114"/>
      <c r="K45" s="114"/>
      <c r="L45" s="114"/>
      <c r="M45" s="114"/>
      <c r="N45" s="114"/>
      <c r="O45" s="114"/>
    </row>
    <row r="46" spans="1:15" x14ac:dyDescent="0.3">
      <c r="A46" s="191"/>
      <c r="B46" s="114"/>
      <c r="C46" s="114"/>
      <c r="D46" s="114"/>
      <c r="E46" s="114"/>
      <c r="F46" s="114"/>
      <c r="G46" s="114"/>
      <c r="H46" s="192"/>
      <c r="I46" s="191"/>
      <c r="J46" s="114"/>
      <c r="K46" s="114"/>
      <c r="L46" s="114"/>
      <c r="M46" s="114"/>
      <c r="N46" s="114"/>
      <c r="O46" s="114"/>
    </row>
    <row r="47" spans="1:15" x14ac:dyDescent="0.3">
      <c r="A47" s="191"/>
      <c r="B47" s="114"/>
      <c r="C47" s="114"/>
      <c r="D47" s="114"/>
      <c r="E47" s="114"/>
      <c r="F47" s="114"/>
      <c r="G47" s="114"/>
      <c r="H47" s="192"/>
      <c r="I47" s="191"/>
      <c r="J47" s="114"/>
      <c r="K47" s="114"/>
      <c r="L47" s="114"/>
      <c r="M47" s="114"/>
      <c r="N47" s="114"/>
      <c r="O47" s="114"/>
    </row>
    <row r="48" spans="1:15" x14ac:dyDescent="0.3">
      <c r="A48" s="191"/>
      <c r="B48" s="114"/>
      <c r="C48" s="114"/>
      <c r="D48" s="114"/>
      <c r="E48" s="114"/>
      <c r="F48" s="114"/>
      <c r="G48" s="114"/>
      <c r="H48" s="192"/>
      <c r="I48" s="191"/>
      <c r="J48" s="114"/>
      <c r="K48" s="114"/>
      <c r="L48" s="114"/>
      <c r="M48" s="114"/>
      <c r="N48" s="114"/>
      <c r="O48" s="114"/>
    </row>
    <row r="49" spans="1:15" x14ac:dyDescent="0.3">
      <c r="A49" s="191"/>
      <c r="B49" s="114"/>
      <c r="C49" s="114"/>
      <c r="D49" s="114"/>
      <c r="E49" s="114"/>
      <c r="F49" s="114"/>
      <c r="G49" s="114"/>
      <c r="H49" s="192"/>
      <c r="I49" s="191"/>
      <c r="J49" s="114"/>
      <c r="K49" s="114"/>
      <c r="L49" s="114"/>
      <c r="M49" s="114"/>
      <c r="N49" s="114"/>
      <c r="O49" s="114"/>
    </row>
    <row r="50" spans="1:15" x14ac:dyDescent="0.3">
      <c r="A50" s="191"/>
      <c r="B50" s="114"/>
      <c r="C50" s="114"/>
      <c r="D50" s="114"/>
      <c r="E50" s="114"/>
      <c r="F50" s="114"/>
      <c r="G50" s="114"/>
      <c r="H50" s="192"/>
      <c r="I50" s="191"/>
      <c r="J50" s="114"/>
      <c r="K50" s="114"/>
      <c r="L50" s="114"/>
      <c r="M50" s="114"/>
      <c r="N50" s="114"/>
      <c r="O50" s="114"/>
    </row>
    <row r="51" spans="1:15" x14ac:dyDescent="0.3">
      <c r="A51" s="191"/>
      <c r="B51" s="114"/>
      <c r="C51" s="114"/>
      <c r="D51" s="114"/>
      <c r="E51" s="114"/>
      <c r="F51" s="114"/>
      <c r="G51" s="114"/>
      <c r="H51" s="192"/>
      <c r="I51" s="191"/>
      <c r="J51" s="114"/>
      <c r="K51" s="114"/>
      <c r="L51" s="114"/>
      <c r="M51" s="114"/>
      <c r="N51" s="114"/>
      <c r="O51" s="114"/>
    </row>
    <row r="52" spans="1:15" x14ac:dyDescent="0.3">
      <c r="A52" s="191"/>
      <c r="B52" s="114"/>
      <c r="C52" s="114"/>
      <c r="D52" s="114"/>
      <c r="E52" s="114"/>
      <c r="F52" s="114"/>
      <c r="G52" s="114"/>
      <c r="H52" s="192"/>
      <c r="I52" s="191"/>
      <c r="J52" s="114"/>
      <c r="K52" s="114"/>
      <c r="L52" s="114"/>
      <c r="M52" s="114"/>
      <c r="N52" s="114"/>
      <c r="O52" s="114"/>
    </row>
    <row r="53" spans="1:15" x14ac:dyDescent="0.3">
      <c r="A53" s="191"/>
      <c r="B53" s="114"/>
      <c r="C53" s="114"/>
      <c r="D53" s="114"/>
      <c r="E53" s="114"/>
      <c r="F53" s="114"/>
      <c r="G53" s="114"/>
      <c r="H53" s="192"/>
      <c r="I53" s="191"/>
      <c r="J53" s="114"/>
      <c r="K53" s="114"/>
      <c r="L53" s="114"/>
      <c r="M53" s="114"/>
      <c r="N53" s="114"/>
      <c r="O53" s="114"/>
    </row>
    <row r="54" spans="1:15" x14ac:dyDescent="0.3">
      <c r="A54" s="191"/>
      <c r="B54" s="114"/>
      <c r="C54" s="114"/>
      <c r="D54" s="114"/>
      <c r="E54" s="114"/>
      <c r="F54" s="114"/>
      <c r="G54" s="114"/>
      <c r="H54" s="192"/>
      <c r="I54" s="191"/>
      <c r="J54" s="114"/>
      <c r="K54" s="114"/>
      <c r="L54" s="114"/>
      <c r="M54" s="114"/>
      <c r="N54" s="114"/>
      <c r="O54" s="114"/>
    </row>
    <row r="55" spans="1:15" x14ac:dyDescent="0.3">
      <c r="A55" s="191"/>
      <c r="B55" s="114"/>
      <c r="C55" s="114"/>
      <c r="D55" s="114"/>
      <c r="E55" s="114"/>
      <c r="F55" s="114"/>
      <c r="G55" s="114"/>
      <c r="H55" s="192"/>
      <c r="I55" s="191"/>
      <c r="J55" s="114"/>
      <c r="K55" s="114"/>
      <c r="L55" s="114"/>
      <c r="M55" s="114"/>
      <c r="N55" s="114"/>
      <c r="O55" s="114"/>
    </row>
    <row r="56" spans="1:15" x14ac:dyDescent="0.3">
      <c r="A56" s="191"/>
      <c r="B56" s="114"/>
      <c r="C56" s="114"/>
      <c r="D56" s="114"/>
      <c r="E56" s="114"/>
      <c r="F56" s="114"/>
      <c r="G56" s="114"/>
      <c r="H56" s="192"/>
      <c r="I56" s="191"/>
      <c r="J56" s="114"/>
      <c r="K56" s="114"/>
      <c r="L56" s="114"/>
      <c r="M56" s="114"/>
      <c r="N56" s="114"/>
      <c r="O56" s="114"/>
    </row>
    <row r="57" spans="1:15" x14ac:dyDescent="0.3">
      <c r="A57" s="191"/>
      <c r="B57" s="114"/>
      <c r="C57" s="114"/>
      <c r="D57" s="114"/>
      <c r="E57" s="114"/>
      <c r="F57" s="114"/>
      <c r="G57" s="114"/>
      <c r="H57" s="192"/>
      <c r="I57" s="191"/>
      <c r="J57" s="114"/>
      <c r="K57" s="114"/>
      <c r="L57" s="114"/>
      <c r="M57" s="114"/>
      <c r="N57" s="114"/>
      <c r="O57" s="114"/>
    </row>
    <row r="58" spans="1:15" x14ac:dyDescent="0.3">
      <c r="A58" s="191"/>
      <c r="B58" s="114"/>
      <c r="C58" s="114"/>
      <c r="D58" s="114"/>
      <c r="E58" s="114"/>
      <c r="F58" s="114"/>
      <c r="G58" s="114"/>
      <c r="H58" s="192"/>
      <c r="I58" s="191"/>
      <c r="J58" s="114"/>
      <c r="K58" s="114"/>
      <c r="L58" s="114"/>
      <c r="M58" s="114"/>
      <c r="N58" s="114"/>
      <c r="O58" s="114"/>
    </row>
    <row r="59" spans="1:15" x14ac:dyDescent="0.3">
      <c r="A59" s="191"/>
      <c r="B59" s="114"/>
      <c r="C59" s="114"/>
      <c r="D59" s="114"/>
      <c r="E59" s="114"/>
      <c r="F59" s="114"/>
      <c r="G59" s="114"/>
      <c r="H59" s="192"/>
      <c r="I59" s="191"/>
      <c r="J59" s="114"/>
      <c r="K59" s="114"/>
      <c r="L59" s="114"/>
      <c r="M59" s="114"/>
      <c r="N59" s="114"/>
      <c r="O59" s="114"/>
    </row>
    <row r="60" spans="1:15" x14ac:dyDescent="0.3">
      <c r="A60" s="193"/>
      <c r="B60" s="194"/>
      <c r="C60" s="194"/>
      <c r="D60" s="194"/>
      <c r="E60" s="194"/>
      <c r="F60" s="194"/>
      <c r="G60" s="194"/>
      <c r="H60" s="195"/>
      <c r="I60" s="193"/>
      <c r="J60" s="194"/>
      <c r="K60" s="194"/>
      <c r="L60" s="194"/>
      <c r="M60" s="194"/>
      <c r="N60" s="194"/>
      <c r="O60" s="194"/>
    </row>
  </sheetData>
  <sheetProtection algorithmName="SHA-512" hashValue="fvoRdZJoOWi1qm/SK/XtQYsqByG+IIu7SeD0yuirPHkSyHpVd3aTdO8fJvNa89wf/6n7rFELjwgbOuABIeu46g==" saltValue="FC9HGh4OIvxIMtroXCmmrQ==" spinCount="100000" sheet="1" scenarios="1"/>
  <protectedRanges>
    <protectedRange algorithmName="SHA-512" hashValue="HEumj/IYeytq63JLBvRX49CR3RX3/8bNFvS9+OdcTMyo9YHqhnqFSop70G/rP79mV/+vx7XTL33uE0UuVSWHoQ==" saltValue="bOHRk3jMyIJV/W6gTdtXJA==" spinCount="100000" sqref="A22:O60" name="AC1"/>
  </protectedRanges>
  <mergeCells count="13">
    <mergeCell ref="K15:N15"/>
    <mergeCell ref="K16:N16"/>
    <mergeCell ref="A21:H21"/>
    <mergeCell ref="I21:O21"/>
    <mergeCell ref="A22:H60"/>
    <mergeCell ref="I22:O60"/>
    <mergeCell ref="A2:H18"/>
    <mergeCell ref="A1:H1"/>
    <mergeCell ref="J1:K1"/>
    <mergeCell ref="M1:N1"/>
    <mergeCell ref="J13:N13"/>
    <mergeCell ref="K14:N14"/>
    <mergeCell ref="M2:N5"/>
  </mergeCells>
  <phoneticPr fontId="17" type="noConversion"/>
  <conditionalFormatting sqref="M2:N5 K2:K12 O13:O16">
    <cfRule type="cellIs" dxfId="37" priority="1" operator="equal">
      <formula>ErrorText</formula>
    </cfRule>
  </conditionalFormatting>
  <pageMargins left="0.7" right="0.7" top="0.75" bottom="0.75" header="0.3" footer="0.3"/>
  <pageSetup paperSize="9"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05"/>
  <sheetViews>
    <sheetView tabSelected="1" topLeftCell="A16" zoomScale="85" zoomScaleNormal="85" workbookViewId="0">
      <selection activeCell="F8" sqref="F8"/>
    </sheetView>
  </sheetViews>
  <sheetFormatPr defaultColWidth="9" defaultRowHeight="14" x14ac:dyDescent="0.3"/>
  <cols>
    <col min="1" max="1" width="18.4140625" customWidth="1"/>
    <col min="2" max="2" width="25.9140625" customWidth="1"/>
    <col min="3" max="3" width="30.33203125" customWidth="1"/>
    <col min="4" max="4" width="36.08203125" customWidth="1"/>
    <col min="5" max="5" width="31.33203125" customWidth="1"/>
    <col min="6" max="6" width="24.75" customWidth="1"/>
    <col min="7" max="7" width="30.4140625" customWidth="1"/>
    <col min="8" max="8" width="50.6640625" customWidth="1"/>
    <col min="9" max="9" width="21.6640625" customWidth="1"/>
    <col min="10" max="10" width="29.4140625" customWidth="1"/>
    <col min="11" max="11" width="17.33203125" customWidth="1"/>
    <col min="12" max="12" width="64" customWidth="1"/>
    <col min="15" max="15" width="16.33203125" hidden="1" customWidth="1"/>
  </cols>
  <sheetData>
    <row r="1" spans="1:15" x14ac:dyDescent="0.3">
      <c r="A1" s="2" t="s">
        <v>27</v>
      </c>
      <c r="B1" s="9" t="str">
        <f ca="1">IF(SUM(COUNTIF(INDIRECT({"$E$2","$I$15","$I$40","$I$55","$I$64","$I$72","$J$94"}),"="&amp;IncompleteText))&gt;0,IncompleteText,IF(SUM(COUNTIF(INDIRECT({"$E$2","$I$15","$I$40","$I$55","$I$64","$I$72","$J$94"}),"="&amp;ErrorText))&gt;0,ErrorText,OKText))</f>
        <v>OK</v>
      </c>
    </row>
    <row r="2" spans="1:15" x14ac:dyDescent="0.3">
      <c r="A2" s="93" t="s">
        <v>28</v>
      </c>
      <c r="B2" s="93"/>
      <c r="C2" s="93"/>
      <c r="D2" s="93"/>
      <c r="E2" s="9" t="str">
        <f>IF(COUNTBLANK(C3:C13)&gt;0,IncompleteText,OKText)</f>
        <v>OK</v>
      </c>
    </row>
    <row r="3" spans="1:15" x14ac:dyDescent="0.3">
      <c r="A3" s="91" t="s">
        <v>29</v>
      </c>
      <c r="B3" s="91"/>
      <c r="C3" s="104" t="s">
        <v>30</v>
      </c>
      <c r="D3" s="104"/>
    </row>
    <row r="4" spans="1:15" x14ac:dyDescent="0.3">
      <c r="A4" s="91" t="s">
        <v>31</v>
      </c>
      <c r="B4" s="91"/>
      <c r="C4" s="104" t="s">
        <v>32</v>
      </c>
      <c r="D4" s="104"/>
    </row>
    <row r="5" spans="1:15" x14ac:dyDescent="0.3">
      <c r="A5" s="91" t="s">
        <v>33</v>
      </c>
      <c r="B5" s="91"/>
      <c r="C5" s="294" t="s">
        <v>799</v>
      </c>
      <c r="D5" s="11" t="s">
        <v>34</v>
      </c>
    </row>
    <row r="6" spans="1:15" x14ac:dyDescent="0.3">
      <c r="A6" s="91" t="s">
        <v>35</v>
      </c>
      <c r="B6" s="91"/>
      <c r="C6" s="37" t="s">
        <v>36</v>
      </c>
      <c r="D6" s="11" t="s">
        <v>22</v>
      </c>
    </row>
    <row r="7" spans="1:15" x14ac:dyDescent="0.3">
      <c r="A7" s="91" t="s">
        <v>37</v>
      </c>
      <c r="B7" s="91"/>
      <c r="C7" s="37" t="s">
        <v>38</v>
      </c>
      <c r="D7" s="11" t="s">
        <v>22</v>
      </c>
    </row>
    <row r="8" spans="1:15" x14ac:dyDescent="0.3">
      <c r="A8" s="91" t="s">
        <v>39</v>
      </c>
      <c r="B8" s="91"/>
      <c r="C8" s="37" t="s">
        <v>40</v>
      </c>
      <c r="D8" s="11" t="s">
        <v>22</v>
      </c>
    </row>
    <row r="9" spans="1:15" x14ac:dyDescent="0.3">
      <c r="A9" s="91" t="s">
        <v>41</v>
      </c>
      <c r="B9" s="91"/>
      <c r="C9" s="294" t="s">
        <v>798</v>
      </c>
      <c r="D9" s="11" t="s">
        <v>24</v>
      </c>
    </row>
    <row r="10" spans="1:15" x14ac:dyDescent="0.3">
      <c r="A10" s="91" t="s">
        <v>42</v>
      </c>
      <c r="B10" s="91"/>
      <c r="C10" s="294" t="s">
        <v>800</v>
      </c>
      <c r="D10" s="11" t="s">
        <v>24</v>
      </c>
    </row>
    <row r="11" spans="1:15" x14ac:dyDescent="0.3">
      <c r="A11" s="91" t="s">
        <v>43</v>
      </c>
      <c r="B11" s="91"/>
      <c r="C11" s="294" t="s">
        <v>801</v>
      </c>
      <c r="D11" s="11" t="s">
        <v>44</v>
      </c>
    </row>
    <row r="12" spans="1:15" x14ac:dyDescent="0.3">
      <c r="A12" s="91" t="s">
        <v>45</v>
      </c>
      <c r="B12" s="91"/>
      <c r="C12" s="104" t="s">
        <v>46</v>
      </c>
      <c r="D12" s="104"/>
    </row>
    <row r="13" spans="1:15" x14ac:dyDescent="0.3">
      <c r="A13" s="91" t="s">
        <v>47</v>
      </c>
      <c r="B13" s="92"/>
      <c r="C13" s="199" t="s">
        <v>48</v>
      </c>
      <c r="D13" s="199"/>
    </row>
    <row r="15" spans="1:15" x14ac:dyDescent="0.3">
      <c r="A15" s="93" t="s">
        <v>49</v>
      </c>
      <c r="B15" s="94"/>
      <c r="C15" s="94"/>
      <c r="D15" s="94"/>
      <c r="E15" s="94"/>
      <c r="F15" s="94"/>
      <c r="G15" s="94"/>
      <c r="H15" s="94"/>
      <c r="I15" s="9" t="str">
        <f>IF(COUNTIF(I17:I38,"="&amp;IncompleteText),IncompleteText,IF(COUNTIF(I17:I38,"="&amp;ErrorText),ErrorText,OKText))</f>
        <v>OK</v>
      </c>
      <c r="J15" s="48"/>
      <c r="K15" s="200" t="s">
        <v>50</v>
      </c>
      <c r="L15" s="200"/>
      <c r="O15" t="s">
        <v>51</v>
      </c>
    </row>
    <row r="16" spans="1:15" ht="14.25" customHeight="1" x14ac:dyDescent="0.3">
      <c r="A16" s="2" t="s">
        <v>52</v>
      </c>
      <c r="B16" s="2" t="s">
        <v>53</v>
      </c>
      <c r="C16" s="2" t="s">
        <v>54</v>
      </c>
      <c r="D16" s="2" t="s">
        <v>55</v>
      </c>
      <c r="E16" s="2" t="s">
        <v>56</v>
      </c>
      <c r="F16" s="2" t="s">
        <v>57</v>
      </c>
      <c r="G16" s="28" t="s">
        <v>58</v>
      </c>
      <c r="H16" s="28" t="s">
        <v>59</v>
      </c>
      <c r="I16" s="2" t="s">
        <v>60</v>
      </c>
      <c r="J16" s="28" t="s">
        <v>61</v>
      </c>
      <c r="K16" s="208" t="s">
        <v>62</v>
      </c>
      <c r="L16" s="209"/>
      <c r="M16" t="s">
        <v>63</v>
      </c>
      <c r="O16" t="s">
        <v>64</v>
      </c>
    </row>
    <row r="17" spans="1:15" ht="196" x14ac:dyDescent="0.3">
      <c r="A17" s="49" t="s">
        <v>65</v>
      </c>
      <c r="B17" s="50" t="s">
        <v>66</v>
      </c>
      <c r="C17" s="51">
        <v>45.4</v>
      </c>
      <c r="D17" s="52">
        <v>365.4</v>
      </c>
      <c r="E17" s="51">
        <v>180</v>
      </c>
      <c r="F17" s="51">
        <v>125</v>
      </c>
      <c r="G17" s="16" t="s">
        <v>67</v>
      </c>
      <c r="H17" s="53" t="s">
        <v>68</v>
      </c>
      <c r="I17" s="9" t="str">
        <f>IF(COUNTBLANK(A17:H17)=8,IncompleteText,IF(AND(COUNTBLANK(A17:H17)=0,F17&gt;=85),IF(AND(H17="其他驱动系统",COUNTBLANK(J17)=1),ErrorText,OKText),ErrorText))</f>
        <v>OK</v>
      </c>
      <c r="J17" s="46" t="s">
        <v>69</v>
      </c>
      <c r="K17" s="210"/>
      <c r="L17" s="211"/>
      <c r="O17" t="s">
        <v>70</v>
      </c>
    </row>
    <row r="18" spans="1:15" x14ac:dyDescent="0.3">
      <c r="A18" s="49" t="s">
        <v>71</v>
      </c>
      <c r="B18" s="50" t="s">
        <v>72</v>
      </c>
      <c r="C18" s="53">
        <v>35</v>
      </c>
      <c r="D18" s="53">
        <v>1500</v>
      </c>
      <c r="E18" s="53">
        <v>200</v>
      </c>
      <c r="F18" s="53">
        <v>125</v>
      </c>
      <c r="G18" s="16" t="s">
        <v>73</v>
      </c>
      <c r="H18" s="53" t="s">
        <v>74</v>
      </c>
      <c r="I18" s="9" t="str">
        <f t="shared" ref="I18:I25" si="0">IF(COUNTBLANK(A18:H18)=8,"",IF(AND(COUNTBLANK(A18:H18)=0,F18&gt;=85),IF(AND(H18="其他驱动系统",COUNTBLANK(J18)=1),ErrorText,OKText),ErrorText))</f>
        <v>OK</v>
      </c>
      <c r="J18" s="42"/>
      <c r="K18" s="210"/>
      <c r="L18" s="211"/>
      <c r="O18" t="s">
        <v>75</v>
      </c>
    </row>
    <row r="19" spans="1:15" x14ac:dyDescent="0.3">
      <c r="A19" s="54" t="s">
        <v>71</v>
      </c>
      <c r="B19" s="55" t="s">
        <v>72</v>
      </c>
      <c r="C19" s="56">
        <v>35</v>
      </c>
      <c r="D19" s="56">
        <v>1500</v>
      </c>
      <c r="E19" s="56">
        <v>200</v>
      </c>
      <c r="F19" s="56">
        <v>125</v>
      </c>
      <c r="G19" s="16" t="s">
        <v>76</v>
      </c>
      <c r="H19" s="56" t="s">
        <v>77</v>
      </c>
      <c r="I19" s="9" t="str">
        <f t="shared" si="0"/>
        <v>OK</v>
      </c>
      <c r="J19" s="42"/>
      <c r="K19" s="210"/>
      <c r="L19" s="211"/>
      <c r="O19" t="s">
        <v>78</v>
      </c>
    </row>
    <row r="20" spans="1:15" x14ac:dyDescent="0.3">
      <c r="A20" s="54" t="s">
        <v>71</v>
      </c>
      <c r="B20" s="55" t="s">
        <v>72</v>
      </c>
      <c r="C20" s="56">
        <v>35</v>
      </c>
      <c r="D20" s="56">
        <v>1500</v>
      </c>
      <c r="E20" s="56">
        <v>200</v>
      </c>
      <c r="F20" s="56">
        <v>125</v>
      </c>
      <c r="G20" s="16" t="s">
        <v>79</v>
      </c>
      <c r="H20" s="56" t="s">
        <v>80</v>
      </c>
      <c r="I20" s="9" t="str">
        <f t="shared" si="0"/>
        <v>OK</v>
      </c>
      <c r="J20" s="42"/>
      <c r="K20" s="210"/>
      <c r="L20" s="211"/>
      <c r="O20" t="s">
        <v>81</v>
      </c>
    </row>
    <row r="21" spans="1:15" x14ac:dyDescent="0.3">
      <c r="A21" s="54" t="s">
        <v>71</v>
      </c>
      <c r="B21" s="55" t="s">
        <v>72</v>
      </c>
      <c r="C21" s="56">
        <v>35</v>
      </c>
      <c r="D21" s="56">
        <v>1500</v>
      </c>
      <c r="E21" s="56">
        <v>200</v>
      </c>
      <c r="F21" s="56">
        <v>125</v>
      </c>
      <c r="G21" s="16" t="s">
        <v>82</v>
      </c>
      <c r="H21" s="56" t="s">
        <v>83</v>
      </c>
      <c r="I21" s="9" t="str">
        <f t="shared" si="0"/>
        <v>OK</v>
      </c>
      <c r="J21" s="42"/>
      <c r="K21" s="210"/>
      <c r="L21" s="211"/>
      <c r="O21" t="s">
        <v>84</v>
      </c>
    </row>
    <row r="22" spans="1:15" x14ac:dyDescent="0.3">
      <c r="A22" s="54" t="s">
        <v>71</v>
      </c>
      <c r="B22" s="55" t="s">
        <v>72</v>
      </c>
      <c r="C22" s="56">
        <v>35</v>
      </c>
      <c r="D22" s="56">
        <v>1500</v>
      </c>
      <c r="E22" s="56">
        <v>200</v>
      </c>
      <c r="F22" s="56">
        <v>125</v>
      </c>
      <c r="G22" s="16" t="s">
        <v>85</v>
      </c>
      <c r="H22" s="56" t="s">
        <v>86</v>
      </c>
      <c r="I22" s="9" t="str">
        <f t="shared" si="0"/>
        <v>OK</v>
      </c>
      <c r="J22" s="42"/>
      <c r="K22" s="210"/>
      <c r="L22" s="211"/>
      <c r="O22" t="s">
        <v>87</v>
      </c>
    </row>
    <row r="23" spans="1:15" x14ac:dyDescent="0.3">
      <c r="A23" s="54" t="s">
        <v>88</v>
      </c>
      <c r="B23" s="55" t="s">
        <v>89</v>
      </c>
      <c r="C23" s="56">
        <v>3</v>
      </c>
      <c r="D23" s="56">
        <v>600</v>
      </c>
      <c r="E23" s="56">
        <v>30</v>
      </c>
      <c r="F23" s="56">
        <v>200</v>
      </c>
      <c r="G23" s="16" t="s">
        <v>90</v>
      </c>
      <c r="H23" s="56" t="s">
        <v>91</v>
      </c>
      <c r="I23" s="9" t="str">
        <f t="shared" si="0"/>
        <v>OK</v>
      </c>
      <c r="J23" s="42"/>
      <c r="K23" s="210"/>
      <c r="L23" s="211"/>
      <c r="O23" t="s">
        <v>92</v>
      </c>
    </row>
    <row r="24" spans="1:15" x14ac:dyDescent="0.3">
      <c r="A24" s="54" t="s">
        <v>88</v>
      </c>
      <c r="B24" s="55" t="s">
        <v>93</v>
      </c>
      <c r="C24" s="56">
        <v>0.75</v>
      </c>
      <c r="D24" s="56">
        <v>600</v>
      </c>
      <c r="E24" s="56">
        <v>7</v>
      </c>
      <c r="F24" s="56">
        <v>200</v>
      </c>
      <c r="G24" s="16" t="s">
        <v>94</v>
      </c>
      <c r="H24" s="56" t="s">
        <v>95</v>
      </c>
      <c r="I24" s="9" t="str">
        <f t="shared" si="0"/>
        <v>OK</v>
      </c>
      <c r="J24" s="42"/>
      <c r="K24" s="210"/>
      <c r="L24" s="211"/>
      <c r="O24" t="s">
        <v>96</v>
      </c>
    </row>
    <row r="25" spans="1:15" x14ac:dyDescent="0.3">
      <c r="A25" s="54" t="s">
        <v>88</v>
      </c>
      <c r="B25" s="55" t="s">
        <v>93</v>
      </c>
      <c r="C25" s="56">
        <v>0.75</v>
      </c>
      <c r="D25" s="56">
        <v>600</v>
      </c>
      <c r="E25" s="56">
        <v>7</v>
      </c>
      <c r="F25" s="56">
        <v>200</v>
      </c>
      <c r="G25" s="16" t="s">
        <v>97</v>
      </c>
      <c r="H25" s="56" t="s">
        <v>98</v>
      </c>
      <c r="I25" s="9" t="str">
        <f t="shared" si="0"/>
        <v>OK</v>
      </c>
      <c r="J25" s="42"/>
      <c r="K25" s="210"/>
      <c r="L25" s="211"/>
      <c r="O25" t="s">
        <v>99</v>
      </c>
    </row>
    <row r="26" spans="1:15" x14ac:dyDescent="0.3">
      <c r="A26" s="54" t="s">
        <v>71</v>
      </c>
      <c r="B26" s="55" t="s">
        <v>72</v>
      </c>
      <c r="C26" s="56">
        <v>35</v>
      </c>
      <c r="D26" s="56">
        <v>1500</v>
      </c>
      <c r="E26" s="56">
        <v>200</v>
      </c>
      <c r="F26" s="56">
        <v>125</v>
      </c>
      <c r="G26" s="16" t="s">
        <v>100</v>
      </c>
      <c r="H26" s="56" t="s">
        <v>101</v>
      </c>
      <c r="I26" s="9" t="str">
        <f t="shared" ref="I26:I38" si="1">IF(COUNTBLANK(A26:H26)=8,"",IF(AND(COUNTBLANK(A26:H26)=0,F26&gt;=85),IF(AND(H26="其他驱动系统",COUNTBLANK(J26)=1),ErrorText,OKText),ErrorText))</f>
        <v>OK</v>
      </c>
      <c r="J26" s="42"/>
      <c r="K26" s="210"/>
      <c r="L26" s="211"/>
      <c r="O26" t="s">
        <v>102</v>
      </c>
    </row>
    <row r="27" spans="1:15" x14ac:dyDescent="0.3">
      <c r="A27" s="54" t="s">
        <v>71</v>
      </c>
      <c r="B27" s="55" t="s">
        <v>72</v>
      </c>
      <c r="C27" s="56">
        <v>35</v>
      </c>
      <c r="D27" s="57">
        <v>1500</v>
      </c>
      <c r="E27" s="56">
        <v>200</v>
      </c>
      <c r="F27" s="56">
        <v>125</v>
      </c>
      <c r="G27" s="16" t="s">
        <v>103</v>
      </c>
      <c r="H27" s="56" t="s">
        <v>104</v>
      </c>
      <c r="I27" s="9" t="str">
        <f t="shared" si="1"/>
        <v>OK</v>
      </c>
      <c r="J27" s="42"/>
      <c r="K27" s="210"/>
      <c r="L27" s="211"/>
      <c r="O27" t="s">
        <v>105</v>
      </c>
    </row>
    <row r="28" spans="1:15" x14ac:dyDescent="0.3">
      <c r="A28" s="54" t="s">
        <v>71</v>
      </c>
      <c r="B28" s="55" t="s">
        <v>72</v>
      </c>
      <c r="C28" s="56">
        <v>35</v>
      </c>
      <c r="D28" s="56">
        <v>1500</v>
      </c>
      <c r="E28" s="56">
        <v>200</v>
      </c>
      <c r="F28" s="56">
        <v>125</v>
      </c>
      <c r="G28" s="16" t="s">
        <v>106</v>
      </c>
      <c r="H28" s="56" t="s">
        <v>107</v>
      </c>
      <c r="I28" s="9" t="str">
        <f t="shared" si="1"/>
        <v>OK</v>
      </c>
      <c r="J28" s="42"/>
      <c r="K28" s="210"/>
      <c r="L28" s="211"/>
      <c r="O28" t="s">
        <v>108</v>
      </c>
    </row>
    <row r="29" spans="1:15" x14ac:dyDescent="0.3">
      <c r="A29" s="54" t="s">
        <v>88</v>
      </c>
      <c r="B29" s="55" t="s">
        <v>89</v>
      </c>
      <c r="C29" s="56">
        <v>3</v>
      </c>
      <c r="D29" s="56">
        <v>600</v>
      </c>
      <c r="E29" s="56">
        <v>30</v>
      </c>
      <c r="F29" s="56">
        <v>200</v>
      </c>
      <c r="G29" s="16" t="s">
        <v>109</v>
      </c>
      <c r="H29" s="56" t="s">
        <v>110</v>
      </c>
      <c r="I29" s="9" t="str">
        <f t="shared" si="1"/>
        <v>OK</v>
      </c>
      <c r="J29" s="42"/>
      <c r="K29" s="210"/>
      <c r="L29" s="211"/>
      <c r="O29" t="s">
        <v>111</v>
      </c>
    </row>
    <row r="30" spans="1:15" x14ac:dyDescent="0.3">
      <c r="A30" s="54" t="s">
        <v>88</v>
      </c>
      <c r="B30" s="55" t="s">
        <v>89</v>
      </c>
      <c r="C30" s="56">
        <v>3</v>
      </c>
      <c r="D30" s="56">
        <v>600</v>
      </c>
      <c r="E30" s="56">
        <v>30</v>
      </c>
      <c r="F30" s="56">
        <v>200</v>
      </c>
      <c r="G30" s="16" t="s">
        <v>112</v>
      </c>
      <c r="H30" s="56" t="s">
        <v>113</v>
      </c>
      <c r="I30" s="9" t="str">
        <f t="shared" si="1"/>
        <v>OK</v>
      </c>
      <c r="J30" s="42"/>
      <c r="K30" s="210"/>
      <c r="L30" s="211"/>
      <c r="O30" t="s">
        <v>114</v>
      </c>
    </row>
    <row r="31" spans="1:15" x14ac:dyDescent="0.3">
      <c r="A31" s="54" t="s">
        <v>71</v>
      </c>
      <c r="B31" s="55" t="s">
        <v>72</v>
      </c>
      <c r="C31" s="56">
        <v>35</v>
      </c>
      <c r="D31" s="56">
        <v>1500</v>
      </c>
      <c r="E31" s="56">
        <v>200</v>
      </c>
      <c r="F31" s="56">
        <v>125</v>
      </c>
      <c r="G31" s="16" t="s">
        <v>115</v>
      </c>
      <c r="H31" s="56" t="s">
        <v>116</v>
      </c>
      <c r="I31" s="9" t="str">
        <f t="shared" si="1"/>
        <v>OK</v>
      </c>
      <c r="J31" s="42"/>
      <c r="K31" s="210"/>
      <c r="L31" s="211"/>
      <c r="O31" t="s">
        <v>117</v>
      </c>
    </row>
    <row r="32" spans="1:15" x14ac:dyDescent="0.3">
      <c r="A32" s="54" t="s">
        <v>88</v>
      </c>
      <c r="B32" s="55" t="s">
        <v>89</v>
      </c>
      <c r="C32" s="56">
        <v>3</v>
      </c>
      <c r="D32" s="56">
        <v>600</v>
      </c>
      <c r="E32" s="56">
        <v>30</v>
      </c>
      <c r="F32" s="56">
        <v>200</v>
      </c>
      <c r="G32" s="16" t="s">
        <v>118</v>
      </c>
      <c r="H32" s="56" t="s">
        <v>119</v>
      </c>
      <c r="I32" s="9" t="str">
        <f t="shared" si="1"/>
        <v>OK</v>
      </c>
      <c r="J32" s="42"/>
      <c r="K32" s="210"/>
      <c r="L32" s="211"/>
      <c r="O32" t="s">
        <v>120</v>
      </c>
    </row>
    <row r="33" spans="1:15" x14ac:dyDescent="0.3">
      <c r="A33" s="54" t="s">
        <v>88</v>
      </c>
      <c r="B33" s="55" t="s">
        <v>121</v>
      </c>
      <c r="C33" s="56">
        <v>0.2</v>
      </c>
      <c r="D33" s="56">
        <v>3000</v>
      </c>
      <c r="E33" s="56">
        <v>2</v>
      </c>
      <c r="F33" s="56">
        <v>200</v>
      </c>
      <c r="G33" s="16" t="s">
        <v>122</v>
      </c>
      <c r="H33" s="56" t="s">
        <v>123</v>
      </c>
      <c r="I33" s="9" t="str">
        <f t="shared" si="1"/>
        <v>OK</v>
      </c>
      <c r="J33" s="42" t="s">
        <v>124</v>
      </c>
      <c r="K33" s="210"/>
      <c r="L33" s="211"/>
      <c r="O33" t="s">
        <v>125</v>
      </c>
    </row>
    <row r="34" spans="1:15" ht="42" x14ac:dyDescent="0.3">
      <c r="A34" s="54" t="s">
        <v>88</v>
      </c>
      <c r="B34" s="55" t="s">
        <v>126</v>
      </c>
      <c r="C34" s="56">
        <v>0.5</v>
      </c>
      <c r="D34" s="56">
        <v>3000</v>
      </c>
      <c r="E34" s="56">
        <v>5</v>
      </c>
      <c r="F34" s="56">
        <v>200</v>
      </c>
      <c r="G34" s="16" t="s">
        <v>127</v>
      </c>
      <c r="H34" s="56" t="s">
        <v>128</v>
      </c>
      <c r="I34" s="9" t="str">
        <f t="shared" si="1"/>
        <v>OK</v>
      </c>
      <c r="J34" s="46" t="s">
        <v>129</v>
      </c>
      <c r="K34" s="210"/>
      <c r="L34" s="211"/>
      <c r="O34" t="s">
        <v>128</v>
      </c>
    </row>
    <row r="35" spans="1:15" ht="42" x14ac:dyDescent="0.3">
      <c r="A35" s="54" t="s">
        <v>71</v>
      </c>
      <c r="B35" s="55" t="s">
        <v>72</v>
      </c>
      <c r="C35" s="56">
        <v>35</v>
      </c>
      <c r="D35" s="56">
        <v>1500</v>
      </c>
      <c r="E35" s="56">
        <v>200</v>
      </c>
      <c r="F35" s="56">
        <v>125</v>
      </c>
      <c r="G35" s="16" t="s">
        <v>130</v>
      </c>
      <c r="H35" s="56" t="s">
        <v>120</v>
      </c>
      <c r="I35" s="9" t="str">
        <f t="shared" si="1"/>
        <v>OK</v>
      </c>
      <c r="J35" s="46" t="s">
        <v>131</v>
      </c>
      <c r="K35" s="210"/>
      <c r="L35" s="211"/>
    </row>
    <row r="36" spans="1:15" ht="409.5" x14ac:dyDescent="0.3">
      <c r="A36" s="58" t="s">
        <v>132</v>
      </c>
      <c r="B36" s="59" t="s">
        <v>133</v>
      </c>
      <c r="C36" s="15">
        <v>35</v>
      </c>
      <c r="D36" s="15">
        <v>365.4</v>
      </c>
      <c r="E36" s="15">
        <v>170</v>
      </c>
      <c r="F36" s="15">
        <v>200</v>
      </c>
      <c r="G36" s="45" t="s">
        <v>134</v>
      </c>
      <c r="H36" s="15" t="s">
        <v>120</v>
      </c>
      <c r="I36" s="9" t="str">
        <f t="shared" si="1"/>
        <v>OK</v>
      </c>
      <c r="J36" s="46" t="s">
        <v>135</v>
      </c>
      <c r="K36" s="210"/>
      <c r="L36" s="211"/>
    </row>
    <row r="37" spans="1:15" ht="406" x14ac:dyDescent="0.3">
      <c r="A37" s="58" t="s">
        <v>132</v>
      </c>
      <c r="B37" s="59" t="s">
        <v>136</v>
      </c>
      <c r="C37" s="15">
        <v>35</v>
      </c>
      <c r="D37" s="15">
        <v>365.4</v>
      </c>
      <c r="E37" s="15">
        <v>170</v>
      </c>
      <c r="F37" s="15">
        <v>200</v>
      </c>
      <c r="G37" s="45" t="s">
        <v>137</v>
      </c>
      <c r="H37" s="15" t="s">
        <v>120</v>
      </c>
      <c r="I37" s="9" t="str">
        <f t="shared" si="1"/>
        <v>OK</v>
      </c>
      <c r="J37" s="46" t="s">
        <v>138</v>
      </c>
      <c r="K37" s="210"/>
      <c r="L37" s="211"/>
    </row>
    <row r="38" spans="1:15" x14ac:dyDescent="0.3">
      <c r="A38" s="15"/>
      <c r="B38" s="37"/>
      <c r="C38" s="15"/>
      <c r="D38" s="15"/>
      <c r="E38" s="15"/>
      <c r="F38" s="15"/>
      <c r="G38" s="15"/>
      <c r="H38" s="15"/>
      <c r="I38" s="9" t="str">
        <f t="shared" si="1"/>
        <v/>
      </c>
      <c r="J38" s="42"/>
      <c r="K38" s="212"/>
      <c r="L38" s="213"/>
    </row>
    <row r="40" spans="1:15" x14ac:dyDescent="0.3">
      <c r="A40" s="93" t="s">
        <v>139</v>
      </c>
      <c r="B40" s="93"/>
      <c r="C40" s="93"/>
      <c r="D40" s="93"/>
      <c r="E40" s="93"/>
      <c r="F40" s="93"/>
      <c r="G40" s="93"/>
      <c r="H40" s="93"/>
      <c r="I40" s="9" t="str">
        <f>IF(COUNTIF(I42:I53,"="&amp;IncompleteText),IncompleteText,IF(COUNTIF(I42:I53,"="&amp;ErrorText),ErrorText,OKText))</f>
        <v>OK</v>
      </c>
      <c r="J40" s="94" t="s">
        <v>50</v>
      </c>
      <c r="K40" s="94"/>
      <c r="L40" s="94"/>
    </row>
    <row r="41" spans="1:15" x14ac:dyDescent="0.3">
      <c r="A41" s="2" t="s">
        <v>52</v>
      </c>
      <c r="B41" s="2" t="s">
        <v>53</v>
      </c>
      <c r="C41" s="2" t="s">
        <v>140</v>
      </c>
      <c r="D41" s="2" t="s">
        <v>56</v>
      </c>
      <c r="E41" s="2" t="s">
        <v>141</v>
      </c>
      <c r="F41" s="2" t="s">
        <v>57</v>
      </c>
      <c r="G41" s="28" t="str">
        <f>G16</f>
        <v>说明书链接 Datasheet Hyperlink</v>
      </c>
      <c r="H41" s="28" t="str">
        <f>H16</f>
        <v>位置 Location</v>
      </c>
      <c r="I41" s="2" t="s">
        <v>60</v>
      </c>
      <c r="J41" s="2" t="s">
        <v>61</v>
      </c>
      <c r="K41" s="206" t="s">
        <v>142</v>
      </c>
      <c r="L41" s="207"/>
    </row>
    <row r="42" spans="1:15" x14ac:dyDescent="0.3">
      <c r="A42" s="60" t="s">
        <v>143</v>
      </c>
      <c r="B42" s="61" t="s">
        <v>144</v>
      </c>
      <c r="C42" s="60">
        <v>500</v>
      </c>
      <c r="D42" s="60">
        <v>60</v>
      </c>
      <c r="E42" s="60">
        <v>50000</v>
      </c>
      <c r="F42" s="62">
        <v>200</v>
      </c>
      <c r="G42" s="16" t="s">
        <v>145</v>
      </c>
      <c r="H42" s="60" t="s">
        <v>70</v>
      </c>
      <c r="I42" s="9" t="str">
        <f>IF(COUNTBLANK(A42:H42)=8,IncompleteText,IF(AND(COUNTBLANK(A42:H42)=0,F42&gt;=85),IF(AND(H42="其他驱动系统",COUNTBLANK(J42)=1),ErrorText,OKText),ErrorText))</f>
        <v>OK</v>
      </c>
      <c r="J42" s="15"/>
      <c r="K42" s="207"/>
      <c r="L42" s="207"/>
    </row>
    <row r="43" spans="1:15" x14ac:dyDescent="0.3">
      <c r="A43" s="60" t="s">
        <v>143</v>
      </c>
      <c r="B43" s="61" t="s">
        <v>146</v>
      </c>
      <c r="C43" s="60">
        <v>700</v>
      </c>
      <c r="D43" s="60">
        <v>60</v>
      </c>
      <c r="E43" s="60">
        <v>50000</v>
      </c>
      <c r="F43" s="60">
        <v>200</v>
      </c>
      <c r="G43" s="16" t="s">
        <v>147</v>
      </c>
      <c r="H43" s="60" t="s">
        <v>78</v>
      </c>
      <c r="I43" s="9" t="str">
        <f t="shared" ref="I43:I53" si="2">IF(COUNTBLANK(A43:H43)=8,"",IF(AND(COUNTBLANK(A43:H43)=0,F43&gt;=85),IF(AND(H43="其他驱动系统",COUNTBLANK(J43)=1),ErrorText,OKText),ErrorText))</f>
        <v>OK</v>
      </c>
      <c r="J43" s="15"/>
      <c r="K43" s="207"/>
      <c r="L43" s="207"/>
    </row>
    <row r="44" spans="1:15" x14ac:dyDescent="0.3">
      <c r="A44" s="60" t="s">
        <v>148</v>
      </c>
      <c r="B44" s="61" t="s">
        <v>149</v>
      </c>
      <c r="C44" s="60">
        <v>125</v>
      </c>
      <c r="D44" s="60">
        <v>0.25</v>
      </c>
      <c r="E44" s="60">
        <v>50</v>
      </c>
      <c r="F44" s="60">
        <v>90</v>
      </c>
      <c r="G44" s="16" t="s">
        <v>150</v>
      </c>
      <c r="H44" s="60" t="s">
        <v>96</v>
      </c>
      <c r="I44" s="9" t="str">
        <f t="shared" si="2"/>
        <v>OK</v>
      </c>
      <c r="J44" s="15"/>
      <c r="K44" s="207"/>
      <c r="L44" s="207"/>
    </row>
    <row r="45" spans="1:15" x14ac:dyDescent="0.3">
      <c r="A45" s="60" t="s">
        <v>143</v>
      </c>
      <c r="B45" s="61" t="s">
        <v>151</v>
      </c>
      <c r="C45" s="60">
        <v>1000</v>
      </c>
      <c r="D45" s="60">
        <v>5</v>
      </c>
      <c r="E45" s="60">
        <v>50000</v>
      </c>
      <c r="F45" s="60">
        <v>200</v>
      </c>
      <c r="G45" s="16" t="s">
        <v>152</v>
      </c>
      <c r="H45" s="63" t="s">
        <v>108</v>
      </c>
      <c r="I45" s="9" t="str">
        <f t="shared" si="2"/>
        <v>OK</v>
      </c>
      <c r="J45" s="15"/>
      <c r="K45" s="207"/>
      <c r="L45" s="207"/>
    </row>
    <row r="46" spans="1:15" x14ac:dyDescent="0.3">
      <c r="A46" s="60" t="s">
        <v>143</v>
      </c>
      <c r="B46" s="61" t="s">
        <v>153</v>
      </c>
      <c r="C46" s="60">
        <v>1000</v>
      </c>
      <c r="D46" s="60">
        <v>2</v>
      </c>
      <c r="E46" s="62">
        <v>50000</v>
      </c>
      <c r="F46" s="60">
        <v>200</v>
      </c>
      <c r="G46" s="16" t="s">
        <v>154</v>
      </c>
      <c r="H46" s="60" t="s">
        <v>92</v>
      </c>
      <c r="I46" s="9" t="str">
        <f t="shared" si="2"/>
        <v>OK</v>
      </c>
      <c r="J46" s="15" t="s">
        <v>155</v>
      </c>
      <c r="K46" s="207"/>
      <c r="L46" s="207"/>
    </row>
    <row r="47" spans="1:15" x14ac:dyDescent="0.3">
      <c r="A47" s="60" t="s">
        <v>143</v>
      </c>
      <c r="B47" s="61" t="s">
        <v>153</v>
      </c>
      <c r="C47" s="60">
        <v>1000</v>
      </c>
      <c r="D47" s="60">
        <v>2</v>
      </c>
      <c r="E47" s="62">
        <v>50000</v>
      </c>
      <c r="F47" s="60">
        <v>200</v>
      </c>
      <c r="G47" s="16" t="s">
        <v>156</v>
      </c>
      <c r="H47" s="15" t="s">
        <v>81</v>
      </c>
      <c r="I47" s="9" t="str">
        <f t="shared" si="2"/>
        <v>OK</v>
      </c>
      <c r="J47" s="64" t="s">
        <v>157</v>
      </c>
      <c r="K47" s="207"/>
      <c r="L47" s="207"/>
    </row>
    <row r="48" spans="1:15" x14ac:dyDescent="0.3">
      <c r="A48" s="60" t="s">
        <v>143</v>
      </c>
      <c r="B48" s="61" t="s">
        <v>153</v>
      </c>
      <c r="C48" s="60">
        <v>1000</v>
      </c>
      <c r="D48" s="60">
        <v>2</v>
      </c>
      <c r="E48" s="62">
        <v>50000</v>
      </c>
      <c r="F48" s="60">
        <v>200</v>
      </c>
      <c r="G48" s="16" t="s">
        <v>158</v>
      </c>
      <c r="H48" s="15" t="s">
        <v>120</v>
      </c>
      <c r="I48" s="9" t="str">
        <f t="shared" si="2"/>
        <v>OK</v>
      </c>
      <c r="J48" s="64" t="s">
        <v>159</v>
      </c>
      <c r="K48" s="207"/>
      <c r="L48" s="207"/>
    </row>
    <row r="49" spans="1:12" x14ac:dyDescent="0.3">
      <c r="A49" s="15" t="s">
        <v>148</v>
      </c>
      <c r="B49" s="37" t="s">
        <v>160</v>
      </c>
      <c r="C49" s="15">
        <v>58</v>
      </c>
      <c r="D49" s="15">
        <v>60</v>
      </c>
      <c r="E49" s="15">
        <v>2000</v>
      </c>
      <c r="F49" s="15">
        <v>125</v>
      </c>
      <c r="G49" s="45" t="s">
        <v>161</v>
      </c>
      <c r="H49" s="15" t="s">
        <v>128</v>
      </c>
      <c r="I49" s="9" t="str">
        <f t="shared" si="2"/>
        <v>OK</v>
      </c>
      <c r="J49" s="58" t="s">
        <v>162</v>
      </c>
      <c r="K49" s="207"/>
      <c r="L49" s="207"/>
    </row>
    <row r="50" spans="1:12" x14ac:dyDescent="0.3">
      <c r="A50" s="15"/>
      <c r="B50" s="37"/>
      <c r="C50" s="15"/>
      <c r="D50" s="15"/>
      <c r="E50" s="15"/>
      <c r="F50" s="15"/>
      <c r="G50" s="15"/>
      <c r="H50" s="15"/>
      <c r="I50" s="9" t="str">
        <f t="shared" si="2"/>
        <v/>
      </c>
      <c r="J50" s="15"/>
      <c r="K50" s="207"/>
      <c r="L50" s="207"/>
    </row>
    <row r="51" spans="1:12" x14ac:dyDescent="0.3">
      <c r="A51" s="15"/>
      <c r="B51" s="37"/>
      <c r="C51" s="15"/>
      <c r="D51" s="15"/>
      <c r="E51" s="15"/>
      <c r="F51" s="15"/>
      <c r="G51" s="15"/>
      <c r="H51" s="15"/>
      <c r="I51" s="9" t="str">
        <f t="shared" si="2"/>
        <v/>
      </c>
      <c r="J51" s="15"/>
      <c r="K51" s="207"/>
      <c r="L51" s="207"/>
    </row>
    <row r="52" spans="1:12" x14ac:dyDescent="0.3">
      <c r="A52" s="15"/>
      <c r="B52" s="37"/>
      <c r="C52" s="15"/>
      <c r="D52" s="15"/>
      <c r="E52" s="15"/>
      <c r="F52" s="15"/>
      <c r="G52" s="15"/>
      <c r="H52" s="15"/>
      <c r="I52" s="9" t="str">
        <f t="shared" si="2"/>
        <v/>
      </c>
      <c r="J52" s="15"/>
      <c r="K52" s="207"/>
      <c r="L52" s="207"/>
    </row>
    <row r="53" spans="1:12" x14ac:dyDescent="0.3">
      <c r="A53" s="15"/>
      <c r="B53" s="37"/>
      <c r="C53" s="15"/>
      <c r="D53" s="15"/>
      <c r="E53" s="15"/>
      <c r="F53" s="15"/>
      <c r="G53" s="15"/>
      <c r="H53" s="15"/>
      <c r="I53" s="9" t="str">
        <f t="shared" si="2"/>
        <v/>
      </c>
      <c r="J53" s="15"/>
      <c r="K53" s="207"/>
      <c r="L53" s="207"/>
    </row>
    <row r="55" spans="1:12" x14ac:dyDescent="0.3">
      <c r="A55" s="93" t="s">
        <v>163</v>
      </c>
      <c r="B55" s="93"/>
      <c r="C55" s="93"/>
      <c r="D55" s="93"/>
      <c r="E55" s="93"/>
      <c r="F55" s="93"/>
      <c r="G55" s="93"/>
      <c r="H55" s="93"/>
      <c r="I55" s="9" t="str">
        <f>IF(COUNTIF(I57:I62,"="&amp;IncompleteText),IncompleteText,IF(COUNTIF(I57:I62,"="&amp;ErrorText),ErrorText,OKText))</f>
        <v>OK</v>
      </c>
      <c r="J55" s="94" t="s">
        <v>50</v>
      </c>
      <c r="K55" s="94"/>
      <c r="L55" s="94"/>
    </row>
    <row r="56" spans="1:12" ht="15.75" customHeight="1" x14ac:dyDescent="0.3">
      <c r="A56" s="2" t="s">
        <v>52</v>
      </c>
      <c r="B56" s="2" t="s">
        <v>53</v>
      </c>
      <c r="C56" s="2" t="s">
        <v>55</v>
      </c>
      <c r="D56" s="2" t="s">
        <v>164</v>
      </c>
      <c r="E56" s="2" t="s">
        <v>165</v>
      </c>
      <c r="F56" s="2" t="s">
        <v>166</v>
      </c>
      <c r="G56" s="2" t="s">
        <v>58</v>
      </c>
      <c r="H56" s="2" t="s">
        <v>167</v>
      </c>
      <c r="I56" s="65" t="s">
        <v>60</v>
      </c>
      <c r="J56" s="2" t="s">
        <v>61</v>
      </c>
      <c r="K56" s="206" t="s">
        <v>168</v>
      </c>
      <c r="L56" s="207"/>
    </row>
    <row r="57" spans="1:12" x14ac:dyDescent="0.3">
      <c r="A57" s="61" t="s">
        <v>169</v>
      </c>
      <c r="B57" s="61" t="s">
        <v>170</v>
      </c>
      <c r="C57" s="60">
        <v>474.3</v>
      </c>
      <c r="D57" s="60">
        <v>3000</v>
      </c>
      <c r="E57" s="60">
        <v>75</v>
      </c>
      <c r="F57" s="66" t="s">
        <v>171</v>
      </c>
      <c r="G57" s="16" t="s">
        <v>172</v>
      </c>
      <c r="H57" s="67" t="s">
        <v>173</v>
      </c>
      <c r="I57" s="9" t="str">
        <f>IF(COUNTBLANK(A57:H57)=8,IncompleteText,IF(COUNTBLANK(A57:H57)=0,OKText,ErrorText))</f>
        <v>OK</v>
      </c>
      <c r="J57" s="64"/>
      <c r="K57" s="207"/>
      <c r="L57" s="207"/>
    </row>
    <row r="58" spans="1:12" x14ac:dyDescent="0.3">
      <c r="A58" s="68" t="s">
        <v>174</v>
      </c>
      <c r="B58" s="68" t="s">
        <v>175</v>
      </c>
      <c r="C58" s="60">
        <v>447.2</v>
      </c>
      <c r="D58" s="60">
        <v>2000</v>
      </c>
      <c r="E58" s="60">
        <v>100</v>
      </c>
      <c r="F58" s="66" t="s">
        <v>176</v>
      </c>
      <c r="G58" s="16" t="s">
        <v>177</v>
      </c>
      <c r="H58" s="67" t="s">
        <v>111</v>
      </c>
      <c r="I58" s="9" t="str">
        <f>IF(COUNTBLANK(A58:H58)=8,"",IF(COUNTBLANK(A58:H58)=0,OKText,ErrorText))</f>
        <v>OK</v>
      </c>
      <c r="J58" s="64"/>
      <c r="K58" s="207"/>
      <c r="L58" s="207"/>
    </row>
    <row r="59" spans="1:12" x14ac:dyDescent="0.3">
      <c r="A59" s="60" t="s">
        <v>178</v>
      </c>
      <c r="B59" s="68" t="s">
        <v>179</v>
      </c>
      <c r="C59" s="60">
        <v>707.1</v>
      </c>
      <c r="D59" s="60">
        <v>10000</v>
      </c>
      <c r="E59" s="60">
        <v>50</v>
      </c>
      <c r="F59" s="69" t="s">
        <v>180</v>
      </c>
      <c r="G59" s="16" t="s">
        <v>181</v>
      </c>
      <c r="H59" s="67" t="s">
        <v>182</v>
      </c>
      <c r="I59" s="9" t="str">
        <f>IF(COUNTBLANK(A59:H59)=8,"",IF(COUNTBLANK(A59:H59)=0,OKText,ErrorText))</f>
        <v>OK</v>
      </c>
      <c r="J59" s="58" t="s">
        <v>183</v>
      </c>
      <c r="K59" s="207"/>
      <c r="L59" s="207"/>
    </row>
    <row r="60" spans="1:12" x14ac:dyDescent="0.3">
      <c r="A60" s="15"/>
      <c r="B60" s="37"/>
      <c r="C60" s="15"/>
      <c r="D60" s="15"/>
      <c r="E60" s="15"/>
      <c r="F60" s="70"/>
      <c r="G60" s="15"/>
      <c r="H60" s="13"/>
      <c r="I60" s="9" t="str">
        <f>IF(COUNTBLANK(A60:H60)=8,"",IF(COUNTBLANK(A60:H60)=0,OKText,ErrorText))</f>
        <v/>
      </c>
      <c r="J60" s="15"/>
      <c r="K60" s="207"/>
      <c r="L60" s="207"/>
    </row>
    <row r="61" spans="1:12" x14ac:dyDescent="0.3">
      <c r="A61" s="15"/>
      <c r="B61" s="37"/>
      <c r="C61" s="15"/>
      <c r="D61" s="15"/>
      <c r="E61" s="15"/>
      <c r="F61" s="71"/>
      <c r="G61" s="15"/>
      <c r="H61" s="13"/>
      <c r="I61" s="9" t="str">
        <f>IF(COUNTBLANK(A61:H61)=8,"",IF(COUNTBLANK(A61:H61)=0,OKText,ErrorText))</f>
        <v/>
      </c>
      <c r="J61" s="15"/>
      <c r="K61" s="207"/>
      <c r="L61" s="207"/>
    </row>
    <row r="62" spans="1:12" x14ac:dyDescent="0.3">
      <c r="A62" s="15"/>
      <c r="B62" s="37"/>
      <c r="C62" s="15"/>
      <c r="D62" s="15"/>
      <c r="E62" s="15"/>
      <c r="F62" s="15"/>
      <c r="G62" s="15"/>
      <c r="H62" s="13"/>
      <c r="I62" s="9" t="str">
        <f>IF(COUNTBLANK(A62:H62)=8,"",IF(COUNTBLANK(A62:H62)=0,OKText,ErrorText))</f>
        <v/>
      </c>
      <c r="J62" s="15"/>
      <c r="K62" s="207"/>
      <c r="L62" s="207"/>
    </row>
    <row r="64" spans="1:12" x14ac:dyDescent="0.3">
      <c r="A64" s="93" t="s">
        <v>184</v>
      </c>
      <c r="B64" s="93"/>
      <c r="C64" s="93"/>
      <c r="D64" s="93"/>
      <c r="E64" s="93"/>
      <c r="F64" s="93"/>
      <c r="G64" s="93"/>
      <c r="H64" s="93"/>
      <c r="I64" s="9" t="str">
        <f>IF(COUNTIF(I66:I71,"="&amp;IncompleteText),IncompleteText,IF(COUNTIF(I66:I71,"="&amp;ErrorText),ErrorText,OKText))</f>
        <v>OK</v>
      </c>
      <c r="J64" s="94" t="s">
        <v>50</v>
      </c>
      <c r="K64" s="94"/>
      <c r="L64" s="94"/>
    </row>
    <row r="65" spans="1:12" x14ac:dyDescent="0.3">
      <c r="A65" s="2" t="s">
        <v>52</v>
      </c>
      <c r="B65" s="2" t="s">
        <v>53</v>
      </c>
      <c r="C65" s="2" t="s">
        <v>55</v>
      </c>
      <c r="D65" s="2" t="s">
        <v>185</v>
      </c>
      <c r="E65" s="2" t="s">
        <v>141</v>
      </c>
      <c r="F65" s="2" t="s">
        <v>186</v>
      </c>
      <c r="G65" s="2" t="s">
        <v>58</v>
      </c>
      <c r="H65" s="2" t="s">
        <v>167</v>
      </c>
      <c r="I65" s="2" t="s">
        <v>60</v>
      </c>
      <c r="J65" s="2" t="s">
        <v>61</v>
      </c>
      <c r="K65" s="206" t="s">
        <v>187</v>
      </c>
      <c r="L65" s="207"/>
    </row>
    <row r="66" spans="1:12" x14ac:dyDescent="0.3">
      <c r="A66" s="15" t="s">
        <v>188</v>
      </c>
      <c r="B66" s="37" t="s">
        <v>189</v>
      </c>
      <c r="C66" s="15">
        <v>900</v>
      </c>
      <c r="D66" s="15">
        <v>250</v>
      </c>
      <c r="E66" s="15">
        <v>2000</v>
      </c>
      <c r="F66" s="15" t="s">
        <v>190</v>
      </c>
      <c r="G66" s="72" t="s">
        <v>191</v>
      </c>
      <c r="H66" s="13" t="s">
        <v>192</v>
      </c>
      <c r="I66" s="9" t="str">
        <f>IF(COUNTBLANK(A66:H66)=8,IncompleteText,IF(COUNTBLANK(A66:H66)=0,OKText,ErrorText))</f>
        <v>OK</v>
      </c>
      <c r="J66" s="15"/>
      <c r="K66" s="207"/>
      <c r="L66" s="207"/>
    </row>
    <row r="67" spans="1:12" x14ac:dyDescent="0.3">
      <c r="A67" s="15" t="s">
        <v>188</v>
      </c>
      <c r="B67" s="37" t="s">
        <v>193</v>
      </c>
      <c r="C67" s="15">
        <v>900</v>
      </c>
      <c r="D67" s="15">
        <v>50</v>
      </c>
      <c r="E67" s="15">
        <v>1250</v>
      </c>
      <c r="F67" s="15" t="s">
        <v>190</v>
      </c>
      <c r="G67" s="72" t="s">
        <v>194</v>
      </c>
      <c r="H67" s="13" t="s">
        <v>195</v>
      </c>
      <c r="I67" s="9" t="str">
        <f>IF(COUNTBLANK(A67:H67)=8,"",IF(COUNTBLANK(A67:H67)=0,OKText,ErrorText))</f>
        <v>OK</v>
      </c>
      <c r="J67" s="15"/>
      <c r="K67" s="207"/>
      <c r="L67" s="207"/>
    </row>
    <row r="68" spans="1:12" x14ac:dyDescent="0.3">
      <c r="A68" s="15" t="s">
        <v>196</v>
      </c>
      <c r="B68" s="37" t="s">
        <v>197</v>
      </c>
      <c r="C68" s="15">
        <v>1000</v>
      </c>
      <c r="D68" s="15">
        <v>1</v>
      </c>
      <c r="E68" s="15">
        <v>2.5</v>
      </c>
      <c r="F68" s="15" t="s">
        <v>198</v>
      </c>
      <c r="G68" s="72" t="s">
        <v>199</v>
      </c>
      <c r="H68" s="13" t="s">
        <v>200</v>
      </c>
      <c r="I68" s="9" t="str">
        <f>IF(COUNTBLANK(A68:H68)=8,"",IF(COUNTBLANK(A68:H68)=0,OKText,ErrorText))</f>
        <v>OK</v>
      </c>
      <c r="J68" s="15"/>
      <c r="K68" s="207"/>
      <c r="L68" s="207"/>
    </row>
    <row r="69" spans="1:12" x14ac:dyDescent="0.3">
      <c r="A69" s="15"/>
      <c r="B69" s="37"/>
      <c r="C69" s="15"/>
      <c r="D69" s="15"/>
      <c r="E69" s="15"/>
      <c r="F69" s="15"/>
      <c r="G69" s="15"/>
      <c r="H69" s="13"/>
      <c r="I69" s="9" t="str">
        <f>IF(COUNTBLANK(A69:H69)=8,"",IF(COUNTBLANK(A69:H69)=0,OKText,ErrorText))</f>
        <v/>
      </c>
      <c r="J69" s="15"/>
      <c r="K69" s="207"/>
      <c r="L69" s="207"/>
    </row>
    <row r="70" spans="1:12" x14ac:dyDescent="0.3">
      <c r="A70" s="15"/>
      <c r="B70" s="37"/>
      <c r="C70" s="15"/>
      <c r="D70" s="15"/>
      <c r="E70" s="15"/>
      <c r="F70" s="15"/>
      <c r="G70" s="15"/>
      <c r="H70" s="13"/>
      <c r="I70" s="9" t="str">
        <f>IF(COUNTBLANK(A70:H70)=8,"",IF(COUNTBLANK(A70:H70)=0,OKText,ErrorText))</f>
        <v/>
      </c>
      <c r="J70" s="15"/>
      <c r="K70" s="207"/>
      <c r="L70" s="207"/>
    </row>
    <row r="72" spans="1:12" x14ac:dyDescent="0.3">
      <c r="A72" s="93" t="s">
        <v>201</v>
      </c>
      <c r="B72" s="94"/>
      <c r="C72" s="94"/>
      <c r="D72" s="94"/>
      <c r="E72" s="94"/>
      <c r="F72" s="94"/>
      <c r="G72" s="94"/>
      <c r="H72" s="94"/>
      <c r="I72" s="9" t="str">
        <f>IF(COUNTIF(I74:I92,"="&amp;IncompleteText),IncompleteText,IF(COUNTIF(I74:I92,"="&amp;ErrorText),ErrorText,OKText))</f>
        <v>OK</v>
      </c>
      <c r="J72" s="94" t="s">
        <v>50</v>
      </c>
      <c r="K72" s="94"/>
      <c r="L72" s="94"/>
    </row>
    <row r="73" spans="1:12" x14ac:dyDescent="0.3">
      <c r="A73" s="2" t="s">
        <v>52</v>
      </c>
      <c r="B73" s="2" t="s">
        <v>53</v>
      </c>
      <c r="C73" s="2" t="s">
        <v>55</v>
      </c>
      <c r="D73" s="2" t="s">
        <v>56</v>
      </c>
      <c r="E73" s="2" t="s">
        <v>202</v>
      </c>
      <c r="F73" s="201" t="s">
        <v>58</v>
      </c>
      <c r="G73" s="201"/>
      <c r="H73" s="2" t="s">
        <v>167</v>
      </c>
      <c r="I73" s="2" t="s">
        <v>60</v>
      </c>
      <c r="J73" s="2" t="s">
        <v>61</v>
      </c>
      <c r="K73" s="206" t="s">
        <v>203</v>
      </c>
      <c r="L73" s="214"/>
    </row>
    <row r="74" spans="1:12" x14ac:dyDescent="0.3">
      <c r="A74" s="54" t="s">
        <v>204</v>
      </c>
      <c r="B74" s="55" t="s">
        <v>205</v>
      </c>
      <c r="C74" s="73">
        <v>750</v>
      </c>
      <c r="D74" s="73">
        <v>200</v>
      </c>
      <c r="E74" s="73">
        <v>150</v>
      </c>
      <c r="F74" s="199" t="s">
        <v>206</v>
      </c>
      <c r="G74" s="199"/>
      <c r="H74" s="74" t="s">
        <v>207</v>
      </c>
      <c r="I74" s="9" t="str">
        <f>IF(COUNTBLANK(A74:H74)=8,IncompleteText,IF(COUNTBLANK(A74:H74)=1,OKText,ErrorText))</f>
        <v>OK</v>
      </c>
      <c r="J74" s="15"/>
      <c r="K74" s="214"/>
      <c r="L74" s="214"/>
    </row>
    <row r="75" spans="1:12" x14ac:dyDescent="0.3">
      <c r="A75" s="49" t="s">
        <v>208</v>
      </c>
      <c r="B75" s="50" t="s">
        <v>209</v>
      </c>
      <c r="C75" s="53">
        <v>400</v>
      </c>
      <c r="D75" s="53">
        <v>5</v>
      </c>
      <c r="E75" s="53">
        <v>0.75</v>
      </c>
      <c r="F75" s="199" t="s">
        <v>210</v>
      </c>
      <c r="G75" s="199"/>
      <c r="H75" s="75" t="s">
        <v>211</v>
      </c>
      <c r="I75" s="9" t="str">
        <f t="shared" ref="I75:I92" si="3">IF(COUNTBLANK(A75:H75)=8,"",IF(COUNTBLANK(A75:H75)=1,OKText,ErrorText))</f>
        <v>OK</v>
      </c>
      <c r="J75" s="15"/>
      <c r="K75" s="214"/>
      <c r="L75" s="214"/>
    </row>
    <row r="76" spans="1:12" x14ac:dyDescent="0.3">
      <c r="A76" s="54" t="s">
        <v>212</v>
      </c>
      <c r="B76" s="55" t="s">
        <v>213</v>
      </c>
      <c r="C76" s="56">
        <v>1000</v>
      </c>
      <c r="D76" s="56">
        <v>300</v>
      </c>
      <c r="E76" s="56">
        <v>35</v>
      </c>
      <c r="F76" s="199" t="s">
        <v>214</v>
      </c>
      <c r="G76" s="199"/>
      <c r="H76" s="74" t="s">
        <v>215</v>
      </c>
      <c r="I76" s="9" t="str">
        <f t="shared" si="3"/>
        <v>OK</v>
      </c>
      <c r="J76" s="15"/>
      <c r="K76" s="214"/>
      <c r="L76" s="214"/>
    </row>
    <row r="77" spans="1:12" x14ac:dyDescent="0.3">
      <c r="A77" s="15" t="s">
        <v>212</v>
      </c>
      <c r="B77" s="59" t="s">
        <v>216</v>
      </c>
      <c r="C77" s="15">
        <v>1000</v>
      </c>
      <c r="D77" s="15">
        <v>200</v>
      </c>
      <c r="E77" s="15">
        <v>35</v>
      </c>
      <c r="F77" s="199" t="s">
        <v>217</v>
      </c>
      <c r="G77" s="199"/>
      <c r="H77" s="76" t="s">
        <v>218</v>
      </c>
      <c r="I77" s="9" t="str">
        <f t="shared" si="3"/>
        <v>OK</v>
      </c>
      <c r="J77" s="58" t="s">
        <v>219</v>
      </c>
      <c r="K77" s="214"/>
      <c r="L77" s="214"/>
    </row>
    <row r="78" spans="1:12" x14ac:dyDescent="0.3">
      <c r="A78" s="58" t="s">
        <v>212</v>
      </c>
      <c r="B78" s="59" t="s">
        <v>220</v>
      </c>
      <c r="C78" s="15">
        <v>500</v>
      </c>
      <c r="D78" s="15">
        <v>23</v>
      </c>
      <c r="E78" s="15">
        <v>3</v>
      </c>
      <c r="F78" s="199" t="s">
        <v>221</v>
      </c>
      <c r="G78" s="199"/>
      <c r="H78" s="76" t="s">
        <v>222</v>
      </c>
      <c r="I78" s="9" t="str">
        <f t="shared" si="3"/>
        <v>OK</v>
      </c>
      <c r="J78" s="58" t="s">
        <v>223</v>
      </c>
      <c r="K78" s="214"/>
      <c r="L78" s="214"/>
    </row>
    <row r="79" spans="1:12" x14ac:dyDescent="0.3">
      <c r="A79" s="15" t="s">
        <v>224</v>
      </c>
      <c r="B79" s="37" t="s">
        <v>225</v>
      </c>
      <c r="C79" s="15">
        <v>250</v>
      </c>
      <c r="D79" s="15">
        <v>7.5</v>
      </c>
      <c r="E79" s="15">
        <v>0.75</v>
      </c>
      <c r="F79" s="199" t="s">
        <v>226</v>
      </c>
      <c r="G79" s="199"/>
      <c r="H79" s="13" t="s">
        <v>101</v>
      </c>
      <c r="I79" s="9" t="str">
        <f t="shared" si="3"/>
        <v>OK</v>
      </c>
      <c r="J79" s="64" t="s">
        <v>227</v>
      </c>
      <c r="K79" s="214"/>
      <c r="L79" s="214"/>
    </row>
    <row r="80" spans="1:12" x14ac:dyDescent="0.3">
      <c r="A80" s="64" t="s">
        <v>228</v>
      </c>
      <c r="B80" s="77" t="s">
        <v>229</v>
      </c>
      <c r="C80" s="15">
        <v>1000</v>
      </c>
      <c r="D80" s="15">
        <v>32</v>
      </c>
      <c r="E80" s="15">
        <v>3</v>
      </c>
      <c r="F80" s="199" t="s">
        <v>230</v>
      </c>
      <c r="G80" s="199"/>
      <c r="H80" s="78" t="s">
        <v>222</v>
      </c>
      <c r="I80" s="9" t="str">
        <f t="shared" si="3"/>
        <v>OK</v>
      </c>
      <c r="J80" s="64" t="s">
        <v>231</v>
      </c>
      <c r="K80" s="214"/>
      <c r="L80" s="214"/>
    </row>
    <row r="81" spans="1:12" x14ac:dyDescent="0.3">
      <c r="A81" s="15"/>
      <c r="B81" s="37"/>
      <c r="C81" s="15"/>
      <c r="D81" s="15"/>
      <c r="E81" s="15"/>
      <c r="F81" s="202"/>
      <c r="G81" s="202"/>
      <c r="H81" s="13"/>
      <c r="I81" s="9" t="str">
        <f t="shared" si="3"/>
        <v/>
      </c>
      <c r="J81" s="58"/>
      <c r="K81" s="214"/>
      <c r="L81" s="214"/>
    </row>
    <row r="82" spans="1:12" x14ac:dyDescent="0.3">
      <c r="A82" s="15"/>
      <c r="B82" s="37"/>
      <c r="C82" s="15"/>
      <c r="D82" s="15"/>
      <c r="E82" s="15"/>
      <c r="F82" s="104"/>
      <c r="G82" s="104"/>
      <c r="H82" s="13"/>
      <c r="I82" s="9" t="str">
        <f t="shared" si="3"/>
        <v/>
      </c>
      <c r="J82" s="15"/>
      <c r="K82" s="214"/>
      <c r="L82" s="214"/>
    </row>
    <row r="83" spans="1:12" x14ac:dyDescent="0.3">
      <c r="A83" s="15"/>
      <c r="B83" s="37"/>
      <c r="C83" s="15"/>
      <c r="D83" s="15"/>
      <c r="E83" s="15"/>
      <c r="F83" s="104"/>
      <c r="G83" s="104"/>
      <c r="H83" s="13"/>
      <c r="I83" s="9" t="str">
        <f t="shared" si="3"/>
        <v/>
      </c>
      <c r="J83" s="15"/>
      <c r="K83" s="214"/>
      <c r="L83" s="214"/>
    </row>
    <row r="84" spans="1:12" x14ac:dyDescent="0.3">
      <c r="A84" s="15"/>
      <c r="B84" s="37"/>
      <c r="C84" s="15"/>
      <c r="D84" s="15"/>
      <c r="E84" s="15"/>
      <c r="F84" s="104"/>
      <c r="G84" s="104"/>
      <c r="H84" s="13"/>
      <c r="I84" s="9" t="str">
        <f t="shared" si="3"/>
        <v/>
      </c>
      <c r="J84" s="15"/>
      <c r="K84" s="214"/>
      <c r="L84" s="214"/>
    </row>
    <row r="85" spans="1:12" x14ac:dyDescent="0.3">
      <c r="A85" s="15"/>
      <c r="B85" s="37"/>
      <c r="C85" s="15"/>
      <c r="D85" s="15"/>
      <c r="E85" s="15"/>
      <c r="F85" s="104"/>
      <c r="G85" s="104"/>
      <c r="H85" s="13"/>
      <c r="I85" s="9" t="str">
        <f t="shared" si="3"/>
        <v/>
      </c>
      <c r="J85" s="15"/>
      <c r="K85" s="214"/>
      <c r="L85" s="214"/>
    </row>
    <row r="86" spans="1:12" x14ac:dyDescent="0.3">
      <c r="A86" s="15"/>
      <c r="B86" s="37"/>
      <c r="C86" s="15"/>
      <c r="D86" s="15"/>
      <c r="E86" s="15"/>
      <c r="F86" s="104"/>
      <c r="G86" s="104"/>
      <c r="H86" s="13"/>
      <c r="I86" s="9" t="str">
        <f t="shared" si="3"/>
        <v/>
      </c>
      <c r="J86" s="15"/>
      <c r="K86" s="214"/>
      <c r="L86" s="214"/>
    </row>
    <row r="87" spans="1:12" x14ac:dyDescent="0.3">
      <c r="A87" s="15"/>
      <c r="B87" s="37"/>
      <c r="C87" s="15"/>
      <c r="D87" s="15"/>
      <c r="E87" s="15"/>
      <c r="F87" s="104"/>
      <c r="G87" s="104"/>
      <c r="H87" s="13"/>
      <c r="I87" s="9" t="str">
        <f t="shared" si="3"/>
        <v/>
      </c>
      <c r="J87" s="15"/>
      <c r="K87" s="214"/>
      <c r="L87" s="214"/>
    </row>
    <row r="88" spans="1:12" x14ac:dyDescent="0.3">
      <c r="A88" s="15"/>
      <c r="B88" s="37"/>
      <c r="C88" s="15"/>
      <c r="D88" s="15"/>
      <c r="E88" s="15"/>
      <c r="F88" s="104"/>
      <c r="G88" s="104"/>
      <c r="H88" s="13"/>
      <c r="I88" s="9" t="str">
        <f t="shared" si="3"/>
        <v/>
      </c>
      <c r="J88" s="15"/>
      <c r="K88" s="214"/>
      <c r="L88" s="214"/>
    </row>
    <row r="89" spans="1:12" x14ac:dyDescent="0.3">
      <c r="A89" s="15"/>
      <c r="B89" s="37"/>
      <c r="C89" s="15"/>
      <c r="D89" s="15"/>
      <c r="E89" s="15"/>
      <c r="F89" s="104"/>
      <c r="G89" s="104"/>
      <c r="H89" s="13"/>
      <c r="I89" s="9" t="str">
        <f t="shared" si="3"/>
        <v/>
      </c>
      <c r="J89" s="15"/>
      <c r="K89" s="214"/>
      <c r="L89" s="214"/>
    </row>
    <row r="90" spans="1:12" x14ac:dyDescent="0.3">
      <c r="A90" s="15"/>
      <c r="B90" s="37"/>
      <c r="C90" s="15"/>
      <c r="D90" s="15"/>
      <c r="E90" s="15"/>
      <c r="F90" s="104"/>
      <c r="G90" s="104"/>
      <c r="H90" s="13"/>
      <c r="I90" s="9" t="str">
        <f t="shared" si="3"/>
        <v/>
      </c>
      <c r="J90" s="15"/>
      <c r="K90" s="214"/>
      <c r="L90" s="214"/>
    </row>
    <row r="91" spans="1:12" x14ac:dyDescent="0.3">
      <c r="A91" s="15"/>
      <c r="B91" s="37"/>
      <c r="C91" s="15"/>
      <c r="D91" s="15"/>
      <c r="E91" s="15"/>
      <c r="F91" s="104"/>
      <c r="G91" s="104"/>
      <c r="H91" s="13"/>
      <c r="I91" s="9" t="str">
        <f t="shared" si="3"/>
        <v/>
      </c>
      <c r="J91" s="15"/>
      <c r="K91" s="214"/>
      <c r="L91" s="214"/>
    </row>
    <row r="92" spans="1:12" x14ac:dyDescent="0.3">
      <c r="A92" s="15"/>
      <c r="B92" s="37"/>
      <c r="C92" s="15"/>
      <c r="D92" s="15"/>
      <c r="E92" s="15"/>
      <c r="F92" s="104"/>
      <c r="G92" s="104"/>
      <c r="H92" s="13"/>
      <c r="I92" s="9" t="str">
        <f t="shared" si="3"/>
        <v/>
      </c>
      <c r="J92" s="15"/>
      <c r="K92" s="214"/>
      <c r="L92" s="214"/>
    </row>
    <row r="94" spans="1:12" x14ac:dyDescent="0.3">
      <c r="A94" s="93" t="s">
        <v>232</v>
      </c>
      <c r="B94" s="93"/>
      <c r="C94" s="93"/>
      <c r="D94" s="93"/>
      <c r="E94" s="93"/>
      <c r="F94" s="93"/>
      <c r="G94" s="93"/>
      <c r="H94" s="93"/>
      <c r="I94" s="93"/>
      <c r="J94" s="9" t="str">
        <f>IF(COUNTIF(J96:J105,"="&amp;IncompleteText),IncompleteText,IF(COUNTIF(J96:J105,"="&amp;ErrorText),ErrorText,OKText))</f>
        <v>OK</v>
      </c>
      <c r="K94" s="94" t="s">
        <v>50</v>
      </c>
      <c r="L94" s="94"/>
    </row>
    <row r="95" spans="1:12" x14ac:dyDescent="0.3">
      <c r="A95" s="2" t="s">
        <v>52</v>
      </c>
      <c r="B95" s="2" t="s">
        <v>53</v>
      </c>
      <c r="C95" s="2" t="s">
        <v>233</v>
      </c>
      <c r="D95" s="2" t="s">
        <v>234</v>
      </c>
      <c r="E95" s="2" t="s">
        <v>235</v>
      </c>
      <c r="F95" s="2" t="s">
        <v>57</v>
      </c>
      <c r="G95" s="2" t="s">
        <v>236</v>
      </c>
      <c r="H95" s="28" t="s">
        <v>58</v>
      </c>
      <c r="I95" s="2" t="s">
        <v>167</v>
      </c>
      <c r="J95" s="2" t="s">
        <v>60</v>
      </c>
      <c r="K95" s="2" t="s">
        <v>237</v>
      </c>
      <c r="L95" s="203" t="s">
        <v>238</v>
      </c>
    </row>
    <row r="96" spans="1:12" x14ac:dyDescent="0.3">
      <c r="A96" s="79" t="s">
        <v>239</v>
      </c>
      <c r="B96" s="79" t="s">
        <v>240</v>
      </c>
      <c r="C96" s="80">
        <v>0.43</v>
      </c>
      <c r="D96" s="80">
        <v>1194</v>
      </c>
      <c r="E96" s="17">
        <f t="shared" ref="E96:E105" si="4">IF(OR(ISBLANK(C96),ISBLANK(D96)),"",C96*D96)</f>
        <v>513.41999999999996</v>
      </c>
      <c r="F96" s="80">
        <v>115</v>
      </c>
      <c r="G96" s="37" t="s">
        <v>241</v>
      </c>
      <c r="H96" s="16" t="s">
        <v>242</v>
      </c>
      <c r="I96" s="76" t="s">
        <v>243</v>
      </c>
      <c r="J96" s="9" t="str">
        <f>IF(COUNTBLANK(B96:I96)=8,IncompleteText,IF(AND(COUNTBLANK(B96:I96)=0,E96&gt;=85),OKText,ErrorText))</f>
        <v>OK</v>
      </c>
      <c r="K96" s="13"/>
      <c r="L96" s="204"/>
    </row>
    <row r="97" spans="1:12" x14ac:dyDescent="0.3">
      <c r="A97" s="81" t="s">
        <v>244</v>
      </c>
      <c r="B97" s="79" t="s">
        <v>245</v>
      </c>
      <c r="C97" s="80">
        <v>3.24</v>
      </c>
      <c r="D97" s="80">
        <v>1200</v>
      </c>
      <c r="E97" s="17">
        <f t="shared" si="4"/>
        <v>3888</v>
      </c>
      <c r="F97" s="80">
        <v>240</v>
      </c>
      <c r="G97" s="37" t="s">
        <v>246</v>
      </c>
      <c r="H97" s="16" t="s">
        <v>247</v>
      </c>
      <c r="I97" s="76" t="s">
        <v>248</v>
      </c>
      <c r="J97" s="9" t="str">
        <f t="shared" ref="J97:J105" si="5">IF(COUNTBLANK(B97:I97)=8,"",IF(AND(COUNTBLANK(B97:I97)=0,E97&gt;=85),OKText,ErrorText))</f>
        <v>OK</v>
      </c>
      <c r="K97" s="13"/>
      <c r="L97" s="204"/>
    </row>
    <row r="98" spans="1:12" x14ac:dyDescent="0.3">
      <c r="A98" s="82" t="s">
        <v>249</v>
      </c>
      <c r="B98" s="83" t="s">
        <v>250</v>
      </c>
      <c r="C98" s="80">
        <v>5.5E-2</v>
      </c>
      <c r="D98" s="80">
        <v>7272</v>
      </c>
      <c r="E98" s="17">
        <f t="shared" si="4"/>
        <v>399.96</v>
      </c>
      <c r="F98" s="80">
        <v>260</v>
      </c>
      <c r="G98" s="37" t="s">
        <v>251</v>
      </c>
      <c r="H98" s="16" t="s">
        <v>252</v>
      </c>
      <c r="I98" s="13" t="s">
        <v>253</v>
      </c>
      <c r="J98" s="9" t="str">
        <f t="shared" si="5"/>
        <v>OK</v>
      </c>
      <c r="K98" s="84" t="s">
        <v>254</v>
      </c>
      <c r="L98" s="204"/>
    </row>
    <row r="99" spans="1:12" x14ac:dyDescent="0.3">
      <c r="A99" s="15" t="s">
        <v>255</v>
      </c>
      <c r="B99" s="37" t="s">
        <v>256</v>
      </c>
      <c r="C99" s="80">
        <v>0.15</v>
      </c>
      <c r="D99" s="80">
        <v>4000</v>
      </c>
      <c r="E99" s="17">
        <f t="shared" si="4"/>
        <v>600</v>
      </c>
      <c r="F99" s="80">
        <v>80</v>
      </c>
      <c r="G99" s="37" t="s">
        <v>251</v>
      </c>
      <c r="H99" s="16" t="s">
        <v>257</v>
      </c>
      <c r="I99" s="13" t="s">
        <v>258</v>
      </c>
      <c r="J99" s="9" t="str">
        <f t="shared" si="5"/>
        <v>OK</v>
      </c>
      <c r="K99" s="84" t="s">
        <v>259</v>
      </c>
      <c r="L99" s="204"/>
    </row>
    <row r="100" spans="1:12" x14ac:dyDescent="0.3">
      <c r="A100" s="64" t="s">
        <v>260</v>
      </c>
      <c r="B100" s="77" t="s">
        <v>261</v>
      </c>
      <c r="C100" s="80">
        <v>0.4</v>
      </c>
      <c r="D100" s="80">
        <v>15000</v>
      </c>
      <c r="E100" s="17">
        <f t="shared" si="4"/>
        <v>6000</v>
      </c>
      <c r="F100" s="80">
        <v>200</v>
      </c>
      <c r="G100" s="37" t="s">
        <v>251</v>
      </c>
      <c r="H100" s="16" t="s">
        <v>262</v>
      </c>
      <c r="I100" s="84" t="s">
        <v>263</v>
      </c>
      <c r="J100" s="9" t="str">
        <f t="shared" si="5"/>
        <v>OK</v>
      </c>
      <c r="K100" s="13"/>
      <c r="L100" s="204"/>
    </row>
    <row r="101" spans="1:12" x14ac:dyDescent="0.3">
      <c r="A101" s="15"/>
      <c r="B101" s="37"/>
      <c r="C101" s="80"/>
      <c r="D101" s="80"/>
      <c r="E101" s="17" t="str">
        <f t="shared" si="4"/>
        <v/>
      </c>
      <c r="F101" s="80"/>
      <c r="G101" s="37"/>
      <c r="H101" s="15"/>
      <c r="I101" s="13"/>
      <c r="J101" s="9" t="str">
        <f t="shared" si="5"/>
        <v/>
      </c>
      <c r="K101" s="13"/>
      <c r="L101" s="204"/>
    </row>
    <row r="102" spans="1:12" x14ac:dyDescent="0.3">
      <c r="A102" s="15"/>
      <c r="B102" s="37"/>
      <c r="C102" s="80"/>
      <c r="D102" s="80"/>
      <c r="E102" s="17" t="str">
        <f t="shared" si="4"/>
        <v/>
      </c>
      <c r="F102" s="80"/>
      <c r="G102" s="37"/>
      <c r="H102" s="15"/>
      <c r="I102" s="13"/>
      <c r="J102" s="9" t="str">
        <f t="shared" si="5"/>
        <v/>
      </c>
      <c r="K102" s="13"/>
      <c r="L102" s="204"/>
    </row>
    <row r="103" spans="1:12" x14ac:dyDescent="0.3">
      <c r="A103" s="15"/>
      <c r="B103" s="37"/>
      <c r="C103" s="80"/>
      <c r="D103" s="80"/>
      <c r="E103" s="17" t="str">
        <f t="shared" si="4"/>
        <v/>
      </c>
      <c r="F103" s="80"/>
      <c r="G103" s="37"/>
      <c r="H103" s="15"/>
      <c r="I103" s="13"/>
      <c r="J103" s="9" t="str">
        <f t="shared" si="5"/>
        <v/>
      </c>
      <c r="K103" s="13"/>
      <c r="L103" s="204"/>
    </row>
    <row r="104" spans="1:12" x14ac:dyDescent="0.3">
      <c r="A104" s="15"/>
      <c r="B104" s="37"/>
      <c r="C104" s="80"/>
      <c r="D104" s="80"/>
      <c r="E104" s="17" t="str">
        <f t="shared" si="4"/>
        <v/>
      </c>
      <c r="F104" s="80"/>
      <c r="G104" s="37"/>
      <c r="H104" s="15"/>
      <c r="I104" s="13"/>
      <c r="J104" s="9" t="str">
        <f t="shared" si="5"/>
        <v/>
      </c>
      <c r="K104" s="13"/>
      <c r="L104" s="204"/>
    </row>
    <row r="105" spans="1:12" x14ac:dyDescent="0.3">
      <c r="A105" s="15"/>
      <c r="B105" s="37"/>
      <c r="C105" s="80"/>
      <c r="D105" s="80"/>
      <c r="E105" s="17" t="str">
        <f t="shared" si="4"/>
        <v/>
      </c>
      <c r="F105" s="80"/>
      <c r="G105" s="37"/>
      <c r="H105" s="15"/>
      <c r="I105" s="13"/>
      <c r="J105" s="9" t="str">
        <f t="shared" si="5"/>
        <v/>
      </c>
      <c r="K105" s="13"/>
      <c r="L105" s="205"/>
    </row>
  </sheetData>
  <sheetProtection algorithmName="SHA-512" hashValue="iqDsfMcUKLi9fLL8HjYil4dikGjw0Ad5YwBZ6JFblLD3RTRJ764n/zICSfXI8ZnYr63yc+mMdCcwapaCe8fMEQ==" saltValue="l4zLkkhb3whGvSLcAyWgPQ==" spinCount="100000" sheet="1" scenarios="1" insertRows="0" insertHyperlinks="0"/>
  <protectedRanges>
    <protectedRange sqref="A96:D105 F96:I105 K96:K105" name="dat2"/>
    <protectedRange sqref="C3:D4 C5:C11 C12:D13 A17:H38 J17:J38 J42:J53 A42:H53 A57:H62 J57:J62 J66:J70 A66:H70 A74:H92 J74:J92 J78 A60:H60 A47:G47 A48:G48 F78:G78 A78:G78" name="data1"/>
    <protectedRange sqref="C3:D4" name="data1_1"/>
    <protectedRange sqref="C3:D3" name="data1_1_1"/>
    <protectedRange sqref="C3:D3" name="data1_1_1_1"/>
    <protectedRange sqref="C3:D3" name="data1_1_1_1_1"/>
    <protectedRange sqref="C3:D4" name="data1_2"/>
    <protectedRange sqref="C3:D4" name="data1_1_2"/>
    <protectedRange sqref="C3:D4" name="data1_1_1_2"/>
    <protectedRange sqref="C5:C11" name="data1_3"/>
    <protectedRange sqref="C5:C11" name="data1_3_1"/>
    <protectedRange sqref="C5:C11" name="data1_2_1"/>
    <protectedRange sqref="C5:C11" name="data1_2_1_1"/>
    <protectedRange sqref="C12:D12" name="data1_4"/>
    <protectedRange sqref="C12:D12" name="data1_4_1"/>
    <protectedRange sqref="C12:D12" name="data1_3_1_1"/>
    <protectedRange sqref="C12:D12" name="data1_3_1_1_1"/>
    <protectedRange sqref="C13:D13" name="data1_5"/>
    <protectedRange sqref="A17:H35 A32:G32" name="data1_6"/>
    <protectedRange sqref="A17:H35 A32:G32" name="data1_5_1"/>
    <protectedRange sqref="A17:H35 A32:G32" name="data1_4_1_1"/>
    <protectedRange sqref="A17:G35 F31:F33 F23:F29 F18:F25 A32:G32" name="data1_4_1_1_1"/>
    <protectedRange sqref="G17:G35" name="data1_1_1_1_1_1"/>
    <protectedRange sqref="A17:E35" name="data1_6_1"/>
    <protectedRange sqref="A17:G35 F31:F33 F23:F29 F18:F25 A32:G32" name="data1_5_1_1"/>
    <protectedRange sqref="G17:G35" name="data1_1_2_1"/>
    <protectedRange sqref="A17:E35" name="data1_6_1_1"/>
    <protectedRange sqref="A17:H35 G31:G33 G23:G29 G18:G25 A32:G32" name="data1_7"/>
    <protectedRange sqref="H17:H35" name="data1_1_3"/>
    <protectedRange sqref="A17:F35" name="data1_6_2"/>
    <protectedRange sqref="A42:H46 A47:G47 A48:G48" name="data1_8"/>
    <protectedRange sqref="A42:H46 A47:G47 A48:G48" name="data1_8_1"/>
    <protectedRange sqref="A42:H46 A47:G47 A48:G48" name="data1_8_1_1"/>
    <protectedRange sqref="A42:H46 A47:G47 A48:G48" name="data1_8_1_1_1"/>
    <protectedRange sqref="H42:H46" name="data1_2_1_1_1"/>
    <protectedRange sqref="A42:E46" name="data1_7_1"/>
    <protectedRange sqref="A42:E46" name="data1_8_1_1_1_1"/>
    <protectedRange sqref="A42:F46" name="data1_9"/>
    <protectedRange sqref="J46" name="data1_10"/>
    <protectedRange sqref="J46" name="data1_16"/>
    <protectedRange sqref="J46" name="data1_10_2"/>
    <protectedRange sqref="J46" name="data1_14_1"/>
    <protectedRange sqref="A57:H59 A60:H60" name="data1_11"/>
    <protectedRange sqref="A57:H59 G57 A60:H60" name="data1_10_1"/>
    <protectedRange sqref="A57:H59 G57 A60:H60" name="data1_11_1"/>
    <protectedRange sqref="A57:H59 G57:G58 A60:H60" name="data1_10_1_1"/>
    <protectedRange sqref="H57:H59" name="data1_3_1_1_1_1"/>
    <protectedRange sqref="A57:F59" name="data1_10_1_1_1"/>
    <protectedRange sqref="A66:H68" name="data1_12"/>
    <protectedRange sqref="A66:H68" name="data1_12_1"/>
    <protectedRange sqref="A66:H68" name="data1_12_1_1"/>
    <protectedRange sqref="A66:H68" name="data1_11_1_1"/>
    <protectedRange sqref="H66:H68" name="data1_4_1_1_1_1"/>
    <protectedRange sqref="A66:F68" name="data1_11_1_1_1"/>
    <protectedRange sqref="G66:G68" name="data1_13"/>
    <protectedRange sqref="A74:H80" name="data1_14"/>
    <protectedRange sqref="A74:H80" name="data1_14_2"/>
    <protectedRange sqref="A74:H80" name="data1_15"/>
    <protectedRange sqref="A74:H80" name="data1_12_1_1_1"/>
    <protectedRange sqref="H74:H80" name="data1_5_1_1_1"/>
    <protectedRange sqref="A74:E80" name="data1_12_1_1_1_1"/>
    <protectedRange sqref="A74:H79" name="data1_17"/>
    <protectedRange sqref="A74:H79" name="data1_15_1"/>
    <protectedRange sqref="A74:H79" name="data1_12_1_2"/>
    <protectedRange sqref="H74:H79" name="data1_5_1_2"/>
    <protectedRange sqref="A74:E79" name="data1_12_1_1_2"/>
    <protectedRange sqref="J79:J80" name="data1_18"/>
    <protectedRange sqref="A96:D100" name="dat2_1"/>
    <protectedRange sqref="A96:D99" name="dat2_1_1"/>
    <protectedRange sqref="A96:D99" name="dat2_1_1_1"/>
    <protectedRange sqref="A96:D99" name="dat2_1_1_1_1"/>
    <protectedRange sqref="A96:D99" name="dat2_3"/>
    <protectedRange sqref="F96:I100" name="dat2_2"/>
    <protectedRange sqref="F96:I99" name="dat2_2_1"/>
    <protectedRange sqref="F96:I99" name="dat2_2_1_1"/>
    <protectedRange sqref="F96:I99" name="dat2_2_1_1_1"/>
    <protectedRange sqref="H96:H99" name="dat2_1_1_1_1_1"/>
    <protectedRange sqref="I96:I99" name="dat2_2_1_1_1_1"/>
    <protectedRange sqref="F96:G99" name="dat2_4"/>
    <protectedRange sqref="A17:F17 A17:F17" name="data1_19"/>
    <protectedRange sqref="A17:F17" name="data1_5_2"/>
    <protectedRange sqref="A17:F17" name="data1_1_5"/>
    <protectedRange sqref="A77:H78" name="data1_20"/>
    <protectedRange sqref="A77:H78" name="data1_14_3"/>
    <protectedRange sqref="A77:H78" name="data1_14_2_1"/>
    <protectedRange sqref="A77:H78" name="data1_15_2"/>
    <protectedRange sqref="A77:H78" name="data1_12_1_1_1_2"/>
    <protectedRange sqref="H77:H78" name="data1_5_1_1_1_1"/>
    <protectedRange sqref="A77:E78" name="data1_12_1_1_1_1_1"/>
    <protectedRange sqref="A77:H78" name="data1_17_1"/>
    <protectedRange sqref="A77:H78" name="data1_15_1_1"/>
    <protectedRange sqref="A77:H78" name="data1_12_1_2_1"/>
    <protectedRange sqref="H77:H78" name="data1_5_1_2_1"/>
    <protectedRange sqref="A77:E78" name="data1_12_1_1_2_1"/>
  </protectedRanges>
  <mergeCells count="54">
    <mergeCell ref="K94:L94"/>
    <mergeCell ref="L95:L105"/>
    <mergeCell ref="K41:L53"/>
    <mergeCell ref="K16:L38"/>
    <mergeCell ref="K65:L70"/>
    <mergeCell ref="K56:L62"/>
    <mergeCell ref="K73:L92"/>
    <mergeCell ref="F89:G89"/>
    <mergeCell ref="F90:G90"/>
    <mergeCell ref="F91:G91"/>
    <mergeCell ref="F92:G92"/>
    <mergeCell ref="A94:I94"/>
    <mergeCell ref="F84:G84"/>
    <mergeCell ref="F85:G85"/>
    <mergeCell ref="F86:G86"/>
    <mergeCell ref="F87:G87"/>
    <mergeCell ref="F88:G88"/>
    <mergeCell ref="F79:G79"/>
    <mergeCell ref="F80:G80"/>
    <mergeCell ref="F81:G81"/>
    <mergeCell ref="F82:G82"/>
    <mergeCell ref="F83:G83"/>
    <mergeCell ref="F74:G74"/>
    <mergeCell ref="F75:G75"/>
    <mergeCell ref="F76:G76"/>
    <mergeCell ref="F77:G77"/>
    <mergeCell ref="F78:G78"/>
    <mergeCell ref="A64:H64"/>
    <mergeCell ref="J64:L64"/>
    <mergeCell ref="A72:H72"/>
    <mergeCell ref="J72:L72"/>
    <mergeCell ref="F73:G73"/>
    <mergeCell ref="A15:H15"/>
    <mergeCell ref="K15:L15"/>
    <mergeCell ref="A40:H40"/>
    <mergeCell ref="J40:L40"/>
    <mergeCell ref="A55:H55"/>
    <mergeCell ref="J55:L55"/>
    <mergeCell ref="A10:B10"/>
    <mergeCell ref="A11:B11"/>
    <mergeCell ref="A12:B12"/>
    <mergeCell ref="C12:D12"/>
    <mergeCell ref="A13:B13"/>
    <mergeCell ref="C13:D13"/>
    <mergeCell ref="A5:B5"/>
    <mergeCell ref="A6:B6"/>
    <mergeCell ref="A7:B7"/>
    <mergeCell ref="A8:B8"/>
    <mergeCell ref="A9:B9"/>
    <mergeCell ref="A2:D2"/>
    <mergeCell ref="A3:B3"/>
    <mergeCell ref="C3:D3"/>
    <mergeCell ref="A4:B4"/>
    <mergeCell ref="C4:D4"/>
  </mergeCells>
  <phoneticPr fontId="17" type="noConversion"/>
  <dataValidations count="5">
    <dataValidation type="list" allowBlank="1" showInputMessage="1" showErrorMessage="1" sqref="F66:F70" xr:uid="{00000000-0002-0000-0100-000000000000}">
      <formula1>"NO,NC"</formula1>
    </dataValidation>
    <dataValidation type="list" allowBlank="1" showInputMessage="1" showErrorMessage="1" sqref="H17:H38 H42:H53" xr:uid="{00000000-0002-0000-0100-000001000000}">
      <formula1>$O$16:$O$34</formula1>
    </dataValidation>
    <dataValidation type="list" allowBlank="1" showInputMessage="1" showErrorMessage="1" sqref="H57:H62" xr:uid="{00000000-0002-0000-0100-000002000000}">
      <formula1>"预充电路 Precharge,放电回路 Discharge,其他-驱动系统 Other TS,其他-低压系统 Other LVS"</formula1>
    </dataValidation>
    <dataValidation type="list" allowBlank="1" showInputMessage="1" showErrorMessage="1" sqref="H66:H70" xr:uid="{00000000-0002-0000-0100-000003000000}">
      <formula1>"AIR,预充电 Precharge,放电 Discharge,其他 Other"</formula1>
    </dataValidation>
    <dataValidation type="list" allowBlank="1" showInputMessage="1" showErrorMessage="1" sqref="H74:H92" xr:uid="{00000000-0002-0000-0100-000004000000}">
      <formula1>"维护插头Maintenance plugs,电池箱主接插件TSAC Main TS Connectors,电池箱其他驱动系统接插件TSAC Other TS  Connectors,HVD,能量计壳体Datalogger Container,电机控制器壳体MCU Container,电机控制器到电机Between MCU and Motor,其他驱动系统位置Other TS Connectors"</formula1>
    </dataValidation>
  </dataValidations>
  <hyperlinks>
    <hyperlink ref="C13:D13" r:id="rId1" display="电芯_GRP9885155-3.8V 15000mAh" xr:uid="{00000000-0004-0000-0100-000000000000}"/>
    <hyperlink ref="G35" r:id="rId2" xr:uid="{00000000-0004-0000-0100-000001000000}"/>
    <hyperlink ref="G34" r:id="rId3" xr:uid="{00000000-0004-0000-0100-000002000000}"/>
    <hyperlink ref="G30" r:id="rId4" xr:uid="{00000000-0004-0000-0100-000003000000}"/>
    <hyperlink ref="G33" r:id="rId5" xr:uid="{00000000-0004-0000-0100-000004000000}"/>
    <hyperlink ref="G31" r:id="rId6" xr:uid="{00000000-0004-0000-0100-000005000000}"/>
    <hyperlink ref="G28" r:id="rId7" xr:uid="{00000000-0004-0000-0100-000006000000}"/>
    <hyperlink ref="G27" r:id="rId8" xr:uid="{00000000-0004-0000-0100-000007000000}"/>
    <hyperlink ref="G26" r:id="rId9" xr:uid="{00000000-0004-0000-0100-000008000000}"/>
    <hyperlink ref="G22" r:id="rId10" xr:uid="{00000000-0004-0000-0100-000009000000}"/>
    <hyperlink ref="G21" r:id="rId11" xr:uid="{00000000-0004-0000-0100-00000A000000}"/>
    <hyperlink ref="G20" r:id="rId12" xr:uid="{00000000-0004-0000-0100-00000B000000}"/>
    <hyperlink ref="G19" r:id="rId13" xr:uid="{00000000-0004-0000-0100-00000C000000}"/>
    <hyperlink ref="G18" r:id="rId14" xr:uid="{00000000-0004-0000-0100-00000D000000}"/>
    <hyperlink ref="G29" r:id="rId15" xr:uid="{00000000-0004-0000-0100-00000E000000}"/>
    <hyperlink ref="G25" r:id="rId16" xr:uid="{00000000-0004-0000-0100-00000F000000}"/>
    <hyperlink ref="G24" r:id="rId17" xr:uid="{00000000-0004-0000-0100-000010000000}"/>
    <hyperlink ref="G23" r:id="rId18" xr:uid="{00000000-0004-0000-0100-000011000000}"/>
    <hyperlink ref="G17" r:id="rId19" xr:uid="{00000000-0004-0000-0100-000012000000}"/>
    <hyperlink ref="G32" r:id="rId20" xr:uid="{00000000-0004-0000-0100-000013000000}"/>
    <hyperlink ref="G42" r:id="rId21" xr:uid="{00000000-0004-0000-0100-000014000000}"/>
    <hyperlink ref="G44" r:id="rId22" xr:uid="{00000000-0004-0000-0100-000015000000}"/>
    <hyperlink ref="G45" r:id="rId23" xr:uid="{00000000-0004-0000-0100-000016000000}"/>
    <hyperlink ref="G43" r:id="rId24" xr:uid="{00000000-0004-0000-0100-000017000000}"/>
    <hyperlink ref="G46" r:id="rId25" xr:uid="{00000000-0004-0000-0100-000018000000}"/>
    <hyperlink ref="G58" r:id="rId26" xr:uid="{00000000-0004-0000-0100-000019000000}"/>
    <hyperlink ref="G59" r:id="rId27" xr:uid="{00000000-0004-0000-0100-00001A000000}"/>
    <hyperlink ref="G57" r:id="rId28" xr:uid="{00000000-0004-0000-0100-00001B000000}"/>
    <hyperlink ref="G66" r:id="rId29" tooltip="https://www.scii.cn/storage/files/ebfdbd8df5009fee4ede53e7d1cdb88f.pdf" xr:uid="{00000000-0004-0000-0100-00001C000000}"/>
    <hyperlink ref="G68" r:id="rId30" tooltip="https://yzvideo-c.yizimg.com/351305/202244-201130198.pdf" xr:uid="{00000000-0004-0000-0100-00001D000000}"/>
    <hyperlink ref="G67" r:id="rId31" xr:uid="{00000000-0004-0000-0100-00001E000000}"/>
    <hyperlink ref="F75:G75" r:id="rId32" display="电控壳体插头_电机控制器壳体" xr:uid="{00000000-0004-0000-0100-00001F000000}"/>
    <hyperlink ref="F74:G74" r:id="rId33" display="HVD_HVD" xr:uid="{00000000-0004-0000-0100-000020000000}"/>
    <hyperlink ref="F76:G76" r:id="rId34" display="PL282X-301-35_电池箱主接插件" xr:uid="{00000000-0004-0000-0100-000021000000}"/>
    <hyperlink ref="H96" r:id="rId35" xr:uid="{00000000-0004-0000-0100-000022000000}"/>
    <hyperlink ref="H97" r:id="rId36" xr:uid="{00000000-0004-0000-0100-000023000000}"/>
    <hyperlink ref="H98" r:id="rId37" xr:uid="{00000000-0004-0000-0100-000024000000}"/>
    <hyperlink ref="H99" r:id="rId38" xr:uid="{00000000-0004-0000-0100-000025000000}"/>
    <hyperlink ref="H100" r:id="rId39" xr:uid="{00000000-0004-0000-0100-000026000000}"/>
    <hyperlink ref="G47" r:id="rId40" xr:uid="{00000000-0004-0000-0100-000027000000}"/>
    <hyperlink ref="G48" r:id="rId41" xr:uid="{00000000-0004-0000-0100-000028000000}"/>
    <hyperlink ref="G36" r:id="rId42" xr:uid="{00000000-0004-0000-0100-000029000000}"/>
    <hyperlink ref="G37" r:id="rId43" xr:uid="{00000000-0004-0000-0100-00002A000000}"/>
    <hyperlink ref="F79:G79" r:id="rId44" display="电控插头_电机控制器到电机" xr:uid="{00000000-0004-0000-0100-00002B000000}"/>
    <hyperlink ref="F80:G80" r:id="rId45" display="TSMP插座_其他驱动系统位置Other TS Connectors" xr:uid="{00000000-0004-0000-0100-00002C000000}"/>
    <hyperlink ref="G49" r:id="rId46" xr:uid="{00000000-0004-0000-0100-00002D000000}"/>
    <hyperlink ref="F77:G77" r:id="rId47" display="RL00801-50_维护插头Maintenance plugs" xr:uid="{00000000-0004-0000-0100-00002E000000}"/>
    <hyperlink ref="F78:G78" r:id="rId48" display="充电机高压插头_其他驱动系统位置Other TS Connectors" xr:uid="{00000000-0004-0000-0100-00002F000000}"/>
  </hyperlinks>
  <pageMargins left="0.7" right="0.7" top="0.75" bottom="0.75" header="0.3" footer="0.3"/>
  <pageSetup paperSize="9" orientation="portrait" verticalDpi="300"/>
  <drawing r:id="rId4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E50"/>
  <sheetViews>
    <sheetView topLeftCell="C1" zoomScale="70" zoomScaleNormal="70" workbookViewId="0">
      <selection activeCell="C31" sqref="C31:I31"/>
    </sheetView>
  </sheetViews>
  <sheetFormatPr defaultColWidth="9" defaultRowHeight="14" x14ac:dyDescent="0.3"/>
  <cols>
    <col min="1" max="1" width="11" customWidth="1"/>
    <col min="11" max="11" width="16.08203125" customWidth="1"/>
    <col min="13" max="13" width="17" customWidth="1"/>
    <col min="25" max="25" width="22.75" customWidth="1"/>
    <col min="26" max="26" width="25.33203125" customWidth="1"/>
    <col min="31" max="31" width="9" customWidth="1"/>
  </cols>
  <sheetData>
    <row r="1" spans="1:31" x14ac:dyDescent="0.3">
      <c r="A1" s="2" t="s">
        <v>27</v>
      </c>
      <c r="B1" s="9" t="str" cm="1">
        <f t="array" ref="B1" ca="1">IF(SUM(COUNTIF(INDIRECT({"$K$28","$W$28","$K$48"}),"="&amp;IncompleteText)),IncompleteText,IF(SUM(COUNTIF(INDIRECT({"$K$28","$W$28","$K$48"}),"="&amp;ErrorText)),ErrorText,OKText))</f>
        <v>OK</v>
      </c>
      <c r="C1" s="32"/>
      <c r="D1" s="32"/>
      <c r="E1" s="32"/>
      <c r="F1" s="32"/>
      <c r="G1" s="32"/>
      <c r="H1" s="32"/>
      <c r="I1" s="32"/>
      <c r="J1" s="32"/>
      <c r="K1" s="32"/>
    </row>
    <row r="2" spans="1:31" ht="32.15" customHeight="1" x14ac:dyDescent="0.3">
      <c r="A2" s="152" t="s">
        <v>264</v>
      </c>
      <c r="B2" s="152"/>
      <c r="C2" s="152"/>
      <c r="D2" s="152"/>
      <c r="E2" s="152"/>
      <c r="F2" s="152"/>
      <c r="G2" s="152"/>
      <c r="H2" s="152"/>
      <c r="I2" s="152"/>
      <c r="J2" s="152"/>
      <c r="K2" s="152"/>
      <c r="M2" s="154" t="s">
        <v>265</v>
      </c>
      <c r="N2" s="152"/>
      <c r="O2" s="152"/>
      <c r="P2" s="152"/>
      <c r="Q2" s="152"/>
      <c r="R2" s="152"/>
      <c r="S2" s="152"/>
      <c r="T2" s="152"/>
      <c r="U2" s="152"/>
      <c r="V2" s="152"/>
      <c r="W2" s="152"/>
      <c r="Y2" s="94" t="s">
        <v>266</v>
      </c>
      <c r="Z2" s="94"/>
      <c r="AA2" s="94"/>
      <c r="AB2" s="94"/>
      <c r="AC2" s="94"/>
      <c r="AD2" s="94"/>
      <c r="AE2" s="94"/>
    </row>
    <row r="3" spans="1:31" ht="32.15" customHeight="1" x14ac:dyDescent="0.3">
      <c r="A3" s="152"/>
      <c r="B3" s="152"/>
      <c r="C3" s="152"/>
      <c r="D3" s="152"/>
      <c r="E3" s="152"/>
      <c r="F3" s="152"/>
      <c r="G3" s="152"/>
      <c r="H3" s="152"/>
      <c r="I3" s="152"/>
      <c r="J3" s="152"/>
      <c r="K3" s="152"/>
      <c r="M3" s="152"/>
      <c r="N3" s="152"/>
      <c r="O3" s="152"/>
      <c r="P3" s="152"/>
      <c r="Q3" s="152"/>
      <c r="R3" s="152"/>
      <c r="S3" s="152"/>
      <c r="T3" s="152"/>
      <c r="U3" s="152"/>
      <c r="V3" s="152"/>
      <c r="W3" s="152"/>
      <c r="Y3" s="220" t="s">
        <v>267</v>
      </c>
      <c r="Z3" s="175"/>
      <c r="AA3" s="175"/>
      <c r="AB3" s="175"/>
      <c r="AC3" s="175"/>
      <c r="AD3" s="175"/>
      <c r="AE3" s="175"/>
    </row>
    <row r="4" spans="1:31" ht="32.15" customHeight="1" x14ac:dyDescent="0.3">
      <c r="A4" s="152"/>
      <c r="B4" s="152"/>
      <c r="C4" s="152"/>
      <c r="D4" s="152"/>
      <c r="E4" s="152"/>
      <c r="F4" s="152"/>
      <c r="G4" s="152"/>
      <c r="H4" s="152"/>
      <c r="I4" s="152"/>
      <c r="J4" s="152"/>
      <c r="K4" s="152"/>
      <c r="M4" s="152"/>
      <c r="N4" s="152"/>
      <c r="O4" s="152"/>
      <c r="P4" s="152"/>
      <c r="Q4" s="152"/>
      <c r="R4" s="152"/>
      <c r="S4" s="152"/>
      <c r="T4" s="152"/>
      <c r="U4" s="152"/>
      <c r="V4" s="152"/>
      <c r="W4" s="152"/>
      <c r="Y4" s="178"/>
      <c r="Z4" s="178"/>
      <c r="AA4" s="178"/>
      <c r="AB4" s="178"/>
      <c r="AC4" s="178"/>
      <c r="AD4" s="178"/>
      <c r="AE4" s="178"/>
    </row>
    <row r="5" spans="1:31" ht="32.15" customHeight="1" x14ac:dyDescent="0.3">
      <c r="A5" s="152"/>
      <c r="B5" s="152"/>
      <c r="C5" s="152"/>
      <c r="D5" s="152"/>
      <c r="E5" s="152"/>
      <c r="F5" s="152"/>
      <c r="G5" s="152"/>
      <c r="H5" s="152"/>
      <c r="I5" s="152"/>
      <c r="J5" s="152"/>
      <c r="K5" s="152"/>
      <c r="M5" s="152"/>
      <c r="N5" s="152"/>
      <c r="O5" s="152"/>
      <c r="P5" s="152"/>
      <c r="Q5" s="152"/>
      <c r="R5" s="152"/>
      <c r="S5" s="152"/>
      <c r="T5" s="152"/>
      <c r="U5" s="152"/>
      <c r="V5" s="152"/>
      <c r="W5" s="152"/>
      <c r="Y5" s="178"/>
      <c r="Z5" s="178"/>
      <c r="AA5" s="178"/>
      <c r="AB5" s="178"/>
      <c r="AC5" s="178"/>
      <c r="AD5" s="178"/>
      <c r="AE5" s="178"/>
    </row>
    <row r="6" spans="1:31" ht="32.15" customHeight="1" x14ac:dyDescent="0.3">
      <c r="A6" s="152"/>
      <c r="B6" s="152"/>
      <c r="C6" s="152"/>
      <c r="D6" s="152"/>
      <c r="E6" s="152"/>
      <c r="F6" s="152"/>
      <c r="G6" s="152"/>
      <c r="H6" s="152"/>
      <c r="I6" s="152"/>
      <c r="J6" s="152"/>
      <c r="K6" s="152"/>
      <c r="M6" s="152"/>
      <c r="N6" s="152"/>
      <c r="O6" s="152"/>
      <c r="P6" s="152"/>
      <c r="Q6" s="152"/>
      <c r="R6" s="152"/>
      <c r="S6" s="152"/>
      <c r="T6" s="152"/>
      <c r="U6" s="152"/>
      <c r="V6" s="152"/>
      <c r="W6" s="152"/>
      <c r="Y6" s="178"/>
      <c r="Z6" s="178"/>
      <c r="AA6" s="178"/>
      <c r="AB6" s="178"/>
      <c r="AC6" s="178"/>
      <c r="AD6" s="178"/>
      <c r="AE6" s="178"/>
    </row>
    <row r="7" spans="1:31" ht="32.15" customHeight="1" x14ac:dyDescent="0.3">
      <c r="A7" s="152"/>
      <c r="B7" s="152"/>
      <c r="C7" s="152"/>
      <c r="D7" s="152"/>
      <c r="E7" s="152"/>
      <c r="F7" s="152"/>
      <c r="G7" s="152"/>
      <c r="H7" s="152"/>
      <c r="I7" s="152"/>
      <c r="J7" s="152"/>
      <c r="K7" s="152"/>
      <c r="M7" s="152"/>
      <c r="N7" s="152"/>
      <c r="O7" s="152"/>
      <c r="P7" s="152"/>
      <c r="Q7" s="152"/>
      <c r="R7" s="152"/>
      <c r="S7" s="152"/>
      <c r="T7" s="152"/>
      <c r="U7" s="152"/>
      <c r="V7" s="152"/>
      <c r="W7" s="152"/>
      <c r="Y7" s="178"/>
      <c r="Z7" s="178"/>
      <c r="AA7" s="178"/>
      <c r="AB7" s="178"/>
      <c r="AC7" s="178"/>
      <c r="AD7" s="178"/>
      <c r="AE7" s="178"/>
    </row>
    <row r="8" spans="1:31" ht="32.15" customHeight="1" x14ac:dyDescent="0.3">
      <c r="A8" s="152"/>
      <c r="B8" s="152"/>
      <c r="C8" s="152"/>
      <c r="D8" s="152"/>
      <c r="E8" s="152"/>
      <c r="F8" s="152"/>
      <c r="G8" s="152"/>
      <c r="H8" s="152"/>
      <c r="I8" s="152"/>
      <c r="J8" s="152"/>
      <c r="K8" s="152"/>
      <c r="M8" s="152"/>
      <c r="N8" s="152"/>
      <c r="O8" s="152"/>
      <c r="P8" s="152"/>
      <c r="Q8" s="152"/>
      <c r="R8" s="152"/>
      <c r="S8" s="152"/>
      <c r="T8" s="152"/>
      <c r="U8" s="152"/>
      <c r="V8" s="152"/>
      <c r="W8" s="152"/>
      <c r="Y8" s="178"/>
      <c r="Z8" s="178"/>
      <c r="AA8" s="178"/>
      <c r="AB8" s="178"/>
      <c r="AC8" s="178"/>
      <c r="AD8" s="178"/>
      <c r="AE8" s="178"/>
    </row>
    <row r="9" spans="1:31" ht="32.15" customHeight="1" x14ac:dyDescent="0.3">
      <c r="A9" s="152"/>
      <c r="B9" s="152"/>
      <c r="C9" s="152"/>
      <c r="D9" s="152"/>
      <c r="E9" s="152"/>
      <c r="F9" s="152"/>
      <c r="G9" s="152"/>
      <c r="H9" s="152"/>
      <c r="I9" s="152"/>
      <c r="J9" s="152"/>
      <c r="K9" s="152"/>
      <c r="M9" s="152"/>
      <c r="N9" s="152"/>
      <c r="O9" s="152"/>
      <c r="P9" s="152"/>
      <c r="Q9" s="152"/>
      <c r="R9" s="152"/>
      <c r="S9" s="152"/>
      <c r="T9" s="152"/>
      <c r="U9" s="152"/>
      <c r="V9" s="152"/>
      <c r="W9" s="152"/>
      <c r="Y9" s="178"/>
      <c r="Z9" s="178"/>
      <c r="AA9" s="178"/>
      <c r="AB9" s="178"/>
      <c r="AC9" s="178"/>
      <c r="AD9" s="178"/>
      <c r="AE9" s="178"/>
    </row>
    <row r="10" spans="1:31" ht="32.15" customHeight="1" x14ac:dyDescent="0.3">
      <c r="A10" s="152"/>
      <c r="B10" s="152"/>
      <c r="C10" s="152"/>
      <c r="D10" s="152"/>
      <c r="E10" s="152"/>
      <c r="F10" s="152"/>
      <c r="G10" s="152"/>
      <c r="H10" s="152"/>
      <c r="I10" s="152"/>
      <c r="J10" s="152"/>
      <c r="K10" s="152"/>
      <c r="M10" s="152"/>
      <c r="N10" s="152"/>
      <c r="O10" s="152"/>
      <c r="P10" s="152"/>
      <c r="Q10" s="152"/>
      <c r="R10" s="152"/>
      <c r="S10" s="152"/>
      <c r="T10" s="152"/>
      <c r="U10" s="152"/>
      <c r="V10" s="152"/>
      <c r="W10" s="152"/>
      <c r="Y10" s="178"/>
      <c r="Z10" s="178"/>
      <c r="AA10" s="178"/>
      <c r="AB10" s="178"/>
      <c r="AC10" s="178"/>
      <c r="AD10" s="178"/>
      <c r="AE10" s="178"/>
    </row>
    <row r="11" spans="1:31" ht="32.15" customHeight="1" x14ac:dyDescent="0.3">
      <c r="A11" s="152"/>
      <c r="B11" s="152"/>
      <c r="C11" s="152"/>
      <c r="D11" s="152"/>
      <c r="E11" s="152"/>
      <c r="F11" s="152"/>
      <c r="G11" s="152"/>
      <c r="H11" s="152"/>
      <c r="I11" s="152"/>
      <c r="J11" s="152"/>
      <c r="K11" s="152"/>
      <c r="M11" s="152"/>
      <c r="N11" s="152"/>
      <c r="O11" s="152"/>
      <c r="P11" s="152"/>
      <c r="Q11" s="152"/>
      <c r="R11" s="152"/>
      <c r="S11" s="152"/>
      <c r="T11" s="152"/>
      <c r="U11" s="152"/>
      <c r="V11" s="152"/>
      <c r="W11" s="152"/>
      <c r="Y11" s="178"/>
      <c r="Z11" s="178"/>
      <c r="AA11" s="178"/>
      <c r="AB11" s="178"/>
      <c r="AC11" s="178"/>
      <c r="AD11" s="178"/>
      <c r="AE11" s="178"/>
    </row>
    <row r="12" spans="1:31" ht="32.15" customHeight="1" x14ac:dyDescent="0.3">
      <c r="A12" s="152"/>
      <c r="B12" s="152"/>
      <c r="C12" s="152"/>
      <c r="D12" s="152"/>
      <c r="E12" s="152"/>
      <c r="F12" s="152"/>
      <c r="G12" s="152"/>
      <c r="H12" s="152"/>
      <c r="I12" s="152"/>
      <c r="J12" s="152"/>
      <c r="K12" s="152"/>
      <c r="M12" s="152"/>
      <c r="N12" s="152"/>
      <c r="O12" s="152"/>
      <c r="P12" s="152"/>
      <c r="Q12" s="152"/>
      <c r="R12" s="152"/>
      <c r="S12" s="152"/>
      <c r="T12" s="152"/>
      <c r="U12" s="152"/>
      <c r="V12" s="152"/>
      <c r="W12" s="152"/>
      <c r="Y12" s="178"/>
      <c r="Z12" s="178"/>
      <c r="AA12" s="178"/>
      <c r="AB12" s="178"/>
      <c r="AC12" s="178"/>
      <c r="AD12" s="178"/>
      <c r="AE12" s="178"/>
    </row>
    <row r="13" spans="1:31" ht="32.15" customHeight="1" x14ac:dyDescent="0.3">
      <c r="A13" s="152"/>
      <c r="B13" s="152"/>
      <c r="C13" s="152"/>
      <c r="D13" s="152"/>
      <c r="E13" s="152"/>
      <c r="F13" s="152"/>
      <c r="G13" s="152"/>
      <c r="H13" s="152"/>
      <c r="I13" s="152"/>
      <c r="J13" s="152"/>
      <c r="K13" s="152"/>
      <c r="M13" s="152"/>
      <c r="N13" s="152"/>
      <c r="O13" s="152"/>
      <c r="P13" s="152"/>
      <c r="Q13" s="152"/>
      <c r="R13" s="152"/>
      <c r="S13" s="152"/>
      <c r="T13" s="152"/>
      <c r="U13" s="152"/>
      <c r="V13" s="152"/>
      <c r="W13" s="152"/>
      <c r="Y13" s="178"/>
      <c r="Z13" s="178"/>
      <c r="AA13" s="178"/>
      <c r="AB13" s="178"/>
      <c r="AC13" s="178"/>
      <c r="AD13" s="178"/>
      <c r="AE13" s="178"/>
    </row>
    <row r="14" spans="1:31" ht="32.15" customHeight="1" x14ac:dyDescent="0.3">
      <c r="A14" s="152"/>
      <c r="B14" s="152"/>
      <c r="C14" s="152"/>
      <c r="D14" s="152"/>
      <c r="E14" s="152"/>
      <c r="F14" s="152"/>
      <c r="G14" s="152"/>
      <c r="H14" s="152"/>
      <c r="I14" s="152"/>
      <c r="J14" s="152"/>
      <c r="K14" s="152"/>
      <c r="M14" s="152"/>
      <c r="N14" s="152"/>
      <c r="O14" s="152"/>
      <c r="P14" s="152"/>
      <c r="Q14" s="152"/>
      <c r="R14" s="152"/>
      <c r="S14" s="152"/>
      <c r="T14" s="152"/>
      <c r="U14" s="152"/>
      <c r="V14" s="152"/>
      <c r="W14" s="152"/>
      <c r="Y14" s="178"/>
      <c r="Z14" s="178"/>
      <c r="AA14" s="178"/>
      <c r="AB14" s="178"/>
      <c r="AC14" s="178"/>
      <c r="AD14" s="178"/>
      <c r="AE14" s="178"/>
    </row>
    <row r="15" spans="1:31" ht="32.15" customHeight="1" x14ac:dyDescent="0.3">
      <c r="A15" s="152"/>
      <c r="B15" s="152"/>
      <c r="C15" s="152"/>
      <c r="D15" s="152"/>
      <c r="E15" s="152"/>
      <c r="F15" s="152"/>
      <c r="G15" s="152"/>
      <c r="H15" s="152"/>
      <c r="I15" s="152"/>
      <c r="J15" s="152"/>
      <c r="K15" s="152"/>
      <c r="M15" s="152"/>
      <c r="N15" s="152"/>
      <c r="O15" s="152"/>
      <c r="P15" s="152"/>
      <c r="Q15" s="152"/>
      <c r="R15" s="152"/>
      <c r="S15" s="152"/>
      <c r="T15" s="152"/>
      <c r="U15" s="152"/>
      <c r="V15" s="152"/>
      <c r="W15" s="152"/>
      <c r="Y15" s="178"/>
      <c r="Z15" s="178"/>
      <c r="AA15" s="178"/>
      <c r="AB15" s="178"/>
      <c r="AC15" s="178"/>
      <c r="AD15" s="178"/>
      <c r="AE15" s="178"/>
    </row>
    <row r="16" spans="1:31" ht="32.15" customHeight="1" x14ac:dyDescent="0.3">
      <c r="A16" s="152"/>
      <c r="B16" s="152"/>
      <c r="C16" s="152"/>
      <c r="D16" s="152"/>
      <c r="E16" s="152"/>
      <c r="F16" s="152"/>
      <c r="G16" s="152"/>
      <c r="H16" s="152"/>
      <c r="I16" s="152"/>
      <c r="J16" s="152"/>
      <c r="K16" s="152"/>
      <c r="M16" s="152"/>
      <c r="N16" s="152"/>
      <c r="O16" s="152"/>
      <c r="P16" s="152"/>
      <c r="Q16" s="152"/>
      <c r="R16" s="152"/>
      <c r="S16" s="152"/>
      <c r="T16" s="152"/>
      <c r="U16" s="152"/>
      <c r="V16" s="152"/>
      <c r="W16" s="152"/>
      <c r="Y16" s="178"/>
      <c r="Z16" s="178"/>
      <c r="AA16" s="178"/>
      <c r="AB16" s="178"/>
      <c r="AC16" s="178"/>
      <c r="AD16" s="178"/>
      <c r="AE16" s="178"/>
    </row>
    <row r="17" spans="1:31" ht="32.15" customHeight="1" x14ac:dyDescent="0.3">
      <c r="A17" s="152"/>
      <c r="B17" s="152"/>
      <c r="C17" s="152"/>
      <c r="D17" s="152"/>
      <c r="E17" s="152"/>
      <c r="F17" s="152"/>
      <c r="G17" s="152"/>
      <c r="H17" s="152"/>
      <c r="I17" s="152"/>
      <c r="J17" s="152"/>
      <c r="K17" s="152"/>
      <c r="M17" s="152"/>
      <c r="N17" s="152"/>
      <c r="O17" s="152"/>
      <c r="P17" s="152"/>
      <c r="Q17" s="152"/>
      <c r="R17" s="152"/>
      <c r="S17" s="152"/>
      <c r="T17" s="152"/>
      <c r="U17" s="152"/>
      <c r="V17" s="152"/>
      <c r="W17" s="152"/>
      <c r="Y17" s="178"/>
      <c r="Z17" s="178"/>
      <c r="AA17" s="178"/>
      <c r="AB17" s="178"/>
      <c r="AC17" s="178"/>
      <c r="AD17" s="178"/>
      <c r="AE17" s="178"/>
    </row>
    <row r="18" spans="1:31" ht="32.15" customHeight="1" x14ac:dyDescent="0.3">
      <c r="A18" s="152"/>
      <c r="B18" s="152"/>
      <c r="C18" s="152"/>
      <c r="D18" s="152"/>
      <c r="E18" s="152"/>
      <c r="F18" s="152"/>
      <c r="G18" s="152"/>
      <c r="H18" s="152"/>
      <c r="I18" s="152"/>
      <c r="J18" s="152"/>
      <c r="K18" s="152"/>
      <c r="M18" s="152"/>
      <c r="N18" s="152"/>
      <c r="O18" s="152"/>
      <c r="P18" s="152"/>
      <c r="Q18" s="152"/>
      <c r="R18" s="152"/>
      <c r="S18" s="152"/>
      <c r="T18" s="152"/>
      <c r="U18" s="152"/>
      <c r="V18" s="152"/>
      <c r="W18" s="152"/>
      <c r="Y18" s="178"/>
      <c r="Z18" s="178"/>
      <c r="AA18" s="178"/>
      <c r="AB18" s="178"/>
      <c r="AC18" s="178"/>
      <c r="AD18" s="178"/>
      <c r="AE18" s="178"/>
    </row>
    <row r="19" spans="1:31" ht="32.15" customHeight="1" x14ac:dyDescent="0.3">
      <c r="A19" s="152"/>
      <c r="B19" s="152"/>
      <c r="C19" s="152"/>
      <c r="D19" s="152"/>
      <c r="E19" s="152"/>
      <c r="F19" s="152"/>
      <c r="G19" s="152"/>
      <c r="H19" s="152"/>
      <c r="I19" s="152"/>
      <c r="J19" s="152"/>
      <c r="K19" s="152"/>
      <c r="M19" s="152"/>
      <c r="N19" s="152"/>
      <c r="O19" s="152"/>
      <c r="P19" s="152"/>
      <c r="Q19" s="152"/>
      <c r="R19" s="152"/>
      <c r="S19" s="152"/>
      <c r="T19" s="152"/>
      <c r="U19" s="152"/>
      <c r="V19" s="152"/>
      <c r="W19" s="152"/>
      <c r="Y19" s="178"/>
      <c r="Z19" s="178"/>
      <c r="AA19" s="178"/>
      <c r="AB19" s="178"/>
      <c r="AC19" s="178"/>
      <c r="AD19" s="178"/>
      <c r="AE19" s="178"/>
    </row>
    <row r="20" spans="1:31" ht="32.15" customHeight="1" x14ac:dyDescent="0.3">
      <c r="A20" s="152"/>
      <c r="B20" s="152"/>
      <c r="C20" s="152"/>
      <c r="D20" s="152"/>
      <c r="E20" s="152"/>
      <c r="F20" s="152"/>
      <c r="G20" s="152"/>
      <c r="H20" s="152"/>
      <c r="I20" s="152"/>
      <c r="J20" s="152"/>
      <c r="K20" s="152"/>
      <c r="M20" s="152"/>
      <c r="N20" s="152"/>
      <c r="O20" s="152"/>
      <c r="P20" s="152"/>
      <c r="Q20" s="152"/>
      <c r="R20" s="152"/>
      <c r="S20" s="152"/>
      <c r="T20" s="152"/>
      <c r="U20" s="152"/>
      <c r="V20" s="152"/>
      <c r="W20" s="152"/>
      <c r="Y20" s="178"/>
      <c r="Z20" s="178"/>
      <c r="AA20" s="178"/>
      <c r="AB20" s="178"/>
      <c r="AC20" s="178"/>
      <c r="AD20" s="178"/>
      <c r="AE20" s="178"/>
    </row>
    <row r="21" spans="1:31" ht="32.15" customHeight="1" x14ac:dyDescent="0.3">
      <c r="A21" s="152"/>
      <c r="B21" s="152"/>
      <c r="C21" s="152"/>
      <c r="D21" s="152"/>
      <c r="E21" s="152"/>
      <c r="F21" s="152"/>
      <c r="G21" s="152"/>
      <c r="H21" s="152"/>
      <c r="I21" s="152"/>
      <c r="J21" s="152"/>
      <c r="K21" s="152"/>
      <c r="M21" s="152"/>
      <c r="N21" s="152"/>
      <c r="O21" s="152"/>
      <c r="P21" s="152"/>
      <c r="Q21" s="152"/>
      <c r="R21" s="152"/>
      <c r="S21" s="152"/>
      <c r="T21" s="152"/>
      <c r="U21" s="152"/>
      <c r="V21" s="152"/>
      <c r="W21" s="152"/>
      <c r="Y21" s="178"/>
      <c r="Z21" s="178"/>
      <c r="AA21" s="178"/>
      <c r="AB21" s="178"/>
      <c r="AC21" s="178"/>
      <c r="AD21" s="178"/>
      <c r="AE21" s="178"/>
    </row>
    <row r="22" spans="1:31" ht="32.15" customHeight="1" x14ac:dyDescent="0.3">
      <c r="A22" s="152"/>
      <c r="B22" s="152"/>
      <c r="C22" s="152"/>
      <c r="D22" s="152"/>
      <c r="E22" s="152"/>
      <c r="F22" s="152"/>
      <c r="G22" s="152"/>
      <c r="H22" s="152"/>
      <c r="I22" s="152"/>
      <c r="J22" s="152"/>
      <c r="K22" s="152"/>
      <c r="M22" s="152"/>
      <c r="N22" s="152"/>
      <c r="O22" s="152"/>
      <c r="P22" s="152"/>
      <c r="Q22" s="152"/>
      <c r="R22" s="152"/>
      <c r="S22" s="152"/>
      <c r="T22" s="152"/>
      <c r="U22" s="152"/>
      <c r="V22" s="152"/>
      <c r="W22" s="152"/>
      <c r="Y22" s="178"/>
      <c r="Z22" s="178"/>
      <c r="AA22" s="178"/>
      <c r="AB22" s="178"/>
      <c r="AC22" s="178"/>
      <c r="AD22" s="178"/>
      <c r="AE22" s="178"/>
    </row>
    <row r="23" spans="1:31" ht="32.15" customHeight="1" x14ac:dyDescent="0.3">
      <c r="A23" s="152"/>
      <c r="B23" s="152"/>
      <c r="C23" s="152"/>
      <c r="D23" s="152"/>
      <c r="E23" s="152"/>
      <c r="F23" s="152"/>
      <c r="G23" s="152"/>
      <c r="H23" s="152"/>
      <c r="I23" s="152"/>
      <c r="J23" s="152"/>
      <c r="K23" s="152"/>
      <c r="M23" s="152"/>
      <c r="N23" s="152"/>
      <c r="O23" s="152"/>
      <c r="P23" s="152"/>
      <c r="Q23" s="152"/>
      <c r="R23" s="152"/>
      <c r="S23" s="152"/>
      <c r="T23" s="152"/>
      <c r="U23" s="152"/>
      <c r="V23" s="152"/>
      <c r="W23" s="152"/>
      <c r="Y23" s="178"/>
      <c r="Z23" s="178"/>
      <c r="AA23" s="178"/>
      <c r="AB23" s="178"/>
      <c r="AC23" s="178"/>
      <c r="AD23" s="178"/>
      <c r="AE23" s="178"/>
    </row>
    <row r="24" spans="1:31" ht="32.15" customHeight="1" x14ac:dyDescent="0.3">
      <c r="A24" s="152"/>
      <c r="B24" s="152"/>
      <c r="C24" s="152"/>
      <c r="D24" s="152"/>
      <c r="E24" s="152"/>
      <c r="F24" s="152"/>
      <c r="G24" s="152"/>
      <c r="H24" s="152"/>
      <c r="I24" s="152"/>
      <c r="J24" s="152"/>
      <c r="K24" s="152"/>
      <c r="M24" s="152"/>
      <c r="N24" s="152"/>
      <c r="O24" s="152"/>
      <c r="P24" s="152"/>
      <c r="Q24" s="152"/>
      <c r="R24" s="152"/>
      <c r="S24" s="152"/>
      <c r="T24" s="152"/>
      <c r="U24" s="152"/>
      <c r="V24" s="152"/>
      <c r="W24" s="152"/>
      <c r="Y24" s="178"/>
      <c r="Z24" s="178"/>
      <c r="AA24" s="178"/>
      <c r="AB24" s="178"/>
      <c r="AC24" s="178"/>
      <c r="AD24" s="178"/>
      <c r="AE24" s="178"/>
    </row>
    <row r="25" spans="1:31" ht="32.15" customHeight="1" x14ac:dyDescent="0.3">
      <c r="A25" s="152"/>
      <c r="B25" s="152"/>
      <c r="C25" s="152"/>
      <c r="D25" s="152"/>
      <c r="E25" s="152"/>
      <c r="F25" s="152"/>
      <c r="G25" s="152"/>
      <c r="H25" s="152"/>
      <c r="I25" s="152"/>
      <c r="J25" s="152"/>
      <c r="K25" s="152"/>
      <c r="M25" s="152"/>
      <c r="N25" s="152"/>
      <c r="O25" s="152"/>
      <c r="P25" s="152"/>
      <c r="Q25" s="152"/>
      <c r="R25" s="152"/>
      <c r="S25" s="152"/>
      <c r="T25" s="152"/>
      <c r="U25" s="152"/>
      <c r="V25" s="152"/>
      <c r="W25" s="152"/>
      <c r="Y25" s="178"/>
      <c r="Z25" s="178"/>
      <c r="AA25" s="178"/>
      <c r="AB25" s="178"/>
      <c r="AC25" s="178"/>
      <c r="AD25" s="178"/>
      <c r="AE25" s="178"/>
    </row>
    <row r="26" spans="1:31" ht="32.15" customHeight="1" x14ac:dyDescent="0.3">
      <c r="A26" s="152"/>
      <c r="B26" s="152"/>
      <c r="C26" s="152"/>
      <c r="D26" s="152"/>
      <c r="E26" s="152"/>
      <c r="F26" s="152"/>
      <c r="G26" s="152"/>
      <c r="H26" s="152"/>
      <c r="I26" s="152"/>
      <c r="J26" s="152"/>
      <c r="K26" s="152"/>
      <c r="M26" s="152"/>
      <c r="N26" s="152"/>
      <c r="O26" s="152"/>
      <c r="P26" s="152"/>
      <c r="Q26" s="152"/>
      <c r="R26" s="152"/>
      <c r="S26" s="152"/>
      <c r="T26" s="152"/>
      <c r="U26" s="152"/>
      <c r="V26" s="152"/>
      <c r="W26" s="152"/>
      <c r="Y26" s="178"/>
      <c r="Z26" s="178"/>
      <c r="AA26" s="178"/>
      <c r="AB26" s="178"/>
      <c r="AC26" s="178"/>
      <c r="AD26" s="178"/>
      <c r="AE26" s="178"/>
    </row>
    <row r="27" spans="1:31" ht="32.15" customHeight="1" x14ac:dyDescent="0.3">
      <c r="A27" s="152"/>
      <c r="B27" s="152"/>
      <c r="C27" s="152"/>
      <c r="D27" s="152"/>
      <c r="E27" s="152"/>
      <c r="F27" s="152"/>
      <c r="G27" s="152"/>
      <c r="H27" s="152"/>
      <c r="I27" s="152"/>
      <c r="J27" s="152"/>
      <c r="K27" s="152"/>
      <c r="M27" s="152"/>
      <c r="N27" s="152"/>
      <c r="O27" s="152"/>
      <c r="P27" s="152"/>
      <c r="Q27" s="152"/>
      <c r="R27" s="152"/>
      <c r="S27" s="152"/>
      <c r="T27" s="152"/>
      <c r="U27" s="152"/>
      <c r="V27" s="152"/>
      <c r="W27" s="152"/>
      <c r="Y27" s="178"/>
      <c r="Z27" s="178"/>
      <c r="AA27" s="178"/>
      <c r="AB27" s="178"/>
      <c r="AC27" s="178"/>
      <c r="AD27" s="178"/>
      <c r="AE27" s="178"/>
    </row>
    <row r="28" spans="1:31" x14ac:dyDescent="0.3">
      <c r="A28" s="129" t="s">
        <v>264</v>
      </c>
      <c r="B28" s="129"/>
      <c r="C28" s="129"/>
      <c r="D28" s="129"/>
      <c r="E28" s="129"/>
      <c r="F28" s="129"/>
      <c r="G28" s="129"/>
      <c r="H28" s="129"/>
      <c r="I28" s="129"/>
      <c r="J28" s="129"/>
      <c r="K28" s="219" t="str">
        <f>IF(COUNTIF(K30:K46,"="&amp;IncompleteText),IncompleteText,IF(COUNTIF(K30:K46,"="&amp;ErrorText),ErrorText,OKText))</f>
        <v>OK</v>
      </c>
      <c r="M28" s="129" t="s">
        <v>268</v>
      </c>
      <c r="N28" s="129"/>
      <c r="O28" s="129"/>
      <c r="P28" s="129"/>
      <c r="Q28" s="129"/>
      <c r="R28" s="129"/>
      <c r="S28" s="129"/>
      <c r="T28" s="129"/>
      <c r="U28" s="129"/>
      <c r="V28" s="129"/>
      <c r="W28" s="219" t="str">
        <f>IF(COUNTIF(W30:W43,"="&amp;IncompleteText),IncompleteText,IF(COUNTIF(W30:W43,"="&amp;ErrorText),ErrorText,OKText))</f>
        <v>OK</v>
      </c>
    </row>
    <row r="29" spans="1:31" x14ac:dyDescent="0.3">
      <c r="A29" s="215" t="s">
        <v>269</v>
      </c>
      <c r="B29" s="216"/>
      <c r="C29" s="47"/>
      <c r="D29" s="47"/>
      <c r="E29" s="47"/>
      <c r="F29" s="47"/>
      <c r="G29" s="47"/>
      <c r="H29" s="47"/>
      <c r="I29" s="47"/>
      <c r="J29" s="47"/>
      <c r="K29" s="196"/>
      <c r="M29" s="215" t="s">
        <v>269</v>
      </c>
      <c r="N29" s="216"/>
      <c r="O29" s="47"/>
      <c r="P29" s="47"/>
      <c r="Q29" s="47"/>
      <c r="R29" s="47"/>
      <c r="S29" s="47"/>
      <c r="T29" s="47"/>
      <c r="U29" s="47"/>
      <c r="V29" s="47"/>
      <c r="W29" s="196"/>
    </row>
    <row r="30" spans="1:31" x14ac:dyDescent="0.3">
      <c r="A30" s="217"/>
      <c r="B30" s="217"/>
      <c r="C30" s="91" t="s">
        <v>270</v>
      </c>
      <c r="D30" s="91"/>
      <c r="E30" s="91"/>
      <c r="F30" s="91"/>
      <c r="G30" s="91"/>
      <c r="H30" s="91"/>
      <c r="I30" s="92"/>
      <c r="J30" s="15" t="b">
        <v>1</v>
      </c>
      <c r="K30" s="9" t="str">
        <f t="shared" ref="K30:K42" si="0">IF(ISBLANK(J30),IncompleteText,IF(J30,OKText,ErrorText))</f>
        <v>OK</v>
      </c>
      <c r="M30" s="217"/>
      <c r="N30" s="217"/>
      <c r="O30" s="91" t="s">
        <v>271</v>
      </c>
      <c r="P30" s="91"/>
      <c r="Q30" s="91"/>
      <c r="R30" s="91"/>
      <c r="S30" s="91"/>
      <c r="T30" s="91"/>
      <c r="U30" s="92"/>
      <c r="V30" s="15" t="b">
        <v>1</v>
      </c>
      <c r="W30" s="9" t="str">
        <f t="shared" ref="W30:W40" si="1">IF(ISBLANK(V30),IncompleteText,IF(V30,OKText,ErrorText))</f>
        <v>OK</v>
      </c>
    </row>
    <row r="31" spans="1:31" x14ac:dyDescent="0.3">
      <c r="A31" s="218"/>
      <c r="B31" s="218"/>
      <c r="C31" s="91" t="s">
        <v>272</v>
      </c>
      <c r="D31" s="91"/>
      <c r="E31" s="91"/>
      <c r="F31" s="91"/>
      <c r="G31" s="91"/>
      <c r="H31" s="91"/>
      <c r="I31" s="92"/>
      <c r="J31" s="15" t="b">
        <v>1</v>
      </c>
      <c r="K31" s="9" t="str">
        <f t="shared" si="0"/>
        <v>OK</v>
      </c>
      <c r="M31" s="218"/>
      <c r="N31" s="218"/>
      <c r="O31" s="91" t="s">
        <v>273</v>
      </c>
      <c r="P31" s="91"/>
      <c r="Q31" s="91"/>
      <c r="R31" s="91"/>
      <c r="S31" s="91"/>
      <c r="T31" s="91"/>
      <c r="U31" s="92"/>
      <c r="V31" s="15" t="b">
        <v>1</v>
      </c>
      <c r="W31" s="9" t="str">
        <f t="shared" si="1"/>
        <v>OK</v>
      </c>
    </row>
    <row r="32" spans="1:31" x14ac:dyDescent="0.3">
      <c r="A32" s="218" t="s">
        <v>274</v>
      </c>
      <c r="B32" s="218"/>
      <c r="C32" s="91" t="s">
        <v>275</v>
      </c>
      <c r="D32" s="91"/>
      <c r="E32" s="91"/>
      <c r="F32" s="91"/>
      <c r="G32" s="91"/>
      <c r="H32" s="91"/>
      <c r="I32" s="92"/>
      <c r="J32" s="15" t="b">
        <v>1</v>
      </c>
      <c r="K32" s="9" t="str">
        <f t="shared" si="0"/>
        <v>OK</v>
      </c>
      <c r="M32" s="218"/>
      <c r="N32" s="218"/>
      <c r="O32" s="91" t="s">
        <v>276</v>
      </c>
      <c r="P32" s="91"/>
      <c r="Q32" s="91"/>
      <c r="R32" s="91"/>
      <c r="S32" s="91"/>
      <c r="T32" s="91"/>
      <c r="U32" s="92"/>
      <c r="V32" s="15" t="b">
        <v>1</v>
      </c>
      <c r="W32" s="9" t="str">
        <f t="shared" si="1"/>
        <v>OK</v>
      </c>
    </row>
    <row r="33" spans="1:23" x14ac:dyDescent="0.3">
      <c r="A33" s="218"/>
      <c r="B33" s="218"/>
      <c r="C33" s="91" t="s">
        <v>277</v>
      </c>
      <c r="D33" s="91"/>
      <c r="E33" s="91"/>
      <c r="F33" s="91"/>
      <c r="G33" s="91"/>
      <c r="H33" s="91"/>
      <c r="I33" s="92"/>
      <c r="J33" s="15" t="b">
        <v>1</v>
      </c>
      <c r="K33" s="9" t="str">
        <f t="shared" si="0"/>
        <v>OK</v>
      </c>
      <c r="M33" s="218"/>
      <c r="N33" s="218"/>
      <c r="O33" s="91" t="s">
        <v>278</v>
      </c>
      <c r="P33" s="91"/>
      <c r="Q33" s="91"/>
      <c r="R33" s="91"/>
      <c r="S33" s="91"/>
      <c r="T33" s="91"/>
      <c r="U33" s="92"/>
      <c r="V33" s="15" t="b">
        <v>1</v>
      </c>
      <c r="W33" s="9" t="str">
        <f t="shared" si="1"/>
        <v>OK</v>
      </c>
    </row>
    <row r="34" spans="1:23" x14ac:dyDescent="0.3">
      <c r="A34" s="218"/>
      <c r="B34" s="218"/>
      <c r="C34" s="91" t="s">
        <v>279</v>
      </c>
      <c r="D34" s="91"/>
      <c r="E34" s="91"/>
      <c r="F34" s="91"/>
      <c r="G34" s="91"/>
      <c r="H34" s="91"/>
      <c r="I34" s="92"/>
      <c r="J34" s="15" t="b">
        <v>1</v>
      </c>
      <c r="K34" s="9" t="str">
        <f t="shared" si="0"/>
        <v>OK</v>
      </c>
      <c r="M34" s="218"/>
      <c r="N34" s="218"/>
      <c r="O34" s="91" t="s">
        <v>280</v>
      </c>
      <c r="P34" s="91"/>
      <c r="Q34" s="91"/>
      <c r="R34" s="91"/>
      <c r="S34" s="91"/>
      <c r="T34" s="91"/>
      <c r="U34" s="92"/>
      <c r="V34" s="15" t="b">
        <v>1</v>
      </c>
      <c r="W34" s="9" t="str">
        <f t="shared" si="1"/>
        <v>OK</v>
      </c>
    </row>
    <row r="35" spans="1:23" x14ac:dyDescent="0.3">
      <c r="A35" s="218" t="s">
        <v>281</v>
      </c>
      <c r="B35" s="218"/>
      <c r="C35" s="91" t="s">
        <v>282</v>
      </c>
      <c r="D35" s="91"/>
      <c r="E35" s="91"/>
      <c r="F35" s="91"/>
      <c r="G35" s="91"/>
      <c r="H35" s="91"/>
      <c r="I35" s="92"/>
      <c r="J35" s="15" t="b">
        <v>1</v>
      </c>
      <c r="K35" s="9" t="str">
        <f t="shared" si="0"/>
        <v>OK</v>
      </c>
      <c r="M35" s="218"/>
      <c r="N35" s="218"/>
      <c r="O35" s="91" t="s">
        <v>283</v>
      </c>
      <c r="P35" s="91"/>
      <c r="Q35" s="91"/>
      <c r="R35" s="91"/>
      <c r="S35" s="91"/>
      <c r="T35" s="91"/>
      <c r="U35" s="92"/>
      <c r="V35" s="15" t="b">
        <v>1</v>
      </c>
      <c r="W35" s="9" t="str">
        <f t="shared" si="1"/>
        <v>OK</v>
      </c>
    </row>
    <row r="36" spans="1:23" x14ac:dyDescent="0.3">
      <c r="A36" s="218"/>
      <c r="B36" s="218"/>
      <c r="C36" s="91" t="s">
        <v>283</v>
      </c>
      <c r="D36" s="91"/>
      <c r="E36" s="91"/>
      <c r="F36" s="91"/>
      <c r="G36" s="91"/>
      <c r="H36" s="91"/>
      <c r="I36" s="92"/>
      <c r="J36" s="15" t="b">
        <v>1</v>
      </c>
      <c r="K36" s="9" t="str">
        <f t="shared" si="0"/>
        <v>OK</v>
      </c>
      <c r="M36" s="218"/>
      <c r="N36" s="218"/>
      <c r="O36" s="91" t="s">
        <v>284</v>
      </c>
      <c r="P36" s="91"/>
      <c r="Q36" s="91"/>
      <c r="R36" s="91"/>
      <c r="S36" s="91"/>
      <c r="T36" s="91"/>
      <c r="U36" s="92"/>
      <c r="V36" s="15" t="b">
        <v>1</v>
      </c>
      <c r="W36" s="9" t="str">
        <f t="shared" si="1"/>
        <v>OK</v>
      </c>
    </row>
    <row r="37" spans="1:23" x14ac:dyDescent="0.3">
      <c r="A37" s="218"/>
      <c r="B37" s="218"/>
      <c r="C37" s="91" t="s">
        <v>284</v>
      </c>
      <c r="D37" s="91"/>
      <c r="E37" s="91"/>
      <c r="F37" s="91"/>
      <c r="G37" s="91"/>
      <c r="H37" s="91"/>
      <c r="I37" s="92"/>
      <c r="J37" s="15" t="b">
        <v>1</v>
      </c>
      <c r="K37" s="9" t="str">
        <f t="shared" si="0"/>
        <v>OK</v>
      </c>
      <c r="M37" s="218"/>
      <c r="N37" s="218"/>
      <c r="O37" s="91" t="s">
        <v>285</v>
      </c>
      <c r="P37" s="91"/>
      <c r="Q37" s="91"/>
      <c r="R37" s="91"/>
      <c r="S37" s="91"/>
      <c r="T37" s="91"/>
      <c r="U37" s="92"/>
      <c r="V37" s="15" t="b">
        <v>1</v>
      </c>
      <c r="W37" s="9" t="str">
        <f t="shared" si="1"/>
        <v>OK</v>
      </c>
    </row>
    <row r="38" spans="1:23" x14ac:dyDescent="0.3">
      <c r="A38" s="218"/>
      <c r="B38" s="218"/>
      <c r="C38" s="91" t="s">
        <v>285</v>
      </c>
      <c r="D38" s="91"/>
      <c r="E38" s="91"/>
      <c r="F38" s="91"/>
      <c r="G38" s="91"/>
      <c r="H38" s="91"/>
      <c r="I38" s="92"/>
      <c r="J38" s="15" t="b">
        <v>1</v>
      </c>
      <c r="K38" s="9" t="str">
        <f t="shared" si="0"/>
        <v>OK</v>
      </c>
      <c r="M38" s="218" t="s">
        <v>286</v>
      </c>
      <c r="N38" s="218"/>
      <c r="O38" s="91" t="s">
        <v>287</v>
      </c>
      <c r="P38" s="91"/>
      <c r="Q38" s="91"/>
      <c r="R38" s="91"/>
      <c r="S38" s="91"/>
      <c r="T38" s="91"/>
      <c r="U38" s="92"/>
      <c r="V38" s="15" t="b">
        <v>1</v>
      </c>
      <c r="W38" s="9" t="str">
        <f t="shared" si="1"/>
        <v>OK</v>
      </c>
    </row>
    <row r="39" spans="1:23" x14ac:dyDescent="0.3">
      <c r="A39" s="218" t="s">
        <v>288</v>
      </c>
      <c r="B39" s="218"/>
      <c r="C39" s="91" t="s">
        <v>289</v>
      </c>
      <c r="D39" s="91"/>
      <c r="E39" s="91"/>
      <c r="F39" s="91"/>
      <c r="G39" s="91"/>
      <c r="H39" s="91"/>
      <c r="I39" s="92"/>
      <c r="J39" s="15" t="b">
        <v>1</v>
      </c>
      <c r="K39" s="9" t="str">
        <f t="shared" si="0"/>
        <v>OK</v>
      </c>
      <c r="M39" s="218" t="s">
        <v>290</v>
      </c>
      <c r="N39" s="218"/>
      <c r="O39" s="91" t="s">
        <v>291</v>
      </c>
      <c r="P39" s="91"/>
      <c r="Q39" s="91"/>
      <c r="R39" s="91"/>
      <c r="S39" s="91"/>
      <c r="T39" s="91"/>
      <c r="U39" s="92"/>
      <c r="V39" s="15" t="b">
        <v>1</v>
      </c>
      <c r="W39" s="9" t="str">
        <f t="shared" si="1"/>
        <v>OK</v>
      </c>
    </row>
    <row r="40" spans="1:23" x14ac:dyDescent="0.3">
      <c r="A40" s="218"/>
      <c r="B40" s="218"/>
      <c r="C40" s="91" t="s">
        <v>292</v>
      </c>
      <c r="D40" s="91"/>
      <c r="E40" s="91"/>
      <c r="F40" s="91"/>
      <c r="G40" s="91"/>
      <c r="H40" s="91"/>
      <c r="I40" s="92"/>
      <c r="J40" s="15" t="b">
        <v>1</v>
      </c>
      <c r="K40" s="9" t="str">
        <f t="shared" si="0"/>
        <v>OK</v>
      </c>
      <c r="M40" s="218"/>
      <c r="N40" s="218"/>
      <c r="O40" s="91" t="s">
        <v>293</v>
      </c>
      <c r="P40" s="91"/>
      <c r="Q40" s="91"/>
      <c r="R40" s="91"/>
      <c r="S40" s="91"/>
      <c r="T40" s="91"/>
      <c r="U40" s="92"/>
      <c r="V40" s="15" t="b">
        <v>1</v>
      </c>
      <c r="W40" s="9" t="str">
        <f t="shared" si="1"/>
        <v>OK</v>
      </c>
    </row>
    <row r="41" spans="1:23" x14ac:dyDescent="0.3">
      <c r="A41" s="218"/>
      <c r="B41" s="218"/>
      <c r="C41" s="91" t="s">
        <v>294</v>
      </c>
      <c r="D41" s="91"/>
      <c r="E41" s="91"/>
      <c r="F41" s="91"/>
      <c r="G41" s="91"/>
      <c r="H41" s="91"/>
      <c r="I41" s="92"/>
      <c r="J41" s="15" t="b">
        <v>1</v>
      </c>
      <c r="K41" s="9" t="str">
        <f t="shared" si="0"/>
        <v>OK</v>
      </c>
      <c r="M41" s="218" t="s">
        <v>295</v>
      </c>
      <c r="N41" s="218"/>
      <c r="O41" s="91" t="s">
        <v>296</v>
      </c>
      <c r="P41" s="91"/>
      <c r="Q41" s="91"/>
      <c r="R41" s="91"/>
      <c r="S41" s="91"/>
      <c r="T41" s="91"/>
      <c r="U41" s="92"/>
      <c r="V41" s="15" t="b">
        <v>1</v>
      </c>
      <c r="W41" s="9" t="str">
        <f t="shared" ref="W41:W42" si="2">IF(ISBLANK(V41),IncompleteText,IF(V41,OKText,ErrorText))</f>
        <v>OK</v>
      </c>
    </row>
    <row r="42" spans="1:23" x14ac:dyDescent="0.3">
      <c r="A42" s="218" t="s">
        <v>297</v>
      </c>
      <c r="B42" s="218"/>
      <c r="C42" s="91" t="s">
        <v>298</v>
      </c>
      <c r="D42" s="91"/>
      <c r="E42" s="91"/>
      <c r="F42" s="91"/>
      <c r="G42" s="91"/>
      <c r="H42" s="91"/>
      <c r="I42" s="92"/>
      <c r="J42" s="15" t="b">
        <v>1</v>
      </c>
      <c r="K42" s="9" t="str">
        <f t="shared" si="0"/>
        <v>OK</v>
      </c>
      <c r="M42" s="218" t="s">
        <v>299</v>
      </c>
      <c r="N42" s="218"/>
      <c r="O42" s="91" t="s">
        <v>300</v>
      </c>
      <c r="P42" s="91"/>
      <c r="Q42" s="91"/>
      <c r="R42" s="91"/>
      <c r="S42" s="91"/>
      <c r="T42" s="91"/>
      <c r="U42" s="92"/>
      <c r="V42" s="15" t="b">
        <v>1</v>
      </c>
      <c r="W42" s="9" t="str">
        <f t="shared" si="2"/>
        <v>OK</v>
      </c>
    </row>
    <row r="43" spans="1:23" x14ac:dyDescent="0.3">
      <c r="A43" s="218" t="s">
        <v>301</v>
      </c>
      <c r="B43" s="218"/>
      <c r="C43" s="91" t="s">
        <v>302</v>
      </c>
      <c r="D43" s="91"/>
      <c r="E43" s="91"/>
      <c r="F43" s="91"/>
      <c r="G43" s="91"/>
      <c r="H43" s="91"/>
      <c r="I43" s="92"/>
      <c r="J43" s="15" t="b">
        <v>1</v>
      </c>
      <c r="K43" s="9" t="str">
        <f t="shared" ref="K43:K44" si="3">IF(ISBLANK(J43),IncompleteText,IF(J43,OKText,ErrorText))</f>
        <v>OK</v>
      </c>
      <c r="M43" s="218"/>
      <c r="N43" s="218"/>
      <c r="O43" s="91" t="s">
        <v>303</v>
      </c>
      <c r="P43" s="91"/>
      <c r="Q43" s="91"/>
      <c r="R43" s="91"/>
      <c r="S43" s="91"/>
      <c r="T43" s="91"/>
      <c r="U43" s="92"/>
      <c r="V43" s="15" t="b">
        <v>1</v>
      </c>
      <c r="W43" s="9" t="str">
        <f t="shared" ref="W43" si="4">IF(ISBLANK(V43),IncompleteText,IF(V43,OKText,ErrorText))</f>
        <v>OK</v>
      </c>
    </row>
    <row r="44" spans="1:23" x14ac:dyDescent="0.3">
      <c r="A44" s="218" t="s">
        <v>304</v>
      </c>
      <c r="B44" s="218"/>
      <c r="C44" s="91" t="s">
        <v>305</v>
      </c>
      <c r="D44" s="91"/>
      <c r="E44" s="91"/>
      <c r="F44" s="91"/>
      <c r="G44" s="91"/>
      <c r="H44" s="91"/>
      <c r="I44" s="92"/>
      <c r="J44" s="15" t="b">
        <v>1</v>
      </c>
      <c r="K44" s="9" t="str">
        <f t="shared" si="3"/>
        <v>OK</v>
      </c>
    </row>
    <row r="45" spans="1:23" x14ac:dyDescent="0.3">
      <c r="A45" s="218" t="s">
        <v>306</v>
      </c>
      <c r="B45" s="218"/>
      <c r="C45" s="91" t="s">
        <v>307</v>
      </c>
      <c r="D45" s="91"/>
      <c r="E45" s="91"/>
      <c r="F45" s="91"/>
      <c r="G45" s="91"/>
      <c r="H45" s="91"/>
      <c r="I45" s="92"/>
      <c r="J45" s="15" t="b">
        <v>1</v>
      </c>
      <c r="K45" s="9" t="str">
        <f t="shared" ref="K45" si="5">IF(ISBLANK(J45),IncompleteText,IF(J45,OKText,ErrorText))</f>
        <v>OK</v>
      </c>
    </row>
    <row r="46" spans="1:23" x14ac:dyDescent="0.3">
      <c r="A46" s="218" t="s">
        <v>308</v>
      </c>
      <c r="B46" s="218"/>
      <c r="C46" s="91" t="s">
        <v>207</v>
      </c>
      <c r="D46" s="91"/>
      <c r="E46" s="91"/>
      <c r="F46" s="91"/>
      <c r="G46" s="91"/>
      <c r="H46" s="91"/>
      <c r="I46" s="92"/>
      <c r="J46" s="15" t="b">
        <v>1</v>
      </c>
      <c r="K46" s="9" t="str">
        <f t="shared" ref="K46" si="6">IF(ISBLANK(J46),IncompleteText,IF(J46,OKText,ErrorText))</f>
        <v>OK</v>
      </c>
    </row>
    <row r="48" spans="1:23" x14ac:dyDescent="0.3">
      <c r="A48" s="129" t="s">
        <v>309</v>
      </c>
      <c r="B48" s="129"/>
      <c r="C48" s="129"/>
      <c r="D48" s="129"/>
      <c r="E48" s="129"/>
      <c r="F48" s="129"/>
      <c r="G48" s="129"/>
      <c r="H48" s="129"/>
      <c r="I48" s="129"/>
      <c r="J48" s="129"/>
      <c r="K48" s="196" t="str">
        <f>IF(COUNTIF(K50:K50,"="&amp;IncompleteText),IncompleteText,IF(COUNTIF(K50:K50,"="&amp;ErrorText),ErrorText,OKText))</f>
        <v>OK</v>
      </c>
    </row>
    <row r="49" spans="1:11" x14ac:dyDescent="0.3">
      <c r="A49" s="215" t="s">
        <v>269</v>
      </c>
      <c r="B49" s="216"/>
      <c r="C49" s="47"/>
      <c r="D49" s="47"/>
      <c r="E49" s="47"/>
      <c r="F49" s="47"/>
      <c r="G49" s="47"/>
      <c r="H49" s="47"/>
      <c r="I49" s="47"/>
      <c r="J49" s="47"/>
      <c r="K49" s="196"/>
    </row>
    <row r="50" spans="1:11" x14ac:dyDescent="0.3">
      <c r="A50" s="217" t="s">
        <v>310</v>
      </c>
      <c r="B50" s="217"/>
      <c r="C50" s="91" t="s">
        <v>311</v>
      </c>
      <c r="D50" s="91"/>
      <c r="E50" s="91"/>
      <c r="F50" s="91"/>
      <c r="G50" s="91"/>
      <c r="H50" s="91"/>
      <c r="I50" s="92"/>
      <c r="J50" s="15" t="b">
        <v>1</v>
      </c>
      <c r="K50" s="9" t="str">
        <f t="shared" ref="K50" si="7">IF(ISBLANK(J50),IncompleteText,IF(J50,OKText,ErrorText))</f>
        <v>OK</v>
      </c>
    </row>
  </sheetData>
  <sheetProtection algorithmName="SHA-512" hashValue="Kur3vda1UGWkC9PT6nDZHR5tgXAKuAynf/cjm1RDRtfv5Hayal+CJt/djWCoBtz0JUjj2w5sRNeOuWekh41hZQ==" saltValue="CLFNOntvjKG56lPw/mx17w==" spinCount="100000" sheet="1" scenarios="1"/>
  <mergeCells count="77">
    <mergeCell ref="A48:J48"/>
    <mergeCell ref="A49:B49"/>
    <mergeCell ref="A50:B50"/>
    <mergeCell ref="C50:I50"/>
    <mergeCell ref="K28:K29"/>
    <mergeCell ref="K48:K49"/>
    <mergeCell ref="A44:B44"/>
    <mergeCell ref="C44:I44"/>
    <mergeCell ref="A45:B45"/>
    <mergeCell ref="C45:I45"/>
    <mergeCell ref="A46:B46"/>
    <mergeCell ref="C46:I46"/>
    <mergeCell ref="A42:B42"/>
    <mergeCell ref="C42:I42"/>
    <mergeCell ref="M42:N42"/>
    <mergeCell ref="O42:U42"/>
    <mergeCell ref="A43:B43"/>
    <mergeCell ref="C43:I43"/>
    <mergeCell ref="M43:N43"/>
    <mergeCell ref="O43:U43"/>
    <mergeCell ref="A40:B40"/>
    <mergeCell ref="C40:I40"/>
    <mergeCell ref="M40:N40"/>
    <mergeCell ref="O40:U40"/>
    <mergeCell ref="A41:B41"/>
    <mergeCell ref="C41:I41"/>
    <mergeCell ref="M41:N41"/>
    <mergeCell ref="O41:U41"/>
    <mergeCell ref="A38:B38"/>
    <mergeCell ref="C38:I38"/>
    <mergeCell ref="M38:N38"/>
    <mergeCell ref="O38:U38"/>
    <mergeCell ref="A39:B39"/>
    <mergeCell ref="C39:I39"/>
    <mergeCell ref="M39:N39"/>
    <mergeCell ref="O39:U39"/>
    <mergeCell ref="A36:B36"/>
    <mergeCell ref="C36:I36"/>
    <mergeCell ref="M36:N36"/>
    <mergeCell ref="O36:U36"/>
    <mergeCell ref="A37:B37"/>
    <mergeCell ref="C37:I37"/>
    <mergeCell ref="M37:N37"/>
    <mergeCell ref="O37:U37"/>
    <mergeCell ref="A34:B34"/>
    <mergeCell ref="C34:I34"/>
    <mergeCell ref="M34:N34"/>
    <mergeCell ref="O34:U34"/>
    <mergeCell ref="A35:B35"/>
    <mergeCell ref="C35:I35"/>
    <mergeCell ref="M35:N35"/>
    <mergeCell ref="O35:U35"/>
    <mergeCell ref="A32:B32"/>
    <mergeCell ref="C32:I32"/>
    <mergeCell ref="M32:N32"/>
    <mergeCell ref="O32:U32"/>
    <mergeCell ref="A33:B33"/>
    <mergeCell ref="C33:I33"/>
    <mergeCell ref="M33:N33"/>
    <mergeCell ref="O33:U33"/>
    <mergeCell ref="A30:B30"/>
    <mergeCell ref="C30:I30"/>
    <mergeCell ref="M30:N30"/>
    <mergeCell ref="O30:U30"/>
    <mergeCell ref="A31:B31"/>
    <mergeCell ref="C31:I31"/>
    <mergeCell ref="M31:N31"/>
    <mergeCell ref="O31:U31"/>
    <mergeCell ref="Y2:AE2"/>
    <mergeCell ref="A28:J28"/>
    <mergeCell ref="M28:V28"/>
    <mergeCell ref="A29:B29"/>
    <mergeCell ref="M29:N29"/>
    <mergeCell ref="W28:W29"/>
    <mergeCell ref="A2:K27"/>
    <mergeCell ref="Y3:AE27"/>
    <mergeCell ref="M2:W27"/>
  </mergeCells>
  <phoneticPr fontId="17" type="noConversion"/>
  <dataValidations count="1">
    <dataValidation type="list" allowBlank="1" showInputMessage="1" showErrorMessage="1" sqref="J50 J30:J46 V30:V46" xr:uid="{00000000-0002-0000-0200-000000000000}">
      <formula1>"TRUE,FALSE"</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A98"/>
  <sheetViews>
    <sheetView topLeftCell="F1" zoomScale="85" zoomScaleNormal="85" workbookViewId="0">
      <selection activeCell="J92" sqref="J92"/>
    </sheetView>
  </sheetViews>
  <sheetFormatPr defaultColWidth="10.6640625" defaultRowHeight="14" x14ac:dyDescent="0.3"/>
  <cols>
    <col min="1" max="1" width="14.25" customWidth="1"/>
    <col min="4" max="4" width="12.33203125" customWidth="1"/>
    <col min="5" max="5" width="15.9140625" customWidth="1"/>
    <col min="7" max="7" width="15.25" customWidth="1"/>
    <col min="8" max="8" width="16.75" customWidth="1"/>
    <col min="10" max="10" width="10.6640625" customWidth="1"/>
    <col min="11" max="11" width="11.75" customWidth="1"/>
    <col min="14" max="14" width="19.75" customWidth="1"/>
    <col min="17" max="17" width="16.9140625" customWidth="1"/>
    <col min="20" max="20" width="12.75" customWidth="1"/>
    <col min="26" max="26" width="10.6640625" customWidth="1"/>
    <col min="34" max="34" width="14.4140625" customWidth="1"/>
  </cols>
  <sheetData>
    <row r="1" spans="1:53" x14ac:dyDescent="0.3">
      <c r="A1" s="2" t="s">
        <v>27</v>
      </c>
      <c r="B1" s="9" t="str">
        <f ca="1">IF(SUM(COUNTIF(INDIRECT({"$G$3","$G$4","$G$5","$J$8","$Q$8","$W$8","$AD$8","$AK$8","$Z$52","$Q$52","$H$52","$AI$52","$AR$52","$BA$52","$Q$83","$H$83"}),"="&amp;IncompleteText)),IncompleteText,IF(SUM(COUNTIF(INDIRECT({"$G$3","$G$4","$G$5","$J$8","$Q$8","$W$8","$AD$8","$AK$8","$Z$52","$Q$52","$H$52","$AI$52","$AR$52","$BA$52","$Q$83","$H$83"}),"="&amp;ErrorText)),ErrorText,OKText))</f>
        <v>OK</v>
      </c>
    </row>
    <row r="3" spans="1:53" x14ac:dyDescent="0.3">
      <c r="A3" s="91" t="s">
        <v>312</v>
      </c>
      <c r="B3" s="91"/>
      <c r="C3" s="91"/>
      <c r="D3" s="92"/>
      <c r="E3" s="15" t="s">
        <v>313</v>
      </c>
      <c r="F3" s="11"/>
      <c r="G3" s="9" t="str">
        <f>IF(ISBLANK(E3),IncompleteText,OKText)</f>
        <v>OK</v>
      </c>
    </row>
    <row r="4" spans="1:53" x14ac:dyDescent="0.3">
      <c r="A4" s="91" t="s">
        <v>21</v>
      </c>
      <c r="B4" s="91"/>
      <c r="C4" s="91"/>
      <c r="D4" s="92"/>
      <c r="E4" s="17" cm="1">
        <f t="array" ref="E4">IF(E3="串联 Serial",SUM(C12:C29)*BattCellMaxV,C12*BattCellMaxV*SUM(IF(FREQUENCY(E12:E29,E12:E29)&gt;0,1)))</f>
        <v>365.4</v>
      </c>
      <c r="F4" s="11" t="s">
        <v>22</v>
      </c>
      <c r="G4" s="9" t="str">
        <f>IF(MaxTSVoltage=0,IncompleteText,IF(E4&gt;600,ErrorText,OKText))</f>
        <v>OK</v>
      </c>
    </row>
    <row r="5" spans="1:53" x14ac:dyDescent="0.3">
      <c r="A5" s="91" t="s">
        <v>314</v>
      </c>
      <c r="B5" s="91"/>
      <c r="C5" s="91"/>
      <c r="D5" s="92"/>
      <c r="E5" s="17" cm="1">
        <f t="array" ref="E5">IF(E3="串联 Serial",SUM(C12:C29)*BattCellNomV,C12*BattCellNomV*SUM(IF(FREQUENCY(E12:E29,E12:E29)&gt;0,1)))</f>
        <v>319.2</v>
      </c>
      <c r="F5" s="11" t="s">
        <v>22</v>
      </c>
      <c r="G5" s="9" t="str">
        <f>IF(MaxTSVoltage=0,IncompleteText,IF(E5&gt;600,ErrorText,OKText))</f>
        <v>OK</v>
      </c>
    </row>
    <row r="6" spans="1:53" x14ac:dyDescent="0.3">
      <c r="A6" s="91" t="s">
        <v>315</v>
      </c>
      <c r="B6" s="91"/>
      <c r="C6" s="91"/>
      <c r="D6" s="92"/>
      <c r="E6" s="17">
        <f>SUMPRODUCT(B12:B29,C12:C29)</f>
        <v>84</v>
      </c>
      <c r="F6" s="11"/>
      <c r="G6" s="9"/>
    </row>
    <row r="8" spans="1:53" x14ac:dyDescent="0.3">
      <c r="A8" s="93" t="s">
        <v>316</v>
      </c>
      <c r="B8" s="93"/>
      <c r="C8" s="93"/>
      <c r="D8" s="93"/>
      <c r="E8" s="93"/>
      <c r="F8" s="93"/>
      <c r="G8" s="93"/>
      <c r="H8" s="93"/>
      <c r="I8" s="93"/>
      <c r="J8" s="9" t="str">
        <f>IF(COUNTIF(J9:J29,"="&amp;IncompleteText),IncompleteText,IF(COUNTIF(J9:J29,"="&amp;ErrorText),ErrorText,OKText))</f>
        <v>OK</v>
      </c>
      <c r="K8" s="93" t="s">
        <v>317</v>
      </c>
      <c r="L8" s="93"/>
      <c r="M8" s="93"/>
      <c r="N8" s="93"/>
      <c r="O8" s="93"/>
      <c r="P8" s="93"/>
      <c r="Q8" s="9" t="str">
        <f>IF(COUNTIF(Q9:Q30,"="&amp;IncompleteText),IncompleteText,IF(COUNTIF(Q9:Q30,"="&amp;ErrorText),ErrorText,OKText))</f>
        <v>OK</v>
      </c>
      <c r="R8" s="93" t="s">
        <v>318</v>
      </c>
      <c r="S8" s="93"/>
      <c r="T8" s="93"/>
      <c r="U8" s="93"/>
      <c r="V8" s="93"/>
      <c r="W8" s="9" t="str">
        <f>IF(COUNTIF(W9:W21,"="&amp;IncompleteText),IncompleteText,IF(COUNTIF(W9:W21,"="&amp;ErrorText),ErrorText,OKText))</f>
        <v>OK</v>
      </c>
      <c r="X8" s="93" t="s">
        <v>319</v>
      </c>
      <c r="Y8" s="93"/>
      <c r="Z8" s="93"/>
      <c r="AA8" s="93"/>
      <c r="AB8" s="93"/>
      <c r="AC8" s="93"/>
      <c r="AD8" s="9" t="str">
        <f>IF(COUNTIF(AD9:AD18,"="&amp;IncompleteText),IncompleteText,IF(COUNTIF(AD9:AD18,"="&amp;ErrorText),ErrorText,OKText))</f>
        <v>OK</v>
      </c>
      <c r="AE8" s="93" t="s">
        <v>320</v>
      </c>
      <c r="AF8" s="93"/>
      <c r="AG8" s="93"/>
      <c r="AH8" s="93"/>
      <c r="AI8" s="93"/>
      <c r="AJ8" s="93"/>
      <c r="AK8" s="9" t="str">
        <f>IF(AI9="否 No",OKText,IF(COUNTIF(AK9:AK13,"="&amp;IncompleteText),IncompleteText,IF(COUNTIF(AK9:AK13,"="&amp;ErrorText),ErrorText,OKText)))</f>
        <v>OK</v>
      </c>
      <c r="AM8" s="93" t="s">
        <v>320</v>
      </c>
      <c r="AN8" s="93"/>
      <c r="AO8" s="93"/>
      <c r="AP8" s="93"/>
      <c r="AQ8" s="93"/>
      <c r="AR8" s="93"/>
      <c r="AS8" s="93"/>
      <c r="AU8" s="94" t="s">
        <v>321</v>
      </c>
      <c r="AV8" s="94"/>
      <c r="AW8" s="94"/>
      <c r="AX8" s="94"/>
      <c r="AY8" s="94"/>
      <c r="AZ8" s="94"/>
      <c r="BA8" s="94"/>
    </row>
    <row r="9" spans="1:53" s="18" customFormat="1" ht="18" customHeight="1" x14ac:dyDescent="0.3">
      <c r="A9" s="95" t="s">
        <v>322</v>
      </c>
      <c r="B9" s="95"/>
      <c r="C9" s="96"/>
      <c r="D9" s="97" t="s">
        <v>323</v>
      </c>
      <c r="E9" s="98"/>
      <c r="F9" s="5"/>
      <c r="G9" s="5"/>
      <c r="H9" s="5"/>
      <c r="I9" s="5"/>
      <c r="J9" s="6" t="str">
        <f>IF(ISBLANK(D9),IncompleteText,OKText)</f>
        <v>OK</v>
      </c>
      <c r="K9" s="95" t="s">
        <v>324</v>
      </c>
      <c r="L9" s="95"/>
      <c r="M9" s="95"/>
      <c r="N9" s="96"/>
      <c r="O9" s="99" t="s">
        <v>325</v>
      </c>
      <c r="P9" s="99"/>
      <c r="Q9" s="6" t="str">
        <f>IF(ISBLANK(O9),IncompleteText,OKText)</f>
        <v>OK</v>
      </c>
      <c r="R9" s="95" t="s">
        <v>326</v>
      </c>
      <c r="S9" s="95"/>
      <c r="T9" s="96"/>
      <c r="U9" s="97" t="s">
        <v>216</v>
      </c>
      <c r="V9" s="98"/>
      <c r="W9" s="6" t="str">
        <f>IF(ISBLANK(U9),IncompleteText,OKText)</f>
        <v>OK</v>
      </c>
      <c r="X9" s="100" t="s">
        <v>327</v>
      </c>
      <c r="Y9" s="100"/>
      <c r="Z9" s="100"/>
      <c r="AA9" s="101"/>
      <c r="AB9" s="99" t="s">
        <v>240</v>
      </c>
      <c r="AC9" s="99"/>
      <c r="AD9" s="6" t="str">
        <f>IF(ISBLANK(AB9),IncompleteText,OKText)</f>
        <v>OK</v>
      </c>
      <c r="AE9" s="100" t="s">
        <v>328</v>
      </c>
      <c r="AF9" s="100"/>
      <c r="AG9" s="100"/>
      <c r="AH9" s="102"/>
      <c r="AI9" s="103" t="s">
        <v>329</v>
      </c>
      <c r="AJ9" s="103"/>
      <c r="AK9" s="6" t="str">
        <f>IF(ISBLANK(AI9),IncompleteText,OKText)</f>
        <v>OK</v>
      </c>
      <c r="AM9" s="154" t="s">
        <v>330</v>
      </c>
      <c r="AN9" s="154"/>
      <c r="AO9" s="154"/>
      <c r="AP9" s="154"/>
      <c r="AQ9" s="154"/>
      <c r="AR9" s="154"/>
      <c r="AS9" s="154"/>
      <c r="AU9" s="155" t="s">
        <v>331</v>
      </c>
      <c r="AV9" s="154"/>
      <c r="AW9" s="154"/>
      <c r="AX9" s="154"/>
      <c r="AY9" s="154"/>
      <c r="AZ9" s="154"/>
      <c r="BA9" s="154"/>
    </row>
    <row r="10" spans="1:53" x14ac:dyDescent="0.3">
      <c r="A10" s="138" t="s">
        <v>332</v>
      </c>
      <c r="B10" s="138" t="s">
        <v>333</v>
      </c>
      <c r="C10" s="130" t="s">
        <v>334</v>
      </c>
      <c r="D10" s="130" t="s">
        <v>335</v>
      </c>
      <c r="E10" s="139" t="s">
        <v>336</v>
      </c>
      <c r="F10" s="139" t="s">
        <v>337</v>
      </c>
      <c r="G10" s="139"/>
      <c r="H10" s="139" t="s">
        <v>338</v>
      </c>
      <c r="I10" s="139"/>
      <c r="J10" s="2"/>
      <c r="K10" s="95" t="s">
        <v>339</v>
      </c>
      <c r="L10" s="95"/>
      <c r="M10" s="95"/>
      <c r="N10" s="96"/>
      <c r="O10" s="104" t="s">
        <v>340</v>
      </c>
      <c r="P10" s="104"/>
      <c r="Q10" s="9" t="str">
        <f>IF(ISBLANK(O10),IncompleteText,OKText)</f>
        <v>OK</v>
      </c>
      <c r="R10" s="105" t="s">
        <v>341</v>
      </c>
      <c r="S10" s="105"/>
      <c r="T10" s="106"/>
      <c r="U10" s="17">
        <f>VLOOKUP(U9,ConnectorTable,3,FALSE)</f>
        <v>200</v>
      </c>
      <c r="V10" s="11" t="s">
        <v>24</v>
      </c>
      <c r="W10" s="9" t="str">
        <f>IF(ISERROR(U10),IncompleteText,IF(E3="串联 Serial",IF(U10&gt;=U20,OKText,ErrorText),IF(E3="并联 Parallel",IF(U10&gt;=U12,OKText,ErrorText),IncompleteText)))</f>
        <v>OK</v>
      </c>
      <c r="X10" s="105" t="s">
        <v>342</v>
      </c>
      <c r="Y10" s="105"/>
      <c r="Z10" s="105"/>
      <c r="AA10" s="106"/>
      <c r="AB10" s="17">
        <f>VLOOKUP(AB9,InsulationsTable,4,FALSE)</f>
        <v>513.41999999999996</v>
      </c>
      <c r="AC10" s="11" t="s">
        <v>22</v>
      </c>
      <c r="AD10" s="9" t="str">
        <f>IF(ISERROR(AB10),IncompleteText,IF(AB10&lt;MaxTSVoltage,ErrorText,OKText))</f>
        <v>OK</v>
      </c>
      <c r="AE10" s="107" t="s">
        <v>343</v>
      </c>
      <c r="AF10" s="107"/>
      <c r="AG10" s="107"/>
      <c r="AH10" s="108"/>
      <c r="AI10" s="103" t="s">
        <v>344</v>
      </c>
      <c r="AJ10" s="103"/>
      <c r="AK10" s="6" t="str">
        <f>IF(ISBLANK(AI10),IncompleteText,OKText)</f>
        <v>OK</v>
      </c>
      <c r="AM10" s="154"/>
      <c r="AN10" s="154"/>
      <c r="AO10" s="154"/>
      <c r="AP10" s="154"/>
      <c r="AQ10" s="154"/>
      <c r="AR10" s="154"/>
      <c r="AS10" s="154"/>
      <c r="AU10" s="154"/>
      <c r="AV10" s="154"/>
      <c r="AW10" s="154"/>
      <c r="AX10" s="154"/>
      <c r="AY10" s="154"/>
      <c r="AZ10" s="154"/>
      <c r="BA10" s="154"/>
    </row>
    <row r="11" spans="1:53" x14ac:dyDescent="0.3">
      <c r="A11" s="138"/>
      <c r="B11" s="138"/>
      <c r="C11" s="130"/>
      <c r="D11" s="130"/>
      <c r="E11" s="139"/>
      <c r="F11" s="139"/>
      <c r="G11" s="139"/>
      <c r="H11" s="139"/>
      <c r="I11" s="139"/>
      <c r="J11" s="2"/>
      <c r="K11" s="12" t="s">
        <v>345</v>
      </c>
      <c r="L11" s="109" t="s">
        <v>346</v>
      </c>
      <c r="M11" s="109"/>
      <c r="N11" s="12" t="s">
        <v>347</v>
      </c>
      <c r="O11" s="104" t="s">
        <v>348</v>
      </c>
      <c r="P11" s="104"/>
      <c r="Q11" s="9" t="str">
        <f>IF(O10="供应商提供 From Suppliers",IF(OR(ISBLANK(L11),ISBLANK(O11)),IncompleteText,OKText),"")</f>
        <v>OK</v>
      </c>
      <c r="R11" s="105" t="s">
        <v>349</v>
      </c>
      <c r="S11" s="105"/>
      <c r="T11" s="106"/>
      <c r="U11" s="110" t="s">
        <v>144</v>
      </c>
      <c r="V11" s="111"/>
      <c r="W11" s="9" t="str">
        <f>IF(E3="串联 Serial","",IF(ISBLANK(U11),IncompleteText,OKText))</f>
        <v/>
      </c>
      <c r="X11" s="105" t="s">
        <v>350</v>
      </c>
      <c r="Y11" s="105"/>
      <c r="Z11" s="105"/>
      <c r="AA11" s="106"/>
      <c r="AB11" s="17">
        <f>VLOOKUP(AB9,InsulationsTable,5,FALSE)</f>
        <v>115</v>
      </c>
      <c r="AC11" s="11" t="s">
        <v>44</v>
      </c>
      <c r="AD11" s="9" t="str">
        <f>IF(ISERROR(AB11),IncompleteText,IF(AB11&lt;90,ErrorText,OKText))</f>
        <v>OK</v>
      </c>
      <c r="AE11" s="107" t="s">
        <v>351</v>
      </c>
      <c r="AF11" s="107"/>
      <c r="AG11" s="107"/>
      <c r="AH11" s="108"/>
      <c r="AI11" s="27">
        <v>7.508</v>
      </c>
      <c r="AJ11" s="38" t="s">
        <v>352</v>
      </c>
      <c r="AK11" s="9" t="str">
        <f>IF(ISBLANK(AI11),IncompleteText,OKText)</f>
        <v>OK</v>
      </c>
      <c r="AM11" s="154"/>
      <c r="AN11" s="154"/>
      <c r="AO11" s="154"/>
      <c r="AP11" s="154"/>
      <c r="AQ11" s="154"/>
      <c r="AR11" s="154"/>
      <c r="AS11" s="154"/>
      <c r="AU11" s="154"/>
      <c r="AV11" s="154"/>
      <c r="AW11" s="154"/>
      <c r="AX11" s="154"/>
      <c r="AY11" s="154"/>
      <c r="AZ11" s="154"/>
      <c r="BA11" s="154"/>
    </row>
    <row r="12" spans="1:53" x14ac:dyDescent="0.3">
      <c r="A12" s="5">
        <v>1</v>
      </c>
      <c r="B12" s="15">
        <v>1</v>
      </c>
      <c r="C12" s="15">
        <v>21</v>
      </c>
      <c r="D12" s="15">
        <v>8</v>
      </c>
      <c r="E12" s="15">
        <v>1</v>
      </c>
      <c r="F12" s="112">
        <f t="shared" ref="F12:F29" si="0">C12*BattCellMaxV</f>
        <v>91.35</v>
      </c>
      <c r="G12" s="112"/>
      <c r="H12" s="112">
        <f t="shared" ref="H12:H29" si="1">F12*B12*BattCellCapacity*0.0036</f>
        <v>4.9329000000000001</v>
      </c>
      <c r="I12" s="112"/>
      <c r="J12" s="9" t="str">
        <f>IF(COUNTBLANK(A12:E12)&gt;0,IncompleteText,IF(OR(F12&gt;120,H12&gt;6),ErrorText,OKText))</f>
        <v>OK</v>
      </c>
      <c r="K12" s="107" t="s">
        <v>353</v>
      </c>
      <c r="L12" s="107"/>
      <c r="M12" s="107"/>
      <c r="N12" s="113"/>
      <c r="O12" s="15">
        <v>3000</v>
      </c>
      <c r="P12" s="11" t="s">
        <v>22</v>
      </c>
      <c r="Q12" s="9" t="str">
        <f>IF(ISBLANK(O12),IncompleteText,IF(O12&lt;E4,ErrorText,OKText))</f>
        <v>OK</v>
      </c>
      <c r="R12" s="105" t="s">
        <v>354</v>
      </c>
      <c r="S12" s="105"/>
      <c r="T12" s="106"/>
      <c r="U12" s="17">
        <f>VLOOKUP(U11,FuseTable,3,FALSE)</f>
        <v>60</v>
      </c>
      <c r="V12" s="11" t="s">
        <v>24</v>
      </c>
      <c r="W12" s="39"/>
      <c r="X12" s="105" t="s">
        <v>355</v>
      </c>
      <c r="Y12" s="105"/>
      <c r="Z12" s="105"/>
      <c r="AA12" s="106"/>
      <c r="AB12" s="104" t="s">
        <v>240</v>
      </c>
      <c r="AC12" s="104"/>
      <c r="AD12" s="9" t="str">
        <f>IF(ISBLANK(AB12),IncompleteText,OKText)</f>
        <v>OK</v>
      </c>
      <c r="AE12" s="107" t="s">
        <v>356</v>
      </c>
      <c r="AF12" s="107"/>
      <c r="AG12" s="107"/>
      <c r="AH12" s="108"/>
      <c r="AI12" s="27">
        <v>7.508</v>
      </c>
      <c r="AJ12" s="38" t="s">
        <v>352</v>
      </c>
      <c r="AK12" s="9" t="str">
        <f>IF(ISBLANK(AI12),IncompleteText,OKText)</f>
        <v>OK</v>
      </c>
      <c r="AM12" s="154"/>
      <c r="AN12" s="154"/>
      <c r="AO12" s="154"/>
      <c r="AP12" s="154"/>
      <c r="AQ12" s="154"/>
      <c r="AR12" s="154"/>
      <c r="AS12" s="154"/>
      <c r="AU12" s="154"/>
      <c r="AV12" s="154"/>
      <c r="AW12" s="154"/>
      <c r="AX12" s="154"/>
      <c r="AY12" s="154"/>
      <c r="AZ12" s="154"/>
      <c r="BA12" s="154"/>
    </row>
    <row r="13" spans="1:53" x14ac:dyDescent="0.3">
      <c r="A13" s="5">
        <v>2</v>
      </c>
      <c r="B13" s="15">
        <v>1</v>
      </c>
      <c r="C13" s="15">
        <v>21</v>
      </c>
      <c r="D13" s="15">
        <v>8</v>
      </c>
      <c r="E13" s="15">
        <v>1</v>
      </c>
      <c r="F13" s="112">
        <f t="shared" si="0"/>
        <v>91.35</v>
      </c>
      <c r="G13" s="112"/>
      <c r="H13" s="112">
        <f t="shared" si="1"/>
        <v>4.9329000000000001</v>
      </c>
      <c r="I13" s="112"/>
      <c r="J13" s="9" t="str">
        <f t="shared" ref="J13:J29" si="2">IF(COUNTBLANK(A13:E13)=4,"",IF(COUNTBLANK(A13:E13)&gt;0,IncompleteText,IF(OR(F13&gt;120,H13&gt;6),ErrorText,OKText)))</f>
        <v>OK</v>
      </c>
      <c r="K13" s="95" t="s">
        <v>357</v>
      </c>
      <c r="L13" s="95"/>
      <c r="M13" s="95"/>
      <c r="N13" s="96"/>
      <c r="O13" s="15">
        <v>13125</v>
      </c>
      <c r="P13" s="11" t="s">
        <v>22</v>
      </c>
      <c r="Q13" s="9" t="str">
        <f>IF(ISBLANK(O13),IncompleteText,IF(O13&lt;MAX(F12:G29),ErrorText,OKText))</f>
        <v>OK</v>
      </c>
      <c r="R13" s="93" t="s">
        <v>192</v>
      </c>
      <c r="S13" s="93"/>
      <c r="T13" s="93"/>
      <c r="U13" s="93"/>
      <c r="V13" s="93"/>
      <c r="W13" s="39"/>
      <c r="X13" s="105" t="s">
        <v>342</v>
      </c>
      <c r="Y13" s="105"/>
      <c r="Z13" s="105"/>
      <c r="AA13" s="106"/>
      <c r="AB13" s="17">
        <f>VLOOKUP(AB12,InsulationsTable,4,FALSE)</f>
        <v>513.41999999999996</v>
      </c>
      <c r="AC13" s="11" t="s">
        <v>22</v>
      </c>
      <c r="AD13" s="9" t="str">
        <f>IF(ISERROR(AB13),IncompleteText,IF(AB13&lt;MaxTSVoltage,ErrorText,OKText))</f>
        <v>OK</v>
      </c>
      <c r="AE13" s="107" t="s">
        <v>358</v>
      </c>
      <c r="AF13" s="107"/>
      <c r="AG13" s="107"/>
      <c r="AH13" s="108"/>
      <c r="AI13" s="114" t="s">
        <v>329</v>
      </c>
      <c r="AJ13" s="114"/>
      <c r="AK13" s="9" t="str">
        <f>IF(ISBLANK(AI13),IncompleteText,OKText)</f>
        <v>OK</v>
      </c>
      <c r="AM13" s="154"/>
      <c r="AN13" s="154"/>
      <c r="AO13" s="154"/>
      <c r="AP13" s="154"/>
      <c r="AQ13" s="154"/>
      <c r="AR13" s="154"/>
      <c r="AS13" s="154"/>
      <c r="AU13" s="154"/>
      <c r="AV13" s="154"/>
      <c r="AW13" s="154"/>
      <c r="AX13" s="154"/>
      <c r="AY13" s="154"/>
      <c r="AZ13" s="154"/>
      <c r="BA13" s="154"/>
    </row>
    <row r="14" spans="1:53" x14ac:dyDescent="0.3">
      <c r="A14" s="5">
        <v>3</v>
      </c>
      <c r="B14" s="15">
        <v>1</v>
      </c>
      <c r="C14" s="15">
        <v>21</v>
      </c>
      <c r="D14" s="15">
        <v>8</v>
      </c>
      <c r="E14" s="15">
        <v>1</v>
      </c>
      <c r="F14" s="112">
        <f t="shared" si="0"/>
        <v>91.35</v>
      </c>
      <c r="G14" s="112"/>
      <c r="H14" s="112">
        <f t="shared" si="1"/>
        <v>4.9329000000000001</v>
      </c>
      <c r="I14" s="112"/>
      <c r="J14" s="9" t="str">
        <f t="shared" si="2"/>
        <v>OK</v>
      </c>
      <c r="K14" s="95" t="s">
        <v>359</v>
      </c>
      <c r="L14" s="95"/>
      <c r="M14" s="95"/>
      <c r="N14" s="96"/>
      <c r="O14" s="115"/>
      <c r="P14" s="116"/>
      <c r="Q14" s="9" t="str">
        <f>IF($O$10="车队自制 Team design",IF(ISBLANK(O14),IncompleteText,OKText),"")</f>
        <v/>
      </c>
      <c r="R14" s="105" t="s">
        <v>360</v>
      </c>
      <c r="S14" s="105"/>
      <c r="T14" s="106"/>
      <c r="U14" s="110" t="s">
        <v>189</v>
      </c>
      <c r="V14" s="111"/>
      <c r="W14" s="9" t="str">
        <f>IF(ISBLANK(U14),IncompleteText,OKText)</f>
        <v>OK</v>
      </c>
      <c r="X14" s="105" t="s">
        <v>350</v>
      </c>
      <c r="Y14" s="105"/>
      <c r="Z14" s="105"/>
      <c r="AA14" s="106"/>
      <c r="AB14" s="17">
        <f>VLOOKUP(AB12,InsulationsTable,5,FALSE)</f>
        <v>115</v>
      </c>
      <c r="AC14" s="11" t="s">
        <v>44</v>
      </c>
      <c r="AD14" s="9" t="str">
        <f>IF(ISERROR(AB14),IncompleteText,IF(AB14&lt;90,ErrorText,OKText))</f>
        <v>OK</v>
      </c>
      <c r="AM14" s="154"/>
      <c r="AN14" s="154"/>
      <c r="AO14" s="154"/>
      <c r="AP14" s="154"/>
      <c r="AQ14" s="154"/>
      <c r="AR14" s="154"/>
      <c r="AS14" s="154"/>
      <c r="AU14" s="154"/>
      <c r="AV14" s="154"/>
      <c r="AW14" s="154"/>
      <c r="AX14" s="154"/>
      <c r="AY14" s="154"/>
      <c r="AZ14" s="154"/>
      <c r="BA14" s="154"/>
    </row>
    <row r="15" spans="1:53" x14ac:dyDescent="0.3">
      <c r="A15" s="5">
        <v>4</v>
      </c>
      <c r="B15" s="15">
        <v>1</v>
      </c>
      <c r="C15" s="15">
        <v>21</v>
      </c>
      <c r="D15" s="15">
        <v>8</v>
      </c>
      <c r="E15" s="15">
        <v>1</v>
      </c>
      <c r="F15" s="112">
        <f t="shared" si="0"/>
        <v>91.35</v>
      </c>
      <c r="G15" s="112"/>
      <c r="H15" s="112">
        <f t="shared" si="1"/>
        <v>4.9329000000000001</v>
      </c>
      <c r="I15" s="112"/>
      <c r="J15" s="9" t="str">
        <f t="shared" si="2"/>
        <v>OK</v>
      </c>
      <c r="K15" s="95" t="s">
        <v>361</v>
      </c>
      <c r="L15" s="95"/>
      <c r="M15" s="95"/>
      <c r="N15" s="96"/>
      <c r="O15" s="115"/>
      <c r="P15" s="116"/>
      <c r="Q15" s="9" t="str">
        <f>IF($O$10="车队自制 Team design",IF(ISBLANK(O15),IncompleteText,OKText),"")</f>
        <v/>
      </c>
      <c r="R15" s="105" t="s">
        <v>362</v>
      </c>
      <c r="S15" s="105"/>
      <c r="T15" s="106"/>
      <c r="U15" s="17">
        <f>VLOOKUP(U14,ContactorsTable,2,FALSE)</f>
        <v>900</v>
      </c>
      <c r="V15" s="11" t="s">
        <v>363</v>
      </c>
      <c r="W15" s="9" t="str">
        <f>IF(ISERROR(U15),IncompleteText,IF(U15&lt;MaxTSVoltage,ErrorText,OKText))</f>
        <v>OK</v>
      </c>
      <c r="X15" s="91" t="s">
        <v>364</v>
      </c>
      <c r="Y15" s="91"/>
      <c r="Z15" s="91"/>
      <c r="AA15" s="92"/>
      <c r="AB15" s="115" t="s">
        <v>240</v>
      </c>
      <c r="AC15" s="116"/>
      <c r="AD15" s="9" t="str">
        <f>IF(ISBLANK(AB15),IncompleteText,OKText)</f>
        <v>OK</v>
      </c>
      <c r="AM15" s="154"/>
      <c r="AN15" s="154"/>
      <c r="AO15" s="154"/>
      <c r="AP15" s="154"/>
      <c r="AQ15" s="154"/>
      <c r="AR15" s="154"/>
      <c r="AS15" s="154"/>
      <c r="AU15" s="154"/>
      <c r="AV15" s="154"/>
      <c r="AW15" s="154"/>
      <c r="AX15" s="154"/>
      <c r="AY15" s="154"/>
      <c r="AZ15" s="154"/>
      <c r="BA15" s="154"/>
    </row>
    <row r="16" spans="1:53" x14ac:dyDescent="0.3">
      <c r="A16" s="5">
        <v>5</v>
      </c>
      <c r="B16" s="15"/>
      <c r="C16" s="15"/>
      <c r="D16" s="15"/>
      <c r="E16" s="15"/>
      <c r="F16" s="112">
        <f t="shared" si="0"/>
        <v>0</v>
      </c>
      <c r="G16" s="112"/>
      <c r="H16" s="112">
        <f t="shared" si="1"/>
        <v>0</v>
      </c>
      <c r="I16" s="112"/>
      <c r="J16" s="9" t="str">
        <f t="shared" si="2"/>
        <v/>
      </c>
      <c r="K16" s="117" t="s">
        <v>365</v>
      </c>
      <c r="L16" s="117"/>
      <c r="M16" s="117"/>
      <c r="N16" s="117"/>
      <c r="O16" s="117"/>
      <c r="P16" s="117"/>
      <c r="Q16" s="39"/>
      <c r="R16" s="105" t="s">
        <v>366</v>
      </c>
      <c r="S16" s="105"/>
      <c r="T16" s="106"/>
      <c r="U16" s="17">
        <f>VLOOKUP(U14,ContactorsTable,4,FALSE)</f>
        <v>2000</v>
      </c>
      <c r="V16" s="11" t="s">
        <v>24</v>
      </c>
      <c r="W16" s="39"/>
      <c r="X16" s="105" t="s">
        <v>342</v>
      </c>
      <c r="Y16" s="105"/>
      <c r="Z16" s="105"/>
      <c r="AA16" s="106"/>
      <c r="AB16" s="17">
        <f>VLOOKUP(AB15,InsulationsTable,4,FALSE)</f>
        <v>513.41999999999996</v>
      </c>
      <c r="AC16" s="11" t="s">
        <v>22</v>
      </c>
      <c r="AD16" s="9" t="str">
        <f>IF(ISERROR(AB16),IncompleteText,IF(AB16&lt;MaxTSVoltage,ErrorText,OKText))</f>
        <v>OK</v>
      </c>
      <c r="AM16" s="154"/>
      <c r="AN16" s="154"/>
      <c r="AO16" s="154"/>
      <c r="AP16" s="154"/>
      <c r="AQ16" s="154"/>
      <c r="AR16" s="154"/>
      <c r="AS16" s="154"/>
      <c r="AU16" s="154"/>
      <c r="AV16" s="154"/>
      <c r="AW16" s="154"/>
      <c r="AX16" s="154"/>
      <c r="AY16" s="154"/>
      <c r="AZ16" s="154"/>
      <c r="BA16" s="154"/>
    </row>
    <row r="17" spans="1:53" x14ac:dyDescent="0.3">
      <c r="A17" s="5">
        <v>6</v>
      </c>
      <c r="B17" s="15"/>
      <c r="C17" s="15"/>
      <c r="D17" s="15"/>
      <c r="E17" s="15"/>
      <c r="F17" s="112">
        <f t="shared" si="0"/>
        <v>0</v>
      </c>
      <c r="G17" s="112"/>
      <c r="H17" s="112">
        <f t="shared" si="1"/>
        <v>0</v>
      </c>
      <c r="I17" s="112"/>
      <c r="J17" s="9" t="str">
        <f t="shared" si="2"/>
        <v/>
      </c>
      <c r="K17" s="95" t="s">
        <v>367</v>
      </c>
      <c r="L17" s="95"/>
      <c r="M17" s="95"/>
      <c r="N17" s="96"/>
      <c r="O17" s="15">
        <v>40</v>
      </c>
      <c r="P17" s="11" t="s">
        <v>368</v>
      </c>
      <c r="Q17" s="9" t="str">
        <f>IF(ISBLANK(O17),IncompleteText,OKText)</f>
        <v>OK</v>
      </c>
      <c r="R17" s="105" t="s">
        <v>369</v>
      </c>
      <c r="S17" s="105"/>
      <c r="T17" s="106"/>
      <c r="U17" s="17">
        <f>VLOOKUP(U14,ContactorsTable,3,FALSE)</f>
        <v>250</v>
      </c>
      <c r="V17" s="11" t="s">
        <v>24</v>
      </c>
      <c r="W17" s="9" t="str">
        <f>IF(ISERROR(U17),IncompleteText,IF(U17&gt;=U20,OKText,ErrorText))</f>
        <v>OK</v>
      </c>
      <c r="X17" s="105" t="s">
        <v>350</v>
      </c>
      <c r="Y17" s="105"/>
      <c r="Z17" s="105"/>
      <c r="AA17" s="106"/>
      <c r="AB17" s="17">
        <f>VLOOKUP(AB15,InsulationsTable,5,FALSE)</f>
        <v>115</v>
      </c>
      <c r="AC17" s="11" t="s">
        <v>44</v>
      </c>
      <c r="AD17" s="9" t="str">
        <f>IF(ISERROR(AB17),IncompleteText,IF(AB17&lt;90,ErrorText,OKText))</f>
        <v>OK</v>
      </c>
      <c r="AM17" s="154"/>
      <c r="AN17" s="154"/>
      <c r="AO17" s="154"/>
      <c r="AP17" s="154"/>
      <c r="AQ17" s="154"/>
      <c r="AR17" s="154"/>
      <c r="AS17" s="154"/>
      <c r="AU17" s="154"/>
      <c r="AV17" s="154"/>
      <c r="AW17" s="154"/>
      <c r="AX17" s="154"/>
      <c r="AY17" s="154"/>
      <c r="AZ17" s="154"/>
      <c r="BA17" s="154"/>
    </row>
    <row r="18" spans="1:53" x14ac:dyDescent="0.3">
      <c r="A18" s="5">
        <v>7</v>
      </c>
      <c r="B18" s="15"/>
      <c r="C18" s="15"/>
      <c r="D18" s="15"/>
      <c r="E18" s="15"/>
      <c r="F18" s="112">
        <f t="shared" si="0"/>
        <v>0</v>
      </c>
      <c r="G18" s="112"/>
      <c r="H18" s="112">
        <f t="shared" si="1"/>
        <v>0</v>
      </c>
      <c r="I18" s="112"/>
      <c r="J18" s="9" t="str">
        <f t="shared" si="2"/>
        <v/>
      </c>
      <c r="K18" s="118" t="s">
        <v>370</v>
      </c>
      <c r="L18" s="118"/>
      <c r="M18" s="118"/>
      <c r="N18" s="119"/>
      <c r="O18" s="104" t="s">
        <v>149</v>
      </c>
      <c r="P18" s="104"/>
      <c r="Q18" s="9" t="str">
        <f>IF(ISBLANK(O18),IncompleteText,OKText)</f>
        <v>OK</v>
      </c>
      <c r="R18" s="94" t="s">
        <v>371</v>
      </c>
      <c r="S18" s="94"/>
      <c r="T18" s="94"/>
      <c r="U18" s="94"/>
      <c r="V18" s="94"/>
      <c r="W18" s="39"/>
      <c r="X18" s="105" t="s">
        <v>372</v>
      </c>
      <c r="Y18" s="105"/>
      <c r="Z18" s="105"/>
      <c r="AA18" s="106"/>
      <c r="AB18" s="17" t="str">
        <f>VLOOKUP(AB15,InsulationsTable,6,FALSE)</f>
        <v>UL 94V-0</v>
      </c>
      <c r="AC18" s="11"/>
      <c r="AD18" s="9" t="str">
        <f>IF(ISNA(AB18),IncompleteText,OKText)</f>
        <v>OK</v>
      </c>
      <c r="AM18" s="154"/>
      <c r="AN18" s="154"/>
      <c r="AO18" s="154"/>
      <c r="AP18" s="154"/>
      <c r="AQ18" s="154"/>
      <c r="AR18" s="154"/>
      <c r="AS18" s="154"/>
      <c r="AU18" s="154"/>
      <c r="AV18" s="154"/>
      <c r="AW18" s="154"/>
      <c r="AX18" s="154"/>
      <c r="AY18" s="154"/>
      <c r="AZ18" s="154"/>
      <c r="BA18" s="154"/>
    </row>
    <row r="19" spans="1:53" x14ac:dyDescent="0.3">
      <c r="A19" s="5">
        <v>8</v>
      </c>
      <c r="B19" s="15"/>
      <c r="C19" s="15"/>
      <c r="D19" s="15"/>
      <c r="E19" s="15"/>
      <c r="F19" s="112">
        <f t="shared" si="0"/>
        <v>0</v>
      </c>
      <c r="G19" s="112"/>
      <c r="H19" s="112">
        <f t="shared" si="1"/>
        <v>0</v>
      </c>
      <c r="I19" s="112"/>
      <c r="J19" s="9" t="str">
        <f t="shared" si="2"/>
        <v/>
      </c>
      <c r="K19" s="95" t="s">
        <v>373</v>
      </c>
      <c r="L19" s="95"/>
      <c r="M19" s="95"/>
      <c r="N19" s="96"/>
      <c r="O19" s="104" t="s">
        <v>374</v>
      </c>
      <c r="P19" s="104"/>
      <c r="Q19" s="9" t="str">
        <f>IF(ISBLANK(O19),IncompleteText,OKText)</f>
        <v>OK</v>
      </c>
      <c r="R19" s="120" t="s">
        <v>371</v>
      </c>
      <c r="S19" s="120"/>
      <c r="T19" s="121"/>
      <c r="U19" s="110" t="s">
        <v>144</v>
      </c>
      <c r="V19" s="111"/>
      <c r="W19" s="9" t="str">
        <f>IF(ISBLANK(U19),IncompleteText,OKText)</f>
        <v>OK</v>
      </c>
      <c r="AM19" s="154"/>
      <c r="AN19" s="154"/>
      <c r="AO19" s="154"/>
      <c r="AP19" s="154"/>
      <c r="AQ19" s="154"/>
      <c r="AR19" s="154"/>
      <c r="AS19" s="154"/>
      <c r="AU19" s="154"/>
      <c r="AV19" s="154"/>
      <c r="AW19" s="154"/>
      <c r="AX19" s="154"/>
      <c r="AY19" s="154"/>
      <c r="AZ19" s="154"/>
      <c r="BA19" s="154"/>
    </row>
    <row r="20" spans="1:53" x14ac:dyDescent="0.3">
      <c r="A20" s="5">
        <v>9</v>
      </c>
      <c r="B20" s="15"/>
      <c r="C20" s="15"/>
      <c r="D20" s="15"/>
      <c r="E20" s="15"/>
      <c r="F20" s="112">
        <f t="shared" si="0"/>
        <v>0</v>
      </c>
      <c r="G20" s="112"/>
      <c r="H20" s="112">
        <f t="shared" si="1"/>
        <v>0</v>
      </c>
      <c r="I20" s="112"/>
      <c r="J20" s="9" t="str">
        <f t="shared" si="2"/>
        <v/>
      </c>
      <c r="K20" s="122" t="s">
        <v>375</v>
      </c>
      <c r="L20" s="123"/>
      <c r="M20" s="123"/>
      <c r="N20" s="124"/>
      <c r="O20" s="125"/>
      <c r="P20" s="125"/>
      <c r="Q20" s="9" t="str">
        <f>IF(O19="其他 Other",IF(ISBLANK(O20),IncompleteText,OKText),"")</f>
        <v/>
      </c>
      <c r="R20" s="105" t="s">
        <v>376</v>
      </c>
      <c r="S20" s="105"/>
      <c r="T20" s="106"/>
      <c r="U20" s="17">
        <f>VLOOKUP(U19,FuseTable,3,FALSE)</f>
        <v>60</v>
      </c>
      <c r="V20" s="11" t="s">
        <v>24</v>
      </c>
      <c r="W20" s="39"/>
      <c r="AM20" s="154"/>
      <c r="AN20" s="154"/>
      <c r="AO20" s="154"/>
      <c r="AP20" s="154"/>
      <c r="AQ20" s="154"/>
      <c r="AR20" s="154"/>
      <c r="AS20" s="154"/>
      <c r="AU20" s="154"/>
      <c r="AV20" s="154"/>
      <c r="AW20" s="154"/>
      <c r="AX20" s="154"/>
      <c r="AY20" s="154"/>
      <c r="AZ20" s="154"/>
      <c r="BA20" s="154"/>
    </row>
    <row r="21" spans="1:53" x14ac:dyDescent="0.3">
      <c r="A21" s="5">
        <v>10</v>
      </c>
      <c r="B21" s="15"/>
      <c r="C21" s="15"/>
      <c r="D21" s="15"/>
      <c r="E21" s="15"/>
      <c r="F21" s="112">
        <f t="shared" si="0"/>
        <v>0</v>
      </c>
      <c r="G21" s="112"/>
      <c r="H21" s="112">
        <f t="shared" si="1"/>
        <v>0</v>
      </c>
      <c r="I21" s="112"/>
      <c r="J21" s="9" t="str">
        <f t="shared" si="2"/>
        <v/>
      </c>
      <c r="K21" s="105" t="s">
        <v>377</v>
      </c>
      <c r="L21" s="105"/>
      <c r="M21" s="105"/>
      <c r="N21" s="106"/>
      <c r="O21" s="126">
        <f>VLOOKUP(O18,FuseTable,2,FALSE)</f>
        <v>125</v>
      </c>
      <c r="P21" s="126"/>
      <c r="Q21" s="9" t="str">
        <f>IF(ISERROR(O21),IncompleteText,IF(AND(O21&lt;MAX(F12:G29),O9="集中式 Centralized"),ErrorText,OKText))</f>
        <v>OK</v>
      </c>
      <c r="R21" s="105" t="s">
        <v>378</v>
      </c>
      <c r="S21" s="105"/>
      <c r="T21" s="106"/>
      <c r="U21" s="17">
        <f>VLOOKUP(U19,FuseTable,2,FALSE)</f>
        <v>500</v>
      </c>
      <c r="V21" s="11" t="s">
        <v>22</v>
      </c>
      <c r="W21" s="9" t="str">
        <f>IF(U21&lt;MaxTSVoltage,ErrorText,OKText)</f>
        <v>OK</v>
      </c>
      <c r="AM21" s="154"/>
      <c r="AN21" s="154"/>
      <c r="AO21" s="154"/>
      <c r="AP21" s="154"/>
      <c r="AQ21" s="154"/>
      <c r="AR21" s="154"/>
      <c r="AS21" s="154"/>
      <c r="AU21" s="154"/>
      <c r="AV21" s="154"/>
      <c r="AW21" s="154"/>
      <c r="AX21" s="154"/>
      <c r="AY21" s="154"/>
      <c r="AZ21" s="154"/>
      <c r="BA21" s="154"/>
    </row>
    <row r="22" spans="1:53" x14ac:dyDescent="0.3">
      <c r="A22" s="5">
        <v>11</v>
      </c>
      <c r="B22" s="15"/>
      <c r="C22" s="15"/>
      <c r="D22" s="15"/>
      <c r="E22" s="15"/>
      <c r="F22" s="112">
        <f t="shared" si="0"/>
        <v>0</v>
      </c>
      <c r="G22" s="112"/>
      <c r="H22" s="112">
        <f t="shared" si="1"/>
        <v>0</v>
      </c>
      <c r="I22" s="112"/>
      <c r="J22" s="9" t="str">
        <f t="shared" si="2"/>
        <v/>
      </c>
      <c r="K22" s="117" t="s">
        <v>379</v>
      </c>
      <c r="L22" s="117"/>
      <c r="M22" s="117"/>
      <c r="N22" s="117"/>
      <c r="O22" s="117"/>
      <c r="P22" s="117"/>
      <c r="Q22" s="39"/>
      <c r="AM22" s="154"/>
      <c r="AN22" s="154"/>
      <c r="AO22" s="154"/>
      <c r="AP22" s="154"/>
      <c r="AQ22" s="154"/>
      <c r="AR22" s="154"/>
      <c r="AS22" s="154"/>
      <c r="AU22" s="154"/>
      <c r="AV22" s="154"/>
      <c r="AW22" s="154"/>
      <c r="AX22" s="154"/>
      <c r="AY22" s="154"/>
      <c r="AZ22" s="154"/>
      <c r="BA22" s="154"/>
    </row>
    <row r="23" spans="1:53" x14ac:dyDescent="0.3">
      <c r="A23" s="5">
        <v>12</v>
      </c>
      <c r="B23" s="15"/>
      <c r="C23" s="15"/>
      <c r="D23" s="15"/>
      <c r="E23" s="15"/>
      <c r="F23" s="112">
        <f t="shared" si="0"/>
        <v>0</v>
      </c>
      <c r="G23" s="112"/>
      <c r="H23" s="112">
        <f t="shared" si="1"/>
        <v>0</v>
      </c>
      <c r="I23" s="112"/>
      <c r="J23" s="9" t="str">
        <f t="shared" si="2"/>
        <v/>
      </c>
      <c r="K23" s="105" t="s">
        <v>380</v>
      </c>
      <c r="L23" s="105"/>
      <c r="M23" s="105"/>
      <c r="N23" s="106"/>
      <c r="O23" s="110" t="s">
        <v>381</v>
      </c>
      <c r="P23" s="111"/>
      <c r="Q23" s="9" t="str">
        <f>IF(ISBLANK(O23),IncompleteText,OKText)</f>
        <v>OK</v>
      </c>
      <c r="AM23" s="154"/>
      <c r="AN23" s="154"/>
      <c r="AO23" s="154"/>
      <c r="AP23" s="154"/>
      <c r="AQ23" s="154"/>
      <c r="AR23" s="154"/>
      <c r="AS23" s="154"/>
      <c r="AU23" s="154"/>
      <c r="AV23" s="154"/>
      <c r="AW23" s="154"/>
      <c r="AX23" s="154"/>
      <c r="AY23" s="154"/>
      <c r="AZ23" s="154"/>
      <c r="BA23" s="154"/>
    </row>
    <row r="24" spans="1:53" x14ac:dyDescent="0.3">
      <c r="A24" s="5">
        <v>13</v>
      </c>
      <c r="B24" s="15"/>
      <c r="C24" s="15"/>
      <c r="D24" s="15"/>
      <c r="E24" s="15"/>
      <c r="F24" s="112">
        <f t="shared" si="0"/>
        <v>0</v>
      </c>
      <c r="G24" s="112"/>
      <c r="H24" s="112">
        <f t="shared" si="1"/>
        <v>0</v>
      </c>
      <c r="I24" s="112"/>
      <c r="J24" s="9" t="str">
        <f t="shared" si="2"/>
        <v/>
      </c>
      <c r="K24" s="105" t="s">
        <v>382</v>
      </c>
      <c r="L24" s="105"/>
      <c r="M24" s="105"/>
      <c r="N24" s="106"/>
      <c r="O24" s="15"/>
      <c r="P24" s="11" t="s">
        <v>352</v>
      </c>
      <c r="Q24" s="9" t="str">
        <f>IF(O23="极耳 Cell tabs","",IF(ISBLANK(O24),IncompleteText,IF(O24&lt;10,OKText,ErrorText)))</f>
        <v/>
      </c>
      <c r="AM24" s="154"/>
      <c r="AN24" s="154"/>
      <c r="AO24" s="154"/>
      <c r="AP24" s="154"/>
      <c r="AQ24" s="154"/>
      <c r="AR24" s="154"/>
      <c r="AS24" s="154"/>
      <c r="AU24" s="154"/>
      <c r="AV24" s="154"/>
      <c r="AW24" s="154"/>
      <c r="AX24" s="154"/>
      <c r="AY24" s="154"/>
      <c r="AZ24" s="154"/>
      <c r="BA24" s="154"/>
    </row>
    <row r="25" spans="1:53" x14ac:dyDescent="0.3">
      <c r="A25" s="5">
        <v>14</v>
      </c>
      <c r="B25" s="15"/>
      <c r="C25" s="15"/>
      <c r="D25" s="15"/>
      <c r="E25" s="15"/>
      <c r="F25" s="112">
        <f t="shared" si="0"/>
        <v>0</v>
      </c>
      <c r="G25" s="112"/>
      <c r="H25" s="112">
        <f t="shared" si="1"/>
        <v>0</v>
      </c>
      <c r="I25" s="112"/>
      <c r="J25" s="9" t="str">
        <f t="shared" si="2"/>
        <v/>
      </c>
      <c r="K25" s="105" t="s">
        <v>383</v>
      </c>
      <c r="L25" s="105"/>
      <c r="M25" s="105"/>
      <c r="N25" s="106"/>
      <c r="O25" s="15">
        <v>1</v>
      </c>
      <c r="P25" s="11" t="s">
        <v>384</v>
      </c>
      <c r="Q25" s="9" t="str">
        <f>IF(ISBLANK(O25),IncompleteText,OKText)</f>
        <v>OK</v>
      </c>
      <c r="AM25" s="154"/>
      <c r="AN25" s="154"/>
      <c r="AO25" s="154"/>
      <c r="AP25" s="154"/>
      <c r="AQ25" s="154"/>
      <c r="AR25" s="154"/>
      <c r="AS25" s="154"/>
      <c r="AU25" s="154"/>
      <c r="AV25" s="154"/>
      <c r="AW25" s="154"/>
      <c r="AX25" s="154"/>
      <c r="AY25" s="154"/>
      <c r="AZ25" s="154"/>
      <c r="BA25" s="154"/>
    </row>
    <row r="26" spans="1:53" x14ac:dyDescent="0.3">
      <c r="A26" s="5">
        <v>15</v>
      </c>
      <c r="B26" s="15"/>
      <c r="C26" s="15"/>
      <c r="D26" s="15"/>
      <c r="E26" s="15"/>
      <c r="F26" s="112">
        <f t="shared" si="0"/>
        <v>0</v>
      </c>
      <c r="G26" s="112"/>
      <c r="H26" s="112">
        <f t="shared" si="1"/>
        <v>0</v>
      </c>
      <c r="I26" s="112"/>
      <c r="J26" s="9" t="str">
        <f t="shared" si="2"/>
        <v/>
      </c>
      <c r="K26" s="105" t="s">
        <v>385</v>
      </c>
      <c r="L26" s="105"/>
      <c r="M26" s="105"/>
      <c r="N26" s="106"/>
      <c r="O26" s="110" t="s">
        <v>386</v>
      </c>
      <c r="P26" s="111"/>
      <c r="Q26" s="39"/>
      <c r="AM26" s="154"/>
      <c r="AN26" s="154"/>
      <c r="AO26" s="154"/>
      <c r="AP26" s="154"/>
      <c r="AQ26" s="154"/>
      <c r="AR26" s="154"/>
      <c r="AS26" s="154"/>
      <c r="AU26" s="154"/>
      <c r="AV26" s="154"/>
      <c r="AW26" s="154"/>
      <c r="AX26" s="154"/>
      <c r="AY26" s="154"/>
      <c r="AZ26" s="154"/>
      <c r="BA26" s="154"/>
    </row>
    <row r="27" spans="1:53" x14ac:dyDescent="0.3">
      <c r="A27" s="5">
        <v>16</v>
      </c>
      <c r="B27" s="15"/>
      <c r="C27" s="15"/>
      <c r="D27" s="15"/>
      <c r="E27" s="15"/>
      <c r="F27" s="112">
        <f t="shared" si="0"/>
        <v>0</v>
      </c>
      <c r="G27" s="112"/>
      <c r="H27" s="112">
        <f t="shared" si="1"/>
        <v>0</v>
      </c>
      <c r="I27" s="112"/>
      <c r="J27" s="9" t="str">
        <f t="shared" si="2"/>
        <v/>
      </c>
      <c r="K27" s="105" t="s">
        <v>387</v>
      </c>
      <c r="L27" s="105"/>
      <c r="M27" s="105"/>
      <c r="N27" s="106"/>
      <c r="O27" s="127" t="s">
        <v>262</v>
      </c>
      <c r="P27" s="128"/>
      <c r="Q27" s="9" t="str">
        <f>IF(ISBLANK($O$26),"",IF(ISBLANK(O27),IncompleteText,OKText))</f>
        <v>OK</v>
      </c>
      <c r="AM27" s="154"/>
      <c r="AN27" s="154"/>
      <c r="AO27" s="154"/>
      <c r="AP27" s="154"/>
      <c r="AQ27" s="154"/>
      <c r="AR27" s="154"/>
      <c r="AS27" s="154"/>
      <c r="AU27" s="154"/>
      <c r="AV27" s="154"/>
      <c r="AW27" s="154"/>
      <c r="AX27" s="154"/>
      <c r="AY27" s="154"/>
      <c r="AZ27" s="154"/>
      <c r="BA27" s="154"/>
    </row>
    <row r="28" spans="1:53" x14ac:dyDescent="0.3">
      <c r="A28" s="5">
        <v>17</v>
      </c>
      <c r="B28" s="15"/>
      <c r="C28" s="15"/>
      <c r="D28" s="15"/>
      <c r="E28" s="15"/>
      <c r="F28" s="112">
        <f t="shared" si="0"/>
        <v>0</v>
      </c>
      <c r="G28" s="112"/>
      <c r="H28" s="112">
        <f t="shared" si="1"/>
        <v>0</v>
      </c>
      <c r="I28" s="112"/>
      <c r="J28" s="9" t="str">
        <f t="shared" si="2"/>
        <v/>
      </c>
      <c r="K28" s="105" t="s">
        <v>388</v>
      </c>
      <c r="L28" s="105"/>
      <c r="M28" s="105"/>
      <c r="N28" s="106"/>
      <c r="O28" s="15" t="s">
        <v>389</v>
      </c>
      <c r="P28" s="11" t="s">
        <v>390</v>
      </c>
      <c r="Q28" s="9" t="str">
        <f>IF(ISBLANK($O$26),"",IF(ISBLANK(O28),IncompleteText,OKText))</f>
        <v>OK</v>
      </c>
      <c r="AM28" s="154"/>
      <c r="AN28" s="154"/>
      <c r="AO28" s="154"/>
      <c r="AP28" s="154"/>
      <c r="AQ28" s="154"/>
      <c r="AR28" s="154"/>
      <c r="AS28" s="154"/>
      <c r="AU28" s="154"/>
      <c r="AV28" s="154"/>
      <c r="AW28" s="154"/>
      <c r="AX28" s="154"/>
      <c r="AY28" s="154"/>
      <c r="AZ28" s="154"/>
      <c r="BA28" s="154"/>
    </row>
    <row r="29" spans="1:53" x14ac:dyDescent="0.3">
      <c r="A29" s="5">
        <v>18</v>
      </c>
      <c r="B29" s="15"/>
      <c r="C29" s="15"/>
      <c r="D29" s="15"/>
      <c r="E29" s="15"/>
      <c r="F29" s="112">
        <f t="shared" si="0"/>
        <v>0</v>
      </c>
      <c r="G29" s="112"/>
      <c r="H29" s="112">
        <f t="shared" si="1"/>
        <v>0</v>
      </c>
      <c r="I29" s="112"/>
      <c r="J29" s="9" t="str">
        <f t="shared" si="2"/>
        <v/>
      </c>
      <c r="K29" s="105" t="s">
        <v>391</v>
      </c>
      <c r="L29" s="105"/>
      <c r="M29" s="105"/>
      <c r="N29" s="106"/>
      <c r="O29" s="15">
        <v>0.4</v>
      </c>
      <c r="P29" s="11" t="s">
        <v>352</v>
      </c>
      <c r="Q29" s="9" t="str">
        <f>IF(ISBLANK($O$26),"",IF(ISBLANK(O29),IncompleteText,OKText))</f>
        <v>OK</v>
      </c>
      <c r="AM29" s="154"/>
      <c r="AN29" s="154"/>
      <c r="AO29" s="154"/>
      <c r="AP29" s="154"/>
      <c r="AQ29" s="154"/>
      <c r="AR29" s="154"/>
      <c r="AS29" s="154"/>
      <c r="AU29" s="154"/>
      <c r="AV29" s="154"/>
      <c r="AW29" s="154"/>
      <c r="AX29" s="154"/>
      <c r="AY29" s="154"/>
      <c r="AZ29" s="154"/>
      <c r="BA29" s="154"/>
    </row>
    <row r="30" spans="1:53" x14ac:dyDescent="0.3">
      <c r="K30" s="105" t="s">
        <v>392</v>
      </c>
      <c r="L30" s="105"/>
      <c r="M30" s="105"/>
      <c r="N30" s="106"/>
      <c r="O30" s="17">
        <f>SUMIF(J12:J29,"=OK",D12:D29)*CellsPerTempSensor/TotalCells*100</f>
        <v>38.095238095238095</v>
      </c>
      <c r="P30" s="11" t="s">
        <v>393</v>
      </c>
      <c r="Q30" s="9" t="str">
        <f>IF(ISERROR(O30),IncompleteText,IF(O30&lt;20,ErrorText,OKText))</f>
        <v>OK</v>
      </c>
    </row>
    <row r="33" spans="1:53" ht="14" customHeight="1" x14ac:dyDescent="0.3">
      <c r="A33" s="152" t="s">
        <v>394</v>
      </c>
      <c r="B33" s="152"/>
      <c r="C33" s="152"/>
      <c r="D33" s="152"/>
      <c r="E33" s="152"/>
      <c r="F33" s="152"/>
      <c r="G33" s="152"/>
      <c r="H33" s="152"/>
      <c r="J33" s="154" t="s">
        <v>395</v>
      </c>
      <c r="K33" s="152"/>
      <c r="L33" s="152"/>
      <c r="M33" s="152"/>
      <c r="N33" s="152"/>
      <c r="O33" s="152"/>
      <c r="P33" s="152"/>
      <c r="Q33" s="152"/>
      <c r="S33" s="152" t="s">
        <v>396</v>
      </c>
      <c r="T33" s="152"/>
      <c r="U33" s="152"/>
      <c r="V33" s="152"/>
      <c r="W33" s="152"/>
      <c r="X33" s="152"/>
      <c r="Y33" s="152"/>
      <c r="Z33" s="152"/>
      <c r="AB33" s="156" t="s">
        <v>397</v>
      </c>
      <c r="AC33" s="157"/>
      <c r="AD33" s="157"/>
      <c r="AE33" s="157"/>
      <c r="AF33" s="157"/>
      <c r="AG33" s="157"/>
      <c r="AH33" s="157"/>
      <c r="AI33" s="158"/>
      <c r="AK33" s="165" t="s">
        <v>398</v>
      </c>
      <c r="AL33" s="166"/>
      <c r="AM33" s="166"/>
      <c r="AN33" s="166"/>
      <c r="AO33" s="166"/>
      <c r="AP33" s="166"/>
      <c r="AQ33" s="166"/>
      <c r="AR33" s="167"/>
      <c r="AT33" s="152" t="s">
        <v>399</v>
      </c>
      <c r="AU33" s="152"/>
      <c r="AV33" s="152"/>
      <c r="AW33" s="152"/>
      <c r="AX33" s="152"/>
      <c r="AY33" s="152"/>
      <c r="AZ33" s="152"/>
      <c r="BA33" s="152"/>
    </row>
    <row r="34" spans="1:53" x14ac:dyDescent="0.3">
      <c r="A34" s="152"/>
      <c r="B34" s="152"/>
      <c r="C34" s="152"/>
      <c r="D34" s="152"/>
      <c r="E34" s="152"/>
      <c r="F34" s="152"/>
      <c r="G34" s="152"/>
      <c r="H34" s="152"/>
      <c r="J34" s="152"/>
      <c r="K34" s="152"/>
      <c r="L34" s="152"/>
      <c r="M34" s="152"/>
      <c r="N34" s="152"/>
      <c r="O34" s="152"/>
      <c r="P34" s="152"/>
      <c r="Q34" s="152"/>
      <c r="S34" s="152"/>
      <c r="T34" s="152"/>
      <c r="U34" s="152"/>
      <c r="V34" s="152"/>
      <c r="W34" s="152"/>
      <c r="X34" s="152"/>
      <c r="Y34" s="152"/>
      <c r="Z34" s="152"/>
      <c r="AB34" s="159"/>
      <c r="AC34" s="160"/>
      <c r="AD34" s="160"/>
      <c r="AE34" s="160"/>
      <c r="AF34" s="160"/>
      <c r="AG34" s="160"/>
      <c r="AH34" s="160"/>
      <c r="AI34" s="161"/>
      <c r="AK34" s="168"/>
      <c r="AL34" s="169"/>
      <c r="AM34" s="169"/>
      <c r="AN34" s="169"/>
      <c r="AO34" s="169"/>
      <c r="AP34" s="169"/>
      <c r="AQ34" s="169"/>
      <c r="AR34" s="170"/>
      <c r="AT34" s="152"/>
      <c r="AU34" s="152"/>
      <c r="AV34" s="152"/>
      <c r="AW34" s="152"/>
      <c r="AX34" s="152"/>
      <c r="AY34" s="152"/>
      <c r="AZ34" s="152"/>
      <c r="BA34" s="152"/>
    </row>
    <row r="35" spans="1:53" x14ac:dyDescent="0.3">
      <c r="A35" s="152"/>
      <c r="B35" s="152"/>
      <c r="C35" s="152"/>
      <c r="D35" s="152"/>
      <c r="E35" s="152"/>
      <c r="F35" s="152"/>
      <c r="G35" s="152"/>
      <c r="H35" s="152"/>
      <c r="J35" s="152"/>
      <c r="K35" s="152"/>
      <c r="L35" s="152"/>
      <c r="M35" s="152"/>
      <c r="N35" s="152"/>
      <c r="O35" s="152"/>
      <c r="P35" s="152"/>
      <c r="Q35" s="152"/>
      <c r="S35" s="152"/>
      <c r="T35" s="152"/>
      <c r="U35" s="152"/>
      <c r="V35" s="152"/>
      <c r="W35" s="152"/>
      <c r="X35" s="152"/>
      <c r="Y35" s="152"/>
      <c r="Z35" s="152"/>
      <c r="AB35" s="159"/>
      <c r="AC35" s="160"/>
      <c r="AD35" s="160"/>
      <c r="AE35" s="160"/>
      <c r="AF35" s="160"/>
      <c r="AG35" s="160"/>
      <c r="AH35" s="160"/>
      <c r="AI35" s="161"/>
      <c r="AK35" s="168"/>
      <c r="AL35" s="169"/>
      <c r="AM35" s="169"/>
      <c r="AN35" s="169"/>
      <c r="AO35" s="169"/>
      <c r="AP35" s="169"/>
      <c r="AQ35" s="169"/>
      <c r="AR35" s="170"/>
      <c r="AT35" s="152"/>
      <c r="AU35" s="152"/>
      <c r="AV35" s="152"/>
      <c r="AW35" s="152"/>
      <c r="AX35" s="152"/>
      <c r="AY35" s="152"/>
      <c r="AZ35" s="152"/>
      <c r="BA35" s="152"/>
    </row>
    <row r="36" spans="1:53" x14ac:dyDescent="0.3">
      <c r="A36" s="152"/>
      <c r="B36" s="152"/>
      <c r="C36" s="152"/>
      <c r="D36" s="152"/>
      <c r="E36" s="152"/>
      <c r="F36" s="152"/>
      <c r="G36" s="152"/>
      <c r="H36" s="152"/>
      <c r="J36" s="152"/>
      <c r="K36" s="152"/>
      <c r="L36" s="152"/>
      <c r="M36" s="152"/>
      <c r="N36" s="152"/>
      <c r="O36" s="152"/>
      <c r="P36" s="152"/>
      <c r="Q36" s="152"/>
      <c r="S36" s="152"/>
      <c r="T36" s="152"/>
      <c r="U36" s="152"/>
      <c r="V36" s="152"/>
      <c r="W36" s="152"/>
      <c r="X36" s="152"/>
      <c r="Y36" s="152"/>
      <c r="Z36" s="152"/>
      <c r="AB36" s="159"/>
      <c r="AC36" s="160"/>
      <c r="AD36" s="160"/>
      <c r="AE36" s="160"/>
      <c r="AF36" s="160"/>
      <c r="AG36" s="160"/>
      <c r="AH36" s="160"/>
      <c r="AI36" s="161"/>
      <c r="AK36" s="168"/>
      <c r="AL36" s="169"/>
      <c r="AM36" s="169"/>
      <c r="AN36" s="169"/>
      <c r="AO36" s="169"/>
      <c r="AP36" s="169"/>
      <c r="AQ36" s="169"/>
      <c r="AR36" s="170"/>
      <c r="AT36" s="152"/>
      <c r="AU36" s="152"/>
      <c r="AV36" s="152"/>
      <c r="AW36" s="152"/>
      <c r="AX36" s="152"/>
      <c r="AY36" s="152"/>
      <c r="AZ36" s="152"/>
      <c r="BA36" s="152"/>
    </row>
    <row r="37" spans="1:53" x14ac:dyDescent="0.3">
      <c r="A37" s="152"/>
      <c r="B37" s="152"/>
      <c r="C37" s="152"/>
      <c r="D37" s="152"/>
      <c r="E37" s="152"/>
      <c r="F37" s="152"/>
      <c r="G37" s="152"/>
      <c r="H37" s="152"/>
      <c r="J37" s="152"/>
      <c r="K37" s="152"/>
      <c r="L37" s="152"/>
      <c r="M37" s="152"/>
      <c r="N37" s="152"/>
      <c r="O37" s="152"/>
      <c r="P37" s="152"/>
      <c r="Q37" s="152"/>
      <c r="S37" s="152"/>
      <c r="T37" s="152"/>
      <c r="U37" s="152"/>
      <c r="V37" s="152"/>
      <c r="W37" s="152"/>
      <c r="X37" s="152"/>
      <c r="Y37" s="152"/>
      <c r="Z37" s="152"/>
      <c r="AB37" s="159"/>
      <c r="AC37" s="160"/>
      <c r="AD37" s="160"/>
      <c r="AE37" s="160"/>
      <c r="AF37" s="160"/>
      <c r="AG37" s="160"/>
      <c r="AH37" s="160"/>
      <c r="AI37" s="161"/>
      <c r="AK37" s="168"/>
      <c r="AL37" s="169"/>
      <c r="AM37" s="169"/>
      <c r="AN37" s="169"/>
      <c r="AO37" s="169"/>
      <c r="AP37" s="169"/>
      <c r="AQ37" s="169"/>
      <c r="AR37" s="170"/>
      <c r="AT37" s="152"/>
      <c r="AU37" s="152"/>
      <c r="AV37" s="152"/>
      <c r="AW37" s="152"/>
      <c r="AX37" s="152"/>
      <c r="AY37" s="152"/>
      <c r="AZ37" s="152"/>
      <c r="BA37" s="152"/>
    </row>
    <row r="38" spans="1:53" x14ac:dyDescent="0.3">
      <c r="A38" s="152"/>
      <c r="B38" s="152"/>
      <c r="C38" s="152"/>
      <c r="D38" s="152"/>
      <c r="E38" s="152"/>
      <c r="F38" s="152"/>
      <c r="G38" s="152"/>
      <c r="H38" s="152"/>
      <c r="J38" s="152"/>
      <c r="K38" s="152"/>
      <c r="L38" s="152"/>
      <c r="M38" s="152"/>
      <c r="N38" s="152"/>
      <c r="O38" s="152"/>
      <c r="P38" s="152"/>
      <c r="Q38" s="152"/>
      <c r="S38" s="152"/>
      <c r="T38" s="152"/>
      <c r="U38" s="152"/>
      <c r="V38" s="152"/>
      <c r="W38" s="152"/>
      <c r="X38" s="152"/>
      <c r="Y38" s="152"/>
      <c r="Z38" s="152"/>
      <c r="AB38" s="159"/>
      <c r="AC38" s="160"/>
      <c r="AD38" s="160"/>
      <c r="AE38" s="160"/>
      <c r="AF38" s="160"/>
      <c r="AG38" s="160"/>
      <c r="AH38" s="160"/>
      <c r="AI38" s="161"/>
      <c r="AK38" s="168"/>
      <c r="AL38" s="169"/>
      <c r="AM38" s="169"/>
      <c r="AN38" s="169"/>
      <c r="AO38" s="169"/>
      <c r="AP38" s="169"/>
      <c r="AQ38" s="169"/>
      <c r="AR38" s="170"/>
      <c r="AT38" s="152"/>
      <c r="AU38" s="152"/>
      <c r="AV38" s="152"/>
      <c r="AW38" s="152"/>
      <c r="AX38" s="152"/>
      <c r="AY38" s="152"/>
      <c r="AZ38" s="152"/>
      <c r="BA38" s="152"/>
    </row>
    <row r="39" spans="1:53" x14ac:dyDescent="0.3">
      <c r="A39" s="152"/>
      <c r="B39" s="152"/>
      <c r="C39" s="152"/>
      <c r="D39" s="152"/>
      <c r="E39" s="152"/>
      <c r="F39" s="152"/>
      <c r="G39" s="152"/>
      <c r="H39" s="152"/>
      <c r="J39" s="152"/>
      <c r="K39" s="152"/>
      <c r="L39" s="152"/>
      <c r="M39" s="152"/>
      <c r="N39" s="152"/>
      <c r="O39" s="152"/>
      <c r="P39" s="152"/>
      <c r="Q39" s="152"/>
      <c r="S39" s="152"/>
      <c r="T39" s="152"/>
      <c r="U39" s="152"/>
      <c r="V39" s="152"/>
      <c r="W39" s="152"/>
      <c r="X39" s="152"/>
      <c r="Y39" s="152"/>
      <c r="Z39" s="152"/>
      <c r="AB39" s="159"/>
      <c r="AC39" s="160"/>
      <c r="AD39" s="160"/>
      <c r="AE39" s="160"/>
      <c r="AF39" s="160"/>
      <c r="AG39" s="160"/>
      <c r="AH39" s="160"/>
      <c r="AI39" s="161"/>
      <c r="AK39" s="168"/>
      <c r="AL39" s="169"/>
      <c r="AM39" s="169"/>
      <c r="AN39" s="169"/>
      <c r="AO39" s="169"/>
      <c r="AP39" s="169"/>
      <c r="AQ39" s="169"/>
      <c r="AR39" s="170"/>
      <c r="AT39" s="152"/>
      <c r="AU39" s="152"/>
      <c r="AV39" s="152"/>
      <c r="AW39" s="152"/>
      <c r="AX39" s="152"/>
      <c r="AY39" s="152"/>
      <c r="AZ39" s="152"/>
      <c r="BA39" s="152"/>
    </row>
    <row r="40" spans="1:53" x14ac:dyDescent="0.3">
      <c r="A40" s="152"/>
      <c r="B40" s="152"/>
      <c r="C40" s="152"/>
      <c r="D40" s="152"/>
      <c r="E40" s="152"/>
      <c r="F40" s="152"/>
      <c r="G40" s="152"/>
      <c r="H40" s="152"/>
      <c r="J40" s="152"/>
      <c r="K40" s="152"/>
      <c r="L40" s="152"/>
      <c r="M40" s="152"/>
      <c r="N40" s="152"/>
      <c r="O40" s="152"/>
      <c r="P40" s="152"/>
      <c r="Q40" s="152"/>
      <c r="S40" s="152"/>
      <c r="T40" s="152"/>
      <c r="U40" s="152"/>
      <c r="V40" s="152"/>
      <c r="W40" s="152"/>
      <c r="X40" s="152"/>
      <c r="Y40" s="152"/>
      <c r="Z40" s="152"/>
      <c r="AB40" s="159"/>
      <c r="AC40" s="160"/>
      <c r="AD40" s="160"/>
      <c r="AE40" s="160"/>
      <c r="AF40" s="160"/>
      <c r="AG40" s="160"/>
      <c r="AH40" s="160"/>
      <c r="AI40" s="161"/>
      <c r="AK40" s="168"/>
      <c r="AL40" s="169"/>
      <c r="AM40" s="169"/>
      <c r="AN40" s="169"/>
      <c r="AO40" s="169"/>
      <c r="AP40" s="169"/>
      <c r="AQ40" s="169"/>
      <c r="AR40" s="170"/>
      <c r="AT40" s="152"/>
      <c r="AU40" s="152"/>
      <c r="AV40" s="152"/>
      <c r="AW40" s="152"/>
      <c r="AX40" s="152"/>
      <c r="AY40" s="152"/>
      <c r="AZ40" s="152"/>
      <c r="BA40" s="152"/>
    </row>
    <row r="41" spans="1:53" x14ac:dyDescent="0.3">
      <c r="A41" s="152"/>
      <c r="B41" s="152"/>
      <c r="C41" s="152"/>
      <c r="D41" s="152"/>
      <c r="E41" s="152"/>
      <c r="F41" s="152"/>
      <c r="G41" s="152"/>
      <c r="H41" s="152"/>
      <c r="J41" s="152"/>
      <c r="K41" s="152"/>
      <c r="L41" s="152"/>
      <c r="M41" s="152"/>
      <c r="N41" s="152"/>
      <c r="O41" s="152"/>
      <c r="P41" s="152"/>
      <c r="Q41" s="152"/>
      <c r="S41" s="152"/>
      <c r="T41" s="152"/>
      <c r="U41" s="152"/>
      <c r="V41" s="152"/>
      <c r="W41" s="152"/>
      <c r="X41" s="152"/>
      <c r="Y41" s="152"/>
      <c r="Z41" s="152"/>
      <c r="AB41" s="159"/>
      <c r="AC41" s="160"/>
      <c r="AD41" s="160"/>
      <c r="AE41" s="160"/>
      <c r="AF41" s="160"/>
      <c r="AG41" s="160"/>
      <c r="AH41" s="160"/>
      <c r="AI41" s="161"/>
      <c r="AK41" s="168"/>
      <c r="AL41" s="169"/>
      <c r="AM41" s="169"/>
      <c r="AN41" s="169"/>
      <c r="AO41" s="169"/>
      <c r="AP41" s="169"/>
      <c r="AQ41" s="169"/>
      <c r="AR41" s="170"/>
      <c r="AT41" s="152"/>
      <c r="AU41" s="152"/>
      <c r="AV41" s="152"/>
      <c r="AW41" s="152"/>
      <c r="AX41" s="152"/>
      <c r="AY41" s="152"/>
      <c r="AZ41" s="152"/>
      <c r="BA41" s="152"/>
    </row>
    <row r="42" spans="1:53" x14ac:dyDescent="0.3">
      <c r="A42" s="152"/>
      <c r="B42" s="152"/>
      <c r="C42" s="152"/>
      <c r="D42" s="152"/>
      <c r="E42" s="152"/>
      <c r="F42" s="152"/>
      <c r="G42" s="152"/>
      <c r="H42" s="152"/>
      <c r="J42" s="152"/>
      <c r="K42" s="152"/>
      <c r="L42" s="152"/>
      <c r="M42" s="152"/>
      <c r="N42" s="152"/>
      <c r="O42" s="152"/>
      <c r="P42" s="152"/>
      <c r="Q42" s="152"/>
      <c r="S42" s="152"/>
      <c r="T42" s="152"/>
      <c r="U42" s="152"/>
      <c r="V42" s="152"/>
      <c r="W42" s="152"/>
      <c r="X42" s="152"/>
      <c r="Y42" s="152"/>
      <c r="Z42" s="152"/>
      <c r="AB42" s="159"/>
      <c r="AC42" s="160"/>
      <c r="AD42" s="160"/>
      <c r="AE42" s="160"/>
      <c r="AF42" s="160"/>
      <c r="AG42" s="160"/>
      <c r="AH42" s="160"/>
      <c r="AI42" s="161"/>
      <c r="AK42" s="168"/>
      <c r="AL42" s="169"/>
      <c r="AM42" s="169"/>
      <c r="AN42" s="169"/>
      <c r="AO42" s="169"/>
      <c r="AP42" s="169"/>
      <c r="AQ42" s="169"/>
      <c r="AR42" s="170"/>
      <c r="AT42" s="152"/>
      <c r="AU42" s="152"/>
      <c r="AV42" s="152"/>
      <c r="AW42" s="152"/>
      <c r="AX42" s="152"/>
      <c r="AY42" s="152"/>
      <c r="AZ42" s="152"/>
      <c r="BA42" s="152"/>
    </row>
    <row r="43" spans="1:53" x14ac:dyDescent="0.3">
      <c r="A43" s="152"/>
      <c r="B43" s="152"/>
      <c r="C43" s="152"/>
      <c r="D43" s="152"/>
      <c r="E43" s="152"/>
      <c r="F43" s="152"/>
      <c r="G43" s="152"/>
      <c r="H43" s="152"/>
      <c r="J43" s="152"/>
      <c r="K43" s="152"/>
      <c r="L43" s="152"/>
      <c r="M43" s="152"/>
      <c r="N43" s="152"/>
      <c r="O43" s="152"/>
      <c r="P43" s="152"/>
      <c r="Q43" s="152"/>
      <c r="S43" s="152"/>
      <c r="T43" s="152"/>
      <c r="U43" s="152"/>
      <c r="V43" s="152"/>
      <c r="W43" s="152"/>
      <c r="X43" s="152"/>
      <c r="Y43" s="152"/>
      <c r="Z43" s="152"/>
      <c r="AB43" s="159"/>
      <c r="AC43" s="160"/>
      <c r="AD43" s="160"/>
      <c r="AE43" s="160"/>
      <c r="AF43" s="160"/>
      <c r="AG43" s="160"/>
      <c r="AH43" s="160"/>
      <c r="AI43" s="161"/>
      <c r="AK43" s="168"/>
      <c r="AL43" s="169"/>
      <c r="AM43" s="169"/>
      <c r="AN43" s="169"/>
      <c r="AO43" s="169"/>
      <c r="AP43" s="169"/>
      <c r="AQ43" s="169"/>
      <c r="AR43" s="170"/>
      <c r="AT43" s="152"/>
      <c r="AU43" s="152"/>
      <c r="AV43" s="152"/>
      <c r="AW43" s="152"/>
      <c r="AX43" s="152"/>
      <c r="AY43" s="152"/>
      <c r="AZ43" s="152"/>
      <c r="BA43" s="152"/>
    </row>
    <row r="44" spans="1:53" x14ac:dyDescent="0.3">
      <c r="A44" s="152"/>
      <c r="B44" s="152"/>
      <c r="C44" s="152"/>
      <c r="D44" s="152"/>
      <c r="E44" s="152"/>
      <c r="F44" s="152"/>
      <c r="G44" s="152"/>
      <c r="H44" s="152"/>
      <c r="J44" s="152"/>
      <c r="K44" s="152"/>
      <c r="L44" s="152"/>
      <c r="M44" s="152"/>
      <c r="N44" s="152"/>
      <c r="O44" s="152"/>
      <c r="P44" s="152"/>
      <c r="Q44" s="152"/>
      <c r="S44" s="152"/>
      <c r="T44" s="152"/>
      <c r="U44" s="152"/>
      <c r="V44" s="152"/>
      <c r="W44" s="152"/>
      <c r="X44" s="152"/>
      <c r="Y44" s="152"/>
      <c r="Z44" s="152"/>
      <c r="AB44" s="159"/>
      <c r="AC44" s="160"/>
      <c r="AD44" s="160"/>
      <c r="AE44" s="160"/>
      <c r="AF44" s="160"/>
      <c r="AG44" s="160"/>
      <c r="AH44" s="160"/>
      <c r="AI44" s="161"/>
      <c r="AK44" s="168"/>
      <c r="AL44" s="169"/>
      <c r="AM44" s="169"/>
      <c r="AN44" s="169"/>
      <c r="AO44" s="169"/>
      <c r="AP44" s="169"/>
      <c r="AQ44" s="169"/>
      <c r="AR44" s="170"/>
      <c r="AT44" s="152"/>
      <c r="AU44" s="152"/>
      <c r="AV44" s="152"/>
      <c r="AW44" s="152"/>
      <c r="AX44" s="152"/>
      <c r="AY44" s="152"/>
      <c r="AZ44" s="152"/>
      <c r="BA44" s="152"/>
    </row>
    <row r="45" spans="1:53" x14ac:dyDescent="0.3">
      <c r="A45" s="152"/>
      <c r="B45" s="152"/>
      <c r="C45" s="152"/>
      <c r="D45" s="152"/>
      <c r="E45" s="152"/>
      <c r="F45" s="152"/>
      <c r="G45" s="152"/>
      <c r="H45" s="152"/>
      <c r="J45" s="152"/>
      <c r="K45" s="152"/>
      <c r="L45" s="152"/>
      <c r="M45" s="152"/>
      <c r="N45" s="152"/>
      <c r="O45" s="152"/>
      <c r="P45" s="152"/>
      <c r="Q45" s="152"/>
      <c r="S45" s="152"/>
      <c r="T45" s="152"/>
      <c r="U45" s="152"/>
      <c r="V45" s="152"/>
      <c r="W45" s="152"/>
      <c r="X45" s="152"/>
      <c r="Y45" s="152"/>
      <c r="Z45" s="152"/>
      <c r="AB45" s="159"/>
      <c r="AC45" s="160"/>
      <c r="AD45" s="160"/>
      <c r="AE45" s="160"/>
      <c r="AF45" s="160"/>
      <c r="AG45" s="160"/>
      <c r="AH45" s="160"/>
      <c r="AI45" s="161"/>
      <c r="AK45" s="168"/>
      <c r="AL45" s="169"/>
      <c r="AM45" s="169"/>
      <c r="AN45" s="169"/>
      <c r="AO45" s="169"/>
      <c r="AP45" s="169"/>
      <c r="AQ45" s="169"/>
      <c r="AR45" s="170"/>
      <c r="AT45" s="152"/>
      <c r="AU45" s="152"/>
      <c r="AV45" s="152"/>
      <c r="AW45" s="152"/>
      <c r="AX45" s="152"/>
      <c r="AY45" s="152"/>
      <c r="AZ45" s="152"/>
      <c r="BA45" s="152"/>
    </row>
    <row r="46" spans="1:53" x14ac:dyDescent="0.3">
      <c r="A46" s="152"/>
      <c r="B46" s="152"/>
      <c r="C46" s="152"/>
      <c r="D46" s="152"/>
      <c r="E46" s="152"/>
      <c r="F46" s="152"/>
      <c r="G46" s="152"/>
      <c r="H46" s="152"/>
      <c r="J46" s="152"/>
      <c r="K46" s="152"/>
      <c r="L46" s="152"/>
      <c r="M46" s="152"/>
      <c r="N46" s="152"/>
      <c r="O46" s="152"/>
      <c r="P46" s="152"/>
      <c r="Q46" s="152"/>
      <c r="S46" s="152"/>
      <c r="T46" s="152"/>
      <c r="U46" s="152"/>
      <c r="V46" s="152"/>
      <c r="W46" s="152"/>
      <c r="X46" s="152"/>
      <c r="Y46" s="152"/>
      <c r="Z46" s="152"/>
      <c r="AB46" s="159"/>
      <c r="AC46" s="160"/>
      <c r="AD46" s="160"/>
      <c r="AE46" s="160"/>
      <c r="AF46" s="160"/>
      <c r="AG46" s="160"/>
      <c r="AH46" s="160"/>
      <c r="AI46" s="161"/>
      <c r="AK46" s="168"/>
      <c r="AL46" s="169"/>
      <c r="AM46" s="169"/>
      <c r="AN46" s="169"/>
      <c r="AO46" s="169"/>
      <c r="AP46" s="169"/>
      <c r="AQ46" s="169"/>
      <c r="AR46" s="170"/>
      <c r="AT46" s="152"/>
      <c r="AU46" s="152"/>
      <c r="AV46" s="152"/>
      <c r="AW46" s="152"/>
      <c r="AX46" s="152"/>
      <c r="AY46" s="152"/>
      <c r="AZ46" s="152"/>
      <c r="BA46" s="152"/>
    </row>
    <row r="47" spans="1:53" x14ac:dyDescent="0.3">
      <c r="A47" s="152"/>
      <c r="B47" s="152"/>
      <c r="C47" s="152"/>
      <c r="D47" s="152"/>
      <c r="E47" s="152"/>
      <c r="F47" s="152"/>
      <c r="G47" s="152"/>
      <c r="H47" s="152"/>
      <c r="J47" s="152"/>
      <c r="K47" s="152"/>
      <c r="L47" s="152"/>
      <c r="M47" s="152"/>
      <c r="N47" s="152"/>
      <c r="O47" s="152"/>
      <c r="P47" s="152"/>
      <c r="Q47" s="152"/>
      <c r="S47" s="152"/>
      <c r="T47" s="152"/>
      <c r="U47" s="152"/>
      <c r="V47" s="152"/>
      <c r="W47" s="152"/>
      <c r="X47" s="152"/>
      <c r="Y47" s="152"/>
      <c r="Z47" s="152"/>
      <c r="AB47" s="159"/>
      <c r="AC47" s="160"/>
      <c r="AD47" s="160"/>
      <c r="AE47" s="160"/>
      <c r="AF47" s="160"/>
      <c r="AG47" s="160"/>
      <c r="AH47" s="160"/>
      <c r="AI47" s="161"/>
      <c r="AK47" s="168"/>
      <c r="AL47" s="169"/>
      <c r="AM47" s="169"/>
      <c r="AN47" s="169"/>
      <c r="AO47" s="169"/>
      <c r="AP47" s="169"/>
      <c r="AQ47" s="169"/>
      <c r="AR47" s="170"/>
      <c r="AT47" s="152"/>
      <c r="AU47" s="152"/>
      <c r="AV47" s="152"/>
      <c r="AW47" s="152"/>
      <c r="AX47" s="152"/>
      <c r="AY47" s="152"/>
      <c r="AZ47" s="152"/>
      <c r="BA47" s="152"/>
    </row>
    <row r="48" spans="1:53" x14ac:dyDescent="0.3">
      <c r="A48" s="152"/>
      <c r="B48" s="152"/>
      <c r="C48" s="152"/>
      <c r="D48" s="152"/>
      <c r="E48" s="152"/>
      <c r="F48" s="152"/>
      <c r="G48" s="152"/>
      <c r="H48" s="152"/>
      <c r="J48" s="152"/>
      <c r="K48" s="152"/>
      <c r="L48" s="152"/>
      <c r="M48" s="152"/>
      <c r="N48" s="152"/>
      <c r="O48" s="152"/>
      <c r="P48" s="152"/>
      <c r="Q48" s="152"/>
      <c r="S48" s="152"/>
      <c r="T48" s="152"/>
      <c r="U48" s="152"/>
      <c r="V48" s="152"/>
      <c r="W48" s="152"/>
      <c r="X48" s="152"/>
      <c r="Y48" s="152"/>
      <c r="Z48" s="152"/>
      <c r="AB48" s="159"/>
      <c r="AC48" s="160"/>
      <c r="AD48" s="160"/>
      <c r="AE48" s="160"/>
      <c r="AF48" s="160"/>
      <c r="AG48" s="160"/>
      <c r="AH48" s="160"/>
      <c r="AI48" s="161"/>
      <c r="AK48" s="168"/>
      <c r="AL48" s="169"/>
      <c r="AM48" s="169"/>
      <c r="AN48" s="169"/>
      <c r="AO48" s="169"/>
      <c r="AP48" s="169"/>
      <c r="AQ48" s="169"/>
      <c r="AR48" s="170"/>
      <c r="AT48" s="152"/>
      <c r="AU48" s="152"/>
      <c r="AV48" s="152"/>
      <c r="AW48" s="152"/>
      <c r="AX48" s="152"/>
      <c r="AY48" s="152"/>
      <c r="AZ48" s="152"/>
      <c r="BA48" s="152"/>
    </row>
    <row r="49" spans="1:53" x14ac:dyDescent="0.3">
      <c r="A49" s="152"/>
      <c r="B49" s="152"/>
      <c r="C49" s="152"/>
      <c r="D49" s="152"/>
      <c r="E49" s="152"/>
      <c r="F49" s="152"/>
      <c r="G49" s="152"/>
      <c r="H49" s="152"/>
      <c r="J49" s="152"/>
      <c r="K49" s="152"/>
      <c r="L49" s="152"/>
      <c r="M49" s="152"/>
      <c r="N49" s="152"/>
      <c r="O49" s="152"/>
      <c r="P49" s="152"/>
      <c r="Q49" s="152"/>
      <c r="S49" s="152"/>
      <c r="T49" s="152"/>
      <c r="U49" s="152"/>
      <c r="V49" s="152"/>
      <c r="W49" s="152"/>
      <c r="X49" s="152"/>
      <c r="Y49" s="152"/>
      <c r="Z49" s="152"/>
      <c r="AB49" s="159"/>
      <c r="AC49" s="160"/>
      <c r="AD49" s="160"/>
      <c r="AE49" s="160"/>
      <c r="AF49" s="160"/>
      <c r="AG49" s="160"/>
      <c r="AH49" s="160"/>
      <c r="AI49" s="161"/>
      <c r="AK49" s="168"/>
      <c r="AL49" s="169"/>
      <c r="AM49" s="169"/>
      <c r="AN49" s="169"/>
      <c r="AO49" s="169"/>
      <c r="AP49" s="169"/>
      <c r="AQ49" s="169"/>
      <c r="AR49" s="170"/>
      <c r="AT49" s="152"/>
      <c r="AU49" s="152"/>
      <c r="AV49" s="152"/>
      <c r="AW49" s="152"/>
      <c r="AX49" s="152"/>
      <c r="AY49" s="152"/>
      <c r="AZ49" s="152"/>
      <c r="BA49" s="152"/>
    </row>
    <row r="50" spans="1:53" x14ac:dyDescent="0.3">
      <c r="A50" s="152"/>
      <c r="B50" s="152"/>
      <c r="C50" s="152"/>
      <c r="D50" s="152"/>
      <c r="E50" s="152"/>
      <c r="F50" s="152"/>
      <c r="G50" s="152"/>
      <c r="H50" s="152"/>
      <c r="J50" s="152"/>
      <c r="K50" s="152"/>
      <c r="L50" s="152"/>
      <c r="M50" s="152"/>
      <c r="N50" s="152"/>
      <c r="O50" s="152"/>
      <c r="P50" s="152"/>
      <c r="Q50" s="152"/>
      <c r="S50" s="152"/>
      <c r="T50" s="152"/>
      <c r="U50" s="152"/>
      <c r="V50" s="152"/>
      <c r="W50" s="152"/>
      <c r="X50" s="152"/>
      <c r="Y50" s="152"/>
      <c r="Z50" s="152"/>
      <c r="AB50" s="159"/>
      <c r="AC50" s="160"/>
      <c r="AD50" s="160"/>
      <c r="AE50" s="160"/>
      <c r="AF50" s="160"/>
      <c r="AG50" s="160"/>
      <c r="AH50" s="160"/>
      <c r="AI50" s="161"/>
      <c r="AK50" s="168"/>
      <c r="AL50" s="169"/>
      <c r="AM50" s="169"/>
      <c r="AN50" s="169"/>
      <c r="AO50" s="169"/>
      <c r="AP50" s="169"/>
      <c r="AQ50" s="169"/>
      <c r="AR50" s="170"/>
      <c r="AT50" s="152"/>
      <c r="AU50" s="152"/>
      <c r="AV50" s="152"/>
      <c r="AW50" s="152"/>
      <c r="AX50" s="152"/>
      <c r="AY50" s="152"/>
      <c r="AZ50" s="152"/>
      <c r="BA50" s="152"/>
    </row>
    <row r="51" spans="1:53" x14ac:dyDescent="0.3">
      <c r="A51" s="152"/>
      <c r="B51" s="152"/>
      <c r="C51" s="152"/>
      <c r="D51" s="152"/>
      <c r="E51" s="152"/>
      <c r="F51" s="152"/>
      <c r="G51" s="152"/>
      <c r="H51" s="152"/>
      <c r="J51" s="152"/>
      <c r="K51" s="152"/>
      <c r="L51" s="152"/>
      <c r="M51" s="152"/>
      <c r="N51" s="152"/>
      <c r="O51" s="152"/>
      <c r="P51" s="152"/>
      <c r="Q51" s="152"/>
      <c r="S51" s="152"/>
      <c r="T51" s="152"/>
      <c r="U51" s="152"/>
      <c r="V51" s="152"/>
      <c r="W51" s="152"/>
      <c r="X51" s="152"/>
      <c r="Y51" s="152"/>
      <c r="Z51" s="152"/>
      <c r="AB51" s="162"/>
      <c r="AC51" s="163"/>
      <c r="AD51" s="163"/>
      <c r="AE51" s="163"/>
      <c r="AF51" s="163"/>
      <c r="AG51" s="163"/>
      <c r="AH51" s="163"/>
      <c r="AI51" s="164"/>
      <c r="AK51" s="171"/>
      <c r="AL51" s="172"/>
      <c r="AM51" s="172"/>
      <c r="AN51" s="172"/>
      <c r="AO51" s="172"/>
      <c r="AP51" s="172"/>
      <c r="AQ51" s="172"/>
      <c r="AR51" s="173"/>
      <c r="AT51" s="152"/>
      <c r="AU51" s="152"/>
      <c r="AV51" s="152"/>
      <c r="AW51" s="152"/>
      <c r="AX51" s="152"/>
      <c r="AY51" s="152"/>
      <c r="AZ51" s="152"/>
      <c r="BA51" s="152"/>
    </row>
    <row r="52" spans="1:53" x14ac:dyDescent="0.3">
      <c r="A52" s="93" t="s">
        <v>394</v>
      </c>
      <c r="B52" s="93"/>
      <c r="C52" s="93"/>
      <c r="D52" s="93"/>
      <c r="E52" s="93"/>
      <c r="F52" s="93"/>
      <c r="G52" s="93"/>
      <c r="H52" s="9" t="str">
        <f>IF(COUNTIF(H53:H56,"="&amp;IncompleteText),IncompleteText,IF(COUNTIF(H53:H56,"="&amp;ErrorText),ErrorText,OKText))</f>
        <v>OK</v>
      </c>
      <c r="J52" s="93" t="s">
        <v>395</v>
      </c>
      <c r="K52" s="93"/>
      <c r="L52" s="93"/>
      <c r="M52" s="93"/>
      <c r="N52" s="93"/>
      <c r="O52" s="93"/>
      <c r="P52" s="93"/>
      <c r="Q52" s="9" t="str">
        <f>IF(COUNTIF(Q53:Q55,"="&amp;IncompleteText),IncompleteText,IF(COUNTIF(Q53:Q55,"="&amp;ErrorText),ErrorText,OKText))</f>
        <v>OK</v>
      </c>
      <c r="S52" s="93" t="s">
        <v>396</v>
      </c>
      <c r="T52" s="93"/>
      <c r="U52" s="93"/>
      <c r="V52" s="93"/>
      <c r="W52" s="93"/>
      <c r="X52" s="93"/>
      <c r="Y52" s="93"/>
      <c r="Z52" s="9" t="str">
        <f>IF(COUNTIF(Z53:Z54,"="&amp;IncompleteText),IncompleteText,IF(COUNTIF(Z53:Z54,"="&amp;ErrorText),ErrorText,OKText))</f>
        <v>OK</v>
      </c>
      <c r="AB52" s="129" t="s">
        <v>397</v>
      </c>
      <c r="AC52" s="129"/>
      <c r="AD52" s="129"/>
      <c r="AE52" s="129"/>
      <c r="AF52" s="129"/>
      <c r="AG52" s="129"/>
      <c r="AH52" s="129"/>
      <c r="AI52" s="9" t="str">
        <f>IF(COUNTIF(AI53,"="&amp;IncompleteText),IncompleteText,IF(COUNTIF(AI53,"="&amp;ErrorText),ErrorText,OKText))</f>
        <v>OK</v>
      </c>
      <c r="AK52" s="129" t="s">
        <v>400</v>
      </c>
      <c r="AL52" s="129"/>
      <c r="AM52" s="129"/>
      <c r="AN52" s="129"/>
      <c r="AO52" s="129"/>
      <c r="AP52" s="129"/>
      <c r="AQ52" s="129"/>
      <c r="AR52" s="9" t="str">
        <f>IF(COUNTIF(AR53,"="&amp;IncompleteText),IncompleteText,IF(COUNTIF(AR53,"="&amp;ErrorText),ErrorText,OKText))</f>
        <v>OK</v>
      </c>
      <c r="AT52" s="93" t="s">
        <v>401</v>
      </c>
      <c r="AU52" s="93"/>
      <c r="AV52" s="93"/>
      <c r="AW52" s="93"/>
      <c r="AX52" s="93"/>
      <c r="AY52" s="93"/>
      <c r="AZ52" s="93"/>
      <c r="BA52" s="9" t="str">
        <f>IF(COUNTIF(BA53,"="&amp;IncompleteText),IncompleteText,IF(COUNTIF(BA53,"="&amp;ErrorText),ErrorText,OKText))</f>
        <v>OK</v>
      </c>
    </row>
    <row r="53" spans="1:53" s="18" customFormat="1" ht="37.5" customHeight="1" x14ac:dyDescent="0.3">
      <c r="A53" s="118" t="s">
        <v>402</v>
      </c>
      <c r="B53" s="118"/>
      <c r="C53" s="118"/>
      <c r="D53" s="118"/>
      <c r="E53" s="118"/>
      <c r="F53" s="118"/>
      <c r="G53" s="23" t="b">
        <v>1</v>
      </c>
      <c r="H53" s="6" t="str">
        <f>IF(ISBLANK(G53),IncompleteText,IF(G53,OKText,ErrorText))</f>
        <v>OK</v>
      </c>
      <c r="J53" s="118" t="s">
        <v>403</v>
      </c>
      <c r="K53" s="118"/>
      <c r="L53" s="118"/>
      <c r="M53" s="118"/>
      <c r="N53" s="118"/>
      <c r="O53" s="119"/>
      <c r="P53" s="23" t="b">
        <v>1</v>
      </c>
      <c r="Q53" s="6" t="str">
        <f>IF(ISBLANK(P53),IncompleteText,IF(P53,OKText,ErrorText))</f>
        <v>OK</v>
      </c>
      <c r="S53" s="130" t="s">
        <v>404</v>
      </c>
      <c r="T53" s="130"/>
      <c r="U53" s="130"/>
      <c r="V53" s="130"/>
      <c r="W53" s="130"/>
      <c r="X53" s="131"/>
      <c r="Y53" s="23" t="b">
        <v>1</v>
      </c>
      <c r="Z53" s="6" t="str">
        <f>IF(ISBLANK(Y53),IncompleteText,IF(Y53,OKText,ErrorText))</f>
        <v>OK</v>
      </c>
      <c r="AB53" s="95" t="s">
        <v>405</v>
      </c>
      <c r="AC53" s="95"/>
      <c r="AD53" s="95"/>
      <c r="AE53" s="95"/>
      <c r="AF53" s="95"/>
      <c r="AG53" s="96"/>
      <c r="AH53" s="23" t="b">
        <v>1</v>
      </c>
      <c r="AI53" s="6" t="str">
        <f>IF(ISBLANK(AH53),IncompleteText,IF(AH53,OKText,ErrorText))</f>
        <v>OK</v>
      </c>
      <c r="AK53" s="95" t="s">
        <v>406</v>
      </c>
      <c r="AL53" s="95"/>
      <c r="AM53" s="95"/>
      <c r="AN53" s="95"/>
      <c r="AO53" s="95"/>
      <c r="AP53" s="96"/>
      <c r="AQ53" s="23" t="b">
        <v>1</v>
      </c>
      <c r="AR53" s="6" t="str">
        <f>IF(ISBLANK(AQ53),IncompleteText,IF(AQ53,OKText,ErrorText))</f>
        <v>OK</v>
      </c>
      <c r="AT53" s="95" t="s">
        <v>407</v>
      </c>
      <c r="AU53" s="95"/>
      <c r="AV53" s="95"/>
      <c r="AW53" s="95"/>
      <c r="AX53" s="95"/>
      <c r="AY53" s="96"/>
      <c r="AZ53" s="23" t="b">
        <v>1</v>
      </c>
      <c r="BA53" s="6" t="str">
        <f>IF(ISBLANK(AZ53),IncompleteText,IF(AZ53,OKText,ErrorText))</f>
        <v>OK</v>
      </c>
    </row>
    <row r="54" spans="1:53" ht="28" x14ac:dyDescent="0.3">
      <c r="A54" s="118" t="s">
        <v>408</v>
      </c>
      <c r="B54" s="118"/>
      <c r="C54" s="118"/>
      <c r="D54" s="118"/>
      <c r="E54" s="118"/>
      <c r="F54" s="118"/>
      <c r="G54" s="15" t="b">
        <v>1</v>
      </c>
      <c r="H54" s="9" t="str">
        <f>IF(ISBLANK(G54),IncompleteText,IF(G54,OKText,ErrorText))</f>
        <v>OK</v>
      </c>
      <c r="J54" s="118" t="s">
        <v>409</v>
      </c>
      <c r="K54" s="118"/>
      <c r="L54" s="118"/>
      <c r="M54" s="118"/>
      <c r="N54" s="118"/>
      <c r="O54" s="119"/>
      <c r="P54" s="15" t="b">
        <v>1</v>
      </c>
      <c r="Q54" s="9" t="str">
        <f>IF(ISBLANK(P54),IncompleteText,IF(P54,OKText,ErrorText))</f>
        <v>OK</v>
      </c>
      <c r="S54" s="132" t="s">
        <v>410</v>
      </c>
      <c r="T54" s="132"/>
      <c r="U54" s="132"/>
      <c r="V54" s="132"/>
      <c r="W54" s="132"/>
      <c r="X54" s="133"/>
      <c r="Y54" s="15" t="b">
        <v>1</v>
      </c>
      <c r="Z54" s="9" t="str">
        <f>IF(ISBLANK(Y54),IncompleteText,IF(Y54,OKText,ErrorText))</f>
        <v>OK</v>
      </c>
      <c r="AB54" s="134" t="s">
        <v>321</v>
      </c>
      <c r="AC54" s="134"/>
      <c r="AD54" s="134"/>
      <c r="AE54" s="134"/>
      <c r="AF54" s="134"/>
      <c r="AG54" s="134"/>
      <c r="AH54" s="135"/>
      <c r="AI54" s="40" t="s">
        <v>269</v>
      </c>
      <c r="AK54" s="134" t="s">
        <v>321</v>
      </c>
      <c r="AL54" s="134"/>
      <c r="AM54" s="134"/>
      <c r="AN54" s="134"/>
      <c r="AO54" s="134"/>
      <c r="AP54" s="134"/>
      <c r="AQ54" s="135"/>
      <c r="AR54" s="40" t="s">
        <v>269</v>
      </c>
      <c r="AT54" s="93" t="s">
        <v>321</v>
      </c>
      <c r="AU54" s="93"/>
      <c r="AV54" s="93"/>
      <c r="AW54" s="93"/>
      <c r="AX54" s="93"/>
      <c r="AY54" s="93"/>
      <c r="AZ54" s="93"/>
      <c r="BA54" s="40" t="s">
        <v>269</v>
      </c>
    </row>
    <row r="55" spans="1:53" ht="27.75" customHeight="1" x14ac:dyDescent="0.3">
      <c r="A55" s="118" t="s">
        <v>411</v>
      </c>
      <c r="B55" s="118"/>
      <c r="C55" s="118"/>
      <c r="D55" s="118"/>
      <c r="E55" s="118"/>
      <c r="F55" s="118"/>
      <c r="G55" s="15" t="b">
        <v>1</v>
      </c>
      <c r="H55" s="9" t="str">
        <f>IF(ISBLANK(G55),IncompleteText,IF(G55,OKText,ErrorText))</f>
        <v>OK</v>
      </c>
      <c r="J55" s="130" t="s">
        <v>412</v>
      </c>
      <c r="K55" s="130"/>
      <c r="L55" s="130"/>
      <c r="M55" s="130"/>
      <c r="N55" s="130"/>
      <c r="O55" s="131"/>
      <c r="P55" s="15" t="b">
        <v>1</v>
      </c>
      <c r="Q55" s="9" t="str">
        <f>IF(ISBLANK(P55),IncompleteText,IF(P55,OKText,ErrorText))</f>
        <v>OK</v>
      </c>
      <c r="S55" s="183" t="s">
        <v>321</v>
      </c>
      <c r="T55" s="183"/>
      <c r="U55" s="183"/>
      <c r="V55" s="183"/>
      <c r="W55" s="183"/>
      <c r="X55" s="183"/>
      <c r="Y55" s="183"/>
      <c r="Z55" s="147" t="s">
        <v>269</v>
      </c>
      <c r="AB55" s="174" t="s">
        <v>413</v>
      </c>
      <c r="AC55" s="175"/>
      <c r="AD55" s="175"/>
      <c r="AE55" s="175"/>
      <c r="AF55" s="175"/>
      <c r="AG55" s="175"/>
      <c r="AH55" s="176"/>
      <c r="AI55" s="140" t="s">
        <v>414</v>
      </c>
      <c r="AK55" s="174" t="s">
        <v>415</v>
      </c>
      <c r="AL55" s="175"/>
      <c r="AM55" s="175"/>
      <c r="AN55" s="175"/>
      <c r="AO55" s="175"/>
      <c r="AP55" s="175"/>
      <c r="AQ55" s="176"/>
      <c r="AR55" s="149" t="s">
        <v>416</v>
      </c>
      <c r="AT55" s="150" t="s">
        <v>417</v>
      </c>
      <c r="AU55" s="151"/>
      <c r="AV55" s="151"/>
      <c r="AW55" s="151"/>
      <c r="AX55" s="151"/>
      <c r="AY55" s="151"/>
      <c r="AZ55" s="151"/>
      <c r="BA55" s="149" t="s">
        <v>416</v>
      </c>
    </row>
    <row r="56" spans="1:53" ht="23" customHeight="1" x14ac:dyDescent="0.3">
      <c r="A56" s="118" t="s">
        <v>418</v>
      </c>
      <c r="B56" s="118"/>
      <c r="C56" s="118"/>
      <c r="D56" s="118"/>
      <c r="E56" s="118"/>
      <c r="F56" s="119"/>
      <c r="G56" s="15" t="b">
        <v>1</v>
      </c>
      <c r="H56" s="9" t="str">
        <f>IF(ISBLANK(G56),IncompleteText,IF(G56,OKText,ErrorText))</f>
        <v>OK</v>
      </c>
      <c r="J56" s="118" t="s">
        <v>419</v>
      </c>
      <c r="K56" s="118"/>
      <c r="L56" s="118"/>
      <c r="M56" s="118"/>
      <c r="N56" s="118"/>
      <c r="O56" s="119"/>
      <c r="P56" s="15" t="b">
        <v>1</v>
      </c>
      <c r="Q56" s="9" t="s">
        <v>420</v>
      </c>
      <c r="S56" s="184"/>
      <c r="T56" s="184"/>
      <c r="U56" s="184"/>
      <c r="V56" s="184"/>
      <c r="W56" s="184"/>
      <c r="X56" s="184"/>
      <c r="Y56" s="184"/>
      <c r="Z56" s="148"/>
      <c r="AB56" s="177"/>
      <c r="AC56" s="178"/>
      <c r="AD56" s="178"/>
      <c r="AE56" s="178"/>
      <c r="AF56" s="178"/>
      <c r="AG56" s="178"/>
      <c r="AH56" s="179"/>
      <c r="AI56" s="140"/>
      <c r="AK56" s="177"/>
      <c r="AL56" s="178"/>
      <c r="AM56" s="178"/>
      <c r="AN56" s="178"/>
      <c r="AO56" s="178"/>
      <c r="AP56" s="178"/>
      <c r="AQ56" s="179"/>
      <c r="AR56" s="149"/>
      <c r="AT56" s="151"/>
      <c r="AU56" s="151"/>
      <c r="AV56" s="151"/>
      <c r="AW56" s="151"/>
      <c r="AX56" s="151"/>
      <c r="AY56" s="151"/>
      <c r="AZ56" s="151"/>
      <c r="BA56" s="149"/>
    </row>
    <row r="57" spans="1:53" x14ac:dyDescent="0.3">
      <c r="A57" s="93" t="s">
        <v>321</v>
      </c>
      <c r="B57" s="93"/>
      <c r="C57" s="93"/>
      <c r="D57" s="93"/>
      <c r="E57" s="93"/>
      <c r="F57" s="93"/>
      <c r="G57" s="93"/>
      <c r="H57" s="41" t="s">
        <v>269</v>
      </c>
      <c r="J57" s="93" t="s">
        <v>321</v>
      </c>
      <c r="K57" s="93"/>
      <c r="L57" s="93"/>
      <c r="M57" s="93"/>
      <c r="N57" s="93"/>
      <c r="O57" s="93"/>
      <c r="P57" s="93"/>
      <c r="Q57" s="41" t="s">
        <v>269</v>
      </c>
      <c r="S57" s="150" t="s">
        <v>421</v>
      </c>
      <c r="T57" s="151"/>
      <c r="U57" s="151"/>
      <c r="V57" s="151"/>
      <c r="W57" s="151"/>
      <c r="X57" s="151"/>
      <c r="Y57" s="151"/>
      <c r="Z57" s="140" t="s">
        <v>422</v>
      </c>
      <c r="AB57" s="177"/>
      <c r="AC57" s="178"/>
      <c r="AD57" s="178"/>
      <c r="AE57" s="178"/>
      <c r="AF57" s="178"/>
      <c r="AG57" s="178"/>
      <c r="AH57" s="179"/>
      <c r="AI57" s="140"/>
      <c r="AK57" s="177"/>
      <c r="AL57" s="178"/>
      <c r="AM57" s="178"/>
      <c r="AN57" s="178"/>
      <c r="AO57" s="178"/>
      <c r="AP57" s="178"/>
      <c r="AQ57" s="179"/>
      <c r="AR57" s="149"/>
      <c r="AT57" s="151"/>
      <c r="AU57" s="151"/>
      <c r="AV57" s="151"/>
      <c r="AW57" s="151"/>
      <c r="AX57" s="151"/>
      <c r="AY57" s="151"/>
      <c r="AZ57" s="151"/>
      <c r="BA57" s="149"/>
    </row>
    <row r="58" spans="1:53" x14ac:dyDescent="0.3">
      <c r="A58" s="185" t="s">
        <v>423</v>
      </c>
      <c r="B58" s="153"/>
      <c r="C58" s="153"/>
      <c r="D58" s="153"/>
      <c r="E58" s="153"/>
      <c r="F58" s="153"/>
      <c r="G58" s="153"/>
      <c r="H58" s="140" t="s">
        <v>290</v>
      </c>
      <c r="J58" s="185" t="s">
        <v>424</v>
      </c>
      <c r="K58" s="153"/>
      <c r="L58" s="153"/>
      <c r="M58" s="153"/>
      <c r="N58" s="153"/>
      <c r="O58" s="153"/>
      <c r="P58" s="153"/>
      <c r="Q58" s="141" t="s">
        <v>425</v>
      </c>
      <c r="S58" s="151"/>
      <c r="T58" s="151"/>
      <c r="U58" s="151"/>
      <c r="V58" s="151"/>
      <c r="W58" s="151"/>
      <c r="X58" s="151"/>
      <c r="Y58" s="151"/>
      <c r="Z58" s="140"/>
      <c r="AB58" s="177"/>
      <c r="AC58" s="178"/>
      <c r="AD58" s="178"/>
      <c r="AE58" s="178"/>
      <c r="AF58" s="178"/>
      <c r="AG58" s="178"/>
      <c r="AH58" s="179"/>
      <c r="AI58" s="140"/>
      <c r="AK58" s="177"/>
      <c r="AL58" s="178"/>
      <c r="AM58" s="178"/>
      <c r="AN58" s="178"/>
      <c r="AO58" s="178"/>
      <c r="AP58" s="178"/>
      <c r="AQ58" s="179"/>
      <c r="AR58" s="149"/>
      <c r="AT58" s="151"/>
      <c r="AU58" s="151"/>
      <c r="AV58" s="151"/>
      <c r="AW58" s="151"/>
      <c r="AX58" s="151"/>
      <c r="AY58" s="151"/>
      <c r="AZ58" s="151"/>
      <c r="BA58" s="149"/>
    </row>
    <row r="59" spans="1:53" x14ac:dyDescent="0.3">
      <c r="A59" s="153"/>
      <c r="B59" s="153"/>
      <c r="C59" s="153"/>
      <c r="D59" s="153"/>
      <c r="E59" s="153"/>
      <c r="F59" s="153"/>
      <c r="G59" s="153"/>
      <c r="H59" s="140"/>
      <c r="J59" s="153"/>
      <c r="K59" s="153"/>
      <c r="L59" s="153"/>
      <c r="M59" s="153"/>
      <c r="N59" s="153"/>
      <c r="O59" s="153"/>
      <c r="P59" s="153"/>
      <c r="Q59" s="142"/>
      <c r="S59" s="151"/>
      <c r="T59" s="151"/>
      <c r="U59" s="151"/>
      <c r="V59" s="151"/>
      <c r="W59" s="151"/>
      <c r="X59" s="151"/>
      <c r="Y59" s="151"/>
      <c r="Z59" s="140"/>
      <c r="AB59" s="180"/>
      <c r="AC59" s="181"/>
      <c r="AD59" s="181"/>
      <c r="AE59" s="181"/>
      <c r="AF59" s="181"/>
      <c r="AG59" s="181"/>
      <c r="AH59" s="182"/>
      <c r="AI59" s="140"/>
      <c r="AK59" s="180"/>
      <c r="AL59" s="181"/>
      <c r="AM59" s="181"/>
      <c r="AN59" s="181"/>
      <c r="AO59" s="181"/>
      <c r="AP59" s="181"/>
      <c r="AQ59" s="182"/>
      <c r="AR59" s="149"/>
      <c r="AT59" s="151"/>
      <c r="AU59" s="151"/>
      <c r="AV59" s="151"/>
      <c r="AW59" s="151"/>
      <c r="AX59" s="151"/>
      <c r="AY59" s="151"/>
      <c r="AZ59" s="151"/>
      <c r="BA59" s="149"/>
    </row>
    <row r="60" spans="1:53" x14ac:dyDescent="0.3">
      <c r="A60" s="153"/>
      <c r="B60" s="153"/>
      <c r="C60" s="153"/>
      <c r="D60" s="153"/>
      <c r="E60" s="153"/>
      <c r="F60" s="153"/>
      <c r="G60" s="153"/>
      <c r="H60" s="140"/>
      <c r="J60" s="153"/>
      <c r="K60" s="153"/>
      <c r="L60" s="153"/>
      <c r="M60" s="153"/>
      <c r="N60" s="153"/>
      <c r="O60" s="153"/>
      <c r="P60" s="153"/>
      <c r="Q60" s="143"/>
      <c r="S60" s="151"/>
      <c r="T60" s="151"/>
      <c r="U60" s="151"/>
      <c r="V60" s="151"/>
      <c r="W60" s="151"/>
      <c r="X60" s="151"/>
      <c r="Y60" s="151"/>
      <c r="Z60" s="140"/>
    </row>
    <row r="64" spans="1:53" x14ac:dyDescent="0.3">
      <c r="A64" s="152" t="s">
        <v>426</v>
      </c>
      <c r="B64" s="152"/>
      <c r="C64" s="152"/>
      <c r="D64" s="152"/>
      <c r="E64" s="152"/>
      <c r="F64" s="152"/>
      <c r="G64" s="152"/>
      <c r="H64" s="152"/>
      <c r="J64" s="154" t="s">
        <v>427</v>
      </c>
      <c r="K64" s="152"/>
      <c r="L64" s="152"/>
      <c r="M64" s="152"/>
      <c r="N64" s="152"/>
      <c r="O64" s="152"/>
      <c r="P64" s="152"/>
      <c r="Q64" s="152"/>
    </row>
    <row r="65" spans="1:17" x14ac:dyDescent="0.3">
      <c r="A65" s="152"/>
      <c r="B65" s="152"/>
      <c r="C65" s="152"/>
      <c r="D65" s="152"/>
      <c r="E65" s="152"/>
      <c r="F65" s="152"/>
      <c r="G65" s="152"/>
      <c r="H65" s="152"/>
      <c r="J65" s="152"/>
      <c r="K65" s="152"/>
      <c r="L65" s="152"/>
      <c r="M65" s="152"/>
      <c r="N65" s="152"/>
      <c r="O65" s="152"/>
      <c r="P65" s="152"/>
      <c r="Q65" s="152"/>
    </row>
    <row r="66" spans="1:17" x14ac:dyDescent="0.3">
      <c r="A66" s="152"/>
      <c r="B66" s="152"/>
      <c r="C66" s="152"/>
      <c r="D66" s="152"/>
      <c r="E66" s="152"/>
      <c r="F66" s="152"/>
      <c r="G66" s="152"/>
      <c r="H66" s="152"/>
      <c r="J66" s="152"/>
      <c r="K66" s="152"/>
      <c r="L66" s="152"/>
      <c r="M66" s="152"/>
      <c r="N66" s="152"/>
      <c r="O66" s="152"/>
      <c r="P66" s="152"/>
      <c r="Q66" s="152"/>
    </row>
    <row r="67" spans="1:17" x14ac:dyDescent="0.3">
      <c r="A67" s="152"/>
      <c r="B67" s="152"/>
      <c r="C67" s="152"/>
      <c r="D67" s="152"/>
      <c r="E67" s="152"/>
      <c r="F67" s="152"/>
      <c r="G67" s="152"/>
      <c r="H67" s="152"/>
      <c r="J67" s="152"/>
      <c r="K67" s="152"/>
      <c r="L67" s="152"/>
      <c r="M67" s="152"/>
      <c r="N67" s="152"/>
      <c r="O67" s="152"/>
      <c r="P67" s="152"/>
      <c r="Q67" s="152"/>
    </row>
    <row r="68" spans="1:17" x14ac:dyDescent="0.3">
      <c r="A68" s="152"/>
      <c r="B68" s="152"/>
      <c r="C68" s="152"/>
      <c r="D68" s="152"/>
      <c r="E68" s="152"/>
      <c r="F68" s="152"/>
      <c r="G68" s="152"/>
      <c r="H68" s="152"/>
      <c r="J68" s="152"/>
      <c r="K68" s="152"/>
      <c r="L68" s="152"/>
      <c r="M68" s="152"/>
      <c r="N68" s="152"/>
      <c r="O68" s="152"/>
      <c r="P68" s="152"/>
      <c r="Q68" s="152"/>
    </row>
    <row r="69" spans="1:17" x14ac:dyDescent="0.3">
      <c r="A69" s="152"/>
      <c r="B69" s="152"/>
      <c r="C69" s="152"/>
      <c r="D69" s="152"/>
      <c r="E69" s="152"/>
      <c r="F69" s="152"/>
      <c r="G69" s="152"/>
      <c r="H69" s="152"/>
      <c r="J69" s="152"/>
      <c r="K69" s="152"/>
      <c r="L69" s="152"/>
      <c r="M69" s="152"/>
      <c r="N69" s="152"/>
      <c r="O69" s="152"/>
      <c r="P69" s="152"/>
      <c r="Q69" s="152"/>
    </row>
    <row r="70" spans="1:17" x14ac:dyDescent="0.3">
      <c r="A70" s="152"/>
      <c r="B70" s="152"/>
      <c r="C70" s="152"/>
      <c r="D70" s="152"/>
      <c r="E70" s="152"/>
      <c r="F70" s="152"/>
      <c r="G70" s="152"/>
      <c r="H70" s="152"/>
      <c r="J70" s="152"/>
      <c r="K70" s="152"/>
      <c r="L70" s="152"/>
      <c r="M70" s="152"/>
      <c r="N70" s="152"/>
      <c r="O70" s="152"/>
      <c r="P70" s="152"/>
      <c r="Q70" s="152"/>
    </row>
    <row r="71" spans="1:17" x14ac:dyDescent="0.3">
      <c r="A71" s="152"/>
      <c r="B71" s="152"/>
      <c r="C71" s="152"/>
      <c r="D71" s="152"/>
      <c r="E71" s="152"/>
      <c r="F71" s="152"/>
      <c r="G71" s="152"/>
      <c r="H71" s="152"/>
      <c r="J71" s="152"/>
      <c r="K71" s="152"/>
      <c r="L71" s="152"/>
      <c r="M71" s="152"/>
      <c r="N71" s="152"/>
      <c r="O71" s="152"/>
      <c r="P71" s="152"/>
      <c r="Q71" s="152"/>
    </row>
    <row r="72" spans="1:17" x14ac:dyDescent="0.3">
      <c r="A72" s="152"/>
      <c r="B72" s="152"/>
      <c r="C72" s="152"/>
      <c r="D72" s="152"/>
      <c r="E72" s="152"/>
      <c r="F72" s="152"/>
      <c r="G72" s="152"/>
      <c r="H72" s="152"/>
      <c r="J72" s="152"/>
      <c r="K72" s="152"/>
      <c r="L72" s="152"/>
      <c r="M72" s="152"/>
      <c r="N72" s="152"/>
      <c r="O72" s="152"/>
      <c r="P72" s="152"/>
      <c r="Q72" s="152"/>
    </row>
    <row r="73" spans="1:17" x14ac:dyDescent="0.3">
      <c r="A73" s="152"/>
      <c r="B73" s="152"/>
      <c r="C73" s="152"/>
      <c r="D73" s="152"/>
      <c r="E73" s="152"/>
      <c r="F73" s="152"/>
      <c r="G73" s="152"/>
      <c r="H73" s="152"/>
      <c r="J73" s="152"/>
      <c r="K73" s="152"/>
      <c r="L73" s="152"/>
      <c r="M73" s="152"/>
      <c r="N73" s="152"/>
      <c r="O73" s="152"/>
      <c r="P73" s="152"/>
      <c r="Q73" s="152"/>
    </row>
    <row r="74" spans="1:17" x14ac:dyDescent="0.3">
      <c r="A74" s="152"/>
      <c r="B74" s="152"/>
      <c r="C74" s="152"/>
      <c r="D74" s="152"/>
      <c r="E74" s="152"/>
      <c r="F74" s="152"/>
      <c r="G74" s="152"/>
      <c r="H74" s="152"/>
      <c r="J74" s="152"/>
      <c r="K74" s="152"/>
      <c r="L74" s="152"/>
      <c r="M74" s="152"/>
      <c r="N74" s="152"/>
      <c r="O74" s="152"/>
      <c r="P74" s="152"/>
      <c r="Q74" s="152"/>
    </row>
    <row r="75" spans="1:17" x14ac:dyDescent="0.3">
      <c r="A75" s="152"/>
      <c r="B75" s="152"/>
      <c r="C75" s="152"/>
      <c r="D75" s="152"/>
      <c r="E75" s="152"/>
      <c r="F75" s="152"/>
      <c r="G75" s="152"/>
      <c r="H75" s="152"/>
      <c r="J75" s="152"/>
      <c r="K75" s="152"/>
      <c r="L75" s="152"/>
      <c r="M75" s="152"/>
      <c r="N75" s="152"/>
      <c r="O75" s="152"/>
      <c r="P75" s="152"/>
      <c r="Q75" s="152"/>
    </row>
    <row r="76" spans="1:17" x14ac:dyDescent="0.3">
      <c r="A76" s="152"/>
      <c r="B76" s="152"/>
      <c r="C76" s="152"/>
      <c r="D76" s="152"/>
      <c r="E76" s="152"/>
      <c r="F76" s="152"/>
      <c r="G76" s="152"/>
      <c r="H76" s="152"/>
      <c r="J76" s="152"/>
      <c r="K76" s="152"/>
      <c r="L76" s="152"/>
      <c r="M76" s="152"/>
      <c r="N76" s="152"/>
      <c r="O76" s="152"/>
      <c r="P76" s="152"/>
      <c r="Q76" s="152"/>
    </row>
    <row r="77" spans="1:17" x14ac:dyDescent="0.3">
      <c r="A77" s="152"/>
      <c r="B77" s="152"/>
      <c r="C77" s="152"/>
      <c r="D77" s="152"/>
      <c r="E77" s="152"/>
      <c r="F77" s="152"/>
      <c r="G77" s="152"/>
      <c r="H77" s="152"/>
      <c r="J77" s="152"/>
      <c r="K77" s="152"/>
      <c r="L77" s="152"/>
      <c r="M77" s="152"/>
      <c r="N77" s="152"/>
      <c r="O77" s="152"/>
      <c r="P77" s="152"/>
      <c r="Q77" s="152"/>
    </row>
    <row r="78" spans="1:17" x14ac:dyDescent="0.3">
      <c r="A78" s="152"/>
      <c r="B78" s="152"/>
      <c r="C78" s="152"/>
      <c r="D78" s="152"/>
      <c r="E78" s="152"/>
      <c r="F78" s="152"/>
      <c r="G78" s="152"/>
      <c r="H78" s="152"/>
      <c r="J78" s="152"/>
      <c r="K78" s="152"/>
      <c r="L78" s="152"/>
      <c r="M78" s="152"/>
      <c r="N78" s="152"/>
      <c r="O78" s="152"/>
      <c r="P78" s="152"/>
      <c r="Q78" s="152"/>
    </row>
    <row r="79" spans="1:17" x14ac:dyDescent="0.3">
      <c r="A79" s="152"/>
      <c r="B79" s="152"/>
      <c r="C79" s="152"/>
      <c r="D79" s="152"/>
      <c r="E79" s="152"/>
      <c r="F79" s="152"/>
      <c r="G79" s="152"/>
      <c r="H79" s="152"/>
      <c r="J79" s="152"/>
      <c r="K79" s="152"/>
      <c r="L79" s="152"/>
      <c r="M79" s="152"/>
      <c r="N79" s="152"/>
      <c r="O79" s="152"/>
      <c r="P79" s="152"/>
      <c r="Q79" s="152"/>
    </row>
    <row r="80" spans="1:17" x14ac:dyDescent="0.3">
      <c r="A80" s="152"/>
      <c r="B80" s="152"/>
      <c r="C80" s="152"/>
      <c r="D80" s="152"/>
      <c r="E80" s="152"/>
      <c r="F80" s="152"/>
      <c r="G80" s="152"/>
      <c r="H80" s="152"/>
      <c r="J80" s="152"/>
      <c r="K80" s="152"/>
      <c r="L80" s="152"/>
      <c r="M80" s="152"/>
      <c r="N80" s="152"/>
      <c r="O80" s="152"/>
      <c r="P80" s="152"/>
      <c r="Q80" s="152"/>
    </row>
    <row r="81" spans="1:17" x14ac:dyDescent="0.3">
      <c r="A81" s="152"/>
      <c r="B81" s="152"/>
      <c r="C81" s="152"/>
      <c r="D81" s="152"/>
      <c r="E81" s="152"/>
      <c r="F81" s="152"/>
      <c r="G81" s="152"/>
      <c r="H81" s="152"/>
      <c r="J81" s="152"/>
      <c r="K81" s="152"/>
      <c r="L81" s="152"/>
      <c r="M81" s="152"/>
      <c r="N81" s="152"/>
      <c r="O81" s="152"/>
      <c r="P81" s="152"/>
      <c r="Q81" s="152"/>
    </row>
    <row r="82" spans="1:17" x14ac:dyDescent="0.3">
      <c r="A82" s="152"/>
      <c r="B82" s="152"/>
      <c r="C82" s="152"/>
      <c r="D82" s="152"/>
      <c r="E82" s="152"/>
      <c r="F82" s="152"/>
      <c r="G82" s="152"/>
      <c r="H82" s="152"/>
      <c r="J82" s="152"/>
      <c r="K82" s="152"/>
      <c r="L82" s="152"/>
      <c r="M82" s="152"/>
      <c r="N82" s="152"/>
      <c r="O82" s="152"/>
      <c r="P82" s="152"/>
      <c r="Q82" s="152"/>
    </row>
    <row r="83" spans="1:17" x14ac:dyDescent="0.3">
      <c r="A83" s="93" t="s">
        <v>426</v>
      </c>
      <c r="B83" s="93"/>
      <c r="C83" s="93"/>
      <c r="D83" s="93"/>
      <c r="E83" s="93"/>
      <c r="F83" s="93"/>
      <c r="G83" s="93"/>
      <c r="H83" s="9" t="str">
        <f>IF(COUNTIF(H84:H92,"="&amp;IncompleteText),IncompleteText,IF(COUNTIF(H84:H92,"="&amp;ErrorText),ErrorText,OKText))</f>
        <v>OK</v>
      </c>
      <c r="J83" s="93" t="s">
        <v>428</v>
      </c>
      <c r="K83" s="93"/>
      <c r="L83" s="93"/>
      <c r="M83" s="93"/>
      <c r="N83" s="93"/>
      <c r="O83" s="93"/>
      <c r="P83" s="93"/>
      <c r="Q83" s="9" t="str">
        <f>IF(P84="否 No",OKText,IF(COUNTIF(Q85:Q87,"="&amp;IncompleteText),IncompleteText,IF(COUNTIF(Q85:Q87,"="&amp;ErrorText),ErrorText,OKText)))</f>
        <v>OK</v>
      </c>
    </row>
    <row r="84" spans="1:17" x14ac:dyDescent="0.3">
      <c r="A84" s="118" t="s">
        <v>429</v>
      </c>
      <c r="B84" s="118"/>
      <c r="C84" s="118"/>
      <c r="D84" s="118"/>
      <c r="E84" s="118"/>
      <c r="F84" s="118"/>
      <c r="G84" s="15" t="s">
        <v>430</v>
      </c>
      <c r="H84" s="9" t="str">
        <f>IF(ISBLANK(G84),IncompleteText,OKText)</f>
        <v>OK</v>
      </c>
      <c r="J84" s="118" t="s">
        <v>431</v>
      </c>
      <c r="K84" s="118"/>
      <c r="L84" s="118"/>
      <c r="M84" s="118"/>
      <c r="N84" s="118"/>
      <c r="O84" s="136"/>
      <c r="P84" s="26" t="s">
        <v>329</v>
      </c>
      <c r="Q84" s="6" t="str">
        <f>IF(ISBLANK(P84),IncompleteText,OKText)</f>
        <v>OK</v>
      </c>
    </row>
    <row r="85" spans="1:17" x14ac:dyDescent="0.3">
      <c r="A85" s="118" t="s">
        <v>432</v>
      </c>
      <c r="B85" s="118"/>
      <c r="C85" s="118"/>
      <c r="D85" s="118"/>
      <c r="E85" s="118"/>
      <c r="F85" s="119"/>
      <c r="G85" s="15" t="s">
        <v>433</v>
      </c>
      <c r="H85" s="9" t="str">
        <f>IF(G$84="车队自制电路 Self-designed",OKText,IF(ISBLANK(G85),IncompleteText,IF(G85&gt;MaxTSVoltage,OKText,ErrorText)))</f>
        <v>OK</v>
      </c>
      <c r="J85" s="118" t="s">
        <v>434</v>
      </c>
      <c r="K85" s="118"/>
      <c r="L85" s="118"/>
      <c r="M85" s="118"/>
      <c r="N85" s="118"/>
      <c r="O85" s="136"/>
      <c r="P85" s="43" t="b">
        <v>1</v>
      </c>
      <c r="Q85" s="6" t="str">
        <f>IF(ISBLANK(P85),IncompleteText,IF(P85,OKText,ErrorText))</f>
        <v>OK</v>
      </c>
    </row>
    <row r="86" spans="1:17" x14ac:dyDescent="0.3">
      <c r="A86" s="118" t="s">
        <v>435</v>
      </c>
      <c r="B86" s="118"/>
      <c r="C86" s="118"/>
      <c r="D86" s="118"/>
      <c r="E86" s="118"/>
      <c r="F86" s="119"/>
      <c r="G86" s="16" t="s">
        <v>436</v>
      </c>
      <c r="H86" s="9" t="str">
        <f>IF(G$84="车队自制电路 Self-designed",OKText,IF(ISBLANK(G86),IncompleteText,OKText))</f>
        <v>OK</v>
      </c>
      <c r="J86" s="118" t="s">
        <v>437</v>
      </c>
      <c r="K86" s="118"/>
      <c r="L86" s="118"/>
      <c r="M86" s="118"/>
      <c r="N86" s="118"/>
      <c r="O86" s="136"/>
      <c r="P86" s="27"/>
      <c r="Q86" s="9" t="str">
        <f>IF(ISBLANK(P86),IncompleteText,IF(P86,OKText,ErrorText))</f>
        <v>BLANK</v>
      </c>
    </row>
    <row r="87" spans="1:17" x14ac:dyDescent="0.3">
      <c r="A87" s="118" t="s">
        <v>438</v>
      </c>
      <c r="B87" s="118"/>
      <c r="C87" s="118"/>
      <c r="D87" s="118"/>
      <c r="E87" s="118"/>
      <c r="F87" s="119"/>
      <c r="G87" s="15" t="b">
        <v>1</v>
      </c>
      <c r="H87" s="9" t="str">
        <f>IF(G$84="供应商采购 From suppliers",OKText,IF(ISBLANK(G87),IncompleteText,IF(G87,OKText,ErrorText)))</f>
        <v>OK</v>
      </c>
      <c r="J87" s="130" t="s">
        <v>439</v>
      </c>
      <c r="K87" s="130"/>
      <c r="L87" s="130"/>
      <c r="M87" s="130"/>
      <c r="N87" s="130"/>
      <c r="O87" s="137"/>
      <c r="P87" s="27"/>
      <c r="Q87" s="9" t="str">
        <f>IF(ISBLANK(P87),IncompleteText,IF(P87,OKText,ErrorText))</f>
        <v>BLANK</v>
      </c>
    </row>
    <row r="88" spans="1:17" ht="31.5" customHeight="1" x14ac:dyDescent="0.3">
      <c r="A88" s="130" t="s">
        <v>440</v>
      </c>
      <c r="B88" s="130"/>
      <c r="C88" s="130"/>
      <c r="D88" s="130"/>
      <c r="E88" s="130"/>
      <c r="F88" s="131"/>
      <c r="G88" s="15" t="b">
        <v>1</v>
      </c>
      <c r="H88" s="9" t="str">
        <f>IF(G$84="供应商采购 From suppliers",OKText,IF(ISBLANK(G88),IncompleteText,IF(G88,OKText,ErrorText)))</f>
        <v>OK</v>
      </c>
      <c r="J88" s="93" t="s">
        <v>321</v>
      </c>
      <c r="K88" s="93"/>
      <c r="L88" s="93"/>
      <c r="M88" s="93"/>
      <c r="N88" s="93"/>
      <c r="O88" s="93"/>
      <c r="P88" s="93"/>
      <c r="Q88" s="44" t="s">
        <v>269</v>
      </c>
    </row>
    <row r="89" spans="1:17" x14ac:dyDescent="0.3">
      <c r="A89" s="118" t="s">
        <v>441</v>
      </c>
      <c r="B89" s="118"/>
      <c r="C89" s="118"/>
      <c r="D89" s="118"/>
      <c r="E89" s="118"/>
      <c r="F89" s="119"/>
      <c r="G89" s="45"/>
      <c r="H89" s="9" t="str">
        <f>IF(G$84="供应商采购 From suppliers",OKText,IF(ISBLANK(G89),IncompleteText,OKText))</f>
        <v>OK</v>
      </c>
      <c r="J89" s="153"/>
      <c r="K89" s="153"/>
      <c r="L89" s="153"/>
      <c r="M89" s="153"/>
      <c r="N89" s="153"/>
      <c r="O89" s="153"/>
      <c r="P89" s="153"/>
      <c r="Q89" s="144" t="s">
        <v>442</v>
      </c>
    </row>
    <row r="90" spans="1:17" x14ac:dyDescent="0.3">
      <c r="A90" s="118" t="s">
        <v>443</v>
      </c>
      <c r="B90" s="118"/>
      <c r="C90" s="118"/>
      <c r="D90" s="118"/>
      <c r="E90" s="118"/>
      <c r="F90" s="119"/>
      <c r="G90" s="15"/>
      <c r="H90" s="9" t="str">
        <f>IF(G$84="供应商采购 From suppliers",OKText,IF(ISBLANK(G90),IncompleteText,IF(ISBLANK(G90),ErrorText,OKText)))</f>
        <v>OK</v>
      </c>
      <c r="J90" s="153"/>
      <c r="K90" s="153"/>
      <c r="L90" s="153"/>
      <c r="M90" s="153"/>
      <c r="N90" s="153"/>
      <c r="O90" s="153"/>
      <c r="P90" s="153"/>
      <c r="Q90" s="145"/>
    </row>
    <row r="91" spans="1:17" x14ac:dyDescent="0.3">
      <c r="A91" s="118" t="s">
        <v>444</v>
      </c>
      <c r="B91" s="118"/>
      <c r="C91" s="118"/>
      <c r="D91" s="118"/>
      <c r="E91" s="118"/>
      <c r="F91" s="119"/>
      <c r="G91" s="15" t="s">
        <v>153</v>
      </c>
      <c r="H91" s="9" t="str">
        <f>IF(ISBLANK(G91),IncompleteText,OKText)</f>
        <v>OK</v>
      </c>
      <c r="J91" s="153"/>
      <c r="K91" s="153"/>
      <c r="L91" s="153"/>
      <c r="M91" s="153"/>
      <c r="N91" s="153"/>
      <c r="O91" s="153"/>
      <c r="P91" s="153"/>
      <c r="Q91" s="146"/>
    </row>
    <row r="92" spans="1:17" ht="29.25" customHeight="1" x14ac:dyDescent="0.3">
      <c r="A92" s="130" t="s">
        <v>445</v>
      </c>
      <c r="B92" s="130"/>
      <c r="C92" s="130"/>
      <c r="D92" s="130"/>
      <c r="E92" s="130"/>
      <c r="F92" s="131"/>
      <c r="G92" s="15" t="b">
        <v>1</v>
      </c>
      <c r="H92" s="9" t="str">
        <f>IF(ISBLANK(G92),IncompleteText,IF(G92,OKText,ErrorText))</f>
        <v>OK</v>
      </c>
    </row>
    <row r="94" spans="1:17" x14ac:dyDescent="0.3">
      <c r="A94" s="94" t="s">
        <v>446</v>
      </c>
      <c r="B94" s="94"/>
      <c r="C94" s="94"/>
      <c r="D94" s="94"/>
      <c r="E94" s="94"/>
      <c r="F94" s="94"/>
      <c r="G94" s="94"/>
    </row>
    <row r="95" spans="1:17" x14ac:dyDescent="0.3">
      <c r="A95" s="150" t="s">
        <v>447</v>
      </c>
      <c r="B95" s="151"/>
      <c r="C95" s="151"/>
      <c r="D95" s="151"/>
      <c r="E95" s="151"/>
      <c r="F95" s="151"/>
      <c r="G95" s="151"/>
    </row>
    <row r="96" spans="1:17" x14ac:dyDescent="0.3">
      <c r="A96" s="151"/>
      <c r="B96" s="151"/>
      <c r="C96" s="151"/>
      <c r="D96" s="151"/>
      <c r="E96" s="151"/>
      <c r="F96" s="151"/>
      <c r="G96" s="151"/>
    </row>
    <row r="97" spans="1:7" x14ac:dyDescent="0.3">
      <c r="A97" s="151"/>
      <c r="B97" s="151"/>
      <c r="C97" s="151"/>
      <c r="D97" s="151"/>
      <c r="E97" s="151"/>
      <c r="F97" s="151"/>
      <c r="G97" s="151"/>
    </row>
    <row r="98" spans="1:7" x14ac:dyDescent="0.3">
      <c r="A98" s="151"/>
      <c r="B98" s="151"/>
      <c r="C98" s="151"/>
      <c r="D98" s="151"/>
      <c r="E98" s="151"/>
      <c r="F98" s="151"/>
      <c r="G98" s="151"/>
    </row>
  </sheetData>
  <sheetProtection algorithmName="SHA-512" hashValue="KBYdJQkOQZEjWJZhSoTDe7AkNJ4odGzYbe/kUsttOBbf/IJniMh6hc9q7eiKdCH8FZ96EwIJju7GpaRMDr+LVA==" saltValue="22e3M1RbW//4DPmsJlr8mA==" spinCount="100000" sheet="1" scenarios="1" insertHyperlinks="0"/>
  <mergeCells count="196">
    <mergeCell ref="BA55:BA59"/>
    <mergeCell ref="A95:G98"/>
    <mergeCell ref="A64:H82"/>
    <mergeCell ref="J89:P91"/>
    <mergeCell ref="J64:Q82"/>
    <mergeCell ref="AU9:BA29"/>
    <mergeCell ref="F10:G11"/>
    <mergeCell ref="H10:I11"/>
    <mergeCell ref="AM9:AS29"/>
    <mergeCell ref="AT33:BA51"/>
    <mergeCell ref="A33:H51"/>
    <mergeCell ref="J33:Q51"/>
    <mergeCell ref="S33:Z51"/>
    <mergeCell ref="AB33:AI51"/>
    <mergeCell ref="AK33:AR51"/>
    <mergeCell ref="AK55:AQ59"/>
    <mergeCell ref="AT55:AZ59"/>
    <mergeCell ref="S57:Y60"/>
    <mergeCell ref="S55:Y56"/>
    <mergeCell ref="AB55:AH59"/>
    <mergeCell ref="A58:G60"/>
    <mergeCell ref="J58:P60"/>
    <mergeCell ref="A10:A11"/>
    <mergeCell ref="B10:B11"/>
    <mergeCell ref="C10:C11"/>
    <mergeCell ref="D10:D11"/>
    <mergeCell ref="E10:E11"/>
    <mergeCell ref="H58:H60"/>
    <mergeCell ref="Q58:Q60"/>
    <mergeCell ref="Q89:Q91"/>
    <mergeCell ref="Z55:Z56"/>
    <mergeCell ref="Z57:Z60"/>
    <mergeCell ref="A87:F87"/>
    <mergeCell ref="J87:O87"/>
    <mergeCell ref="A88:F88"/>
    <mergeCell ref="J88:P88"/>
    <mergeCell ref="A89:F89"/>
    <mergeCell ref="A90:F90"/>
    <mergeCell ref="A91:F91"/>
    <mergeCell ref="A92:F92"/>
    <mergeCell ref="A94:G94"/>
    <mergeCell ref="A57:G57"/>
    <mergeCell ref="J57:P57"/>
    <mergeCell ref="A83:G83"/>
    <mergeCell ref="J83:P83"/>
    <mergeCell ref="A84:F84"/>
    <mergeCell ref="J84:O84"/>
    <mergeCell ref="A85:F85"/>
    <mergeCell ref="J85:O85"/>
    <mergeCell ref="A86:F86"/>
    <mergeCell ref="J86:O86"/>
    <mergeCell ref="A54:F54"/>
    <mergeCell ref="J54:O54"/>
    <mergeCell ref="S54:X54"/>
    <mergeCell ref="AB54:AH54"/>
    <mergeCell ref="AK54:AQ54"/>
    <mergeCell ref="AT54:AZ54"/>
    <mergeCell ref="A55:F55"/>
    <mergeCell ref="J55:O55"/>
    <mergeCell ref="A56:F56"/>
    <mergeCell ref="J56:O56"/>
    <mergeCell ref="AI55:AI59"/>
    <mergeCell ref="AR55:AR59"/>
    <mergeCell ref="S52:Y52"/>
    <mergeCell ref="AB52:AH52"/>
    <mergeCell ref="AK52:AQ52"/>
    <mergeCell ref="AT52:AZ52"/>
    <mergeCell ref="A53:F53"/>
    <mergeCell ref="J53:O53"/>
    <mergeCell ref="S53:X53"/>
    <mergeCell ref="AB53:AG53"/>
    <mergeCell ref="AK53:AP53"/>
    <mergeCell ref="AT53:AY53"/>
    <mergeCell ref="F28:G28"/>
    <mergeCell ref="H28:I28"/>
    <mergeCell ref="K28:N28"/>
    <mergeCell ref="F29:G29"/>
    <mergeCell ref="H29:I29"/>
    <mergeCell ref="K29:N29"/>
    <mergeCell ref="K30:N30"/>
    <mergeCell ref="A52:G52"/>
    <mergeCell ref="J52:P52"/>
    <mergeCell ref="F25:G25"/>
    <mergeCell ref="H25:I25"/>
    <mergeCell ref="K25:N25"/>
    <mergeCell ref="F26:G26"/>
    <mergeCell ref="H26:I26"/>
    <mergeCell ref="K26:N26"/>
    <mergeCell ref="O26:P26"/>
    <mergeCell ref="F27:G27"/>
    <mergeCell ref="H27:I27"/>
    <mergeCell ref="K27:N27"/>
    <mergeCell ref="O27:P27"/>
    <mergeCell ref="F22:G22"/>
    <mergeCell ref="H22:I22"/>
    <mergeCell ref="K22:P22"/>
    <mergeCell ref="F23:G23"/>
    <mergeCell ref="H23:I23"/>
    <mergeCell ref="K23:N23"/>
    <mergeCell ref="O23:P23"/>
    <mergeCell ref="F24:G24"/>
    <mergeCell ref="H24:I24"/>
    <mergeCell ref="K24:N24"/>
    <mergeCell ref="F20:G20"/>
    <mergeCell ref="H20:I20"/>
    <mergeCell ref="K20:N20"/>
    <mergeCell ref="O20:P20"/>
    <mergeCell ref="R20:T20"/>
    <mergeCell ref="F21:G21"/>
    <mergeCell ref="H21:I21"/>
    <mergeCell ref="K21:N21"/>
    <mergeCell ref="O21:P21"/>
    <mergeCell ref="R21:T21"/>
    <mergeCell ref="F18:G18"/>
    <mergeCell ref="H18:I18"/>
    <mergeCell ref="K18:N18"/>
    <mergeCell ref="O18:P18"/>
    <mergeCell ref="R18:V18"/>
    <mergeCell ref="X18:AA18"/>
    <mergeCell ref="F19:G19"/>
    <mergeCell ref="H19:I19"/>
    <mergeCell ref="K19:N19"/>
    <mergeCell ref="O19:P19"/>
    <mergeCell ref="R19:T19"/>
    <mergeCell ref="U19:V19"/>
    <mergeCell ref="F16:G16"/>
    <mergeCell ref="H16:I16"/>
    <mergeCell ref="K16:P16"/>
    <mergeCell ref="R16:T16"/>
    <mergeCell ref="X16:AA16"/>
    <mergeCell ref="F17:G17"/>
    <mergeCell ref="H17:I17"/>
    <mergeCell ref="K17:N17"/>
    <mergeCell ref="R17:T17"/>
    <mergeCell ref="X17:AA17"/>
    <mergeCell ref="AI13:AJ13"/>
    <mergeCell ref="F14:G14"/>
    <mergeCell ref="H14:I14"/>
    <mergeCell ref="K14:N14"/>
    <mergeCell ref="O14:P14"/>
    <mergeCell ref="R14:T14"/>
    <mergeCell ref="U14:V14"/>
    <mergeCell ref="X14:AA14"/>
    <mergeCell ref="F15:G15"/>
    <mergeCell ref="H15:I15"/>
    <mergeCell ref="K15:N15"/>
    <mergeCell ref="O15:P15"/>
    <mergeCell ref="R15:T15"/>
    <mergeCell ref="X15:AA15"/>
    <mergeCell ref="AB15:AC15"/>
    <mergeCell ref="F12:G12"/>
    <mergeCell ref="H12:I12"/>
    <mergeCell ref="K12:N12"/>
    <mergeCell ref="R12:T12"/>
    <mergeCell ref="X12:AA12"/>
    <mergeCell ref="AB12:AC12"/>
    <mergeCell ref="AE12:AH12"/>
    <mergeCell ref="F13:G13"/>
    <mergeCell ref="H13:I13"/>
    <mergeCell ref="K13:N13"/>
    <mergeCell ref="R13:V13"/>
    <mergeCell ref="X13:AA13"/>
    <mergeCell ref="AE13:AH13"/>
    <mergeCell ref="K10:N10"/>
    <mergeCell ref="O10:P10"/>
    <mergeCell ref="R10:T10"/>
    <mergeCell ref="X10:AA10"/>
    <mergeCell ref="AE10:AH10"/>
    <mergeCell ref="AI10:AJ10"/>
    <mergeCell ref="L11:M11"/>
    <mergeCell ref="O11:P11"/>
    <mergeCell ref="R11:T11"/>
    <mergeCell ref="U11:V11"/>
    <mergeCell ref="X11:AA11"/>
    <mergeCell ref="AE11:AH11"/>
    <mergeCell ref="AM8:AS8"/>
    <mergeCell ref="AU8:BA8"/>
    <mergeCell ref="A9:C9"/>
    <mergeCell ref="D9:E9"/>
    <mergeCell ref="K9:N9"/>
    <mergeCell ref="O9:P9"/>
    <mergeCell ref="R9:T9"/>
    <mergeCell ref="U9:V9"/>
    <mergeCell ref="X9:AA9"/>
    <mergeCell ref="AB9:AC9"/>
    <mergeCell ref="AE9:AH9"/>
    <mergeCell ref="AI9:AJ9"/>
    <mergeCell ref="A3:D3"/>
    <mergeCell ref="A4:D4"/>
    <mergeCell ref="A5:D5"/>
    <mergeCell ref="A6:D6"/>
    <mergeCell ref="A8:I8"/>
    <mergeCell ref="K8:P8"/>
    <mergeCell ref="R8:V8"/>
    <mergeCell ref="X8:AC8"/>
    <mergeCell ref="AE8:AJ8"/>
  </mergeCells>
  <phoneticPr fontId="17" type="noConversion"/>
  <conditionalFormatting sqref="A85:H86">
    <cfRule type="expression" dxfId="36" priority="1">
      <formula>$G$84="车队自制电路 Self-designed"</formula>
    </cfRule>
  </conditionalFormatting>
  <conditionalFormatting sqref="A87:H90">
    <cfRule type="expression" dxfId="35" priority="5">
      <formula>$G$84="供应商采购 From Suppliers"</formula>
    </cfRule>
  </conditionalFormatting>
  <conditionalFormatting sqref="J85:Q87">
    <cfRule type="expression" dxfId="34" priority="3">
      <formula>$P$84="否 No"</formula>
    </cfRule>
  </conditionalFormatting>
  <conditionalFormatting sqref="K14:K15 O14:O15">
    <cfRule type="expression" dxfId="33" priority="9">
      <formula>$O$10="供应商提供 From Suppliers"</formula>
    </cfRule>
  </conditionalFormatting>
  <conditionalFormatting sqref="K20 O20:P20">
    <cfRule type="expression" dxfId="32" priority="8">
      <formula>$O$19&lt;&gt;"其他 Other"</formula>
    </cfRule>
  </conditionalFormatting>
  <conditionalFormatting sqref="K24 O24:Q24">
    <cfRule type="expression" dxfId="31" priority="7">
      <formula>$O$23="极耳 Cell tabs"</formula>
    </cfRule>
  </conditionalFormatting>
  <conditionalFormatting sqref="K11:L11">
    <cfRule type="expression" dxfId="30" priority="10">
      <formula>$O$10="车队自制 Team design"</formula>
    </cfRule>
  </conditionalFormatting>
  <conditionalFormatting sqref="N11:O11">
    <cfRule type="expression" dxfId="29" priority="2">
      <formula>$O$10="车队自制 Team design"</formula>
    </cfRule>
  </conditionalFormatting>
  <conditionalFormatting sqref="AE10:AK13">
    <cfRule type="expression" dxfId="28" priority="4">
      <formula>$AI$9="否 No"</formula>
    </cfRule>
  </conditionalFormatting>
  <dataValidations count="15">
    <dataValidation type="list" allowBlank="1" showInputMessage="1" showErrorMessage="1" sqref="E3" xr:uid="{00000000-0002-0000-0300-000000000000}">
      <formula1>"并联 Parallel,串联 Serial"</formula1>
    </dataValidation>
    <dataValidation type="list" allowBlank="1" showInputMessage="1" showErrorMessage="1" sqref="D9:E9" xr:uid="{00000000-0002-0000-0300-000001000000}">
      <formula1>"先并后串 Parallel then serial, 先串后并 Serial then parallel"</formula1>
    </dataValidation>
    <dataValidation type="list" allowBlank="1" showInputMessage="1" showErrorMessage="1" sqref="O9:P9" xr:uid="{00000000-0002-0000-0300-000002000000}">
      <formula1>"分布式 Distributed,集中式 Centralized"</formula1>
    </dataValidation>
    <dataValidation type="list" allowBlank="1" showInputMessage="1" showErrorMessage="1" sqref="U9:V9" xr:uid="{00000000-0002-0000-0300-000003000000}">
      <formula1>ConnectorNames</formula1>
    </dataValidation>
    <dataValidation type="list" allowBlank="1" showInputMessage="1" showErrorMessage="1" sqref="AB9:AC9 AB12:AC12 AB15" xr:uid="{00000000-0002-0000-0300-000004000000}">
      <formula1>InsulationNames</formula1>
    </dataValidation>
    <dataValidation type="list" allowBlank="1" showInputMessage="1" showErrorMessage="1" sqref="AI9:AJ9 AI13:AJ13" xr:uid="{00000000-0002-0000-0300-000005000000}">
      <formula1>"是 Yes, 否 No"</formula1>
    </dataValidation>
    <dataValidation type="list" allowBlank="1" showInputMessage="1" showErrorMessage="1" sqref="O10:P10" xr:uid="{00000000-0002-0000-0300-000006000000}">
      <formula1>"供应商提供 From Suppliers, 车队设计 Team design"</formula1>
    </dataValidation>
    <dataValidation type="list" allowBlank="1" showInputMessage="1" showErrorMessage="1" sqref="AI10:AJ10" xr:uid="{00000000-0002-0000-0300-000007000000}">
      <formula1>"50V-150V,150V-300V,300V-600V"</formula1>
    </dataValidation>
    <dataValidation type="list" allowBlank="1" showInputMessage="1" showErrorMessage="1" sqref="U11:V11 O18:P18 U19:V19 G91" xr:uid="{00000000-0002-0000-0300-000008000000}">
      <formula1>FuseName</formula1>
    </dataValidation>
    <dataValidation type="list" allowBlank="1" showInputMessage="1" showErrorMessage="1" sqref="U14" xr:uid="{00000000-0002-0000-0300-000009000000}">
      <formula1>ContactorNames</formula1>
    </dataValidation>
    <dataValidation type="list" allowBlank="1" showInputMessage="1" showErrorMessage="1" sqref="O19:P19" xr:uid="{00000000-0002-0000-0300-00000A000000}">
      <formula1>"BMS PCB,导线 Wiring, 其他 Other"</formula1>
    </dataValidation>
    <dataValidation type="list" allowBlank="1" showInputMessage="1" showErrorMessage="1" sqref="O23:P23" xr:uid="{00000000-0002-0000-0300-00000B000000}">
      <formula1>"极耳 Cell tabs,铜排 Busbar"</formula1>
    </dataValidation>
    <dataValidation type="list" allowBlank="1" showInputMessage="1" showErrorMessage="1" sqref="AH53 AQ53 AZ53 G90 G92 G53:G56 G87:G88 P53:P56 P85:P87 Y53:Y54" xr:uid="{00000000-0002-0000-0300-00000C000000}">
      <formula1>"TRUE,FALSE"</formula1>
    </dataValidation>
    <dataValidation type="list" allowBlank="1" showInputMessage="1" showErrorMessage="1" sqref="G84" xr:uid="{00000000-0002-0000-0300-00000D000000}">
      <formula1>"车队自制电路 Self-designed,供应商采购 From suppliers"</formula1>
    </dataValidation>
    <dataValidation type="list" allowBlank="1" showInputMessage="1" showErrorMessage="1" sqref="P84" xr:uid="{00000000-0002-0000-0300-00000E000000}">
      <formula1>"是 Yes,否 No"</formula1>
    </dataValidation>
  </dataValidations>
  <hyperlinks>
    <hyperlink ref="G86" r:id="rId1" xr:uid="{00000000-0004-0000-0300-000000000000}"/>
    <hyperlink ref="O27:P27" r:id="rId2" display="导热胶_温度传感器与电芯极耳粘接处" xr:uid="{00000000-0004-0000-0300-000001000000}"/>
  </hyperlinks>
  <pageMargins left="0.7" right="0.7" top="0.75" bottom="0.75" header="0.3" footer="0.3"/>
  <pageSetup paperSize="9" orientation="portrait" verticalDpi="30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A112"/>
  <sheetViews>
    <sheetView zoomScale="85" zoomScaleNormal="85" workbookViewId="0">
      <selection activeCell="N15" sqref="N15"/>
    </sheetView>
  </sheetViews>
  <sheetFormatPr defaultColWidth="10.6640625" defaultRowHeight="14" x14ac:dyDescent="0.3"/>
  <cols>
    <col min="1" max="1" width="14.25" customWidth="1"/>
    <col min="4" max="4" width="12.33203125" customWidth="1"/>
    <col min="5" max="5" width="15.9140625" customWidth="1"/>
    <col min="7" max="7" width="15.25" customWidth="1"/>
    <col min="8" max="8" width="16.75" customWidth="1"/>
    <col min="10" max="10" width="10.6640625" customWidth="1"/>
    <col min="11" max="11" width="11.75" customWidth="1"/>
    <col min="14" max="14" width="19.75" customWidth="1"/>
    <col min="17" max="17" width="16.9140625" customWidth="1"/>
    <col min="20" max="20" width="12.75" customWidth="1"/>
    <col min="26" max="26" width="10.6640625" customWidth="1"/>
    <col min="34" max="34" width="14.4140625" customWidth="1"/>
  </cols>
  <sheetData>
    <row r="1" spans="1:14" x14ac:dyDescent="0.3">
      <c r="A1" s="2" t="s">
        <v>27</v>
      </c>
      <c r="B1" s="9" t="str">
        <f ca="1">IF(N1="否 No",OKText,IF(SUM(COUNTIF(INDIRECT({"$E$3","$G$17","$G$18","$G$19","$J$22","$Q$22","$W$22","$AD$22","$AK$22","$Z$66","$Q$66","$H$66","$AI$66","$AR$66","$BA$66","$Q$97","$H$97"}),"="&amp;IncompleteText)),IncompleteText,IF(SUM(COUNTIF(INDIRECT({"$E$3","$G$17","$G$18","$G$19","$J$22","$Q$22","$W$22","$AD$22","$AK$22","$Z$66","$Q$66","$H$66","$AI$66","$AR$66","$BA$66","$Q$97","$H$97"}),"="&amp;ErrorText)),ErrorText,OKText)))</f>
        <v>OK</v>
      </c>
      <c r="I1" s="221" t="s">
        <v>448</v>
      </c>
      <c r="J1" s="221"/>
      <c r="K1" s="221"/>
      <c r="L1" s="221"/>
      <c r="M1" s="222"/>
      <c r="N1" s="21" t="s">
        <v>329</v>
      </c>
    </row>
    <row r="3" spans="1:14" x14ac:dyDescent="0.3">
      <c r="A3" s="93" t="s">
        <v>28</v>
      </c>
      <c r="B3" s="93"/>
      <c r="C3" s="93"/>
      <c r="D3" s="93"/>
      <c r="E3" s="9" t="str">
        <f>IF(COUNTBLANK(C4:C14)&gt;0,IncompleteText,OKText)</f>
        <v>BLANK</v>
      </c>
    </row>
    <row r="4" spans="1:14" x14ac:dyDescent="0.3">
      <c r="A4" s="91" t="s">
        <v>29</v>
      </c>
      <c r="B4" s="91"/>
      <c r="C4" s="104"/>
      <c r="D4" s="104"/>
      <c r="I4" s="223" t="s">
        <v>449</v>
      </c>
      <c r="J4" s="224"/>
      <c r="K4" s="224"/>
      <c r="L4" s="224"/>
      <c r="M4" s="224"/>
      <c r="N4" s="224"/>
    </row>
    <row r="5" spans="1:14" x14ac:dyDescent="0.3">
      <c r="A5" s="91" t="s">
        <v>31</v>
      </c>
      <c r="B5" s="91"/>
      <c r="C5" s="104"/>
      <c r="D5" s="104"/>
      <c r="I5" s="224"/>
      <c r="J5" s="224"/>
      <c r="K5" s="224"/>
      <c r="L5" s="224"/>
      <c r="M5" s="224"/>
      <c r="N5" s="224"/>
    </row>
    <row r="6" spans="1:14" x14ac:dyDescent="0.3">
      <c r="A6" s="91" t="s">
        <v>33</v>
      </c>
      <c r="B6" s="91"/>
      <c r="C6" s="37"/>
      <c r="D6" s="2" t="s">
        <v>34</v>
      </c>
      <c r="I6" s="224"/>
      <c r="J6" s="224"/>
      <c r="K6" s="224"/>
      <c r="L6" s="224"/>
      <c r="M6" s="224"/>
      <c r="N6" s="224"/>
    </row>
    <row r="7" spans="1:14" x14ac:dyDescent="0.3">
      <c r="A7" s="91" t="s">
        <v>35</v>
      </c>
      <c r="B7" s="91"/>
      <c r="C7" s="37"/>
      <c r="D7" s="2" t="s">
        <v>22</v>
      </c>
      <c r="I7" s="224"/>
      <c r="J7" s="224"/>
      <c r="K7" s="224"/>
      <c r="L7" s="224"/>
      <c r="M7" s="224"/>
      <c r="N7" s="224"/>
    </row>
    <row r="8" spans="1:14" x14ac:dyDescent="0.3">
      <c r="A8" s="91" t="s">
        <v>37</v>
      </c>
      <c r="B8" s="91"/>
      <c r="C8" s="37"/>
      <c r="D8" s="2" t="s">
        <v>22</v>
      </c>
    </row>
    <row r="9" spans="1:14" x14ac:dyDescent="0.3">
      <c r="A9" s="91" t="s">
        <v>39</v>
      </c>
      <c r="B9" s="91"/>
      <c r="C9" s="37"/>
      <c r="D9" s="2" t="s">
        <v>22</v>
      </c>
    </row>
    <row r="10" spans="1:14" x14ac:dyDescent="0.3">
      <c r="A10" s="91" t="s">
        <v>41</v>
      </c>
      <c r="B10" s="91"/>
      <c r="C10" s="37"/>
      <c r="D10" s="2" t="s">
        <v>24</v>
      </c>
    </row>
    <row r="11" spans="1:14" x14ac:dyDescent="0.3">
      <c r="A11" s="91" t="s">
        <v>42</v>
      </c>
      <c r="B11" s="91"/>
      <c r="C11" s="37"/>
      <c r="D11" s="2" t="s">
        <v>24</v>
      </c>
    </row>
    <row r="12" spans="1:14" x14ac:dyDescent="0.3">
      <c r="A12" s="91" t="s">
        <v>43</v>
      </c>
      <c r="B12" s="91"/>
      <c r="C12" s="37"/>
      <c r="D12" s="2" t="s">
        <v>44</v>
      </c>
    </row>
    <row r="13" spans="1:14" x14ac:dyDescent="0.3">
      <c r="A13" s="91" t="s">
        <v>45</v>
      </c>
      <c r="B13" s="91"/>
      <c r="C13" s="104"/>
      <c r="D13" s="104"/>
    </row>
    <row r="14" spans="1:14" x14ac:dyDescent="0.3">
      <c r="A14" s="91" t="s">
        <v>47</v>
      </c>
      <c r="B14" s="92"/>
      <c r="C14" s="104"/>
      <c r="D14" s="104"/>
    </row>
    <row r="17" spans="1:53" x14ac:dyDescent="0.3">
      <c r="A17" s="91" t="s">
        <v>312</v>
      </c>
      <c r="B17" s="91"/>
      <c r="C17" s="91"/>
      <c r="D17" s="92"/>
      <c r="E17" s="15"/>
      <c r="F17" s="11"/>
      <c r="G17" s="9" t="str">
        <f>IF(ISBLANK(E17),IncompleteText,OKText)</f>
        <v>BLANK</v>
      </c>
    </row>
    <row r="18" spans="1:53" x14ac:dyDescent="0.3">
      <c r="A18" s="91" t="s">
        <v>21</v>
      </c>
      <c r="B18" s="91"/>
      <c r="C18" s="91"/>
      <c r="D18" s="92"/>
      <c r="E18" s="17">
        <f>IF(E17="串联 Serial",SUM(C26:C43)*BattCellMaxV_BK,C26*BattCellMaxV_BK*SUM(IF(FREQUENCY(E26:E43,E26:E43)&gt;0,1)))</f>
        <v>0</v>
      </c>
      <c r="F18" s="11" t="s">
        <v>22</v>
      </c>
      <c r="G18" s="9" t="str">
        <f>IF(MaxTSVoltage=0,IncompleteText,IF(E18&gt;600,ErrorText,OKText))</f>
        <v>OK</v>
      </c>
    </row>
    <row r="19" spans="1:53" x14ac:dyDescent="0.3">
      <c r="A19" s="91" t="s">
        <v>314</v>
      </c>
      <c r="B19" s="91"/>
      <c r="C19" s="91"/>
      <c r="D19" s="92"/>
      <c r="E19" s="17">
        <f>IF(E17="串联 Serial",SUM(C26:C43)*BattCellNomV_BK,C26*BattCellNomV_BK*SUM(IF(FREQUENCY(E26:E43,E26:E43)&gt;0,1)))</f>
        <v>0</v>
      </c>
      <c r="F19" s="11" t="s">
        <v>22</v>
      </c>
      <c r="G19" s="9" t="str">
        <f>IF(MaxTSVoltage=0,IncompleteText,IF(E19&gt;600,ErrorText,OKText))</f>
        <v>OK</v>
      </c>
    </row>
    <row r="20" spans="1:53" x14ac:dyDescent="0.3">
      <c r="A20" s="91" t="s">
        <v>315</v>
      </c>
      <c r="B20" s="91"/>
      <c r="C20" s="91"/>
      <c r="D20" s="92"/>
      <c r="E20" s="17">
        <f>SUMPRODUCT(B26:B43,C26:C43)</f>
        <v>0</v>
      </c>
      <c r="F20" s="11"/>
      <c r="G20" s="9"/>
    </row>
    <row r="22" spans="1:53" x14ac:dyDescent="0.3">
      <c r="A22" s="93" t="s">
        <v>316</v>
      </c>
      <c r="B22" s="93"/>
      <c r="C22" s="93"/>
      <c r="D22" s="93"/>
      <c r="E22" s="93"/>
      <c r="F22" s="93"/>
      <c r="G22" s="93"/>
      <c r="H22" s="93"/>
      <c r="I22" s="93"/>
      <c r="J22" s="9" t="str">
        <f>IF(COUNTIF(J23:J43,"="&amp;IncompleteText),IncompleteText,IF(COUNTIF(J23:J43,"="&amp;ErrorText),ErrorText,OKText))</f>
        <v>BLANK</v>
      </c>
      <c r="K22" s="93" t="s">
        <v>317</v>
      </c>
      <c r="L22" s="93"/>
      <c r="M22" s="93"/>
      <c r="N22" s="93"/>
      <c r="O22" s="93"/>
      <c r="P22" s="93"/>
      <c r="Q22" s="9" t="str">
        <f>IF(COUNTIF(Q23:Q44,"="&amp;IncompleteText),IncompleteText,IF(COUNTIF(Q23:Q44,"="&amp;ErrorText),ErrorText,OKText))</f>
        <v>BLANK</v>
      </c>
      <c r="R22" s="93" t="s">
        <v>318</v>
      </c>
      <c r="S22" s="93"/>
      <c r="T22" s="93"/>
      <c r="U22" s="93"/>
      <c r="V22" s="93"/>
      <c r="W22" s="9" t="str">
        <f>IF(COUNTIF(W23:W35,"="&amp;IncompleteText),IncompleteText,IF(COUNTIF(W23:W35,"="&amp;ErrorText),ErrorText,OKText))</f>
        <v>BLANK</v>
      </c>
      <c r="X22" s="93" t="s">
        <v>319</v>
      </c>
      <c r="Y22" s="93"/>
      <c r="Z22" s="93"/>
      <c r="AA22" s="93"/>
      <c r="AB22" s="93"/>
      <c r="AC22" s="93"/>
      <c r="AD22" s="9" t="str">
        <f>IF(COUNTIF(AD23:AD32,"="&amp;IncompleteText),IncompleteText,IF(COUNTIF(AD23:AD32,"="&amp;ErrorText),ErrorText,OKText))</f>
        <v>BLANK</v>
      </c>
      <c r="AE22" s="93" t="s">
        <v>320</v>
      </c>
      <c r="AF22" s="93"/>
      <c r="AG22" s="93"/>
      <c r="AH22" s="93"/>
      <c r="AI22" s="93"/>
      <c r="AJ22" s="93"/>
      <c r="AK22" s="9" t="str">
        <f>IF(AI23="否 No",OKText,IF(COUNTIF(AK23:AK27,"="&amp;IncompleteText),IncompleteText,IF(COUNTIF(AK23:AK27,"="&amp;ErrorText),ErrorText,OKText)))</f>
        <v>BLANK</v>
      </c>
      <c r="AM22" s="93" t="s">
        <v>320</v>
      </c>
      <c r="AN22" s="93"/>
      <c r="AO22" s="93"/>
      <c r="AP22" s="93"/>
      <c r="AQ22" s="93"/>
      <c r="AR22" s="93"/>
      <c r="AS22" s="93"/>
      <c r="AU22" s="94" t="s">
        <v>321</v>
      </c>
      <c r="AV22" s="94"/>
      <c r="AW22" s="94"/>
      <c r="AX22" s="94"/>
      <c r="AY22" s="94"/>
      <c r="AZ22" s="94"/>
      <c r="BA22" s="94"/>
    </row>
    <row r="23" spans="1:53" s="18" customFormat="1" ht="18" customHeight="1" x14ac:dyDescent="0.3">
      <c r="A23" s="95" t="s">
        <v>322</v>
      </c>
      <c r="B23" s="95"/>
      <c r="C23" s="96"/>
      <c r="D23" s="97"/>
      <c r="E23" s="98"/>
      <c r="F23" s="5"/>
      <c r="G23" s="5"/>
      <c r="H23" s="5"/>
      <c r="I23" s="5"/>
      <c r="J23" s="6" t="str">
        <f>IF(ISBLANK(D23),IncompleteText,OKText)</f>
        <v>BLANK</v>
      </c>
      <c r="K23" s="95" t="s">
        <v>324</v>
      </c>
      <c r="L23" s="95"/>
      <c r="M23" s="95"/>
      <c r="N23" s="96"/>
      <c r="O23" s="99"/>
      <c r="P23" s="99"/>
      <c r="Q23" s="6" t="str">
        <f>IF(ISBLANK(O23),IncompleteText,OKText)</f>
        <v>BLANK</v>
      </c>
      <c r="R23" s="95" t="s">
        <v>326</v>
      </c>
      <c r="S23" s="95"/>
      <c r="T23" s="96"/>
      <c r="U23" s="97"/>
      <c r="V23" s="98"/>
      <c r="W23" s="6" t="str">
        <f>IF(ISBLANK(U23),IncompleteText,OKText)</f>
        <v>BLANK</v>
      </c>
      <c r="X23" s="100" t="s">
        <v>327</v>
      </c>
      <c r="Y23" s="100"/>
      <c r="Z23" s="100"/>
      <c r="AA23" s="101"/>
      <c r="AB23" s="99"/>
      <c r="AC23" s="99"/>
      <c r="AD23" s="6" t="str">
        <f>IF(ISBLANK(AB23),IncompleteText,OKText)</f>
        <v>BLANK</v>
      </c>
      <c r="AE23" s="100" t="s">
        <v>328</v>
      </c>
      <c r="AF23" s="100"/>
      <c r="AG23" s="100"/>
      <c r="AH23" s="102"/>
      <c r="AI23" s="103"/>
      <c r="AJ23" s="103"/>
      <c r="AK23" s="6" t="str">
        <f>IF(ISBLANK(AI23),IncompleteText,OKText)</f>
        <v>BLANK</v>
      </c>
      <c r="AM23" s="154" t="s">
        <v>330</v>
      </c>
      <c r="AN23" s="154"/>
      <c r="AO23" s="154"/>
      <c r="AP23" s="154"/>
      <c r="AQ23" s="154"/>
      <c r="AR23" s="154"/>
      <c r="AS23" s="154"/>
      <c r="AU23" s="154" t="s">
        <v>450</v>
      </c>
      <c r="AV23" s="154"/>
      <c r="AW23" s="154"/>
      <c r="AX23" s="154"/>
      <c r="AY23" s="154"/>
      <c r="AZ23" s="154"/>
      <c r="BA23" s="154"/>
    </row>
    <row r="24" spans="1:53" x14ac:dyDescent="0.3">
      <c r="A24" s="138" t="s">
        <v>332</v>
      </c>
      <c r="B24" s="138" t="s">
        <v>333</v>
      </c>
      <c r="C24" s="130" t="s">
        <v>334</v>
      </c>
      <c r="D24" s="130" t="s">
        <v>335</v>
      </c>
      <c r="E24" s="139" t="s">
        <v>336</v>
      </c>
      <c r="F24" s="139" t="s">
        <v>337</v>
      </c>
      <c r="G24" s="139"/>
      <c r="H24" s="139" t="s">
        <v>338</v>
      </c>
      <c r="I24" s="139"/>
      <c r="J24" s="2"/>
      <c r="K24" s="95" t="s">
        <v>339</v>
      </c>
      <c r="L24" s="95"/>
      <c r="M24" s="95"/>
      <c r="N24" s="96"/>
      <c r="O24" s="104"/>
      <c r="P24" s="104"/>
      <c r="Q24" s="9" t="str">
        <f>IF(ISBLANK(O24),IncompleteText,OKText)</f>
        <v>BLANK</v>
      </c>
      <c r="R24" s="105" t="s">
        <v>341</v>
      </c>
      <c r="S24" s="105"/>
      <c r="T24" s="106"/>
      <c r="U24" s="17" t="e">
        <f>VLOOKUP(U23,ConnectorTable,3,FALSE)</f>
        <v>#N/A</v>
      </c>
      <c r="V24" s="11" t="s">
        <v>24</v>
      </c>
      <c r="W24" s="9" t="str">
        <f>IF(ISERROR(U24),IncompleteText,IF(E17="串联 Serial",IF(U24&gt;=U34,OKText,ErrorText),IF(E17="并联 Parallel",IF(U24&gt;=U26,OKText,ErrorText),IncompleteText)))</f>
        <v>BLANK</v>
      </c>
      <c r="X24" s="105" t="s">
        <v>342</v>
      </c>
      <c r="Y24" s="105"/>
      <c r="Z24" s="105"/>
      <c r="AA24" s="106"/>
      <c r="AB24" s="17" t="e">
        <f>VLOOKUP(AB23,InsulationsTable,4,FALSE)</f>
        <v>#N/A</v>
      </c>
      <c r="AC24" s="11" t="s">
        <v>22</v>
      </c>
      <c r="AD24" s="9" t="str">
        <f>IF(ISERROR(AB24),IncompleteText,IF(AB24&lt;MaxTSVoltage,ErrorText,OKText))</f>
        <v>BLANK</v>
      </c>
      <c r="AE24" s="107" t="s">
        <v>343</v>
      </c>
      <c r="AF24" s="107"/>
      <c r="AG24" s="107"/>
      <c r="AH24" s="108"/>
      <c r="AI24" s="103"/>
      <c r="AJ24" s="103"/>
      <c r="AK24" s="6" t="str">
        <f>IF(ISBLANK(AI24),IncompleteText,OKText)</f>
        <v>BLANK</v>
      </c>
      <c r="AM24" s="154"/>
      <c r="AN24" s="154"/>
      <c r="AO24" s="154"/>
      <c r="AP24" s="154"/>
      <c r="AQ24" s="154"/>
      <c r="AR24" s="154"/>
      <c r="AS24" s="154"/>
      <c r="AU24" s="154"/>
      <c r="AV24" s="154"/>
      <c r="AW24" s="154"/>
      <c r="AX24" s="154"/>
      <c r="AY24" s="154"/>
      <c r="AZ24" s="154"/>
      <c r="BA24" s="154"/>
    </row>
    <row r="25" spans="1:53" x14ac:dyDescent="0.3">
      <c r="A25" s="138"/>
      <c r="B25" s="138"/>
      <c r="C25" s="130"/>
      <c r="D25" s="130"/>
      <c r="E25" s="139"/>
      <c r="F25" s="139"/>
      <c r="G25" s="139"/>
      <c r="H25" s="139"/>
      <c r="I25" s="139"/>
      <c r="J25" s="2"/>
      <c r="K25" s="12" t="s">
        <v>345</v>
      </c>
      <c r="L25" s="109"/>
      <c r="M25" s="109"/>
      <c r="N25" s="12" t="s">
        <v>347</v>
      </c>
      <c r="O25" s="104"/>
      <c r="P25" s="104"/>
      <c r="Q25" s="9" t="str">
        <f>IF(O24="供应商提供 From Suppliers",IF(OR(ISBLANK(L25),ISBLANK(O25)),IncompleteText,OKText),"")</f>
        <v/>
      </c>
      <c r="R25" s="105" t="s">
        <v>349</v>
      </c>
      <c r="S25" s="105"/>
      <c r="T25" s="106"/>
      <c r="U25" s="110"/>
      <c r="V25" s="111"/>
      <c r="W25" s="9" t="str">
        <f>IF(E17="串联 Serial","",IF(ISBLANK(U25),IncompleteText,OKText))</f>
        <v>BLANK</v>
      </c>
      <c r="X25" s="105" t="s">
        <v>350</v>
      </c>
      <c r="Y25" s="105"/>
      <c r="Z25" s="105"/>
      <c r="AA25" s="106"/>
      <c r="AB25" s="17" t="e">
        <f>VLOOKUP(AB23,InsulationsTable,5,FALSE)</f>
        <v>#N/A</v>
      </c>
      <c r="AC25" s="11" t="s">
        <v>44</v>
      </c>
      <c r="AD25" s="9" t="str">
        <f>IF(ISERROR(AB25),IncompleteText,IF(AB25&lt;90,ErrorText,OKText))</f>
        <v>BLANK</v>
      </c>
      <c r="AE25" s="107" t="s">
        <v>351</v>
      </c>
      <c r="AF25" s="107"/>
      <c r="AG25" s="107"/>
      <c r="AH25" s="108"/>
      <c r="AI25" s="27"/>
      <c r="AJ25" s="38" t="s">
        <v>352</v>
      </c>
      <c r="AK25" s="9" t="str">
        <f>IF(ISBLANK(AI25),IncompleteText,OKText)</f>
        <v>BLANK</v>
      </c>
      <c r="AM25" s="154"/>
      <c r="AN25" s="154"/>
      <c r="AO25" s="154"/>
      <c r="AP25" s="154"/>
      <c r="AQ25" s="154"/>
      <c r="AR25" s="154"/>
      <c r="AS25" s="154"/>
      <c r="AU25" s="154"/>
      <c r="AV25" s="154"/>
      <c r="AW25" s="154"/>
      <c r="AX25" s="154"/>
      <c r="AY25" s="154"/>
      <c r="AZ25" s="154"/>
      <c r="BA25" s="154"/>
    </row>
    <row r="26" spans="1:53" x14ac:dyDescent="0.3">
      <c r="A26" s="5">
        <v>1</v>
      </c>
      <c r="B26" s="15"/>
      <c r="C26" s="15"/>
      <c r="D26" s="15"/>
      <c r="E26" s="15"/>
      <c r="F26" s="112">
        <f t="shared" ref="F26:F43" si="0">C26*BattCellMaxV_BK</f>
        <v>0</v>
      </c>
      <c r="G26" s="112"/>
      <c r="H26" s="112">
        <f t="shared" ref="H26:H43" si="1">F26*B26*BattCellCapacity_BK*0.0036</f>
        <v>0</v>
      </c>
      <c r="I26" s="112"/>
      <c r="J26" s="9" t="str">
        <f>IF(COUNTBLANK(A26:E26)&gt;0,IncompleteText,IF(OR(F26&gt;120,H26&gt;6),ErrorText,OKText))</f>
        <v>BLANK</v>
      </c>
      <c r="K26" s="107" t="s">
        <v>353</v>
      </c>
      <c r="L26" s="107"/>
      <c r="M26" s="107"/>
      <c r="N26" s="113"/>
      <c r="O26" s="15"/>
      <c r="P26" s="11" t="s">
        <v>22</v>
      </c>
      <c r="Q26" s="9" t="str">
        <f>IF(ISBLANK(O26),IncompleteText,IF(O26&lt;E18,ErrorText,OKText))</f>
        <v>BLANK</v>
      </c>
      <c r="R26" s="105" t="s">
        <v>354</v>
      </c>
      <c r="S26" s="105"/>
      <c r="T26" s="106"/>
      <c r="U26" s="17" t="e">
        <f>VLOOKUP(U25,FuseTable,3,FALSE)</f>
        <v>#N/A</v>
      </c>
      <c r="V26" s="11" t="s">
        <v>24</v>
      </c>
      <c r="W26" s="39"/>
      <c r="X26" s="105" t="s">
        <v>355</v>
      </c>
      <c r="Y26" s="105"/>
      <c r="Z26" s="105"/>
      <c r="AA26" s="106"/>
      <c r="AB26" s="104"/>
      <c r="AC26" s="104"/>
      <c r="AD26" s="9" t="str">
        <f>IF(ISBLANK(AB26),IncompleteText,OKText)</f>
        <v>BLANK</v>
      </c>
      <c r="AE26" s="107" t="s">
        <v>356</v>
      </c>
      <c r="AF26" s="107"/>
      <c r="AG26" s="107"/>
      <c r="AH26" s="108"/>
      <c r="AI26" s="27"/>
      <c r="AJ26" s="38" t="s">
        <v>352</v>
      </c>
      <c r="AK26" s="9" t="str">
        <f>IF(ISBLANK(AI26),IncompleteText,OKText)</f>
        <v>BLANK</v>
      </c>
      <c r="AM26" s="154"/>
      <c r="AN26" s="154"/>
      <c r="AO26" s="154"/>
      <c r="AP26" s="154"/>
      <c r="AQ26" s="154"/>
      <c r="AR26" s="154"/>
      <c r="AS26" s="154"/>
      <c r="AU26" s="154"/>
      <c r="AV26" s="154"/>
      <c r="AW26" s="154"/>
      <c r="AX26" s="154"/>
      <c r="AY26" s="154"/>
      <c r="AZ26" s="154"/>
      <c r="BA26" s="154"/>
    </row>
    <row r="27" spans="1:53" x14ac:dyDescent="0.3">
      <c r="A27" s="5">
        <v>2</v>
      </c>
      <c r="B27" s="15"/>
      <c r="C27" s="15"/>
      <c r="D27" s="15"/>
      <c r="E27" s="15"/>
      <c r="F27" s="112">
        <f t="shared" si="0"/>
        <v>0</v>
      </c>
      <c r="G27" s="112"/>
      <c r="H27" s="112">
        <f t="shared" si="1"/>
        <v>0</v>
      </c>
      <c r="I27" s="112"/>
      <c r="J27" s="9" t="str">
        <f t="shared" ref="J27:J43" si="2">IF(COUNTBLANK(A27:E27)=4,"",IF(COUNTBLANK(A27:E27)&gt;0,IncompleteText,IF(OR(F27&gt;120,H27&gt;6),ErrorText,OKText)))</f>
        <v/>
      </c>
      <c r="K27" s="95" t="s">
        <v>357</v>
      </c>
      <c r="L27" s="95"/>
      <c r="M27" s="95"/>
      <c r="N27" s="96"/>
      <c r="O27" s="15"/>
      <c r="P27" s="11" t="s">
        <v>22</v>
      </c>
      <c r="Q27" s="9" t="str">
        <f>IF(ISBLANK(O27),IncompleteText,IF(O27&lt;MAX(F26:G43),ErrorText,OKText))</f>
        <v>BLANK</v>
      </c>
      <c r="R27" s="93" t="s">
        <v>192</v>
      </c>
      <c r="S27" s="93"/>
      <c r="T27" s="93"/>
      <c r="U27" s="93"/>
      <c r="V27" s="93"/>
      <c r="W27" s="39"/>
      <c r="X27" s="105" t="s">
        <v>342</v>
      </c>
      <c r="Y27" s="105"/>
      <c r="Z27" s="105"/>
      <c r="AA27" s="106"/>
      <c r="AB27" s="17" t="e">
        <f>VLOOKUP(AB26,InsulationsTable,4,FALSE)</f>
        <v>#N/A</v>
      </c>
      <c r="AC27" s="11" t="s">
        <v>22</v>
      </c>
      <c r="AD27" s="9" t="str">
        <f>IF(ISERROR(AB27),IncompleteText,IF(AB27&lt;MaxTSVoltage,ErrorText,OKText))</f>
        <v>BLANK</v>
      </c>
      <c r="AE27" s="107" t="s">
        <v>358</v>
      </c>
      <c r="AF27" s="107"/>
      <c r="AG27" s="107"/>
      <c r="AH27" s="108"/>
      <c r="AI27" s="114"/>
      <c r="AJ27" s="114"/>
      <c r="AK27" s="9" t="str">
        <f>IF(ISBLANK(AI27),IncompleteText,OKText)</f>
        <v>BLANK</v>
      </c>
      <c r="AM27" s="154"/>
      <c r="AN27" s="154"/>
      <c r="AO27" s="154"/>
      <c r="AP27" s="154"/>
      <c r="AQ27" s="154"/>
      <c r="AR27" s="154"/>
      <c r="AS27" s="154"/>
      <c r="AU27" s="154"/>
      <c r="AV27" s="154"/>
      <c r="AW27" s="154"/>
      <c r="AX27" s="154"/>
      <c r="AY27" s="154"/>
      <c r="AZ27" s="154"/>
      <c r="BA27" s="154"/>
    </row>
    <row r="28" spans="1:53" x14ac:dyDescent="0.3">
      <c r="A28" s="5">
        <v>3</v>
      </c>
      <c r="B28" s="15"/>
      <c r="C28" s="15"/>
      <c r="D28" s="15"/>
      <c r="E28" s="15"/>
      <c r="F28" s="112">
        <f t="shared" si="0"/>
        <v>0</v>
      </c>
      <c r="G28" s="112"/>
      <c r="H28" s="112">
        <f t="shared" si="1"/>
        <v>0</v>
      </c>
      <c r="I28" s="112"/>
      <c r="J28" s="9" t="str">
        <f t="shared" si="2"/>
        <v/>
      </c>
      <c r="K28" s="95" t="s">
        <v>359</v>
      </c>
      <c r="L28" s="95"/>
      <c r="M28" s="95"/>
      <c r="N28" s="96"/>
      <c r="O28" s="115"/>
      <c r="P28" s="116"/>
      <c r="Q28" s="9" t="str">
        <f>IF($O$24="车队自制 Team design",IF(ISBLANK(O28),IncompleteText,OKText),"")</f>
        <v/>
      </c>
      <c r="R28" s="105" t="s">
        <v>360</v>
      </c>
      <c r="S28" s="105"/>
      <c r="T28" s="106"/>
      <c r="U28" s="110"/>
      <c r="V28" s="111"/>
      <c r="W28" s="9" t="str">
        <f>IF(ISBLANK(U28),IncompleteText,OKText)</f>
        <v>BLANK</v>
      </c>
      <c r="X28" s="105" t="s">
        <v>350</v>
      </c>
      <c r="Y28" s="105"/>
      <c r="Z28" s="105"/>
      <c r="AA28" s="106"/>
      <c r="AB28" s="17" t="e">
        <f>VLOOKUP(AB26,InsulationsTable,5,FALSE)</f>
        <v>#N/A</v>
      </c>
      <c r="AC28" s="11" t="s">
        <v>44</v>
      </c>
      <c r="AD28" s="9" t="str">
        <f>IF(ISERROR(AB28),IncompleteText,IF(AB28&lt;90,ErrorText,OKText))</f>
        <v>BLANK</v>
      </c>
      <c r="AM28" s="154"/>
      <c r="AN28" s="154"/>
      <c r="AO28" s="154"/>
      <c r="AP28" s="154"/>
      <c r="AQ28" s="154"/>
      <c r="AR28" s="154"/>
      <c r="AS28" s="154"/>
      <c r="AU28" s="154"/>
      <c r="AV28" s="154"/>
      <c r="AW28" s="154"/>
      <c r="AX28" s="154"/>
      <c r="AY28" s="154"/>
      <c r="AZ28" s="154"/>
      <c r="BA28" s="154"/>
    </row>
    <row r="29" spans="1:53" x14ac:dyDescent="0.3">
      <c r="A29" s="5">
        <v>4</v>
      </c>
      <c r="B29" s="15"/>
      <c r="C29" s="15"/>
      <c r="D29" s="15"/>
      <c r="E29" s="15"/>
      <c r="F29" s="112">
        <f t="shared" si="0"/>
        <v>0</v>
      </c>
      <c r="G29" s="112"/>
      <c r="H29" s="112">
        <f t="shared" si="1"/>
        <v>0</v>
      </c>
      <c r="I29" s="112"/>
      <c r="J29" s="9" t="str">
        <f t="shared" si="2"/>
        <v/>
      </c>
      <c r="K29" s="95" t="s">
        <v>361</v>
      </c>
      <c r="L29" s="95"/>
      <c r="M29" s="95"/>
      <c r="N29" s="96"/>
      <c r="O29" s="115"/>
      <c r="P29" s="116"/>
      <c r="Q29" s="9" t="str">
        <f>IF($O$24="车队自制 Team design",IF(ISBLANK(O29),IncompleteText,OKText),"")</f>
        <v/>
      </c>
      <c r="R29" s="105" t="s">
        <v>362</v>
      </c>
      <c r="S29" s="105"/>
      <c r="T29" s="106"/>
      <c r="U29" s="17" t="e">
        <f>VLOOKUP(U28,ContactorsTable,2,FALSE)</f>
        <v>#N/A</v>
      </c>
      <c r="V29" s="11" t="s">
        <v>363</v>
      </c>
      <c r="W29" s="9" t="str">
        <f>IF(ISERROR(U29),IncompleteText,IF(U29&lt;MaxTSVoltage,ErrorText,OKText))</f>
        <v>BLANK</v>
      </c>
      <c r="X29" s="91" t="s">
        <v>364</v>
      </c>
      <c r="Y29" s="91"/>
      <c r="Z29" s="91"/>
      <c r="AA29" s="92"/>
      <c r="AB29" s="115"/>
      <c r="AC29" s="116"/>
      <c r="AD29" s="9" t="str">
        <f>IF(ISBLANK(AB29),IncompleteText,OKText)</f>
        <v>BLANK</v>
      </c>
      <c r="AM29" s="154"/>
      <c r="AN29" s="154"/>
      <c r="AO29" s="154"/>
      <c r="AP29" s="154"/>
      <c r="AQ29" s="154"/>
      <c r="AR29" s="154"/>
      <c r="AS29" s="154"/>
      <c r="AU29" s="154"/>
      <c r="AV29" s="154"/>
      <c r="AW29" s="154"/>
      <c r="AX29" s="154"/>
      <c r="AY29" s="154"/>
      <c r="AZ29" s="154"/>
      <c r="BA29" s="154"/>
    </row>
    <row r="30" spans="1:53" x14ac:dyDescent="0.3">
      <c r="A30" s="5">
        <v>5</v>
      </c>
      <c r="B30" s="15"/>
      <c r="C30" s="15"/>
      <c r="D30" s="15"/>
      <c r="E30" s="15"/>
      <c r="F30" s="112">
        <f t="shared" si="0"/>
        <v>0</v>
      </c>
      <c r="G30" s="112"/>
      <c r="H30" s="112">
        <f t="shared" si="1"/>
        <v>0</v>
      </c>
      <c r="I30" s="112"/>
      <c r="J30" s="9" t="str">
        <f t="shared" si="2"/>
        <v/>
      </c>
      <c r="K30" s="117" t="s">
        <v>365</v>
      </c>
      <c r="L30" s="117"/>
      <c r="M30" s="117"/>
      <c r="N30" s="117"/>
      <c r="O30" s="117"/>
      <c r="P30" s="117"/>
      <c r="Q30" s="39"/>
      <c r="R30" s="105" t="s">
        <v>366</v>
      </c>
      <c r="S30" s="105"/>
      <c r="T30" s="106"/>
      <c r="U30" s="17" t="e">
        <f>VLOOKUP(U28,ContactorsTable,4,FALSE)</f>
        <v>#N/A</v>
      </c>
      <c r="V30" s="11" t="s">
        <v>24</v>
      </c>
      <c r="W30" s="39"/>
      <c r="X30" s="105" t="s">
        <v>342</v>
      </c>
      <c r="Y30" s="105"/>
      <c r="Z30" s="105"/>
      <c r="AA30" s="106"/>
      <c r="AB30" s="17" t="e">
        <f>VLOOKUP(AB29,InsulationsTable,4,FALSE)</f>
        <v>#N/A</v>
      </c>
      <c r="AC30" s="11" t="s">
        <v>22</v>
      </c>
      <c r="AD30" s="9" t="str">
        <f>IF(ISERROR(AB30),IncompleteText,IF(AB30&lt;MaxTSVoltage,ErrorText,OKText))</f>
        <v>BLANK</v>
      </c>
      <c r="AM30" s="154"/>
      <c r="AN30" s="154"/>
      <c r="AO30" s="154"/>
      <c r="AP30" s="154"/>
      <c r="AQ30" s="154"/>
      <c r="AR30" s="154"/>
      <c r="AS30" s="154"/>
      <c r="AU30" s="154"/>
      <c r="AV30" s="154"/>
      <c r="AW30" s="154"/>
      <c r="AX30" s="154"/>
      <c r="AY30" s="154"/>
      <c r="AZ30" s="154"/>
      <c r="BA30" s="154"/>
    </row>
    <row r="31" spans="1:53" x14ac:dyDescent="0.3">
      <c r="A31" s="5">
        <v>6</v>
      </c>
      <c r="B31" s="15"/>
      <c r="C31" s="15"/>
      <c r="D31" s="15"/>
      <c r="E31" s="15"/>
      <c r="F31" s="112">
        <f t="shared" si="0"/>
        <v>0</v>
      </c>
      <c r="G31" s="112"/>
      <c r="H31" s="112">
        <f t="shared" si="1"/>
        <v>0</v>
      </c>
      <c r="I31" s="112"/>
      <c r="J31" s="9" t="str">
        <f t="shared" si="2"/>
        <v/>
      </c>
      <c r="K31" s="95" t="s">
        <v>367</v>
      </c>
      <c r="L31" s="95"/>
      <c r="M31" s="95"/>
      <c r="N31" s="96"/>
      <c r="O31" s="15"/>
      <c r="P31" s="11" t="s">
        <v>368</v>
      </c>
      <c r="Q31" s="9" t="str">
        <f>IF(ISBLANK(O31),IncompleteText,OKText)</f>
        <v>BLANK</v>
      </c>
      <c r="R31" s="105" t="s">
        <v>369</v>
      </c>
      <c r="S31" s="105"/>
      <c r="T31" s="106"/>
      <c r="U31" s="17" t="e">
        <f>VLOOKUP(U28,ContactorsTable,3,FALSE)</f>
        <v>#N/A</v>
      </c>
      <c r="V31" s="11" t="s">
        <v>24</v>
      </c>
      <c r="W31" s="9" t="str">
        <f>IF(ISERROR(U31),IncompleteText,IF(U31&gt;=U34,OKText,ErrorText))</f>
        <v>BLANK</v>
      </c>
      <c r="X31" s="105" t="s">
        <v>350</v>
      </c>
      <c r="Y31" s="105"/>
      <c r="Z31" s="105"/>
      <c r="AA31" s="106"/>
      <c r="AB31" s="17" t="e">
        <f>VLOOKUP(AB29,InsulationsTable,5,FALSE)</f>
        <v>#N/A</v>
      </c>
      <c r="AC31" s="11" t="s">
        <v>44</v>
      </c>
      <c r="AD31" s="9" t="str">
        <f>IF(ISERROR(AB31),IncompleteText,IF(AB31&lt;90,ErrorText,OKText))</f>
        <v>BLANK</v>
      </c>
      <c r="AM31" s="154"/>
      <c r="AN31" s="154"/>
      <c r="AO31" s="154"/>
      <c r="AP31" s="154"/>
      <c r="AQ31" s="154"/>
      <c r="AR31" s="154"/>
      <c r="AS31" s="154"/>
      <c r="AU31" s="154"/>
      <c r="AV31" s="154"/>
      <c r="AW31" s="154"/>
      <c r="AX31" s="154"/>
      <c r="AY31" s="154"/>
      <c r="AZ31" s="154"/>
      <c r="BA31" s="154"/>
    </row>
    <row r="32" spans="1:53" x14ac:dyDescent="0.3">
      <c r="A32" s="5">
        <v>7</v>
      </c>
      <c r="B32" s="15"/>
      <c r="C32" s="15"/>
      <c r="D32" s="15"/>
      <c r="E32" s="15"/>
      <c r="F32" s="112">
        <f t="shared" si="0"/>
        <v>0</v>
      </c>
      <c r="G32" s="112"/>
      <c r="H32" s="112">
        <f t="shared" si="1"/>
        <v>0</v>
      </c>
      <c r="I32" s="112"/>
      <c r="J32" s="9" t="str">
        <f t="shared" si="2"/>
        <v/>
      </c>
      <c r="K32" s="118" t="s">
        <v>370</v>
      </c>
      <c r="L32" s="118"/>
      <c r="M32" s="118"/>
      <c r="N32" s="119"/>
      <c r="O32" s="104"/>
      <c r="P32" s="104"/>
      <c r="Q32" s="9" t="str">
        <f>IF(ISBLANK(O32),IncompleteText,OKText)</f>
        <v>BLANK</v>
      </c>
      <c r="R32" s="94" t="s">
        <v>371</v>
      </c>
      <c r="S32" s="94"/>
      <c r="T32" s="94"/>
      <c r="U32" s="94"/>
      <c r="V32" s="94"/>
      <c r="W32" s="39"/>
      <c r="X32" s="105" t="s">
        <v>372</v>
      </c>
      <c r="Y32" s="105"/>
      <c r="Z32" s="105"/>
      <c r="AA32" s="106"/>
      <c r="AB32" s="17" t="e">
        <f>VLOOKUP(AB29,InsulationsTable,6,FALSE)</f>
        <v>#N/A</v>
      </c>
      <c r="AC32" s="11"/>
      <c r="AD32" s="9" t="str">
        <f>IF(ISNA(AB32),IncompleteText,OKText)</f>
        <v>BLANK</v>
      </c>
      <c r="AM32" s="154"/>
      <c r="AN32" s="154"/>
      <c r="AO32" s="154"/>
      <c r="AP32" s="154"/>
      <c r="AQ32" s="154"/>
      <c r="AR32" s="154"/>
      <c r="AS32" s="154"/>
      <c r="AU32" s="154"/>
      <c r="AV32" s="154"/>
      <c r="AW32" s="154"/>
      <c r="AX32" s="154"/>
      <c r="AY32" s="154"/>
      <c r="AZ32" s="154"/>
      <c r="BA32" s="154"/>
    </row>
    <row r="33" spans="1:53" x14ac:dyDescent="0.3">
      <c r="A33" s="5">
        <v>8</v>
      </c>
      <c r="B33" s="15"/>
      <c r="C33" s="15"/>
      <c r="D33" s="15"/>
      <c r="E33" s="15"/>
      <c r="F33" s="112">
        <f t="shared" si="0"/>
        <v>0</v>
      </c>
      <c r="G33" s="112"/>
      <c r="H33" s="112">
        <f t="shared" si="1"/>
        <v>0</v>
      </c>
      <c r="I33" s="112"/>
      <c r="J33" s="9" t="str">
        <f t="shared" si="2"/>
        <v/>
      </c>
      <c r="K33" s="95" t="s">
        <v>373</v>
      </c>
      <c r="L33" s="95"/>
      <c r="M33" s="95"/>
      <c r="N33" s="96"/>
      <c r="O33" s="104"/>
      <c r="P33" s="104"/>
      <c r="Q33" s="9" t="str">
        <f>IF(ISBLANK(O33),IncompleteText,OKText)</f>
        <v>BLANK</v>
      </c>
      <c r="R33" s="120" t="s">
        <v>371</v>
      </c>
      <c r="S33" s="120"/>
      <c r="T33" s="121"/>
      <c r="U33" s="110"/>
      <c r="V33" s="111"/>
      <c r="W33" s="9" t="str">
        <f>IF(ISBLANK(U33),IncompleteText,OKText)</f>
        <v>BLANK</v>
      </c>
      <c r="AM33" s="154"/>
      <c r="AN33" s="154"/>
      <c r="AO33" s="154"/>
      <c r="AP33" s="154"/>
      <c r="AQ33" s="154"/>
      <c r="AR33" s="154"/>
      <c r="AS33" s="154"/>
      <c r="AU33" s="154"/>
      <c r="AV33" s="154"/>
      <c r="AW33" s="154"/>
      <c r="AX33" s="154"/>
      <c r="AY33" s="154"/>
      <c r="AZ33" s="154"/>
      <c r="BA33" s="154"/>
    </row>
    <row r="34" spans="1:53" x14ac:dyDescent="0.3">
      <c r="A34" s="5">
        <v>9</v>
      </c>
      <c r="B34" s="15"/>
      <c r="C34" s="15"/>
      <c r="D34" s="15"/>
      <c r="E34" s="15"/>
      <c r="F34" s="112">
        <f t="shared" si="0"/>
        <v>0</v>
      </c>
      <c r="G34" s="112"/>
      <c r="H34" s="112">
        <f t="shared" si="1"/>
        <v>0</v>
      </c>
      <c r="I34" s="112"/>
      <c r="J34" s="9" t="str">
        <f t="shared" si="2"/>
        <v/>
      </c>
      <c r="K34" s="122" t="s">
        <v>375</v>
      </c>
      <c r="L34" s="123"/>
      <c r="M34" s="123"/>
      <c r="N34" s="124"/>
      <c r="O34" s="125"/>
      <c r="P34" s="125"/>
      <c r="Q34" s="9" t="str">
        <f>IF(O33="其他 Other",IF(ISBLANK(O34),IncompleteText,OKText),"")</f>
        <v/>
      </c>
      <c r="R34" s="105" t="s">
        <v>376</v>
      </c>
      <c r="S34" s="105"/>
      <c r="T34" s="106"/>
      <c r="U34" s="17" t="e">
        <f>VLOOKUP(U33,FuseTable,3,FALSE)</f>
        <v>#N/A</v>
      </c>
      <c r="V34" s="11" t="s">
        <v>24</v>
      </c>
      <c r="W34" s="39"/>
      <c r="AM34" s="154"/>
      <c r="AN34" s="154"/>
      <c r="AO34" s="154"/>
      <c r="AP34" s="154"/>
      <c r="AQ34" s="154"/>
      <c r="AR34" s="154"/>
      <c r="AS34" s="154"/>
      <c r="AU34" s="154"/>
      <c r="AV34" s="154"/>
      <c r="AW34" s="154"/>
      <c r="AX34" s="154"/>
      <c r="AY34" s="154"/>
      <c r="AZ34" s="154"/>
      <c r="BA34" s="154"/>
    </row>
    <row r="35" spans="1:53" x14ac:dyDescent="0.3">
      <c r="A35" s="5">
        <v>10</v>
      </c>
      <c r="B35" s="15"/>
      <c r="C35" s="15"/>
      <c r="D35" s="15"/>
      <c r="E35" s="15"/>
      <c r="F35" s="112">
        <f t="shared" si="0"/>
        <v>0</v>
      </c>
      <c r="G35" s="112"/>
      <c r="H35" s="112">
        <f t="shared" si="1"/>
        <v>0</v>
      </c>
      <c r="I35" s="112"/>
      <c r="J35" s="9" t="str">
        <f t="shared" si="2"/>
        <v/>
      </c>
      <c r="K35" s="105" t="s">
        <v>377</v>
      </c>
      <c r="L35" s="105"/>
      <c r="M35" s="105"/>
      <c r="N35" s="106"/>
      <c r="O35" s="126" t="e">
        <f>VLOOKUP(O32,FuseTable,2,FALSE)</f>
        <v>#N/A</v>
      </c>
      <c r="P35" s="126"/>
      <c r="Q35" s="9" t="str">
        <f>IF(ISERROR(O35),IncompleteText,IF(AND(O35&lt;MAX(F26:G43),O23="集中式 Centralized"),ErrorText,OKText))</f>
        <v>BLANK</v>
      </c>
      <c r="R35" s="105" t="s">
        <v>378</v>
      </c>
      <c r="S35" s="105"/>
      <c r="T35" s="106"/>
      <c r="U35" s="17" t="e">
        <f>VLOOKUP(U33,FuseTable,2,FALSE)</f>
        <v>#N/A</v>
      </c>
      <c r="V35" s="11" t="s">
        <v>22</v>
      </c>
      <c r="W35" s="9" t="e">
        <f>IF(U35&lt;MaxTSVoltage,ErrorText,OKText)</f>
        <v>#N/A</v>
      </c>
      <c r="AM35" s="154"/>
      <c r="AN35" s="154"/>
      <c r="AO35" s="154"/>
      <c r="AP35" s="154"/>
      <c r="AQ35" s="154"/>
      <c r="AR35" s="154"/>
      <c r="AS35" s="154"/>
      <c r="AU35" s="154"/>
      <c r="AV35" s="154"/>
      <c r="AW35" s="154"/>
      <c r="AX35" s="154"/>
      <c r="AY35" s="154"/>
      <c r="AZ35" s="154"/>
      <c r="BA35" s="154"/>
    </row>
    <row r="36" spans="1:53" x14ac:dyDescent="0.3">
      <c r="A36" s="5">
        <v>11</v>
      </c>
      <c r="B36" s="15"/>
      <c r="C36" s="15"/>
      <c r="D36" s="15"/>
      <c r="E36" s="15"/>
      <c r="F36" s="112">
        <f t="shared" si="0"/>
        <v>0</v>
      </c>
      <c r="G36" s="112"/>
      <c r="H36" s="112">
        <f t="shared" si="1"/>
        <v>0</v>
      </c>
      <c r="I36" s="112"/>
      <c r="J36" s="9" t="str">
        <f t="shared" si="2"/>
        <v/>
      </c>
      <c r="K36" s="117" t="s">
        <v>379</v>
      </c>
      <c r="L36" s="117"/>
      <c r="M36" s="117"/>
      <c r="N36" s="117"/>
      <c r="O36" s="117"/>
      <c r="P36" s="117"/>
      <c r="Q36" s="39"/>
      <c r="AM36" s="154"/>
      <c r="AN36" s="154"/>
      <c r="AO36" s="154"/>
      <c r="AP36" s="154"/>
      <c r="AQ36" s="154"/>
      <c r="AR36" s="154"/>
      <c r="AS36" s="154"/>
      <c r="AU36" s="154"/>
      <c r="AV36" s="154"/>
      <c r="AW36" s="154"/>
      <c r="AX36" s="154"/>
      <c r="AY36" s="154"/>
      <c r="AZ36" s="154"/>
      <c r="BA36" s="154"/>
    </row>
    <row r="37" spans="1:53" x14ac:dyDescent="0.3">
      <c r="A37" s="5">
        <v>12</v>
      </c>
      <c r="B37" s="15"/>
      <c r="C37" s="15"/>
      <c r="D37" s="15"/>
      <c r="E37" s="15"/>
      <c r="F37" s="112">
        <f t="shared" si="0"/>
        <v>0</v>
      </c>
      <c r="G37" s="112"/>
      <c r="H37" s="112">
        <f t="shared" si="1"/>
        <v>0</v>
      </c>
      <c r="I37" s="112"/>
      <c r="J37" s="9" t="str">
        <f t="shared" si="2"/>
        <v/>
      </c>
      <c r="K37" s="105" t="s">
        <v>380</v>
      </c>
      <c r="L37" s="105"/>
      <c r="M37" s="105"/>
      <c r="N37" s="106"/>
      <c r="O37" s="110"/>
      <c r="P37" s="111"/>
      <c r="Q37" s="9" t="str">
        <f>IF(ISBLANK(O37),IncompleteText,OKText)</f>
        <v>BLANK</v>
      </c>
      <c r="AM37" s="154"/>
      <c r="AN37" s="154"/>
      <c r="AO37" s="154"/>
      <c r="AP37" s="154"/>
      <c r="AQ37" s="154"/>
      <c r="AR37" s="154"/>
      <c r="AS37" s="154"/>
      <c r="AU37" s="154"/>
      <c r="AV37" s="154"/>
      <c r="AW37" s="154"/>
      <c r="AX37" s="154"/>
      <c r="AY37" s="154"/>
      <c r="AZ37" s="154"/>
      <c r="BA37" s="154"/>
    </row>
    <row r="38" spans="1:53" x14ac:dyDescent="0.3">
      <c r="A38" s="5">
        <v>13</v>
      </c>
      <c r="B38" s="15"/>
      <c r="C38" s="15"/>
      <c r="D38" s="15"/>
      <c r="E38" s="15"/>
      <c r="F38" s="112">
        <f t="shared" si="0"/>
        <v>0</v>
      </c>
      <c r="G38" s="112"/>
      <c r="H38" s="112">
        <f t="shared" si="1"/>
        <v>0</v>
      </c>
      <c r="I38" s="112"/>
      <c r="J38" s="9" t="str">
        <f t="shared" si="2"/>
        <v/>
      </c>
      <c r="K38" s="105" t="s">
        <v>382</v>
      </c>
      <c r="L38" s="105"/>
      <c r="M38" s="105"/>
      <c r="N38" s="106"/>
      <c r="O38" s="15"/>
      <c r="P38" s="11" t="s">
        <v>352</v>
      </c>
      <c r="Q38" s="9" t="str">
        <f>IF(O37="极耳 Cell tabs","",IF(ISBLANK(O38),IncompleteText,IF(O38&lt;10,OKText,ErrorText)))</f>
        <v>BLANK</v>
      </c>
      <c r="AM38" s="154"/>
      <c r="AN38" s="154"/>
      <c r="AO38" s="154"/>
      <c r="AP38" s="154"/>
      <c r="AQ38" s="154"/>
      <c r="AR38" s="154"/>
      <c r="AS38" s="154"/>
      <c r="AU38" s="154"/>
      <c r="AV38" s="154"/>
      <c r="AW38" s="154"/>
      <c r="AX38" s="154"/>
      <c r="AY38" s="154"/>
      <c r="AZ38" s="154"/>
      <c r="BA38" s="154"/>
    </row>
    <row r="39" spans="1:53" x14ac:dyDescent="0.3">
      <c r="A39" s="5">
        <v>14</v>
      </c>
      <c r="B39" s="15"/>
      <c r="C39" s="15"/>
      <c r="D39" s="15"/>
      <c r="E39" s="15"/>
      <c r="F39" s="112">
        <f t="shared" si="0"/>
        <v>0</v>
      </c>
      <c r="G39" s="112"/>
      <c r="H39" s="112">
        <f t="shared" si="1"/>
        <v>0</v>
      </c>
      <c r="I39" s="112"/>
      <c r="J39" s="9" t="str">
        <f t="shared" si="2"/>
        <v/>
      </c>
      <c r="K39" s="105" t="s">
        <v>383</v>
      </c>
      <c r="L39" s="105"/>
      <c r="M39" s="105"/>
      <c r="N39" s="106"/>
      <c r="O39" s="15"/>
      <c r="P39" s="11" t="s">
        <v>384</v>
      </c>
      <c r="Q39" s="9" t="str">
        <f>IF(ISBLANK(O39),IncompleteText,OKText)</f>
        <v>BLANK</v>
      </c>
      <c r="AM39" s="154"/>
      <c r="AN39" s="154"/>
      <c r="AO39" s="154"/>
      <c r="AP39" s="154"/>
      <c r="AQ39" s="154"/>
      <c r="AR39" s="154"/>
      <c r="AS39" s="154"/>
      <c r="AU39" s="154"/>
      <c r="AV39" s="154"/>
      <c r="AW39" s="154"/>
      <c r="AX39" s="154"/>
      <c r="AY39" s="154"/>
      <c r="AZ39" s="154"/>
      <c r="BA39" s="154"/>
    </row>
    <row r="40" spans="1:53" x14ac:dyDescent="0.3">
      <c r="A40" s="5">
        <v>15</v>
      </c>
      <c r="B40" s="15"/>
      <c r="C40" s="15"/>
      <c r="D40" s="15"/>
      <c r="E40" s="15"/>
      <c r="F40" s="112">
        <f t="shared" si="0"/>
        <v>0</v>
      </c>
      <c r="G40" s="112"/>
      <c r="H40" s="112">
        <f t="shared" si="1"/>
        <v>0</v>
      </c>
      <c r="I40" s="112"/>
      <c r="J40" s="9" t="str">
        <f t="shared" si="2"/>
        <v/>
      </c>
      <c r="K40" s="105" t="s">
        <v>385</v>
      </c>
      <c r="L40" s="105"/>
      <c r="M40" s="105"/>
      <c r="N40" s="106"/>
      <c r="O40" s="110"/>
      <c r="P40" s="111"/>
      <c r="Q40" s="39"/>
      <c r="AM40" s="154"/>
      <c r="AN40" s="154"/>
      <c r="AO40" s="154"/>
      <c r="AP40" s="154"/>
      <c r="AQ40" s="154"/>
      <c r="AR40" s="154"/>
      <c r="AS40" s="154"/>
      <c r="AU40" s="154"/>
      <c r="AV40" s="154"/>
      <c r="AW40" s="154"/>
      <c r="AX40" s="154"/>
      <c r="AY40" s="154"/>
      <c r="AZ40" s="154"/>
      <c r="BA40" s="154"/>
    </row>
    <row r="41" spans="1:53" x14ac:dyDescent="0.3">
      <c r="A41" s="5">
        <v>16</v>
      </c>
      <c r="B41" s="15"/>
      <c r="C41" s="15"/>
      <c r="D41" s="15"/>
      <c r="E41" s="15"/>
      <c r="F41" s="112">
        <f t="shared" si="0"/>
        <v>0</v>
      </c>
      <c r="G41" s="112"/>
      <c r="H41" s="112">
        <f t="shared" si="1"/>
        <v>0</v>
      </c>
      <c r="I41" s="112"/>
      <c r="J41" s="9" t="str">
        <f t="shared" si="2"/>
        <v/>
      </c>
      <c r="K41" s="105" t="s">
        <v>387</v>
      </c>
      <c r="L41" s="105"/>
      <c r="M41" s="105"/>
      <c r="N41" s="106"/>
      <c r="O41" s="110"/>
      <c r="P41" s="111"/>
      <c r="Q41" s="9" t="str">
        <f>IF(ISBLANK($O$40),"",IF(ISBLANK(O41),IncompleteText,OKText))</f>
        <v/>
      </c>
      <c r="AM41" s="154"/>
      <c r="AN41" s="154"/>
      <c r="AO41" s="154"/>
      <c r="AP41" s="154"/>
      <c r="AQ41" s="154"/>
      <c r="AR41" s="154"/>
      <c r="AS41" s="154"/>
      <c r="AU41" s="154"/>
      <c r="AV41" s="154"/>
      <c r="AW41" s="154"/>
      <c r="AX41" s="154"/>
      <c r="AY41" s="154"/>
      <c r="AZ41" s="154"/>
      <c r="BA41" s="154"/>
    </row>
    <row r="42" spans="1:53" x14ac:dyDescent="0.3">
      <c r="A42" s="5">
        <v>17</v>
      </c>
      <c r="B42" s="15"/>
      <c r="C42" s="15"/>
      <c r="D42" s="15"/>
      <c r="E42" s="15"/>
      <c r="F42" s="112">
        <f t="shared" si="0"/>
        <v>0</v>
      </c>
      <c r="G42" s="112"/>
      <c r="H42" s="112">
        <f t="shared" si="1"/>
        <v>0</v>
      </c>
      <c r="I42" s="112"/>
      <c r="J42" s="9" t="str">
        <f t="shared" si="2"/>
        <v/>
      </c>
      <c r="K42" s="105" t="s">
        <v>388</v>
      </c>
      <c r="L42" s="105"/>
      <c r="M42" s="105"/>
      <c r="N42" s="106"/>
      <c r="O42" s="15"/>
      <c r="P42" s="11" t="s">
        <v>390</v>
      </c>
      <c r="Q42" s="9" t="str">
        <f>IF(ISBLANK($O$40),"",IF(ISBLANK(O42),IncompleteText,OKText))</f>
        <v/>
      </c>
      <c r="AM42" s="154"/>
      <c r="AN42" s="154"/>
      <c r="AO42" s="154"/>
      <c r="AP42" s="154"/>
      <c r="AQ42" s="154"/>
      <c r="AR42" s="154"/>
      <c r="AS42" s="154"/>
      <c r="AU42" s="154"/>
      <c r="AV42" s="154"/>
      <c r="AW42" s="154"/>
      <c r="AX42" s="154"/>
      <c r="AY42" s="154"/>
      <c r="AZ42" s="154"/>
      <c r="BA42" s="154"/>
    </row>
    <row r="43" spans="1:53" x14ac:dyDescent="0.3">
      <c r="A43" s="5">
        <v>18</v>
      </c>
      <c r="B43" s="15"/>
      <c r="C43" s="15"/>
      <c r="D43" s="15"/>
      <c r="E43" s="15"/>
      <c r="F43" s="112">
        <f t="shared" si="0"/>
        <v>0</v>
      </c>
      <c r="G43" s="112"/>
      <c r="H43" s="112">
        <f t="shared" si="1"/>
        <v>0</v>
      </c>
      <c r="I43" s="112"/>
      <c r="J43" s="9" t="str">
        <f t="shared" si="2"/>
        <v/>
      </c>
      <c r="K43" s="105" t="s">
        <v>391</v>
      </c>
      <c r="L43" s="105"/>
      <c r="M43" s="105"/>
      <c r="N43" s="106"/>
      <c r="O43" s="15"/>
      <c r="P43" s="11" t="s">
        <v>352</v>
      </c>
      <c r="Q43" s="9" t="str">
        <f>IF(ISBLANK($O$40),"",IF(ISBLANK(O43),IncompleteText,OKText))</f>
        <v/>
      </c>
      <c r="AM43" s="154"/>
      <c r="AN43" s="154"/>
      <c r="AO43" s="154"/>
      <c r="AP43" s="154"/>
      <c r="AQ43" s="154"/>
      <c r="AR43" s="154"/>
      <c r="AS43" s="154"/>
      <c r="AU43" s="154"/>
      <c r="AV43" s="154"/>
      <c r="AW43" s="154"/>
      <c r="AX43" s="154"/>
      <c r="AY43" s="154"/>
      <c r="AZ43" s="154"/>
      <c r="BA43" s="154"/>
    </row>
    <row r="44" spans="1:53" x14ac:dyDescent="0.3">
      <c r="K44" s="105" t="s">
        <v>392</v>
      </c>
      <c r="L44" s="105"/>
      <c r="M44" s="105"/>
      <c r="N44" s="106"/>
      <c r="O44" s="17" t="e">
        <f>SUMIF(J26:J43,"=OK",D26:D43)*CellsPerTempSensor_BK/TotalCells_BK*100</f>
        <v>#DIV/0!</v>
      </c>
      <c r="P44" s="11" t="s">
        <v>393</v>
      </c>
      <c r="Q44" s="9" t="str">
        <f>IF(ISERROR(O44),IncompleteText,IF(O44&lt;20,ErrorText,OKText))</f>
        <v>BLANK</v>
      </c>
    </row>
    <row r="47" spans="1:53" ht="14" customHeight="1" x14ac:dyDescent="0.3">
      <c r="A47" s="152" t="s">
        <v>394</v>
      </c>
      <c r="B47" s="152"/>
      <c r="C47" s="152"/>
      <c r="D47" s="152"/>
      <c r="E47" s="152"/>
      <c r="F47" s="152"/>
      <c r="G47" s="152"/>
      <c r="H47" s="152"/>
      <c r="J47" s="154" t="s">
        <v>395</v>
      </c>
      <c r="K47" s="152"/>
      <c r="L47" s="152"/>
      <c r="M47" s="152"/>
      <c r="N47" s="152"/>
      <c r="O47" s="152"/>
      <c r="P47" s="152"/>
      <c r="Q47" s="152"/>
      <c r="S47" s="152" t="s">
        <v>396</v>
      </c>
      <c r="T47" s="152"/>
      <c r="U47" s="152"/>
      <c r="V47" s="152"/>
      <c r="W47" s="152"/>
      <c r="X47" s="152"/>
      <c r="Y47" s="152"/>
      <c r="Z47" s="152"/>
      <c r="AB47" s="156" t="s">
        <v>397</v>
      </c>
      <c r="AC47" s="157"/>
      <c r="AD47" s="157"/>
      <c r="AE47" s="157"/>
      <c r="AF47" s="157"/>
      <c r="AG47" s="157"/>
      <c r="AH47" s="157"/>
      <c r="AI47" s="158"/>
      <c r="AK47" s="165" t="s">
        <v>398</v>
      </c>
      <c r="AL47" s="166"/>
      <c r="AM47" s="166"/>
      <c r="AN47" s="166"/>
      <c r="AO47" s="166"/>
      <c r="AP47" s="166"/>
      <c r="AQ47" s="166"/>
      <c r="AR47" s="167"/>
      <c r="AT47" s="152" t="s">
        <v>399</v>
      </c>
      <c r="AU47" s="152"/>
      <c r="AV47" s="152"/>
      <c r="AW47" s="152"/>
      <c r="AX47" s="152"/>
      <c r="AY47" s="152"/>
      <c r="AZ47" s="152"/>
      <c r="BA47" s="152"/>
    </row>
    <row r="48" spans="1:53" x14ac:dyDescent="0.3">
      <c r="A48" s="152"/>
      <c r="B48" s="152"/>
      <c r="C48" s="152"/>
      <c r="D48" s="152"/>
      <c r="E48" s="152"/>
      <c r="F48" s="152"/>
      <c r="G48" s="152"/>
      <c r="H48" s="152"/>
      <c r="J48" s="152"/>
      <c r="K48" s="152"/>
      <c r="L48" s="152"/>
      <c r="M48" s="152"/>
      <c r="N48" s="152"/>
      <c r="O48" s="152"/>
      <c r="P48" s="152"/>
      <c r="Q48" s="152"/>
      <c r="S48" s="152"/>
      <c r="T48" s="152"/>
      <c r="U48" s="152"/>
      <c r="V48" s="152"/>
      <c r="W48" s="152"/>
      <c r="X48" s="152"/>
      <c r="Y48" s="152"/>
      <c r="Z48" s="152"/>
      <c r="AB48" s="159"/>
      <c r="AC48" s="160"/>
      <c r="AD48" s="160"/>
      <c r="AE48" s="160"/>
      <c r="AF48" s="160"/>
      <c r="AG48" s="160"/>
      <c r="AH48" s="160"/>
      <c r="AI48" s="161"/>
      <c r="AK48" s="168"/>
      <c r="AL48" s="169"/>
      <c r="AM48" s="169"/>
      <c r="AN48" s="169"/>
      <c r="AO48" s="169"/>
      <c r="AP48" s="169"/>
      <c r="AQ48" s="169"/>
      <c r="AR48" s="170"/>
      <c r="AT48" s="152"/>
      <c r="AU48" s="152"/>
      <c r="AV48" s="152"/>
      <c r="AW48" s="152"/>
      <c r="AX48" s="152"/>
      <c r="AY48" s="152"/>
      <c r="AZ48" s="152"/>
      <c r="BA48" s="152"/>
    </row>
    <row r="49" spans="1:53" x14ac:dyDescent="0.3">
      <c r="A49" s="152"/>
      <c r="B49" s="152"/>
      <c r="C49" s="152"/>
      <c r="D49" s="152"/>
      <c r="E49" s="152"/>
      <c r="F49" s="152"/>
      <c r="G49" s="152"/>
      <c r="H49" s="152"/>
      <c r="J49" s="152"/>
      <c r="K49" s="152"/>
      <c r="L49" s="152"/>
      <c r="M49" s="152"/>
      <c r="N49" s="152"/>
      <c r="O49" s="152"/>
      <c r="P49" s="152"/>
      <c r="Q49" s="152"/>
      <c r="S49" s="152"/>
      <c r="T49" s="152"/>
      <c r="U49" s="152"/>
      <c r="V49" s="152"/>
      <c r="W49" s="152"/>
      <c r="X49" s="152"/>
      <c r="Y49" s="152"/>
      <c r="Z49" s="152"/>
      <c r="AB49" s="159"/>
      <c r="AC49" s="160"/>
      <c r="AD49" s="160"/>
      <c r="AE49" s="160"/>
      <c r="AF49" s="160"/>
      <c r="AG49" s="160"/>
      <c r="AH49" s="160"/>
      <c r="AI49" s="161"/>
      <c r="AK49" s="168"/>
      <c r="AL49" s="169"/>
      <c r="AM49" s="169"/>
      <c r="AN49" s="169"/>
      <c r="AO49" s="169"/>
      <c r="AP49" s="169"/>
      <c r="AQ49" s="169"/>
      <c r="AR49" s="170"/>
      <c r="AT49" s="152"/>
      <c r="AU49" s="152"/>
      <c r="AV49" s="152"/>
      <c r="AW49" s="152"/>
      <c r="AX49" s="152"/>
      <c r="AY49" s="152"/>
      <c r="AZ49" s="152"/>
      <c r="BA49" s="152"/>
    </row>
    <row r="50" spans="1:53" x14ac:dyDescent="0.3">
      <c r="A50" s="152"/>
      <c r="B50" s="152"/>
      <c r="C50" s="152"/>
      <c r="D50" s="152"/>
      <c r="E50" s="152"/>
      <c r="F50" s="152"/>
      <c r="G50" s="152"/>
      <c r="H50" s="152"/>
      <c r="J50" s="152"/>
      <c r="K50" s="152"/>
      <c r="L50" s="152"/>
      <c r="M50" s="152"/>
      <c r="N50" s="152"/>
      <c r="O50" s="152"/>
      <c r="P50" s="152"/>
      <c r="Q50" s="152"/>
      <c r="S50" s="152"/>
      <c r="T50" s="152"/>
      <c r="U50" s="152"/>
      <c r="V50" s="152"/>
      <c r="W50" s="152"/>
      <c r="X50" s="152"/>
      <c r="Y50" s="152"/>
      <c r="Z50" s="152"/>
      <c r="AB50" s="159"/>
      <c r="AC50" s="160"/>
      <c r="AD50" s="160"/>
      <c r="AE50" s="160"/>
      <c r="AF50" s="160"/>
      <c r="AG50" s="160"/>
      <c r="AH50" s="160"/>
      <c r="AI50" s="161"/>
      <c r="AK50" s="168"/>
      <c r="AL50" s="169"/>
      <c r="AM50" s="169"/>
      <c r="AN50" s="169"/>
      <c r="AO50" s="169"/>
      <c r="AP50" s="169"/>
      <c r="AQ50" s="169"/>
      <c r="AR50" s="170"/>
      <c r="AT50" s="152"/>
      <c r="AU50" s="152"/>
      <c r="AV50" s="152"/>
      <c r="AW50" s="152"/>
      <c r="AX50" s="152"/>
      <c r="AY50" s="152"/>
      <c r="AZ50" s="152"/>
      <c r="BA50" s="152"/>
    </row>
    <row r="51" spans="1:53" x14ac:dyDescent="0.3">
      <c r="A51" s="152"/>
      <c r="B51" s="152"/>
      <c r="C51" s="152"/>
      <c r="D51" s="152"/>
      <c r="E51" s="152"/>
      <c r="F51" s="152"/>
      <c r="G51" s="152"/>
      <c r="H51" s="152"/>
      <c r="J51" s="152"/>
      <c r="K51" s="152"/>
      <c r="L51" s="152"/>
      <c r="M51" s="152"/>
      <c r="N51" s="152"/>
      <c r="O51" s="152"/>
      <c r="P51" s="152"/>
      <c r="Q51" s="152"/>
      <c r="S51" s="152"/>
      <c r="T51" s="152"/>
      <c r="U51" s="152"/>
      <c r="V51" s="152"/>
      <c r="W51" s="152"/>
      <c r="X51" s="152"/>
      <c r="Y51" s="152"/>
      <c r="Z51" s="152"/>
      <c r="AB51" s="159"/>
      <c r="AC51" s="160"/>
      <c r="AD51" s="160"/>
      <c r="AE51" s="160"/>
      <c r="AF51" s="160"/>
      <c r="AG51" s="160"/>
      <c r="AH51" s="160"/>
      <c r="AI51" s="161"/>
      <c r="AK51" s="168"/>
      <c r="AL51" s="169"/>
      <c r="AM51" s="169"/>
      <c r="AN51" s="169"/>
      <c r="AO51" s="169"/>
      <c r="AP51" s="169"/>
      <c r="AQ51" s="169"/>
      <c r="AR51" s="170"/>
      <c r="AT51" s="152"/>
      <c r="AU51" s="152"/>
      <c r="AV51" s="152"/>
      <c r="AW51" s="152"/>
      <c r="AX51" s="152"/>
      <c r="AY51" s="152"/>
      <c r="AZ51" s="152"/>
      <c r="BA51" s="152"/>
    </row>
    <row r="52" spans="1:53" x14ac:dyDescent="0.3">
      <c r="A52" s="152"/>
      <c r="B52" s="152"/>
      <c r="C52" s="152"/>
      <c r="D52" s="152"/>
      <c r="E52" s="152"/>
      <c r="F52" s="152"/>
      <c r="G52" s="152"/>
      <c r="H52" s="152"/>
      <c r="J52" s="152"/>
      <c r="K52" s="152"/>
      <c r="L52" s="152"/>
      <c r="M52" s="152"/>
      <c r="N52" s="152"/>
      <c r="O52" s="152"/>
      <c r="P52" s="152"/>
      <c r="Q52" s="152"/>
      <c r="S52" s="152"/>
      <c r="T52" s="152"/>
      <c r="U52" s="152"/>
      <c r="V52" s="152"/>
      <c r="W52" s="152"/>
      <c r="X52" s="152"/>
      <c r="Y52" s="152"/>
      <c r="Z52" s="152"/>
      <c r="AB52" s="159"/>
      <c r="AC52" s="160"/>
      <c r="AD52" s="160"/>
      <c r="AE52" s="160"/>
      <c r="AF52" s="160"/>
      <c r="AG52" s="160"/>
      <c r="AH52" s="160"/>
      <c r="AI52" s="161"/>
      <c r="AK52" s="168"/>
      <c r="AL52" s="169"/>
      <c r="AM52" s="169"/>
      <c r="AN52" s="169"/>
      <c r="AO52" s="169"/>
      <c r="AP52" s="169"/>
      <c r="AQ52" s="169"/>
      <c r="AR52" s="170"/>
      <c r="AT52" s="152"/>
      <c r="AU52" s="152"/>
      <c r="AV52" s="152"/>
      <c r="AW52" s="152"/>
      <c r="AX52" s="152"/>
      <c r="AY52" s="152"/>
      <c r="AZ52" s="152"/>
      <c r="BA52" s="152"/>
    </row>
    <row r="53" spans="1:53" x14ac:dyDescent="0.3">
      <c r="A53" s="152"/>
      <c r="B53" s="152"/>
      <c r="C53" s="152"/>
      <c r="D53" s="152"/>
      <c r="E53" s="152"/>
      <c r="F53" s="152"/>
      <c r="G53" s="152"/>
      <c r="H53" s="152"/>
      <c r="J53" s="152"/>
      <c r="K53" s="152"/>
      <c r="L53" s="152"/>
      <c r="M53" s="152"/>
      <c r="N53" s="152"/>
      <c r="O53" s="152"/>
      <c r="P53" s="152"/>
      <c r="Q53" s="152"/>
      <c r="S53" s="152"/>
      <c r="T53" s="152"/>
      <c r="U53" s="152"/>
      <c r="V53" s="152"/>
      <c r="W53" s="152"/>
      <c r="X53" s="152"/>
      <c r="Y53" s="152"/>
      <c r="Z53" s="152"/>
      <c r="AB53" s="159"/>
      <c r="AC53" s="160"/>
      <c r="AD53" s="160"/>
      <c r="AE53" s="160"/>
      <c r="AF53" s="160"/>
      <c r="AG53" s="160"/>
      <c r="AH53" s="160"/>
      <c r="AI53" s="161"/>
      <c r="AK53" s="168"/>
      <c r="AL53" s="169"/>
      <c r="AM53" s="169"/>
      <c r="AN53" s="169"/>
      <c r="AO53" s="169"/>
      <c r="AP53" s="169"/>
      <c r="AQ53" s="169"/>
      <c r="AR53" s="170"/>
      <c r="AT53" s="152"/>
      <c r="AU53" s="152"/>
      <c r="AV53" s="152"/>
      <c r="AW53" s="152"/>
      <c r="AX53" s="152"/>
      <c r="AY53" s="152"/>
      <c r="AZ53" s="152"/>
      <c r="BA53" s="152"/>
    </row>
    <row r="54" spans="1:53" x14ac:dyDescent="0.3">
      <c r="A54" s="152"/>
      <c r="B54" s="152"/>
      <c r="C54" s="152"/>
      <c r="D54" s="152"/>
      <c r="E54" s="152"/>
      <c r="F54" s="152"/>
      <c r="G54" s="152"/>
      <c r="H54" s="152"/>
      <c r="J54" s="152"/>
      <c r="K54" s="152"/>
      <c r="L54" s="152"/>
      <c r="M54" s="152"/>
      <c r="N54" s="152"/>
      <c r="O54" s="152"/>
      <c r="P54" s="152"/>
      <c r="Q54" s="152"/>
      <c r="S54" s="152"/>
      <c r="T54" s="152"/>
      <c r="U54" s="152"/>
      <c r="V54" s="152"/>
      <c r="W54" s="152"/>
      <c r="X54" s="152"/>
      <c r="Y54" s="152"/>
      <c r="Z54" s="152"/>
      <c r="AB54" s="159"/>
      <c r="AC54" s="160"/>
      <c r="AD54" s="160"/>
      <c r="AE54" s="160"/>
      <c r="AF54" s="160"/>
      <c r="AG54" s="160"/>
      <c r="AH54" s="160"/>
      <c r="AI54" s="161"/>
      <c r="AK54" s="168"/>
      <c r="AL54" s="169"/>
      <c r="AM54" s="169"/>
      <c r="AN54" s="169"/>
      <c r="AO54" s="169"/>
      <c r="AP54" s="169"/>
      <c r="AQ54" s="169"/>
      <c r="AR54" s="170"/>
      <c r="AT54" s="152"/>
      <c r="AU54" s="152"/>
      <c r="AV54" s="152"/>
      <c r="AW54" s="152"/>
      <c r="AX54" s="152"/>
      <c r="AY54" s="152"/>
      <c r="AZ54" s="152"/>
      <c r="BA54" s="152"/>
    </row>
    <row r="55" spans="1:53" x14ac:dyDescent="0.3">
      <c r="A55" s="152"/>
      <c r="B55" s="152"/>
      <c r="C55" s="152"/>
      <c r="D55" s="152"/>
      <c r="E55" s="152"/>
      <c r="F55" s="152"/>
      <c r="G55" s="152"/>
      <c r="H55" s="152"/>
      <c r="J55" s="152"/>
      <c r="K55" s="152"/>
      <c r="L55" s="152"/>
      <c r="M55" s="152"/>
      <c r="N55" s="152"/>
      <c r="O55" s="152"/>
      <c r="P55" s="152"/>
      <c r="Q55" s="152"/>
      <c r="S55" s="152"/>
      <c r="T55" s="152"/>
      <c r="U55" s="152"/>
      <c r="V55" s="152"/>
      <c r="W55" s="152"/>
      <c r="X55" s="152"/>
      <c r="Y55" s="152"/>
      <c r="Z55" s="152"/>
      <c r="AB55" s="159"/>
      <c r="AC55" s="160"/>
      <c r="AD55" s="160"/>
      <c r="AE55" s="160"/>
      <c r="AF55" s="160"/>
      <c r="AG55" s="160"/>
      <c r="AH55" s="160"/>
      <c r="AI55" s="161"/>
      <c r="AK55" s="168"/>
      <c r="AL55" s="169"/>
      <c r="AM55" s="169"/>
      <c r="AN55" s="169"/>
      <c r="AO55" s="169"/>
      <c r="AP55" s="169"/>
      <c r="AQ55" s="169"/>
      <c r="AR55" s="170"/>
      <c r="AT55" s="152"/>
      <c r="AU55" s="152"/>
      <c r="AV55" s="152"/>
      <c r="AW55" s="152"/>
      <c r="AX55" s="152"/>
      <c r="AY55" s="152"/>
      <c r="AZ55" s="152"/>
      <c r="BA55" s="152"/>
    </row>
    <row r="56" spans="1:53" x14ac:dyDescent="0.3">
      <c r="A56" s="152"/>
      <c r="B56" s="152"/>
      <c r="C56" s="152"/>
      <c r="D56" s="152"/>
      <c r="E56" s="152"/>
      <c r="F56" s="152"/>
      <c r="G56" s="152"/>
      <c r="H56" s="152"/>
      <c r="J56" s="152"/>
      <c r="K56" s="152"/>
      <c r="L56" s="152"/>
      <c r="M56" s="152"/>
      <c r="N56" s="152"/>
      <c r="O56" s="152"/>
      <c r="P56" s="152"/>
      <c r="Q56" s="152"/>
      <c r="S56" s="152"/>
      <c r="T56" s="152"/>
      <c r="U56" s="152"/>
      <c r="V56" s="152"/>
      <c r="W56" s="152"/>
      <c r="X56" s="152"/>
      <c r="Y56" s="152"/>
      <c r="Z56" s="152"/>
      <c r="AB56" s="159"/>
      <c r="AC56" s="160"/>
      <c r="AD56" s="160"/>
      <c r="AE56" s="160"/>
      <c r="AF56" s="160"/>
      <c r="AG56" s="160"/>
      <c r="AH56" s="160"/>
      <c r="AI56" s="161"/>
      <c r="AK56" s="168"/>
      <c r="AL56" s="169"/>
      <c r="AM56" s="169"/>
      <c r="AN56" s="169"/>
      <c r="AO56" s="169"/>
      <c r="AP56" s="169"/>
      <c r="AQ56" s="169"/>
      <c r="AR56" s="170"/>
      <c r="AT56" s="152"/>
      <c r="AU56" s="152"/>
      <c r="AV56" s="152"/>
      <c r="AW56" s="152"/>
      <c r="AX56" s="152"/>
      <c r="AY56" s="152"/>
      <c r="AZ56" s="152"/>
      <c r="BA56" s="152"/>
    </row>
    <row r="57" spans="1:53" x14ac:dyDescent="0.3">
      <c r="A57" s="152"/>
      <c r="B57" s="152"/>
      <c r="C57" s="152"/>
      <c r="D57" s="152"/>
      <c r="E57" s="152"/>
      <c r="F57" s="152"/>
      <c r="G57" s="152"/>
      <c r="H57" s="152"/>
      <c r="J57" s="152"/>
      <c r="K57" s="152"/>
      <c r="L57" s="152"/>
      <c r="M57" s="152"/>
      <c r="N57" s="152"/>
      <c r="O57" s="152"/>
      <c r="P57" s="152"/>
      <c r="Q57" s="152"/>
      <c r="S57" s="152"/>
      <c r="T57" s="152"/>
      <c r="U57" s="152"/>
      <c r="V57" s="152"/>
      <c r="W57" s="152"/>
      <c r="X57" s="152"/>
      <c r="Y57" s="152"/>
      <c r="Z57" s="152"/>
      <c r="AB57" s="159"/>
      <c r="AC57" s="160"/>
      <c r="AD57" s="160"/>
      <c r="AE57" s="160"/>
      <c r="AF57" s="160"/>
      <c r="AG57" s="160"/>
      <c r="AH57" s="160"/>
      <c r="AI57" s="161"/>
      <c r="AK57" s="168"/>
      <c r="AL57" s="169"/>
      <c r="AM57" s="169"/>
      <c r="AN57" s="169"/>
      <c r="AO57" s="169"/>
      <c r="AP57" s="169"/>
      <c r="AQ57" s="169"/>
      <c r="AR57" s="170"/>
      <c r="AT57" s="152"/>
      <c r="AU57" s="152"/>
      <c r="AV57" s="152"/>
      <c r="AW57" s="152"/>
      <c r="AX57" s="152"/>
      <c r="AY57" s="152"/>
      <c r="AZ57" s="152"/>
      <c r="BA57" s="152"/>
    </row>
    <row r="58" spans="1:53" x14ac:dyDescent="0.3">
      <c r="A58" s="152"/>
      <c r="B58" s="152"/>
      <c r="C58" s="152"/>
      <c r="D58" s="152"/>
      <c r="E58" s="152"/>
      <c r="F58" s="152"/>
      <c r="G58" s="152"/>
      <c r="H58" s="152"/>
      <c r="J58" s="152"/>
      <c r="K58" s="152"/>
      <c r="L58" s="152"/>
      <c r="M58" s="152"/>
      <c r="N58" s="152"/>
      <c r="O58" s="152"/>
      <c r="P58" s="152"/>
      <c r="Q58" s="152"/>
      <c r="S58" s="152"/>
      <c r="T58" s="152"/>
      <c r="U58" s="152"/>
      <c r="V58" s="152"/>
      <c r="W58" s="152"/>
      <c r="X58" s="152"/>
      <c r="Y58" s="152"/>
      <c r="Z58" s="152"/>
      <c r="AB58" s="159"/>
      <c r="AC58" s="160"/>
      <c r="AD58" s="160"/>
      <c r="AE58" s="160"/>
      <c r="AF58" s="160"/>
      <c r="AG58" s="160"/>
      <c r="AH58" s="160"/>
      <c r="AI58" s="161"/>
      <c r="AK58" s="168"/>
      <c r="AL58" s="169"/>
      <c r="AM58" s="169"/>
      <c r="AN58" s="169"/>
      <c r="AO58" s="169"/>
      <c r="AP58" s="169"/>
      <c r="AQ58" s="169"/>
      <c r="AR58" s="170"/>
      <c r="AT58" s="152"/>
      <c r="AU58" s="152"/>
      <c r="AV58" s="152"/>
      <c r="AW58" s="152"/>
      <c r="AX58" s="152"/>
      <c r="AY58" s="152"/>
      <c r="AZ58" s="152"/>
      <c r="BA58" s="152"/>
    </row>
    <row r="59" spans="1:53" x14ac:dyDescent="0.3">
      <c r="A59" s="152"/>
      <c r="B59" s="152"/>
      <c r="C59" s="152"/>
      <c r="D59" s="152"/>
      <c r="E59" s="152"/>
      <c r="F59" s="152"/>
      <c r="G59" s="152"/>
      <c r="H59" s="152"/>
      <c r="J59" s="152"/>
      <c r="K59" s="152"/>
      <c r="L59" s="152"/>
      <c r="M59" s="152"/>
      <c r="N59" s="152"/>
      <c r="O59" s="152"/>
      <c r="P59" s="152"/>
      <c r="Q59" s="152"/>
      <c r="S59" s="152"/>
      <c r="T59" s="152"/>
      <c r="U59" s="152"/>
      <c r="V59" s="152"/>
      <c r="W59" s="152"/>
      <c r="X59" s="152"/>
      <c r="Y59" s="152"/>
      <c r="Z59" s="152"/>
      <c r="AB59" s="159"/>
      <c r="AC59" s="160"/>
      <c r="AD59" s="160"/>
      <c r="AE59" s="160"/>
      <c r="AF59" s="160"/>
      <c r="AG59" s="160"/>
      <c r="AH59" s="160"/>
      <c r="AI59" s="161"/>
      <c r="AK59" s="168"/>
      <c r="AL59" s="169"/>
      <c r="AM59" s="169"/>
      <c r="AN59" s="169"/>
      <c r="AO59" s="169"/>
      <c r="AP59" s="169"/>
      <c r="AQ59" s="169"/>
      <c r="AR59" s="170"/>
      <c r="AT59" s="152"/>
      <c r="AU59" s="152"/>
      <c r="AV59" s="152"/>
      <c r="AW59" s="152"/>
      <c r="AX59" s="152"/>
      <c r="AY59" s="152"/>
      <c r="AZ59" s="152"/>
      <c r="BA59" s="152"/>
    </row>
    <row r="60" spans="1:53" x14ac:dyDescent="0.3">
      <c r="A60" s="152"/>
      <c r="B60" s="152"/>
      <c r="C60" s="152"/>
      <c r="D60" s="152"/>
      <c r="E60" s="152"/>
      <c r="F60" s="152"/>
      <c r="G60" s="152"/>
      <c r="H60" s="152"/>
      <c r="J60" s="152"/>
      <c r="K60" s="152"/>
      <c r="L60" s="152"/>
      <c r="M60" s="152"/>
      <c r="N60" s="152"/>
      <c r="O60" s="152"/>
      <c r="P60" s="152"/>
      <c r="Q60" s="152"/>
      <c r="S60" s="152"/>
      <c r="T60" s="152"/>
      <c r="U60" s="152"/>
      <c r="V60" s="152"/>
      <c r="W60" s="152"/>
      <c r="X60" s="152"/>
      <c r="Y60" s="152"/>
      <c r="Z60" s="152"/>
      <c r="AB60" s="159"/>
      <c r="AC60" s="160"/>
      <c r="AD60" s="160"/>
      <c r="AE60" s="160"/>
      <c r="AF60" s="160"/>
      <c r="AG60" s="160"/>
      <c r="AH60" s="160"/>
      <c r="AI60" s="161"/>
      <c r="AK60" s="168"/>
      <c r="AL60" s="169"/>
      <c r="AM60" s="169"/>
      <c r="AN60" s="169"/>
      <c r="AO60" s="169"/>
      <c r="AP60" s="169"/>
      <c r="AQ60" s="169"/>
      <c r="AR60" s="170"/>
      <c r="AT60" s="152"/>
      <c r="AU60" s="152"/>
      <c r="AV60" s="152"/>
      <c r="AW60" s="152"/>
      <c r="AX60" s="152"/>
      <c r="AY60" s="152"/>
      <c r="AZ60" s="152"/>
      <c r="BA60" s="152"/>
    </row>
    <row r="61" spans="1:53" x14ac:dyDescent="0.3">
      <c r="A61" s="152"/>
      <c r="B61" s="152"/>
      <c r="C61" s="152"/>
      <c r="D61" s="152"/>
      <c r="E61" s="152"/>
      <c r="F61" s="152"/>
      <c r="G61" s="152"/>
      <c r="H61" s="152"/>
      <c r="J61" s="152"/>
      <c r="K61" s="152"/>
      <c r="L61" s="152"/>
      <c r="M61" s="152"/>
      <c r="N61" s="152"/>
      <c r="O61" s="152"/>
      <c r="P61" s="152"/>
      <c r="Q61" s="152"/>
      <c r="S61" s="152"/>
      <c r="T61" s="152"/>
      <c r="U61" s="152"/>
      <c r="V61" s="152"/>
      <c r="W61" s="152"/>
      <c r="X61" s="152"/>
      <c r="Y61" s="152"/>
      <c r="Z61" s="152"/>
      <c r="AB61" s="159"/>
      <c r="AC61" s="160"/>
      <c r="AD61" s="160"/>
      <c r="AE61" s="160"/>
      <c r="AF61" s="160"/>
      <c r="AG61" s="160"/>
      <c r="AH61" s="160"/>
      <c r="AI61" s="161"/>
      <c r="AK61" s="168"/>
      <c r="AL61" s="169"/>
      <c r="AM61" s="169"/>
      <c r="AN61" s="169"/>
      <c r="AO61" s="169"/>
      <c r="AP61" s="169"/>
      <c r="AQ61" s="169"/>
      <c r="AR61" s="170"/>
      <c r="AT61" s="152"/>
      <c r="AU61" s="152"/>
      <c r="AV61" s="152"/>
      <c r="AW61" s="152"/>
      <c r="AX61" s="152"/>
      <c r="AY61" s="152"/>
      <c r="AZ61" s="152"/>
      <c r="BA61" s="152"/>
    </row>
    <row r="62" spans="1:53" x14ac:dyDescent="0.3">
      <c r="A62" s="152"/>
      <c r="B62" s="152"/>
      <c r="C62" s="152"/>
      <c r="D62" s="152"/>
      <c r="E62" s="152"/>
      <c r="F62" s="152"/>
      <c r="G62" s="152"/>
      <c r="H62" s="152"/>
      <c r="J62" s="152"/>
      <c r="K62" s="152"/>
      <c r="L62" s="152"/>
      <c r="M62" s="152"/>
      <c r="N62" s="152"/>
      <c r="O62" s="152"/>
      <c r="P62" s="152"/>
      <c r="Q62" s="152"/>
      <c r="S62" s="152"/>
      <c r="T62" s="152"/>
      <c r="U62" s="152"/>
      <c r="V62" s="152"/>
      <c r="W62" s="152"/>
      <c r="X62" s="152"/>
      <c r="Y62" s="152"/>
      <c r="Z62" s="152"/>
      <c r="AB62" s="159"/>
      <c r="AC62" s="160"/>
      <c r="AD62" s="160"/>
      <c r="AE62" s="160"/>
      <c r="AF62" s="160"/>
      <c r="AG62" s="160"/>
      <c r="AH62" s="160"/>
      <c r="AI62" s="161"/>
      <c r="AK62" s="168"/>
      <c r="AL62" s="169"/>
      <c r="AM62" s="169"/>
      <c r="AN62" s="169"/>
      <c r="AO62" s="169"/>
      <c r="AP62" s="169"/>
      <c r="AQ62" s="169"/>
      <c r="AR62" s="170"/>
      <c r="AT62" s="152"/>
      <c r="AU62" s="152"/>
      <c r="AV62" s="152"/>
      <c r="AW62" s="152"/>
      <c r="AX62" s="152"/>
      <c r="AY62" s="152"/>
      <c r="AZ62" s="152"/>
      <c r="BA62" s="152"/>
    </row>
    <row r="63" spans="1:53" x14ac:dyDescent="0.3">
      <c r="A63" s="152"/>
      <c r="B63" s="152"/>
      <c r="C63" s="152"/>
      <c r="D63" s="152"/>
      <c r="E63" s="152"/>
      <c r="F63" s="152"/>
      <c r="G63" s="152"/>
      <c r="H63" s="152"/>
      <c r="J63" s="152"/>
      <c r="K63" s="152"/>
      <c r="L63" s="152"/>
      <c r="M63" s="152"/>
      <c r="N63" s="152"/>
      <c r="O63" s="152"/>
      <c r="P63" s="152"/>
      <c r="Q63" s="152"/>
      <c r="S63" s="152"/>
      <c r="T63" s="152"/>
      <c r="U63" s="152"/>
      <c r="V63" s="152"/>
      <c r="W63" s="152"/>
      <c r="X63" s="152"/>
      <c r="Y63" s="152"/>
      <c r="Z63" s="152"/>
      <c r="AB63" s="159"/>
      <c r="AC63" s="160"/>
      <c r="AD63" s="160"/>
      <c r="AE63" s="160"/>
      <c r="AF63" s="160"/>
      <c r="AG63" s="160"/>
      <c r="AH63" s="160"/>
      <c r="AI63" s="161"/>
      <c r="AK63" s="168"/>
      <c r="AL63" s="169"/>
      <c r="AM63" s="169"/>
      <c r="AN63" s="169"/>
      <c r="AO63" s="169"/>
      <c r="AP63" s="169"/>
      <c r="AQ63" s="169"/>
      <c r="AR63" s="170"/>
      <c r="AT63" s="152"/>
      <c r="AU63" s="152"/>
      <c r="AV63" s="152"/>
      <c r="AW63" s="152"/>
      <c r="AX63" s="152"/>
      <c r="AY63" s="152"/>
      <c r="AZ63" s="152"/>
      <c r="BA63" s="152"/>
    </row>
    <row r="64" spans="1:53" x14ac:dyDescent="0.3">
      <c r="A64" s="152"/>
      <c r="B64" s="152"/>
      <c r="C64" s="152"/>
      <c r="D64" s="152"/>
      <c r="E64" s="152"/>
      <c r="F64" s="152"/>
      <c r="G64" s="152"/>
      <c r="H64" s="152"/>
      <c r="J64" s="152"/>
      <c r="K64" s="152"/>
      <c r="L64" s="152"/>
      <c r="M64" s="152"/>
      <c r="N64" s="152"/>
      <c r="O64" s="152"/>
      <c r="P64" s="152"/>
      <c r="Q64" s="152"/>
      <c r="S64" s="152"/>
      <c r="T64" s="152"/>
      <c r="U64" s="152"/>
      <c r="V64" s="152"/>
      <c r="W64" s="152"/>
      <c r="X64" s="152"/>
      <c r="Y64" s="152"/>
      <c r="Z64" s="152"/>
      <c r="AB64" s="159"/>
      <c r="AC64" s="160"/>
      <c r="AD64" s="160"/>
      <c r="AE64" s="160"/>
      <c r="AF64" s="160"/>
      <c r="AG64" s="160"/>
      <c r="AH64" s="160"/>
      <c r="AI64" s="161"/>
      <c r="AK64" s="168"/>
      <c r="AL64" s="169"/>
      <c r="AM64" s="169"/>
      <c r="AN64" s="169"/>
      <c r="AO64" s="169"/>
      <c r="AP64" s="169"/>
      <c r="AQ64" s="169"/>
      <c r="AR64" s="170"/>
      <c r="AT64" s="152"/>
      <c r="AU64" s="152"/>
      <c r="AV64" s="152"/>
      <c r="AW64" s="152"/>
      <c r="AX64" s="152"/>
      <c r="AY64" s="152"/>
      <c r="AZ64" s="152"/>
      <c r="BA64" s="152"/>
    </row>
    <row r="65" spans="1:53" x14ac:dyDescent="0.3">
      <c r="A65" s="152"/>
      <c r="B65" s="152"/>
      <c r="C65" s="152"/>
      <c r="D65" s="152"/>
      <c r="E65" s="152"/>
      <c r="F65" s="152"/>
      <c r="G65" s="152"/>
      <c r="H65" s="152"/>
      <c r="J65" s="152"/>
      <c r="K65" s="152"/>
      <c r="L65" s="152"/>
      <c r="M65" s="152"/>
      <c r="N65" s="152"/>
      <c r="O65" s="152"/>
      <c r="P65" s="152"/>
      <c r="Q65" s="152"/>
      <c r="S65" s="152"/>
      <c r="T65" s="152"/>
      <c r="U65" s="152"/>
      <c r="V65" s="152"/>
      <c r="W65" s="152"/>
      <c r="X65" s="152"/>
      <c r="Y65" s="152"/>
      <c r="Z65" s="152"/>
      <c r="AB65" s="162"/>
      <c r="AC65" s="163"/>
      <c r="AD65" s="163"/>
      <c r="AE65" s="163"/>
      <c r="AF65" s="163"/>
      <c r="AG65" s="163"/>
      <c r="AH65" s="163"/>
      <c r="AI65" s="164"/>
      <c r="AK65" s="171"/>
      <c r="AL65" s="172"/>
      <c r="AM65" s="172"/>
      <c r="AN65" s="172"/>
      <c r="AO65" s="172"/>
      <c r="AP65" s="172"/>
      <c r="AQ65" s="172"/>
      <c r="AR65" s="173"/>
      <c r="AT65" s="152"/>
      <c r="AU65" s="152"/>
      <c r="AV65" s="152"/>
      <c r="AW65" s="152"/>
      <c r="AX65" s="152"/>
      <c r="AY65" s="152"/>
      <c r="AZ65" s="152"/>
      <c r="BA65" s="152"/>
    </row>
    <row r="66" spans="1:53" x14ac:dyDescent="0.3">
      <c r="A66" s="93" t="s">
        <v>394</v>
      </c>
      <c r="B66" s="93"/>
      <c r="C66" s="93"/>
      <c r="D66" s="93"/>
      <c r="E66" s="93"/>
      <c r="F66" s="93"/>
      <c r="G66" s="93"/>
      <c r="H66" s="9" t="str">
        <f>IF(COUNTIF(H67:H70,"="&amp;IncompleteText),IncompleteText,IF(COUNTIF(H67:H70,"="&amp;ErrorText),ErrorText,OKText))</f>
        <v>BLANK</v>
      </c>
      <c r="J66" s="93" t="s">
        <v>395</v>
      </c>
      <c r="K66" s="93"/>
      <c r="L66" s="93"/>
      <c r="M66" s="93"/>
      <c r="N66" s="93"/>
      <c r="O66" s="93"/>
      <c r="P66" s="93"/>
      <c r="Q66" s="9" t="str">
        <f>IF(COUNTIF(Q67:Q69,"="&amp;IncompleteText),IncompleteText,IF(COUNTIF(Q67:Q69,"="&amp;ErrorText),ErrorText,OKText))</f>
        <v>BLANK</v>
      </c>
      <c r="S66" s="93" t="s">
        <v>396</v>
      </c>
      <c r="T66" s="93"/>
      <c r="U66" s="93"/>
      <c r="V66" s="93"/>
      <c r="W66" s="93"/>
      <c r="X66" s="93"/>
      <c r="Y66" s="93"/>
      <c r="Z66" s="9" t="str">
        <f>IF(COUNTIF(Z67:Z68,"="&amp;IncompleteText),IncompleteText,IF(COUNTIF(Z67:Z68,"="&amp;ErrorText),ErrorText,OKText))</f>
        <v>BLANK</v>
      </c>
      <c r="AB66" s="129" t="s">
        <v>397</v>
      </c>
      <c r="AC66" s="129"/>
      <c r="AD66" s="129"/>
      <c r="AE66" s="129"/>
      <c r="AF66" s="129"/>
      <c r="AG66" s="129"/>
      <c r="AH66" s="129"/>
      <c r="AI66" s="9" t="str">
        <f>IF(COUNTIF(AI67,"="&amp;IncompleteText),IncompleteText,IF(COUNTIF(AI67,"="&amp;ErrorText),ErrorText,OKText))</f>
        <v>BLANK</v>
      </c>
      <c r="AK66" s="129" t="s">
        <v>400</v>
      </c>
      <c r="AL66" s="129"/>
      <c r="AM66" s="129"/>
      <c r="AN66" s="129"/>
      <c r="AO66" s="129"/>
      <c r="AP66" s="129"/>
      <c r="AQ66" s="129"/>
      <c r="AR66" s="9" t="str">
        <f>IF(COUNTIF(AR67,"="&amp;IncompleteText),IncompleteText,IF(COUNTIF(AR67,"="&amp;ErrorText),ErrorText,OKText))</f>
        <v>BLANK</v>
      </c>
      <c r="AT66" s="93" t="s">
        <v>401</v>
      </c>
      <c r="AU66" s="93"/>
      <c r="AV66" s="93"/>
      <c r="AW66" s="93"/>
      <c r="AX66" s="93"/>
      <c r="AY66" s="93"/>
      <c r="AZ66" s="93"/>
      <c r="BA66" s="9" t="str">
        <f>IF(COUNTIF(BA67,"="&amp;IncompleteText),IncompleteText,IF(COUNTIF(BA67,"="&amp;ErrorText),ErrorText,OKText))</f>
        <v>BLANK</v>
      </c>
    </row>
    <row r="67" spans="1:53" s="18" customFormat="1" ht="37.5" customHeight="1" x14ac:dyDescent="0.3">
      <c r="A67" s="118" t="s">
        <v>402</v>
      </c>
      <c r="B67" s="118"/>
      <c r="C67" s="118"/>
      <c r="D67" s="118"/>
      <c r="E67" s="118"/>
      <c r="F67" s="118"/>
      <c r="G67" s="23"/>
      <c r="H67" s="6" t="str">
        <f>IF(ISBLANK(G67),IncompleteText,IF(G67,OKText,ErrorText))</f>
        <v>BLANK</v>
      </c>
      <c r="J67" s="118" t="s">
        <v>403</v>
      </c>
      <c r="K67" s="118"/>
      <c r="L67" s="118"/>
      <c r="M67" s="118"/>
      <c r="N67" s="118"/>
      <c r="O67" s="119"/>
      <c r="P67" s="23"/>
      <c r="Q67" s="6" t="str">
        <f>IF(ISBLANK(P67),IncompleteText,IF(P67,OKText,ErrorText))</f>
        <v>BLANK</v>
      </c>
      <c r="S67" s="130" t="s">
        <v>404</v>
      </c>
      <c r="T67" s="130"/>
      <c r="U67" s="130"/>
      <c r="V67" s="130"/>
      <c r="W67" s="130"/>
      <c r="X67" s="131"/>
      <c r="Y67" s="23"/>
      <c r="Z67" s="6" t="str">
        <f>IF(ISBLANK(Y67),IncompleteText,IF(Y67,OKText,ErrorText))</f>
        <v>BLANK</v>
      </c>
      <c r="AB67" s="95" t="s">
        <v>405</v>
      </c>
      <c r="AC67" s="95"/>
      <c r="AD67" s="95"/>
      <c r="AE67" s="95"/>
      <c r="AF67" s="95"/>
      <c r="AG67" s="96"/>
      <c r="AH67" s="23"/>
      <c r="AI67" s="6" t="str">
        <f>IF(ISBLANK(AH67),IncompleteText,IF(AH67,OKText,ErrorText))</f>
        <v>BLANK</v>
      </c>
      <c r="AK67" s="95" t="s">
        <v>406</v>
      </c>
      <c r="AL67" s="95"/>
      <c r="AM67" s="95"/>
      <c r="AN67" s="95"/>
      <c r="AO67" s="95"/>
      <c r="AP67" s="96"/>
      <c r="AQ67" s="23"/>
      <c r="AR67" s="6" t="str">
        <f>IF(ISBLANK(AQ67),IncompleteText,IF(AQ67,OKText,ErrorText))</f>
        <v>BLANK</v>
      </c>
      <c r="AT67" s="95" t="s">
        <v>407</v>
      </c>
      <c r="AU67" s="95"/>
      <c r="AV67" s="95"/>
      <c r="AW67" s="95"/>
      <c r="AX67" s="95"/>
      <c r="AY67" s="96"/>
      <c r="AZ67" s="23"/>
      <c r="BA67" s="6" t="str">
        <f>IF(ISBLANK(AZ67),IncompleteText,IF(AZ67,OKText,ErrorText))</f>
        <v>BLANK</v>
      </c>
    </row>
    <row r="68" spans="1:53" ht="28" x14ac:dyDescent="0.3">
      <c r="A68" s="118" t="s">
        <v>408</v>
      </c>
      <c r="B68" s="118"/>
      <c r="C68" s="118"/>
      <c r="D68" s="118"/>
      <c r="E68" s="118"/>
      <c r="F68" s="118"/>
      <c r="G68" s="15"/>
      <c r="H68" s="9" t="str">
        <f>IF(ISBLANK(G68),IncompleteText,IF(G68,OKText,ErrorText))</f>
        <v>BLANK</v>
      </c>
      <c r="J68" s="118" t="s">
        <v>409</v>
      </c>
      <c r="K68" s="118"/>
      <c r="L68" s="118"/>
      <c r="M68" s="118"/>
      <c r="N68" s="118"/>
      <c r="O68" s="119"/>
      <c r="P68" s="15"/>
      <c r="Q68" s="9" t="str">
        <f>IF(ISBLANK(P68),IncompleteText,IF(P68,OKText,ErrorText))</f>
        <v>BLANK</v>
      </c>
      <c r="S68" s="132" t="s">
        <v>410</v>
      </c>
      <c r="T68" s="132"/>
      <c r="U68" s="132"/>
      <c r="V68" s="132"/>
      <c r="W68" s="132"/>
      <c r="X68" s="133"/>
      <c r="Y68" s="15"/>
      <c r="Z68" s="9" t="str">
        <f>IF(ISBLANK(Y68),IncompleteText,IF(Y68,OKText,ErrorText))</f>
        <v>BLANK</v>
      </c>
      <c r="AB68" s="134" t="s">
        <v>321</v>
      </c>
      <c r="AC68" s="134"/>
      <c r="AD68" s="134"/>
      <c r="AE68" s="134"/>
      <c r="AF68" s="134"/>
      <c r="AG68" s="134"/>
      <c r="AH68" s="135"/>
      <c r="AI68" s="40" t="s">
        <v>269</v>
      </c>
      <c r="AK68" s="134" t="s">
        <v>321</v>
      </c>
      <c r="AL68" s="134"/>
      <c r="AM68" s="134"/>
      <c r="AN68" s="134"/>
      <c r="AO68" s="134"/>
      <c r="AP68" s="134"/>
      <c r="AQ68" s="135"/>
      <c r="AR68" s="40" t="s">
        <v>269</v>
      </c>
      <c r="AT68" s="93" t="s">
        <v>321</v>
      </c>
      <c r="AU68" s="93"/>
      <c r="AV68" s="93"/>
      <c r="AW68" s="93"/>
      <c r="AX68" s="93"/>
      <c r="AY68" s="93"/>
      <c r="AZ68" s="93"/>
      <c r="BA68" s="40" t="s">
        <v>269</v>
      </c>
    </row>
    <row r="69" spans="1:53" ht="27.75" customHeight="1" x14ac:dyDescent="0.3">
      <c r="A69" s="118" t="s">
        <v>411</v>
      </c>
      <c r="B69" s="118"/>
      <c r="C69" s="118"/>
      <c r="D69" s="118"/>
      <c r="E69" s="118"/>
      <c r="F69" s="118"/>
      <c r="G69" s="15"/>
      <c r="H69" s="9" t="str">
        <f>IF(ISBLANK(G69),IncompleteText,IF(G69,OKText,ErrorText))</f>
        <v>BLANK</v>
      </c>
      <c r="J69" s="130" t="s">
        <v>412</v>
      </c>
      <c r="K69" s="130"/>
      <c r="L69" s="130"/>
      <c r="M69" s="130"/>
      <c r="N69" s="130"/>
      <c r="O69" s="131"/>
      <c r="P69" s="15"/>
      <c r="Q69" s="9" t="str">
        <f>IF(ISBLANK(P69),IncompleteText,IF(P69,OKText,ErrorText))</f>
        <v>BLANK</v>
      </c>
      <c r="S69" s="183" t="s">
        <v>321</v>
      </c>
      <c r="T69" s="183"/>
      <c r="U69" s="183"/>
      <c r="V69" s="183"/>
      <c r="W69" s="183"/>
      <c r="X69" s="183"/>
      <c r="Y69" s="183"/>
      <c r="Z69" s="147" t="s">
        <v>269</v>
      </c>
      <c r="AB69" s="225"/>
      <c r="AC69" s="175"/>
      <c r="AD69" s="175"/>
      <c r="AE69" s="175"/>
      <c r="AF69" s="175"/>
      <c r="AG69" s="175"/>
      <c r="AH69" s="176"/>
      <c r="AI69" s="140" t="s">
        <v>414</v>
      </c>
      <c r="AK69" s="225"/>
      <c r="AL69" s="175"/>
      <c r="AM69" s="175"/>
      <c r="AN69" s="175"/>
      <c r="AO69" s="175"/>
      <c r="AP69" s="175"/>
      <c r="AQ69" s="176"/>
      <c r="AR69" s="149" t="s">
        <v>416</v>
      </c>
      <c r="AT69" s="151"/>
      <c r="AU69" s="151"/>
      <c r="AV69" s="151"/>
      <c r="AW69" s="151"/>
      <c r="AX69" s="151"/>
      <c r="AY69" s="151"/>
      <c r="AZ69" s="151"/>
      <c r="BA69" s="149" t="s">
        <v>416</v>
      </c>
    </row>
    <row r="70" spans="1:53" ht="23" customHeight="1" x14ac:dyDescent="0.3">
      <c r="A70" s="118" t="s">
        <v>418</v>
      </c>
      <c r="B70" s="118"/>
      <c r="C70" s="118"/>
      <c r="D70" s="118"/>
      <c r="E70" s="118"/>
      <c r="F70" s="119"/>
      <c r="G70" s="15"/>
      <c r="H70" s="9" t="str">
        <f>IF(ISBLANK(G70),IncompleteText,IF(G70,OKText,ErrorText))</f>
        <v>BLANK</v>
      </c>
      <c r="J70" s="118" t="s">
        <v>419</v>
      </c>
      <c r="K70" s="118"/>
      <c r="L70" s="118"/>
      <c r="M70" s="118"/>
      <c r="N70" s="118"/>
      <c r="O70" s="119"/>
      <c r="P70" s="15"/>
      <c r="Q70" s="9" t="s">
        <v>420</v>
      </c>
      <c r="S70" s="184"/>
      <c r="T70" s="184"/>
      <c r="U70" s="184"/>
      <c r="V70" s="184"/>
      <c r="W70" s="184"/>
      <c r="X70" s="184"/>
      <c r="Y70" s="184"/>
      <c r="Z70" s="148"/>
      <c r="AB70" s="177"/>
      <c r="AC70" s="178"/>
      <c r="AD70" s="178"/>
      <c r="AE70" s="178"/>
      <c r="AF70" s="178"/>
      <c r="AG70" s="178"/>
      <c r="AH70" s="179"/>
      <c r="AI70" s="140"/>
      <c r="AK70" s="177"/>
      <c r="AL70" s="178"/>
      <c r="AM70" s="178"/>
      <c r="AN70" s="178"/>
      <c r="AO70" s="178"/>
      <c r="AP70" s="178"/>
      <c r="AQ70" s="179"/>
      <c r="AR70" s="149"/>
      <c r="AT70" s="151"/>
      <c r="AU70" s="151"/>
      <c r="AV70" s="151"/>
      <c r="AW70" s="151"/>
      <c r="AX70" s="151"/>
      <c r="AY70" s="151"/>
      <c r="AZ70" s="151"/>
      <c r="BA70" s="149"/>
    </row>
    <row r="71" spans="1:53" x14ac:dyDescent="0.3">
      <c r="A71" s="93" t="s">
        <v>321</v>
      </c>
      <c r="B71" s="93"/>
      <c r="C71" s="93"/>
      <c r="D71" s="93"/>
      <c r="E71" s="93"/>
      <c r="F71" s="93"/>
      <c r="G71" s="93"/>
      <c r="H71" s="41" t="s">
        <v>269</v>
      </c>
      <c r="J71" s="93" t="s">
        <v>321</v>
      </c>
      <c r="K71" s="93"/>
      <c r="L71" s="93"/>
      <c r="M71" s="93"/>
      <c r="N71" s="93"/>
      <c r="O71" s="93"/>
      <c r="P71" s="93"/>
      <c r="Q71" s="41" t="s">
        <v>269</v>
      </c>
      <c r="S71" s="151"/>
      <c r="T71" s="151"/>
      <c r="U71" s="151"/>
      <c r="V71" s="151"/>
      <c r="W71" s="151"/>
      <c r="X71" s="151"/>
      <c r="Y71" s="151"/>
      <c r="Z71" s="140" t="s">
        <v>422</v>
      </c>
      <c r="AB71" s="177"/>
      <c r="AC71" s="178"/>
      <c r="AD71" s="178"/>
      <c r="AE71" s="178"/>
      <c r="AF71" s="178"/>
      <c r="AG71" s="178"/>
      <c r="AH71" s="179"/>
      <c r="AI71" s="140"/>
      <c r="AK71" s="177"/>
      <c r="AL71" s="178"/>
      <c r="AM71" s="178"/>
      <c r="AN71" s="178"/>
      <c r="AO71" s="178"/>
      <c r="AP71" s="178"/>
      <c r="AQ71" s="179"/>
      <c r="AR71" s="149"/>
      <c r="AT71" s="151"/>
      <c r="AU71" s="151"/>
      <c r="AV71" s="151"/>
      <c r="AW71" s="151"/>
      <c r="AX71" s="151"/>
      <c r="AY71" s="151"/>
      <c r="AZ71" s="151"/>
      <c r="BA71" s="149"/>
    </row>
    <row r="72" spans="1:53" x14ac:dyDescent="0.3">
      <c r="A72" s="153"/>
      <c r="B72" s="153"/>
      <c r="C72" s="153"/>
      <c r="D72" s="153"/>
      <c r="E72" s="153"/>
      <c r="F72" s="153"/>
      <c r="G72" s="153"/>
      <c r="H72" s="140" t="s">
        <v>290</v>
      </c>
      <c r="J72" s="153"/>
      <c r="K72" s="153"/>
      <c r="L72" s="153"/>
      <c r="M72" s="153"/>
      <c r="N72" s="153"/>
      <c r="O72" s="153"/>
      <c r="P72" s="153"/>
      <c r="Q72" s="141" t="s">
        <v>425</v>
      </c>
      <c r="S72" s="151"/>
      <c r="T72" s="151"/>
      <c r="U72" s="151"/>
      <c r="V72" s="151"/>
      <c r="W72" s="151"/>
      <c r="X72" s="151"/>
      <c r="Y72" s="151"/>
      <c r="Z72" s="140"/>
      <c r="AB72" s="177"/>
      <c r="AC72" s="178"/>
      <c r="AD72" s="178"/>
      <c r="AE72" s="178"/>
      <c r="AF72" s="178"/>
      <c r="AG72" s="178"/>
      <c r="AH72" s="179"/>
      <c r="AI72" s="140"/>
      <c r="AK72" s="177"/>
      <c r="AL72" s="178"/>
      <c r="AM72" s="178"/>
      <c r="AN72" s="178"/>
      <c r="AO72" s="178"/>
      <c r="AP72" s="178"/>
      <c r="AQ72" s="179"/>
      <c r="AR72" s="149"/>
      <c r="AT72" s="151"/>
      <c r="AU72" s="151"/>
      <c r="AV72" s="151"/>
      <c r="AW72" s="151"/>
      <c r="AX72" s="151"/>
      <c r="AY72" s="151"/>
      <c r="AZ72" s="151"/>
      <c r="BA72" s="149"/>
    </row>
    <row r="73" spans="1:53" x14ac:dyDescent="0.3">
      <c r="A73" s="153"/>
      <c r="B73" s="153"/>
      <c r="C73" s="153"/>
      <c r="D73" s="153"/>
      <c r="E73" s="153"/>
      <c r="F73" s="153"/>
      <c r="G73" s="153"/>
      <c r="H73" s="140"/>
      <c r="J73" s="153"/>
      <c r="K73" s="153"/>
      <c r="L73" s="153"/>
      <c r="M73" s="153"/>
      <c r="N73" s="153"/>
      <c r="O73" s="153"/>
      <c r="P73" s="153"/>
      <c r="Q73" s="142"/>
      <c r="S73" s="151"/>
      <c r="T73" s="151"/>
      <c r="U73" s="151"/>
      <c r="V73" s="151"/>
      <c r="W73" s="151"/>
      <c r="X73" s="151"/>
      <c r="Y73" s="151"/>
      <c r="Z73" s="140"/>
      <c r="AB73" s="180"/>
      <c r="AC73" s="181"/>
      <c r="AD73" s="181"/>
      <c r="AE73" s="181"/>
      <c r="AF73" s="181"/>
      <c r="AG73" s="181"/>
      <c r="AH73" s="182"/>
      <c r="AI73" s="140"/>
      <c r="AK73" s="180"/>
      <c r="AL73" s="181"/>
      <c r="AM73" s="181"/>
      <c r="AN73" s="181"/>
      <c r="AO73" s="181"/>
      <c r="AP73" s="181"/>
      <c r="AQ73" s="182"/>
      <c r="AR73" s="149"/>
      <c r="AT73" s="151"/>
      <c r="AU73" s="151"/>
      <c r="AV73" s="151"/>
      <c r="AW73" s="151"/>
      <c r="AX73" s="151"/>
      <c r="AY73" s="151"/>
      <c r="AZ73" s="151"/>
      <c r="BA73" s="149"/>
    </row>
    <row r="74" spans="1:53" x14ac:dyDescent="0.3">
      <c r="A74" s="153"/>
      <c r="B74" s="153"/>
      <c r="C74" s="153"/>
      <c r="D74" s="153"/>
      <c r="E74" s="153"/>
      <c r="F74" s="153"/>
      <c r="G74" s="153"/>
      <c r="H74" s="140"/>
      <c r="J74" s="153"/>
      <c r="K74" s="153"/>
      <c r="L74" s="153"/>
      <c r="M74" s="153"/>
      <c r="N74" s="153"/>
      <c r="O74" s="153"/>
      <c r="P74" s="153"/>
      <c r="Q74" s="143"/>
      <c r="S74" s="151"/>
      <c r="T74" s="151"/>
      <c r="U74" s="151"/>
      <c r="V74" s="151"/>
      <c r="W74" s="151"/>
      <c r="X74" s="151"/>
      <c r="Y74" s="151"/>
      <c r="Z74" s="140"/>
    </row>
    <row r="78" spans="1:53" x14ac:dyDescent="0.3">
      <c r="A78" s="152" t="s">
        <v>426</v>
      </c>
      <c r="B78" s="152"/>
      <c r="C78" s="152"/>
      <c r="D78" s="152"/>
      <c r="E78" s="152"/>
      <c r="F78" s="152"/>
      <c r="G78" s="152"/>
      <c r="H78" s="152"/>
      <c r="J78" s="154" t="s">
        <v>427</v>
      </c>
      <c r="K78" s="152"/>
      <c r="L78" s="152"/>
      <c r="M78" s="152"/>
      <c r="N78" s="152"/>
      <c r="O78" s="152"/>
      <c r="P78" s="152"/>
      <c r="Q78" s="152"/>
    </row>
    <row r="79" spans="1:53" x14ac:dyDescent="0.3">
      <c r="A79" s="152"/>
      <c r="B79" s="152"/>
      <c r="C79" s="152"/>
      <c r="D79" s="152"/>
      <c r="E79" s="152"/>
      <c r="F79" s="152"/>
      <c r="G79" s="152"/>
      <c r="H79" s="152"/>
      <c r="J79" s="152"/>
      <c r="K79" s="152"/>
      <c r="L79" s="152"/>
      <c r="M79" s="152"/>
      <c r="N79" s="152"/>
      <c r="O79" s="152"/>
      <c r="P79" s="152"/>
      <c r="Q79" s="152"/>
    </row>
    <row r="80" spans="1:53" x14ac:dyDescent="0.3">
      <c r="A80" s="152"/>
      <c r="B80" s="152"/>
      <c r="C80" s="152"/>
      <c r="D80" s="152"/>
      <c r="E80" s="152"/>
      <c r="F80" s="152"/>
      <c r="G80" s="152"/>
      <c r="H80" s="152"/>
      <c r="J80" s="152"/>
      <c r="K80" s="152"/>
      <c r="L80" s="152"/>
      <c r="M80" s="152"/>
      <c r="N80" s="152"/>
      <c r="O80" s="152"/>
      <c r="P80" s="152"/>
      <c r="Q80" s="152"/>
    </row>
    <row r="81" spans="1:17" x14ac:dyDescent="0.3">
      <c r="A81" s="152"/>
      <c r="B81" s="152"/>
      <c r="C81" s="152"/>
      <c r="D81" s="152"/>
      <c r="E81" s="152"/>
      <c r="F81" s="152"/>
      <c r="G81" s="152"/>
      <c r="H81" s="152"/>
      <c r="J81" s="152"/>
      <c r="K81" s="152"/>
      <c r="L81" s="152"/>
      <c r="M81" s="152"/>
      <c r="N81" s="152"/>
      <c r="O81" s="152"/>
      <c r="P81" s="152"/>
      <c r="Q81" s="152"/>
    </row>
    <row r="82" spans="1:17" x14ac:dyDescent="0.3">
      <c r="A82" s="152"/>
      <c r="B82" s="152"/>
      <c r="C82" s="152"/>
      <c r="D82" s="152"/>
      <c r="E82" s="152"/>
      <c r="F82" s="152"/>
      <c r="G82" s="152"/>
      <c r="H82" s="152"/>
      <c r="J82" s="152"/>
      <c r="K82" s="152"/>
      <c r="L82" s="152"/>
      <c r="M82" s="152"/>
      <c r="N82" s="152"/>
      <c r="O82" s="152"/>
      <c r="P82" s="152"/>
      <c r="Q82" s="152"/>
    </row>
    <row r="83" spans="1:17" x14ac:dyDescent="0.3">
      <c r="A83" s="152"/>
      <c r="B83" s="152"/>
      <c r="C83" s="152"/>
      <c r="D83" s="152"/>
      <c r="E83" s="152"/>
      <c r="F83" s="152"/>
      <c r="G83" s="152"/>
      <c r="H83" s="152"/>
      <c r="J83" s="152"/>
      <c r="K83" s="152"/>
      <c r="L83" s="152"/>
      <c r="M83" s="152"/>
      <c r="N83" s="152"/>
      <c r="O83" s="152"/>
      <c r="P83" s="152"/>
      <c r="Q83" s="152"/>
    </row>
    <row r="84" spans="1:17" x14ac:dyDescent="0.3">
      <c r="A84" s="152"/>
      <c r="B84" s="152"/>
      <c r="C84" s="152"/>
      <c r="D84" s="152"/>
      <c r="E84" s="152"/>
      <c r="F84" s="152"/>
      <c r="G84" s="152"/>
      <c r="H84" s="152"/>
      <c r="J84" s="152"/>
      <c r="K84" s="152"/>
      <c r="L84" s="152"/>
      <c r="M84" s="152"/>
      <c r="N84" s="152"/>
      <c r="O84" s="152"/>
      <c r="P84" s="152"/>
      <c r="Q84" s="152"/>
    </row>
    <row r="85" spans="1:17" x14ac:dyDescent="0.3">
      <c r="A85" s="152"/>
      <c r="B85" s="152"/>
      <c r="C85" s="152"/>
      <c r="D85" s="152"/>
      <c r="E85" s="152"/>
      <c r="F85" s="152"/>
      <c r="G85" s="152"/>
      <c r="H85" s="152"/>
      <c r="J85" s="152"/>
      <c r="K85" s="152"/>
      <c r="L85" s="152"/>
      <c r="M85" s="152"/>
      <c r="N85" s="152"/>
      <c r="O85" s="152"/>
      <c r="P85" s="152"/>
      <c r="Q85" s="152"/>
    </row>
    <row r="86" spans="1:17" x14ac:dyDescent="0.3">
      <c r="A86" s="152"/>
      <c r="B86" s="152"/>
      <c r="C86" s="152"/>
      <c r="D86" s="152"/>
      <c r="E86" s="152"/>
      <c r="F86" s="152"/>
      <c r="G86" s="152"/>
      <c r="H86" s="152"/>
      <c r="J86" s="152"/>
      <c r="K86" s="152"/>
      <c r="L86" s="152"/>
      <c r="M86" s="152"/>
      <c r="N86" s="152"/>
      <c r="O86" s="152"/>
      <c r="P86" s="152"/>
      <c r="Q86" s="152"/>
    </row>
    <row r="87" spans="1:17" x14ac:dyDescent="0.3">
      <c r="A87" s="152"/>
      <c r="B87" s="152"/>
      <c r="C87" s="152"/>
      <c r="D87" s="152"/>
      <c r="E87" s="152"/>
      <c r="F87" s="152"/>
      <c r="G87" s="152"/>
      <c r="H87" s="152"/>
      <c r="J87" s="152"/>
      <c r="K87" s="152"/>
      <c r="L87" s="152"/>
      <c r="M87" s="152"/>
      <c r="N87" s="152"/>
      <c r="O87" s="152"/>
      <c r="P87" s="152"/>
      <c r="Q87" s="152"/>
    </row>
    <row r="88" spans="1:17" x14ac:dyDescent="0.3">
      <c r="A88" s="152"/>
      <c r="B88" s="152"/>
      <c r="C88" s="152"/>
      <c r="D88" s="152"/>
      <c r="E88" s="152"/>
      <c r="F88" s="152"/>
      <c r="G88" s="152"/>
      <c r="H88" s="152"/>
      <c r="J88" s="152"/>
      <c r="K88" s="152"/>
      <c r="L88" s="152"/>
      <c r="M88" s="152"/>
      <c r="N88" s="152"/>
      <c r="O88" s="152"/>
      <c r="P88" s="152"/>
      <c r="Q88" s="152"/>
    </row>
    <row r="89" spans="1:17" x14ac:dyDescent="0.3">
      <c r="A89" s="152"/>
      <c r="B89" s="152"/>
      <c r="C89" s="152"/>
      <c r="D89" s="152"/>
      <c r="E89" s="152"/>
      <c r="F89" s="152"/>
      <c r="G89" s="152"/>
      <c r="H89" s="152"/>
      <c r="J89" s="152"/>
      <c r="K89" s="152"/>
      <c r="L89" s="152"/>
      <c r="M89" s="152"/>
      <c r="N89" s="152"/>
      <c r="O89" s="152"/>
      <c r="P89" s="152"/>
      <c r="Q89" s="152"/>
    </row>
    <row r="90" spans="1:17" x14ac:dyDescent="0.3">
      <c r="A90" s="152"/>
      <c r="B90" s="152"/>
      <c r="C90" s="152"/>
      <c r="D90" s="152"/>
      <c r="E90" s="152"/>
      <c r="F90" s="152"/>
      <c r="G90" s="152"/>
      <c r="H90" s="152"/>
      <c r="J90" s="152"/>
      <c r="K90" s="152"/>
      <c r="L90" s="152"/>
      <c r="M90" s="152"/>
      <c r="N90" s="152"/>
      <c r="O90" s="152"/>
      <c r="P90" s="152"/>
      <c r="Q90" s="152"/>
    </row>
    <row r="91" spans="1:17" x14ac:dyDescent="0.3">
      <c r="A91" s="152"/>
      <c r="B91" s="152"/>
      <c r="C91" s="152"/>
      <c r="D91" s="152"/>
      <c r="E91" s="152"/>
      <c r="F91" s="152"/>
      <c r="G91" s="152"/>
      <c r="H91" s="152"/>
      <c r="J91" s="152"/>
      <c r="K91" s="152"/>
      <c r="L91" s="152"/>
      <c r="M91" s="152"/>
      <c r="N91" s="152"/>
      <c r="O91" s="152"/>
      <c r="P91" s="152"/>
      <c r="Q91" s="152"/>
    </row>
    <row r="92" spans="1:17" x14ac:dyDescent="0.3">
      <c r="A92" s="152"/>
      <c r="B92" s="152"/>
      <c r="C92" s="152"/>
      <c r="D92" s="152"/>
      <c r="E92" s="152"/>
      <c r="F92" s="152"/>
      <c r="G92" s="152"/>
      <c r="H92" s="152"/>
      <c r="J92" s="152"/>
      <c r="K92" s="152"/>
      <c r="L92" s="152"/>
      <c r="M92" s="152"/>
      <c r="N92" s="152"/>
      <c r="O92" s="152"/>
      <c r="P92" s="152"/>
      <c r="Q92" s="152"/>
    </row>
    <row r="93" spans="1:17" x14ac:dyDescent="0.3">
      <c r="A93" s="152"/>
      <c r="B93" s="152"/>
      <c r="C93" s="152"/>
      <c r="D93" s="152"/>
      <c r="E93" s="152"/>
      <c r="F93" s="152"/>
      <c r="G93" s="152"/>
      <c r="H93" s="152"/>
      <c r="J93" s="152"/>
      <c r="K93" s="152"/>
      <c r="L93" s="152"/>
      <c r="M93" s="152"/>
      <c r="N93" s="152"/>
      <c r="O93" s="152"/>
      <c r="P93" s="152"/>
      <c r="Q93" s="152"/>
    </row>
    <row r="94" spans="1:17" x14ac:dyDescent="0.3">
      <c r="A94" s="152"/>
      <c r="B94" s="152"/>
      <c r="C94" s="152"/>
      <c r="D94" s="152"/>
      <c r="E94" s="152"/>
      <c r="F94" s="152"/>
      <c r="G94" s="152"/>
      <c r="H94" s="152"/>
      <c r="J94" s="152"/>
      <c r="K94" s="152"/>
      <c r="L94" s="152"/>
      <c r="M94" s="152"/>
      <c r="N94" s="152"/>
      <c r="O94" s="152"/>
      <c r="P94" s="152"/>
      <c r="Q94" s="152"/>
    </row>
    <row r="95" spans="1:17" x14ac:dyDescent="0.3">
      <c r="A95" s="152"/>
      <c r="B95" s="152"/>
      <c r="C95" s="152"/>
      <c r="D95" s="152"/>
      <c r="E95" s="152"/>
      <c r="F95" s="152"/>
      <c r="G95" s="152"/>
      <c r="H95" s="152"/>
      <c r="J95" s="152"/>
      <c r="K95" s="152"/>
      <c r="L95" s="152"/>
      <c r="M95" s="152"/>
      <c r="N95" s="152"/>
      <c r="O95" s="152"/>
      <c r="P95" s="152"/>
      <c r="Q95" s="152"/>
    </row>
    <row r="96" spans="1:17" x14ac:dyDescent="0.3">
      <c r="A96" s="152"/>
      <c r="B96" s="152"/>
      <c r="C96" s="152"/>
      <c r="D96" s="152"/>
      <c r="E96" s="152"/>
      <c r="F96" s="152"/>
      <c r="G96" s="152"/>
      <c r="H96" s="152"/>
      <c r="J96" s="152"/>
      <c r="K96" s="152"/>
      <c r="L96" s="152"/>
      <c r="M96" s="152"/>
      <c r="N96" s="152"/>
      <c r="O96" s="152"/>
      <c r="P96" s="152"/>
      <c r="Q96" s="152"/>
    </row>
    <row r="97" spans="1:17" x14ac:dyDescent="0.3">
      <c r="A97" s="93" t="s">
        <v>426</v>
      </c>
      <c r="B97" s="93"/>
      <c r="C97" s="93"/>
      <c r="D97" s="93"/>
      <c r="E97" s="93"/>
      <c r="F97" s="93"/>
      <c r="G97" s="93"/>
      <c r="H97" s="9" t="str">
        <f>IF(COUNTIF(H98:H106,"="&amp;IncompleteText),IncompleteText,IF(COUNTIF(H98:H106,"="&amp;ErrorText),ErrorText,OKText))</f>
        <v>BLANK</v>
      </c>
      <c r="J97" s="93" t="s">
        <v>428</v>
      </c>
      <c r="K97" s="93"/>
      <c r="L97" s="93"/>
      <c r="M97" s="93"/>
      <c r="N97" s="93"/>
      <c r="O97" s="93"/>
      <c r="P97" s="93"/>
      <c r="Q97" s="9" t="str">
        <f>IF(P98="否 No",OKText,IF(COUNTIF(Q99:Q101,"="&amp;IncompleteText),IncompleteText,IF(COUNTIF(Q99:Q101,"="&amp;ErrorText),ErrorText,OKText)))</f>
        <v>BLANK</v>
      </c>
    </row>
    <row r="98" spans="1:17" x14ac:dyDescent="0.3">
      <c r="A98" s="118" t="s">
        <v>429</v>
      </c>
      <c r="B98" s="118"/>
      <c r="C98" s="118"/>
      <c r="D98" s="118"/>
      <c r="E98" s="118"/>
      <c r="F98" s="118"/>
      <c r="G98" s="15"/>
      <c r="H98" s="9" t="str">
        <f>IF(ISBLANK(G98),IncompleteText,OKText)</f>
        <v>BLANK</v>
      </c>
      <c r="J98" s="118" t="s">
        <v>431</v>
      </c>
      <c r="K98" s="118"/>
      <c r="L98" s="118"/>
      <c r="M98" s="118"/>
      <c r="N98" s="118"/>
      <c r="O98" s="136"/>
      <c r="P98" s="26"/>
      <c r="Q98" s="6" t="str">
        <f>IF(ISBLANK(P98),IncompleteText,OKText)</f>
        <v>BLANK</v>
      </c>
    </row>
    <row r="99" spans="1:17" x14ac:dyDescent="0.3">
      <c r="A99" s="118" t="s">
        <v>432</v>
      </c>
      <c r="B99" s="118"/>
      <c r="C99" s="118"/>
      <c r="D99" s="118"/>
      <c r="E99" s="118"/>
      <c r="F99" s="119"/>
      <c r="G99" s="15"/>
      <c r="H99" s="9" t="str">
        <f>IF(G$98="车队自制电路 Self-designed",OKText,IF(ISBLANK(G99),IncompleteText,IF(G99&gt;MaxTSVoltage,OKText,ErrorText)))</f>
        <v>BLANK</v>
      </c>
      <c r="J99" s="118" t="s">
        <v>434</v>
      </c>
      <c r="K99" s="118"/>
      <c r="L99" s="118"/>
      <c r="M99" s="118"/>
      <c r="N99" s="118"/>
      <c r="O99" s="136"/>
      <c r="P99" s="43"/>
      <c r="Q99" s="6" t="str">
        <f>IF(ISBLANK(P99),IncompleteText,IF(P99,OKText,ErrorText))</f>
        <v>BLANK</v>
      </c>
    </row>
    <row r="100" spans="1:17" x14ac:dyDescent="0.3">
      <c r="A100" s="118" t="s">
        <v>435</v>
      </c>
      <c r="B100" s="118"/>
      <c r="C100" s="118"/>
      <c r="D100" s="118"/>
      <c r="E100" s="118"/>
      <c r="F100" s="119"/>
      <c r="G100" s="15"/>
      <c r="H100" s="9" t="str">
        <f>IF(G$98="车队自制电路 Self-designed",OKText,IF(ISBLANK(G100),IncompleteText,OKText))</f>
        <v>BLANK</v>
      </c>
      <c r="J100" s="118" t="s">
        <v>437</v>
      </c>
      <c r="K100" s="118"/>
      <c r="L100" s="118"/>
      <c r="M100" s="118"/>
      <c r="N100" s="118"/>
      <c r="O100" s="136"/>
      <c r="P100" s="27"/>
      <c r="Q100" s="9" t="str">
        <f>IF(ISBLANK(P100),IncompleteText,IF(P100,OKText,ErrorText))</f>
        <v>BLANK</v>
      </c>
    </row>
    <row r="101" spans="1:17" x14ac:dyDescent="0.3">
      <c r="A101" s="118" t="s">
        <v>438</v>
      </c>
      <c r="B101" s="118"/>
      <c r="C101" s="118"/>
      <c r="D101" s="118"/>
      <c r="E101" s="118"/>
      <c r="F101" s="119"/>
      <c r="G101" s="15"/>
      <c r="H101" s="9" t="str">
        <f>IF(G$98="供应商采购 From suppliers",OKText,IF(ISBLANK(G101),IncompleteText,IF(G101,OKText,ErrorText)))</f>
        <v>BLANK</v>
      </c>
      <c r="J101" s="130" t="s">
        <v>439</v>
      </c>
      <c r="K101" s="130"/>
      <c r="L101" s="130"/>
      <c r="M101" s="130"/>
      <c r="N101" s="130"/>
      <c r="O101" s="137"/>
      <c r="P101" s="27"/>
      <c r="Q101" s="9" t="str">
        <f>IF(ISBLANK(P101),IncompleteText,IF(P101,OKText,ErrorText))</f>
        <v>BLANK</v>
      </c>
    </row>
    <row r="102" spans="1:17" ht="31.5" customHeight="1" x14ac:dyDescent="0.3">
      <c r="A102" s="130" t="s">
        <v>440</v>
      </c>
      <c r="B102" s="130"/>
      <c r="C102" s="130"/>
      <c r="D102" s="130"/>
      <c r="E102" s="130"/>
      <c r="F102" s="131"/>
      <c r="G102" s="15"/>
      <c r="H102" s="9" t="str">
        <f>IF(G$98="供应商采购 From suppliers",OKText,IF(ISBLANK(G102),IncompleteText,IF(G102,OKText,ErrorText)))</f>
        <v>BLANK</v>
      </c>
      <c r="J102" s="93" t="s">
        <v>321</v>
      </c>
      <c r="K102" s="93"/>
      <c r="L102" s="93"/>
      <c r="M102" s="93"/>
      <c r="N102" s="93"/>
      <c r="O102" s="93"/>
      <c r="P102" s="93"/>
      <c r="Q102" s="44" t="s">
        <v>269</v>
      </c>
    </row>
    <row r="103" spans="1:17" x14ac:dyDescent="0.3">
      <c r="A103" s="118" t="s">
        <v>441</v>
      </c>
      <c r="B103" s="118"/>
      <c r="C103" s="118"/>
      <c r="D103" s="118"/>
      <c r="E103" s="118"/>
      <c r="F103" s="119"/>
      <c r="G103" s="45"/>
      <c r="H103" s="9" t="str">
        <f>IF(G$98="供应商采购 From suppliers",OKText,IF(ISBLANK(G103),IncompleteText,OKText))</f>
        <v>BLANK</v>
      </c>
      <c r="J103" s="153"/>
      <c r="K103" s="153"/>
      <c r="L103" s="153"/>
      <c r="M103" s="153"/>
      <c r="N103" s="153"/>
      <c r="O103" s="153"/>
      <c r="P103" s="153"/>
      <c r="Q103" s="144" t="s">
        <v>442</v>
      </c>
    </row>
    <row r="104" spans="1:17" x14ac:dyDescent="0.3">
      <c r="A104" s="118" t="s">
        <v>443</v>
      </c>
      <c r="B104" s="118"/>
      <c r="C104" s="118"/>
      <c r="D104" s="118"/>
      <c r="E104" s="118"/>
      <c r="F104" s="119"/>
      <c r="G104" s="15"/>
      <c r="H104" s="9" t="str">
        <f>IF(G$98="供应商采购 From suppliers",OKText,IF(ISBLANK(G104),IncompleteText,IF(ISBLANK(G104),ErrorText,OKText)))</f>
        <v>BLANK</v>
      </c>
      <c r="J104" s="153"/>
      <c r="K104" s="153"/>
      <c r="L104" s="153"/>
      <c r="M104" s="153"/>
      <c r="N104" s="153"/>
      <c r="O104" s="153"/>
      <c r="P104" s="153"/>
      <c r="Q104" s="145"/>
    </row>
    <row r="105" spans="1:17" x14ac:dyDescent="0.3">
      <c r="A105" s="118" t="s">
        <v>444</v>
      </c>
      <c r="B105" s="118"/>
      <c r="C105" s="118"/>
      <c r="D105" s="118"/>
      <c r="E105" s="118"/>
      <c r="F105" s="119"/>
      <c r="G105" s="15"/>
      <c r="H105" s="9" t="str">
        <f>IF(ISBLANK(G105),IncompleteText,OKText)</f>
        <v>BLANK</v>
      </c>
      <c r="J105" s="153"/>
      <c r="K105" s="153"/>
      <c r="L105" s="153"/>
      <c r="M105" s="153"/>
      <c r="N105" s="153"/>
      <c r="O105" s="153"/>
      <c r="P105" s="153"/>
      <c r="Q105" s="146"/>
    </row>
    <row r="106" spans="1:17" ht="29.25" customHeight="1" x14ac:dyDescent="0.3">
      <c r="A106" s="130" t="s">
        <v>445</v>
      </c>
      <c r="B106" s="130"/>
      <c r="C106" s="130"/>
      <c r="D106" s="130"/>
      <c r="E106" s="130"/>
      <c r="F106" s="131"/>
      <c r="G106" s="15"/>
      <c r="H106" s="9" t="str">
        <f>IF(ISBLANK(G106),IncompleteText,IF(G106,OKText,ErrorText))</f>
        <v>BLANK</v>
      </c>
    </row>
    <row r="108" spans="1:17" x14ac:dyDescent="0.3">
      <c r="A108" s="94" t="s">
        <v>446</v>
      </c>
      <c r="B108" s="94"/>
      <c r="C108" s="94"/>
      <c r="D108" s="94"/>
      <c r="E108" s="94"/>
      <c r="F108" s="94"/>
      <c r="G108" s="94"/>
    </row>
    <row r="109" spans="1:17" x14ac:dyDescent="0.3">
      <c r="A109" s="151"/>
      <c r="B109" s="151"/>
      <c r="C109" s="151"/>
      <c r="D109" s="151"/>
      <c r="E109" s="151"/>
      <c r="F109" s="151"/>
      <c r="G109" s="151"/>
    </row>
    <row r="110" spans="1:17" x14ac:dyDescent="0.3">
      <c r="A110" s="151"/>
      <c r="B110" s="151"/>
      <c r="C110" s="151"/>
      <c r="D110" s="151"/>
      <c r="E110" s="151"/>
      <c r="F110" s="151"/>
      <c r="G110" s="151"/>
    </row>
    <row r="111" spans="1:17" x14ac:dyDescent="0.3">
      <c r="A111" s="151"/>
      <c r="B111" s="151"/>
      <c r="C111" s="151"/>
      <c r="D111" s="151"/>
      <c r="E111" s="151"/>
      <c r="F111" s="151"/>
      <c r="G111" s="151"/>
    </row>
    <row r="112" spans="1:17" x14ac:dyDescent="0.3">
      <c r="A112" s="151"/>
      <c r="B112" s="151"/>
      <c r="C112" s="151"/>
      <c r="D112" s="151"/>
      <c r="E112" s="151"/>
      <c r="F112" s="151"/>
      <c r="G112" s="151"/>
    </row>
  </sheetData>
  <sheetProtection algorithmName="SHA-512" hashValue="DcRA/k2BBV5nhtQSXBryPT2NCUgDUEaAGJurwywlTqvyF0QQSNJ7Z2NQr4XV+9z/O/q2xxHKLVlaq4JzhOKf4A==" saltValue="yciDRxrP+nddlNOVRBt5fQ==" spinCount="100000" sheet="1" scenarios="1" insertHyperlinks="0"/>
  <protectedRanges>
    <protectedRange sqref="C4:D5 C6:C12 C13:D14" name="data1"/>
  </protectedRanges>
  <mergeCells count="214">
    <mergeCell ref="BA69:BA73"/>
    <mergeCell ref="A109:G112"/>
    <mergeCell ref="I4:N7"/>
    <mergeCell ref="J103:P105"/>
    <mergeCell ref="A78:H96"/>
    <mergeCell ref="J78:Q96"/>
    <mergeCell ref="AK69:AQ73"/>
    <mergeCell ref="AT69:AZ73"/>
    <mergeCell ref="S71:Y74"/>
    <mergeCell ref="S69:Y70"/>
    <mergeCell ref="AB69:AH73"/>
    <mergeCell ref="A72:G74"/>
    <mergeCell ref="J72:P74"/>
    <mergeCell ref="AT47:BA65"/>
    <mergeCell ref="A47:H65"/>
    <mergeCell ref="J47:Q65"/>
    <mergeCell ref="S47:Z65"/>
    <mergeCell ref="AB47:AI65"/>
    <mergeCell ref="AK47:AR65"/>
    <mergeCell ref="AU23:BA43"/>
    <mergeCell ref="F24:G25"/>
    <mergeCell ref="H24:I25"/>
    <mergeCell ref="AM23:AS43"/>
    <mergeCell ref="A24:A25"/>
    <mergeCell ref="B24:B25"/>
    <mergeCell ref="C24:C25"/>
    <mergeCell ref="D24:D25"/>
    <mergeCell ref="E24:E25"/>
    <mergeCell ref="H72:H74"/>
    <mergeCell ref="Q72:Q74"/>
    <mergeCell ref="Q103:Q105"/>
    <mergeCell ref="Z69:Z70"/>
    <mergeCell ref="Z71:Z74"/>
    <mergeCell ref="A101:F101"/>
    <mergeCell ref="J101:O101"/>
    <mergeCell ref="A102:F102"/>
    <mergeCell ref="J102:P102"/>
    <mergeCell ref="A103:F103"/>
    <mergeCell ref="A104:F104"/>
    <mergeCell ref="A105:F105"/>
    <mergeCell ref="A106:F106"/>
    <mergeCell ref="A108:G108"/>
    <mergeCell ref="A71:G71"/>
    <mergeCell ref="J71:P71"/>
    <mergeCell ref="A97:G97"/>
    <mergeCell ref="J97:P97"/>
    <mergeCell ref="A98:F98"/>
    <mergeCell ref="J98:O98"/>
    <mergeCell ref="A99:F99"/>
    <mergeCell ref="J99:O99"/>
    <mergeCell ref="A100:F100"/>
    <mergeCell ref="J100:O100"/>
    <mergeCell ref="A68:F68"/>
    <mergeCell ref="J68:O68"/>
    <mergeCell ref="S68:X68"/>
    <mergeCell ref="AB68:AH68"/>
    <mergeCell ref="AK68:AQ68"/>
    <mergeCell ref="AT68:AZ68"/>
    <mergeCell ref="A69:F69"/>
    <mergeCell ref="J69:O69"/>
    <mergeCell ref="A70:F70"/>
    <mergeCell ref="J70:O70"/>
    <mergeCell ref="AI69:AI73"/>
    <mergeCell ref="AR69:AR73"/>
    <mergeCell ref="S66:Y66"/>
    <mergeCell ref="AB66:AH66"/>
    <mergeCell ref="AK66:AQ66"/>
    <mergeCell ref="AT66:AZ66"/>
    <mergeCell ref="A67:F67"/>
    <mergeCell ref="J67:O67"/>
    <mergeCell ref="S67:X67"/>
    <mergeCell ref="AB67:AG67"/>
    <mergeCell ref="AK67:AP67"/>
    <mergeCell ref="AT67:AY67"/>
    <mergeCell ref="F42:G42"/>
    <mergeCell ref="H42:I42"/>
    <mergeCell ref="K42:N42"/>
    <mergeCell ref="F43:G43"/>
    <mergeCell ref="H43:I43"/>
    <mergeCell ref="K43:N43"/>
    <mergeCell ref="K44:N44"/>
    <mergeCell ref="A66:G66"/>
    <mergeCell ref="J66:P66"/>
    <mergeCell ref="F39:G39"/>
    <mergeCell ref="H39:I39"/>
    <mergeCell ref="K39:N39"/>
    <mergeCell ref="F40:G40"/>
    <mergeCell ref="H40:I40"/>
    <mergeCell ref="K40:N40"/>
    <mergeCell ref="O40:P40"/>
    <mergeCell ref="F41:G41"/>
    <mergeCell ref="H41:I41"/>
    <mergeCell ref="K41:N41"/>
    <mergeCell ref="O41:P41"/>
    <mergeCell ref="F36:G36"/>
    <mergeCell ref="H36:I36"/>
    <mergeCell ref="K36:P36"/>
    <mergeCell ref="F37:G37"/>
    <mergeCell ref="H37:I37"/>
    <mergeCell ref="K37:N37"/>
    <mergeCell ref="O37:P37"/>
    <mergeCell ref="F38:G38"/>
    <mergeCell ref="H38:I38"/>
    <mergeCell ref="K38:N38"/>
    <mergeCell ref="F34:G34"/>
    <mergeCell ref="H34:I34"/>
    <mergeCell ref="K34:N34"/>
    <mergeCell ref="O34:P34"/>
    <mergeCell ref="R34:T34"/>
    <mergeCell ref="F35:G35"/>
    <mergeCell ref="H35:I35"/>
    <mergeCell ref="K35:N35"/>
    <mergeCell ref="O35:P35"/>
    <mergeCell ref="R35:T35"/>
    <mergeCell ref="F32:G32"/>
    <mergeCell ref="H32:I32"/>
    <mergeCell ref="K32:N32"/>
    <mergeCell ref="O32:P32"/>
    <mergeCell ref="R32:V32"/>
    <mergeCell ref="X32:AA32"/>
    <mergeCell ref="F33:G33"/>
    <mergeCell ref="H33:I33"/>
    <mergeCell ref="K33:N33"/>
    <mergeCell ref="O33:P33"/>
    <mergeCell ref="R33:T33"/>
    <mergeCell ref="U33:V33"/>
    <mergeCell ref="F30:G30"/>
    <mergeCell ref="H30:I30"/>
    <mergeCell ref="K30:P30"/>
    <mergeCell ref="R30:T30"/>
    <mergeCell ref="X30:AA30"/>
    <mergeCell ref="F31:G31"/>
    <mergeCell ref="H31:I31"/>
    <mergeCell ref="K31:N31"/>
    <mergeCell ref="R31:T31"/>
    <mergeCell ref="X31:AA31"/>
    <mergeCell ref="AI27:AJ27"/>
    <mergeCell ref="F28:G28"/>
    <mergeCell ref="H28:I28"/>
    <mergeCell ref="K28:N28"/>
    <mergeCell ref="O28:P28"/>
    <mergeCell ref="R28:T28"/>
    <mergeCell ref="U28:V28"/>
    <mergeCell ref="X28:AA28"/>
    <mergeCell ref="F29:G29"/>
    <mergeCell ref="H29:I29"/>
    <mergeCell ref="K29:N29"/>
    <mergeCell ref="O29:P29"/>
    <mergeCell ref="R29:T29"/>
    <mergeCell ref="X29:AA29"/>
    <mergeCell ref="AB29:AC29"/>
    <mergeCell ref="F26:G26"/>
    <mergeCell ref="H26:I26"/>
    <mergeCell ref="K26:N26"/>
    <mergeCell ref="R26:T26"/>
    <mergeCell ref="X26:AA26"/>
    <mergeCell ref="AB26:AC26"/>
    <mergeCell ref="AE26:AH26"/>
    <mergeCell ref="F27:G27"/>
    <mergeCell ref="H27:I27"/>
    <mergeCell ref="K27:N27"/>
    <mergeCell ref="R27:V27"/>
    <mergeCell ref="X27:AA27"/>
    <mergeCell ref="AE27:AH27"/>
    <mergeCell ref="K24:N24"/>
    <mergeCell ref="O24:P24"/>
    <mergeCell ref="R24:T24"/>
    <mergeCell ref="X24:AA24"/>
    <mergeCell ref="AE24:AH24"/>
    <mergeCell ref="AI24:AJ24"/>
    <mergeCell ref="L25:M25"/>
    <mergeCell ref="O25:P25"/>
    <mergeCell ref="R25:T25"/>
    <mergeCell ref="U25:V25"/>
    <mergeCell ref="X25:AA25"/>
    <mergeCell ref="AE25:AH25"/>
    <mergeCell ref="AU22:BA22"/>
    <mergeCell ref="A23:C23"/>
    <mergeCell ref="D23:E23"/>
    <mergeCell ref="K23:N23"/>
    <mergeCell ref="O23:P23"/>
    <mergeCell ref="R23:T23"/>
    <mergeCell ref="U23:V23"/>
    <mergeCell ref="X23:AA23"/>
    <mergeCell ref="AB23:AC23"/>
    <mergeCell ref="AE23:AH23"/>
    <mergeCell ref="AI23:AJ23"/>
    <mergeCell ref="A18:D18"/>
    <mergeCell ref="A19:D19"/>
    <mergeCell ref="A20:D20"/>
    <mergeCell ref="A22:I22"/>
    <mergeCell ref="K22:P22"/>
    <mergeCell ref="R22:V22"/>
    <mergeCell ref="X22:AC22"/>
    <mergeCell ref="AE22:AJ22"/>
    <mergeCell ref="AM22:AS22"/>
    <mergeCell ref="A9:B9"/>
    <mergeCell ref="A10:B10"/>
    <mergeCell ref="A11:B11"/>
    <mergeCell ref="A12:B12"/>
    <mergeCell ref="A13:B13"/>
    <mergeCell ref="C13:D13"/>
    <mergeCell ref="A14:B14"/>
    <mergeCell ref="C14:D14"/>
    <mergeCell ref="A17:D17"/>
    <mergeCell ref="I1:M1"/>
    <mergeCell ref="A3:D3"/>
    <mergeCell ref="A4:B4"/>
    <mergeCell ref="C4:D4"/>
    <mergeCell ref="A5:B5"/>
    <mergeCell ref="C5:D5"/>
    <mergeCell ref="A6:B6"/>
    <mergeCell ref="A7:B7"/>
    <mergeCell ref="A8:B8"/>
  </mergeCells>
  <phoneticPr fontId="17" type="noConversion"/>
  <conditionalFormatting sqref="A99:H100">
    <cfRule type="expression" dxfId="27" priority="4">
      <formula>$G$98="车队自制电路 Self-designed"</formula>
    </cfRule>
  </conditionalFormatting>
  <conditionalFormatting sqref="A101:H104">
    <cfRule type="expression" dxfId="26" priority="3">
      <formula>$G$98="供应商采购 From Suppliers"</formula>
    </cfRule>
  </conditionalFormatting>
  <conditionalFormatting sqref="J99:Q101">
    <cfRule type="expression" dxfId="25" priority="1">
      <formula>$P$98="否 No"</formula>
    </cfRule>
  </conditionalFormatting>
  <conditionalFormatting sqref="K28:K29 O28:O29">
    <cfRule type="expression" dxfId="24" priority="7">
      <formula>$O$24="供应商提供 From Suppliers"</formula>
    </cfRule>
  </conditionalFormatting>
  <conditionalFormatting sqref="K34 O34:P34">
    <cfRule type="expression" dxfId="23" priority="6">
      <formula>$O$33&lt;&gt;"其他 Other"</formula>
    </cfRule>
  </conditionalFormatting>
  <conditionalFormatting sqref="K38 O38:Q38">
    <cfRule type="expression" dxfId="22" priority="5">
      <formula>$O$37="极耳 Cell tabs"</formula>
    </cfRule>
  </conditionalFormatting>
  <conditionalFormatting sqref="K25:L25 N25:O25">
    <cfRule type="expression" dxfId="21" priority="8">
      <formula>$O$24="车队自制 Team design"</formula>
    </cfRule>
  </conditionalFormatting>
  <conditionalFormatting sqref="AE24:AK27">
    <cfRule type="expression" dxfId="20" priority="2">
      <formula>$AI$23="否 No"</formula>
    </cfRule>
  </conditionalFormatting>
  <dataValidations count="15">
    <dataValidation type="list" allowBlank="1" showInputMessage="1" showErrorMessage="1" sqref="N1 AI23:AJ23 AI27:AJ27" xr:uid="{00000000-0002-0000-0400-000000000000}">
      <formula1>"是 Yes, 否 No"</formula1>
    </dataValidation>
    <dataValidation type="list" allowBlank="1" showInputMessage="1" showErrorMessage="1" sqref="E17" xr:uid="{00000000-0002-0000-0400-000001000000}">
      <formula1>"并联 Parallel,串联 Serial"</formula1>
    </dataValidation>
    <dataValidation type="list" allowBlank="1" showInputMessage="1" showErrorMessage="1" sqref="D23:E23" xr:uid="{00000000-0002-0000-0400-000002000000}">
      <formula1>"先并后串 Parallel then serial, 先串后并 Serial then parallel"</formula1>
    </dataValidation>
    <dataValidation type="list" allowBlank="1" showInputMessage="1" showErrorMessage="1" sqref="O23:P23" xr:uid="{00000000-0002-0000-0400-000003000000}">
      <formula1>"分布式 Distributed,集中式 Centralized"</formula1>
    </dataValidation>
    <dataValidation type="list" allowBlank="1" showInputMessage="1" showErrorMessage="1" sqref="U23:V23" xr:uid="{00000000-0002-0000-0400-000004000000}">
      <formula1>ConnectorNames</formula1>
    </dataValidation>
    <dataValidation type="list" allowBlank="1" showInputMessage="1" showErrorMessage="1" sqref="AB23:AC23 AB26:AC26 AB29" xr:uid="{00000000-0002-0000-0400-000005000000}">
      <formula1>InsulationNames</formula1>
    </dataValidation>
    <dataValidation type="list" allowBlank="1" showInputMessage="1" showErrorMessage="1" sqref="O24:P24" xr:uid="{00000000-0002-0000-0400-000006000000}">
      <formula1>"供应商提供 From Suppliers, 车队设计 Team design"</formula1>
    </dataValidation>
    <dataValidation type="list" allowBlank="1" showInputMessage="1" showErrorMessage="1" sqref="AI24:AJ24" xr:uid="{00000000-0002-0000-0400-000007000000}">
      <formula1>"50V-150V,150V-300V,300V-600V"</formula1>
    </dataValidation>
    <dataValidation type="list" allowBlank="1" showInputMessage="1" showErrorMessage="1" sqref="U25:V25 O32:P32 U33:V33 G105" xr:uid="{00000000-0002-0000-0400-000008000000}">
      <formula1>FuseName</formula1>
    </dataValidation>
    <dataValidation type="list" allowBlank="1" showInputMessage="1" showErrorMessage="1" sqref="U28" xr:uid="{00000000-0002-0000-0400-000009000000}">
      <formula1>ContactorNames</formula1>
    </dataValidation>
    <dataValidation type="list" allowBlank="1" showInputMessage="1" showErrorMessage="1" sqref="O33:P33" xr:uid="{00000000-0002-0000-0400-00000A000000}">
      <formula1>"BMS PCB,导线 Wiring, 其他 Other"</formula1>
    </dataValidation>
    <dataValidation type="list" allowBlank="1" showInputMessage="1" showErrorMessage="1" sqref="O37:P37" xr:uid="{00000000-0002-0000-0400-00000B000000}">
      <formula1>"极耳 Cell tabs,铜排 Busbar"</formula1>
    </dataValidation>
    <dataValidation type="list" allowBlank="1" showInputMessage="1" showErrorMessage="1" sqref="AH67 AQ67 AZ67 G104 G106 G67:G70 G101:G102 P67:P70 P99:P101 Y67:Y68" xr:uid="{00000000-0002-0000-0400-00000C000000}">
      <formula1>"TRUE,FALSE"</formula1>
    </dataValidation>
    <dataValidation type="list" allowBlank="1" showInputMessage="1" showErrorMessage="1" sqref="G98" xr:uid="{00000000-0002-0000-0400-00000D000000}">
      <formula1>"车队自制电路 Self-designed,供应商采购 From suppliers"</formula1>
    </dataValidation>
    <dataValidation type="list" allowBlank="1" showInputMessage="1" showErrorMessage="1" sqref="P98" xr:uid="{00000000-0002-0000-0400-00000E000000}">
      <formula1>"是 Yes,否 No"</formula1>
    </dataValidation>
  </dataValidations>
  <pageMargins left="0.7" right="0.7" top="0.75" bottom="0.75" header="0.3" footer="0.3"/>
  <pageSetup paperSize="9" orientation="portrait"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T37"/>
  <sheetViews>
    <sheetView workbookViewId="0">
      <selection activeCell="J3" sqref="J3:K3"/>
    </sheetView>
  </sheetViews>
  <sheetFormatPr defaultColWidth="9" defaultRowHeight="14" x14ac:dyDescent="0.3"/>
  <cols>
    <col min="1" max="1" width="12" customWidth="1"/>
    <col min="3" max="3" width="16.6640625" customWidth="1"/>
    <col min="9" max="9" width="23" customWidth="1"/>
  </cols>
  <sheetData>
    <row r="1" spans="1:20" x14ac:dyDescent="0.3">
      <c r="A1" s="31" t="s">
        <v>27</v>
      </c>
      <c r="B1" s="9" t="str" cm="1">
        <f t="array" ref="B1" ca="1">IF(SUM(COUNTIF(INDIRECT({"$F$2","$L$2","$R$2"}),"="&amp;IncompleteText)),IncompleteText,IF(SUM(COUNTIF(INDIRECT({"$F$2","$L$2","$R$2"}),"="&amp;ErrorText)),ErrorText,OKText))</f>
        <v>OK</v>
      </c>
      <c r="C1" s="32"/>
      <c r="D1" s="32"/>
      <c r="E1" s="32"/>
      <c r="F1" s="32"/>
      <c r="G1" s="32"/>
      <c r="H1" s="32"/>
      <c r="I1" s="32"/>
      <c r="J1" s="32"/>
      <c r="K1" s="32"/>
      <c r="L1" s="32"/>
      <c r="M1" s="32"/>
      <c r="N1" s="32"/>
      <c r="O1" s="32"/>
      <c r="P1" s="32"/>
      <c r="Q1" s="32"/>
      <c r="R1" s="32"/>
      <c r="S1" s="32"/>
      <c r="T1" s="32"/>
    </row>
    <row r="2" spans="1:20" x14ac:dyDescent="0.3">
      <c r="A2" s="93" t="s">
        <v>108</v>
      </c>
      <c r="B2" s="93"/>
      <c r="C2" s="93"/>
      <c r="D2" s="93"/>
      <c r="E2" s="93"/>
      <c r="F2" s="9" t="str">
        <f>IF(COUNTIF(F3:F19,"="&amp;IncompleteText),IncompleteText,IF(COUNTIF(F3:F19,"="&amp;ErrorText),ErrorText,OKText))</f>
        <v>OK</v>
      </c>
      <c r="G2" s="93" t="s">
        <v>111</v>
      </c>
      <c r="H2" s="93"/>
      <c r="I2" s="93"/>
      <c r="J2" s="93"/>
      <c r="K2" s="93"/>
      <c r="L2" s="9" t="str">
        <f>IF(COUNTIF(L3:L15,"="&amp;IncompleteText),IncompleteText,IF(COUNTIF(L3:L15,"="&amp;ErrorText),ErrorText,OKText))</f>
        <v>OK</v>
      </c>
      <c r="M2" s="93" t="s">
        <v>451</v>
      </c>
      <c r="N2" s="93"/>
      <c r="O2" s="93"/>
      <c r="P2" s="93"/>
      <c r="Q2" s="93"/>
      <c r="R2" s="9" t="str">
        <f>IF(COUNTIF(R3:R8,"="&amp;IncompleteText),IncompleteText,IF(COUNTIF(R3:R8,"="&amp;ErrorText),ErrorText,OKText))</f>
        <v>OK</v>
      </c>
      <c r="S2" s="226" t="s">
        <v>452</v>
      </c>
      <c r="T2" s="227"/>
    </row>
    <row r="3" spans="1:20" x14ac:dyDescent="0.3">
      <c r="A3" s="91" t="s">
        <v>453</v>
      </c>
      <c r="B3" s="91"/>
      <c r="C3" s="92"/>
      <c r="D3" s="115" t="s">
        <v>170</v>
      </c>
      <c r="E3" s="116"/>
      <c r="F3" s="9" t="str">
        <f>IF(ISBLANK(D3),IncompleteText,OKText)</f>
        <v>OK</v>
      </c>
      <c r="G3" s="91" t="s">
        <v>453</v>
      </c>
      <c r="H3" s="91"/>
      <c r="I3" s="92"/>
      <c r="J3" s="115" t="s">
        <v>175</v>
      </c>
      <c r="K3" s="116"/>
      <c r="L3" s="9" t="str">
        <f>IF(ISBLANK(J3),IncompleteText,OKText)</f>
        <v>OK</v>
      </c>
      <c r="M3" s="91" t="s">
        <v>453</v>
      </c>
      <c r="N3" s="91"/>
      <c r="O3" s="92"/>
      <c r="P3" s="115" t="s">
        <v>179</v>
      </c>
      <c r="Q3" s="116"/>
      <c r="R3" s="9" t="str">
        <f>IF(ISBLANK(P3),IncompleteText,OKText)</f>
        <v>OK</v>
      </c>
      <c r="S3" s="207" t="s">
        <v>454</v>
      </c>
      <c r="T3" s="214"/>
    </row>
    <row r="4" spans="1:20" x14ac:dyDescent="0.3">
      <c r="A4" s="91" t="s">
        <v>455</v>
      </c>
      <c r="B4" s="91"/>
      <c r="C4" s="92"/>
      <c r="D4" s="15">
        <v>1</v>
      </c>
      <c r="E4" s="11"/>
      <c r="F4" s="9" t="str">
        <f>IF(ISBLANK(D4),IncompleteText,OKText)</f>
        <v>OK</v>
      </c>
      <c r="G4" s="91" t="s">
        <v>455</v>
      </c>
      <c r="H4" s="91"/>
      <c r="I4" s="92"/>
      <c r="J4" s="15">
        <v>1</v>
      </c>
      <c r="K4" s="11"/>
      <c r="L4" s="9" t="str">
        <f>IF(ISBLANK(J4),IncompleteText,OKText)</f>
        <v>OK</v>
      </c>
      <c r="M4" s="91" t="s">
        <v>455</v>
      </c>
      <c r="N4" s="91"/>
      <c r="O4" s="92"/>
      <c r="P4" s="125">
        <v>1</v>
      </c>
      <c r="Q4" s="125"/>
      <c r="R4" s="9" t="str">
        <f>IF(ISBLANK(P4),IncompleteText,OKText)</f>
        <v>OK</v>
      </c>
      <c r="S4" s="214"/>
      <c r="T4" s="214"/>
    </row>
    <row r="5" spans="1:20" x14ac:dyDescent="0.3">
      <c r="A5" s="91" t="s">
        <v>456</v>
      </c>
      <c r="B5" s="91"/>
      <c r="C5" s="92"/>
      <c r="D5" s="15">
        <v>1</v>
      </c>
      <c r="E5" s="11"/>
      <c r="F5" s="9" t="str">
        <f>IF(ISBLANK(D5),IncompleteText,OKText)</f>
        <v>OK</v>
      </c>
      <c r="G5" s="91" t="s">
        <v>456</v>
      </c>
      <c r="H5" s="91"/>
      <c r="I5" s="92"/>
      <c r="J5" s="15">
        <v>1</v>
      </c>
      <c r="K5" s="11"/>
      <c r="L5" s="9" t="str">
        <f>IF(ISBLANK(J5),IncompleteText,OKText)</f>
        <v>OK</v>
      </c>
      <c r="M5" s="91" t="s">
        <v>456</v>
      </c>
      <c r="N5" s="91"/>
      <c r="O5" s="92"/>
      <c r="P5" s="125">
        <v>1</v>
      </c>
      <c r="Q5" s="125"/>
      <c r="R5" s="9" t="str">
        <f>IF(ISBLANK(P5),IncompleteText,OKText)</f>
        <v>OK</v>
      </c>
      <c r="S5" s="214"/>
      <c r="T5" s="214"/>
    </row>
    <row r="6" spans="1:20" x14ac:dyDescent="0.3">
      <c r="A6" s="91" t="s">
        <v>457</v>
      </c>
      <c r="B6" s="91"/>
      <c r="C6" s="92"/>
      <c r="D6" s="17">
        <f>VLOOKUP(D3,ResistorsTable,3,)*D5/D4</f>
        <v>3000</v>
      </c>
      <c r="E6" s="11" t="s">
        <v>458</v>
      </c>
      <c r="G6" s="91" t="s">
        <v>457</v>
      </c>
      <c r="H6" s="91"/>
      <c r="I6" s="92"/>
      <c r="J6" s="17">
        <f>VLOOKUP(J3,ResistorsTable,3,)*J5/J4</f>
        <v>2000</v>
      </c>
      <c r="K6" s="11" t="s">
        <v>458</v>
      </c>
      <c r="M6" s="91" t="s">
        <v>457</v>
      </c>
      <c r="N6" s="91"/>
      <c r="O6" s="92"/>
      <c r="P6" s="17">
        <f>VLOOKUP(P3,ResistorsTable,3,)*P5/P4</f>
        <v>10000</v>
      </c>
      <c r="Q6" s="11" t="s">
        <v>458</v>
      </c>
      <c r="R6" s="9" t="str">
        <f>IF(MaxTSVoltage&lt;=200,IF(P6=5000,OKText,ErrorText),IF(MaxTSVoltage&gt;400,IF(P6=15000,OKText,ErrorText),IF(P6=10000,OKText,ErrorText)))</f>
        <v>OK</v>
      </c>
      <c r="S6" s="214"/>
      <c r="T6" s="214"/>
    </row>
    <row r="7" spans="1:20" x14ac:dyDescent="0.3">
      <c r="A7" s="91" t="s">
        <v>459</v>
      </c>
      <c r="B7" s="91"/>
      <c r="C7" s="92"/>
      <c r="D7" s="17">
        <f>VLOOKUP(D3,ResistorsTable,4,FALSE)*D4*D5</f>
        <v>75</v>
      </c>
      <c r="E7" s="11" t="s">
        <v>460</v>
      </c>
      <c r="G7" s="91" t="s">
        <v>459</v>
      </c>
      <c r="H7" s="91"/>
      <c r="I7" s="92"/>
      <c r="J7" s="17">
        <f>VLOOKUP(J3,ResistorsTable,4,FALSE)*J4*J5</f>
        <v>100</v>
      </c>
      <c r="K7" s="11" t="s">
        <v>460</v>
      </c>
      <c r="L7" s="9" t="str">
        <f>IF(J7=0,IncompleteText,IF(J7&gt;=J9,OKText,ErrorText))</f>
        <v>OK</v>
      </c>
      <c r="M7" s="91" t="s">
        <v>459</v>
      </c>
      <c r="N7" s="91"/>
      <c r="O7" s="92"/>
      <c r="P7" s="17">
        <f>VLOOKUP(P3,ResistorsTable,4,FALSE)*P5*P4</f>
        <v>50</v>
      </c>
      <c r="Q7" s="11" t="s">
        <v>460</v>
      </c>
      <c r="R7" s="9" t="str">
        <f>IF(P7&lt;P9,ErrorText,OKText)</f>
        <v>OK</v>
      </c>
      <c r="S7" s="214"/>
      <c r="T7" s="214"/>
    </row>
    <row r="8" spans="1:20" x14ac:dyDescent="0.3">
      <c r="A8" s="91" t="s">
        <v>461</v>
      </c>
      <c r="B8" s="91"/>
      <c r="C8" s="92"/>
      <c r="D8" s="15">
        <v>0.88700000000000001</v>
      </c>
      <c r="E8" s="11" t="s">
        <v>460</v>
      </c>
      <c r="F8" s="9" t="str">
        <f>IF(ISBLANK(D8),IncompleteText,OKText)</f>
        <v>OK</v>
      </c>
      <c r="G8" s="91" t="s">
        <v>462</v>
      </c>
      <c r="H8" s="91"/>
      <c r="I8" s="92"/>
      <c r="J8" s="17">
        <f>VLOOKUP(J3,ResistorsTable,2,FALSE)*J5</f>
        <v>447.2</v>
      </c>
      <c r="K8" s="11" t="s">
        <v>363</v>
      </c>
      <c r="L8" s="9" t="str">
        <f>IF(J8=0,IncompleteText,IF(J8&lt;MaxTSVoltage,ErrorText,OKText))</f>
        <v>OK</v>
      </c>
      <c r="M8" s="91" t="s">
        <v>462</v>
      </c>
      <c r="N8" s="91"/>
      <c r="O8" s="92"/>
      <c r="P8" s="17">
        <f>VLOOKUP(P3,ResistorsTable,2,FALSE)*P5</f>
        <v>707.1</v>
      </c>
      <c r="Q8" s="11" t="s">
        <v>22</v>
      </c>
      <c r="R8" s="9" t="str">
        <f>IF(P8&lt;MaxTSVoltage,ErrorText,OKText)</f>
        <v>OK</v>
      </c>
      <c r="S8" s="214"/>
      <c r="T8" s="214"/>
    </row>
    <row r="9" spans="1:20" x14ac:dyDescent="0.3">
      <c r="A9" s="91" t="s">
        <v>462</v>
      </c>
      <c r="B9" s="91"/>
      <c r="C9" s="92"/>
      <c r="D9" s="17">
        <f>VLOOKUP(D3,ResistorsTable,2,FALSE)*D5</f>
        <v>474.3</v>
      </c>
      <c r="E9" s="11" t="s">
        <v>363</v>
      </c>
      <c r="F9" s="9" t="str">
        <f>IF(D9&lt;MaxTSVoltage,ErrorText,OKText)</f>
        <v>OK</v>
      </c>
      <c r="G9" s="91" t="s">
        <v>463</v>
      </c>
      <c r="H9" s="91"/>
      <c r="I9" s="92"/>
      <c r="J9" s="17">
        <f>MaxTSVoltage^2/DischargeRes</f>
        <v>66.758579999999995</v>
      </c>
      <c r="K9" s="11" t="s">
        <v>460</v>
      </c>
      <c r="M9" s="91" t="s">
        <v>464</v>
      </c>
      <c r="N9" s="91"/>
      <c r="O9" s="92"/>
      <c r="P9" s="17">
        <f>MaxTSVoltage^2/(2*P6)</f>
        <v>6.6758579999999998</v>
      </c>
      <c r="Q9" s="11" t="s">
        <v>460</v>
      </c>
      <c r="R9" s="9" t="str">
        <f>IF(ISNA(P9),IncompleteText,IF((P9/2)&lt;=P7,OKText,ErrorText))</f>
        <v>OK</v>
      </c>
    </row>
    <row r="10" spans="1:20" x14ac:dyDescent="0.3">
      <c r="A10" s="91" t="s">
        <v>465</v>
      </c>
      <c r="B10" s="91"/>
      <c r="C10" s="92"/>
      <c r="D10" s="19">
        <v>0.8</v>
      </c>
      <c r="E10" s="11" t="s">
        <v>466</v>
      </c>
      <c r="F10" s="9" t="str">
        <f>IF(ISBLANK(BusCap),IncompleteText,OKText)</f>
        <v>OK</v>
      </c>
      <c r="G10" s="91" t="s">
        <v>467</v>
      </c>
      <c r="H10" s="91"/>
      <c r="I10" s="92"/>
      <c r="J10" s="33">
        <f>MaxTSVoltage/DischargeRes</f>
        <v>0.1827</v>
      </c>
      <c r="K10" s="11" t="s">
        <v>24</v>
      </c>
    </row>
    <row r="11" spans="1:20" x14ac:dyDescent="0.3">
      <c r="A11" s="91" t="s">
        <v>468</v>
      </c>
      <c r="B11" s="91"/>
      <c r="C11" s="92"/>
      <c r="D11" s="15">
        <v>95</v>
      </c>
      <c r="E11" s="11" t="s">
        <v>393</v>
      </c>
      <c r="F11" s="9" t="str">
        <f>IF(ISBLANK(D11),IncompleteText,IF(D11&gt;=95,OKText,ErrorText))</f>
        <v>OK</v>
      </c>
      <c r="G11" s="91" t="s">
        <v>469</v>
      </c>
      <c r="H11" s="91"/>
      <c r="I11" s="91"/>
      <c r="J11" s="17">
        <f>-LN(60/MaxTSVoltage)*DischargeRes*(BusCap/1000)</f>
        <v>2.8906369307548898</v>
      </c>
      <c r="K11" s="11" t="s">
        <v>470</v>
      </c>
    </row>
    <row r="12" spans="1:20" x14ac:dyDescent="0.3">
      <c r="A12" s="91" t="s">
        <v>471</v>
      </c>
      <c r="B12" s="91"/>
      <c r="C12" s="92"/>
      <c r="D12" s="17">
        <f>MaxTSVoltage^2/PrechargeRes</f>
        <v>44.505719999999997</v>
      </c>
      <c r="E12" s="11" t="s">
        <v>460</v>
      </c>
      <c r="G12" s="91" t="s">
        <v>472</v>
      </c>
      <c r="H12" s="91"/>
      <c r="I12" s="92"/>
      <c r="J12" s="104" t="s">
        <v>197</v>
      </c>
      <c r="K12" s="104"/>
      <c r="L12" s="9" t="str">
        <f>IF(ISBLANK(J12),IncompleteText,OKText)</f>
        <v>OK</v>
      </c>
    </row>
    <row r="13" spans="1:20" x14ac:dyDescent="0.3">
      <c r="A13" s="91" t="s">
        <v>473</v>
      </c>
      <c r="B13" s="91"/>
      <c r="C13" s="92"/>
      <c r="D13" s="33">
        <f>MaxTSVoltage/PrechargeRes</f>
        <v>0.12180000000000001</v>
      </c>
      <c r="E13" s="11" t="s">
        <v>24</v>
      </c>
      <c r="G13" s="91" t="s">
        <v>474</v>
      </c>
      <c r="H13" s="91"/>
      <c r="I13" s="92"/>
      <c r="J13" s="17">
        <f>VLOOKUP(J12,ContactorsTable,2,FALSE)</f>
        <v>1000</v>
      </c>
      <c r="K13" s="11" t="s">
        <v>22</v>
      </c>
      <c r="L13" s="9" t="str">
        <f>IF(J13&lt;MaxTSVoltage,ErrorText,OKText)</f>
        <v>OK</v>
      </c>
    </row>
    <row r="14" spans="1:20" x14ac:dyDescent="0.3">
      <c r="A14" s="91" t="s">
        <v>475</v>
      </c>
      <c r="B14" s="91"/>
      <c r="C14" s="92"/>
      <c r="D14" s="33">
        <f>-LN(0.05)*(BusCap/1000)*PrechargeRes</f>
        <v>7.1897574565295796</v>
      </c>
      <c r="E14" s="11" t="s">
        <v>476</v>
      </c>
      <c r="G14" s="91" t="s">
        <v>477</v>
      </c>
      <c r="H14" s="91"/>
      <c r="I14" s="92"/>
      <c r="J14" s="17">
        <f>VLOOKUP(J12,ContactorsTable,3,FALSE)</f>
        <v>1</v>
      </c>
      <c r="K14" s="11" t="s">
        <v>24</v>
      </c>
      <c r="L14" s="9" t="str">
        <f>IF(J14&lt;J10,ErrorText,OKText)</f>
        <v>OK</v>
      </c>
    </row>
    <row r="15" spans="1:20" x14ac:dyDescent="0.3">
      <c r="A15" s="91" t="s">
        <v>478</v>
      </c>
      <c r="B15" s="91"/>
      <c r="C15" s="92"/>
      <c r="D15" s="33">
        <f>MaxTSVoltage^2*(BusCap/1000)/2*(1-EXP(-D14*2/(PrechargeRes*(BusCap/1000))))</f>
        <v>53.273346840000002</v>
      </c>
      <c r="E15" s="11" t="s">
        <v>479</v>
      </c>
      <c r="G15" s="91" t="s">
        <v>480</v>
      </c>
      <c r="H15" s="91"/>
      <c r="I15" s="92"/>
      <c r="J15" s="17" t="str">
        <f>VLOOKUP(J12,ContactorsTable,5,FALSE)</f>
        <v>NC</v>
      </c>
      <c r="K15" s="11"/>
      <c r="L15" s="9" t="str">
        <f>IF(J15&lt;&gt;"NC",ErrorText,OKText)</f>
        <v>OK</v>
      </c>
    </row>
    <row r="16" spans="1:20" x14ac:dyDescent="0.3">
      <c r="A16" s="91" t="s">
        <v>481</v>
      </c>
      <c r="B16" s="91"/>
      <c r="C16" s="92"/>
      <c r="D16" s="34">
        <f>D15/D14</f>
        <v>7.4096166890328599</v>
      </c>
      <c r="E16" s="11" t="s">
        <v>460</v>
      </c>
    </row>
    <row r="17" spans="1:8" x14ac:dyDescent="0.3">
      <c r="A17" s="91" t="s">
        <v>482</v>
      </c>
      <c r="B17" s="91"/>
      <c r="C17" s="92"/>
      <c r="D17" s="104" t="s">
        <v>193</v>
      </c>
      <c r="E17" s="104"/>
      <c r="F17" s="9" t="str">
        <f>IF(ISBLANK(D17),IncompleteText,OKText)</f>
        <v>OK</v>
      </c>
      <c r="G17" s="35"/>
      <c r="H17" s="35"/>
    </row>
    <row r="18" spans="1:8" ht="29" customHeight="1" x14ac:dyDescent="0.3">
      <c r="A18" s="132" t="s">
        <v>483</v>
      </c>
      <c r="B18" s="132"/>
      <c r="C18" s="133"/>
      <c r="D18" s="17">
        <f>VLOOKUP(D17,ContactorsTable,2,FALSE)</f>
        <v>900</v>
      </c>
      <c r="E18" s="36" t="s">
        <v>363</v>
      </c>
      <c r="F18" s="9" t="str">
        <f>IF(D18&lt;MaxTSVoltage,ErrorText,OKText)</f>
        <v>OK</v>
      </c>
    </row>
    <row r="19" spans="1:8" ht="29.4" customHeight="1" x14ac:dyDescent="0.3">
      <c r="A19" s="132" t="s">
        <v>477</v>
      </c>
      <c r="B19" s="132"/>
      <c r="C19" s="133"/>
      <c r="D19" s="17">
        <f>VLOOKUP(D17,ContactorsTable,3,FALSE)</f>
        <v>50</v>
      </c>
      <c r="E19" s="36" t="s">
        <v>24</v>
      </c>
      <c r="F19" s="9" t="str">
        <f>IF(D19&lt;D13,ErrorText,OKText)</f>
        <v>OK</v>
      </c>
    </row>
    <row r="21" spans="1:8" x14ac:dyDescent="0.3">
      <c r="A21" s="134" t="s">
        <v>321</v>
      </c>
      <c r="B21" s="134"/>
      <c r="C21" s="134"/>
      <c r="D21" s="134"/>
      <c r="E21" s="134"/>
      <c r="F21" s="134"/>
      <c r="G21" s="134"/>
    </row>
    <row r="22" spans="1:8" x14ac:dyDescent="0.3">
      <c r="A22" s="228" t="s">
        <v>484</v>
      </c>
      <c r="B22" s="175"/>
      <c r="C22" s="175"/>
      <c r="D22" s="175"/>
      <c r="E22" s="175"/>
      <c r="F22" s="175"/>
      <c r="G22" s="176"/>
    </row>
    <row r="23" spans="1:8" x14ac:dyDescent="0.3">
      <c r="A23" s="177"/>
      <c r="B23" s="178"/>
      <c r="C23" s="178"/>
      <c r="D23" s="178"/>
      <c r="E23" s="178"/>
      <c r="F23" s="178"/>
      <c r="G23" s="179"/>
    </row>
    <row r="24" spans="1:8" x14ac:dyDescent="0.3">
      <c r="A24" s="177"/>
      <c r="B24" s="178"/>
      <c r="C24" s="178"/>
      <c r="D24" s="178"/>
      <c r="E24" s="178"/>
      <c r="F24" s="178"/>
      <c r="G24" s="179"/>
    </row>
    <row r="25" spans="1:8" x14ac:dyDescent="0.3">
      <c r="A25" s="177"/>
      <c r="B25" s="178"/>
      <c r="C25" s="178"/>
      <c r="D25" s="178"/>
      <c r="E25" s="178"/>
      <c r="F25" s="178"/>
      <c r="G25" s="179"/>
    </row>
    <row r="26" spans="1:8" x14ac:dyDescent="0.3">
      <c r="A26" s="177"/>
      <c r="B26" s="178"/>
      <c r="C26" s="178"/>
      <c r="D26" s="178"/>
      <c r="E26" s="178"/>
      <c r="F26" s="178"/>
      <c r="G26" s="179"/>
    </row>
    <row r="27" spans="1:8" x14ac:dyDescent="0.3">
      <c r="A27" s="177"/>
      <c r="B27" s="178"/>
      <c r="C27" s="178"/>
      <c r="D27" s="178"/>
      <c r="E27" s="178"/>
      <c r="F27" s="178"/>
      <c r="G27" s="179"/>
    </row>
    <row r="28" spans="1:8" x14ac:dyDescent="0.3">
      <c r="A28" s="177"/>
      <c r="B28" s="178"/>
      <c r="C28" s="178"/>
      <c r="D28" s="178"/>
      <c r="E28" s="178"/>
      <c r="F28" s="178"/>
      <c r="G28" s="179"/>
    </row>
    <row r="29" spans="1:8" x14ac:dyDescent="0.3">
      <c r="A29" s="177"/>
      <c r="B29" s="178"/>
      <c r="C29" s="178"/>
      <c r="D29" s="178"/>
      <c r="E29" s="178"/>
      <c r="F29" s="178"/>
      <c r="G29" s="179"/>
    </row>
    <row r="30" spans="1:8" x14ac:dyDescent="0.3">
      <c r="A30" s="177"/>
      <c r="B30" s="178"/>
      <c r="C30" s="178"/>
      <c r="D30" s="178"/>
      <c r="E30" s="178"/>
      <c r="F30" s="178"/>
      <c r="G30" s="179"/>
    </row>
    <row r="31" spans="1:8" x14ac:dyDescent="0.3">
      <c r="A31" s="177"/>
      <c r="B31" s="178"/>
      <c r="C31" s="178"/>
      <c r="D31" s="178"/>
      <c r="E31" s="178"/>
      <c r="F31" s="178"/>
      <c r="G31" s="179"/>
    </row>
    <row r="32" spans="1:8" x14ac:dyDescent="0.3">
      <c r="A32" s="177"/>
      <c r="B32" s="178"/>
      <c r="C32" s="178"/>
      <c r="D32" s="178"/>
      <c r="E32" s="178"/>
      <c r="F32" s="178"/>
      <c r="G32" s="179"/>
    </row>
    <row r="33" spans="1:7" x14ac:dyDescent="0.3">
      <c r="A33" s="177"/>
      <c r="B33" s="178"/>
      <c r="C33" s="178"/>
      <c r="D33" s="178"/>
      <c r="E33" s="178"/>
      <c r="F33" s="178"/>
      <c r="G33" s="179"/>
    </row>
    <row r="34" spans="1:7" x14ac:dyDescent="0.3">
      <c r="A34" s="177"/>
      <c r="B34" s="178"/>
      <c r="C34" s="178"/>
      <c r="D34" s="178"/>
      <c r="E34" s="178"/>
      <c r="F34" s="178"/>
      <c r="G34" s="179"/>
    </row>
    <row r="35" spans="1:7" x14ac:dyDescent="0.3">
      <c r="A35" s="177"/>
      <c r="B35" s="178"/>
      <c r="C35" s="178"/>
      <c r="D35" s="178"/>
      <c r="E35" s="178"/>
      <c r="F35" s="178"/>
      <c r="G35" s="179"/>
    </row>
    <row r="36" spans="1:7" x14ac:dyDescent="0.3">
      <c r="A36" s="177"/>
      <c r="B36" s="178"/>
      <c r="C36" s="178"/>
      <c r="D36" s="178"/>
      <c r="E36" s="178"/>
      <c r="F36" s="178"/>
      <c r="G36" s="179"/>
    </row>
    <row r="37" spans="1:7" x14ac:dyDescent="0.3">
      <c r="A37" s="180"/>
      <c r="B37" s="181"/>
      <c r="C37" s="181"/>
      <c r="D37" s="181"/>
      <c r="E37" s="181"/>
      <c r="F37" s="181"/>
      <c r="G37" s="182"/>
    </row>
  </sheetData>
  <sheetProtection algorithmName="SHA-512" hashValue="Wxd+oxW0ike21/A6Acx6VCXPT3B5zr1vNyxPbU2bEfZyxKtfyIqhzT3ab7G9qcKKpZUoJUBK1W0G8OFVML9DMg==" saltValue="G5zPwi6mHN5No/usM7hd8Q==" spinCount="100000" sheet="1" scenarios="1"/>
  <mergeCells count="51">
    <mergeCell ref="A18:C18"/>
    <mergeCell ref="A19:C19"/>
    <mergeCell ref="A21:G21"/>
    <mergeCell ref="S3:T8"/>
    <mergeCell ref="A22:G37"/>
    <mergeCell ref="A15:C15"/>
    <mergeCell ref="G15:I15"/>
    <mergeCell ref="A16:C16"/>
    <mergeCell ref="A17:C17"/>
    <mergeCell ref="D17:E17"/>
    <mergeCell ref="J12:K12"/>
    <mergeCell ref="A13:C13"/>
    <mergeCell ref="G13:I13"/>
    <mergeCell ref="A14:C14"/>
    <mergeCell ref="G14:I14"/>
    <mergeCell ref="A10:C10"/>
    <mergeCell ref="G10:I10"/>
    <mergeCell ref="A11:C11"/>
    <mergeCell ref="G11:I11"/>
    <mergeCell ref="A12:C12"/>
    <mergeCell ref="G12:I12"/>
    <mergeCell ref="A8:C8"/>
    <mergeCell ref="G8:I8"/>
    <mergeCell ref="M8:O8"/>
    <mergeCell ref="A9:C9"/>
    <mergeCell ref="G9:I9"/>
    <mergeCell ref="M9:O9"/>
    <mergeCell ref="A6:C6"/>
    <mergeCell ref="G6:I6"/>
    <mergeCell ref="M6:O6"/>
    <mergeCell ref="A7:C7"/>
    <mergeCell ref="G7:I7"/>
    <mergeCell ref="M7:O7"/>
    <mergeCell ref="A4:C4"/>
    <mergeCell ref="G4:I4"/>
    <mergeCell ref="M4:O4"/>
    <mergeCell ref="P4:Q4"/>
    <mergeCell ref="A5:C5"/>
    <mergeCell ref="G5:I5"/>
    <mergeCell ref="M5:O5"/>
    <mergeCell ref="P5:Q5"/>
    <mergeCell ref="A2:E2"/>
    <mergeCell ref="G2:K2"/>
    <mergeCell ref="M2:Q2"/>
    <mergeCell ref="S2:T2"/>
    <mergeCell ref="A3:C3"/>
    <mergeCell ref="D3:E3"/>
    <mergeCell ref="G3:I3"/>
    <mergeCell ref="J3:K3"/>
    <mergeCell ref="M3:O3"/>
    <mergeCell ref="P3:Q3"/>
  </mergeCells>
  <phoneticPr fontId="17" type="noConversion"/>
  <dataValidations count="3">
    <dataValidation type="list" allowBlank="1" showInputMessage="1" showErrorMessage="1" sqref="D3:E3 J3:K3 P3:Q3" xr:uid="{00000000-0002-0000-0500-000000000000}">
      <formula1>ResistorsNames</formula1>
    </dataValidation>
    <dataValidation type="list" allowBlank="1" showInputMessage="1" showErrorMessage="1" sqref="J12:K12 D17:E17" xr:uid="{00000000-0002-0000-0500-000001000000}">
      <formula1>ContactorNames</formula1>
    </dataValidation>
    <dataValidation type="whole" allowBlank="1" showInputMessage="1" showErrorMessage="1" sqref="D4:D5 J4:J5" xr:uid="{00000000-0002-0000-0500-000002000000}">
      <formula1>1</formula1>
      <formula2>1000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Z43"/>
  <sheetViews>
    <sheetView topLeftCell="A16" workbookViewId="0">
      <selection activeCell="D5" sqref="D5:E5"/>
    </sheetView>
  </sheetViews>
  <sheetFormatPr defaultColWidth="9" defaultRowHeight="14" x14ac:dyDescent="0.3"/>
  <cols>
    <col min="1" max="1" width="13" customWidth="1"/>
    <col min="3" max="3" width="11.4140625" customWidth="1"/>
    <col min="6" max="6" width="12.4140625" customWidth="1"/>
    <col min="15" max="15" width="21.9140625" customWidth="1"/>
    <col min="21" max="24" width="12.6640625" customWidth="1"/>
  </cols>
  <sheetData>
    <row r="1" spans="1:26" x14ac:dyDescent="0.3">
      <c r="A1" s="2" t="s">
        <v>27</v>
      </c>
      <c r="B1" s="9" t="str" cm="1">
        <f t="array" ref="B1" ca="1">IF(SUM(COUNTIF(INDIRECT({"$F$2","$H$31","$Q$31","$Z$31"}),"="&amp;IncompleteText)),IncompleteText,IF(SUM(COUNTIF(INDIRECT({"$F$2","$H$31","$Q$31","$Z$31"}),"="&amp;ErrorText)),ErrorText,OKText))</f>
        <v>OK</v>
      </c>
    </row>
    <row r="2" spans="1:26" x14ac:dyDescent="0.3">
      <c r="A2" s="93" t="s">
        <v>485</v>
      </c>
      <c r="B2" s="93"/>
      <c r="C2" s="93"/>
      <c r="D2" s="93"/>
      <c r="E2" s="93"/>
      <c r="F2" s="9" t="str">
        <f>IF(COUNTIF(F3:F10,"="&amp;IncompleteText),IncompleteText,IF(COUNTIF(F3:F10,"="&amp;ErrorText),ErrorText,OKText))</f>
        <v>OK</v>
      </c>
      <c r="H2" s="93" t="s">
        <v>486</v>
      </c>
      <c r="I2" s="93"/>
      <c r="J2" s="93"/>
      <c r="K2" s="93"/>
      <c r="L2" s="93"/>
      <c r="M2" s="93"/>
      <c r="N2" s="93"/>
    </row>
    <row r="3" spans="1:26" x14ac:dyDescent="0.3">
      <c r="A3" s="91" t="s">
        <v>29</v>
      </c>
      <c r="B3" s="91"/>
      <c r="C3" s="92"/>
      <c r="D3" s="115" t="s">
        <v>487</v>
      </c>
      <c r="E3" s="116"/>
      <c r="F3" s="9" t="str">
        <f t="shared" ref="F3:F10" si="0">IF(ISBLANK(D3),IncompleteText,OKText)</f>
        <v>OK</v>
      </c>
      <c r="H3" s="230" t="s">
        <v>488</v>
      </c>
      <c r="I3" s="175"/>
      <c r="J3" s="175"/>
      <c r="K3" s="175"/>
      <c r="L3" s="175"/>
      <c r="M3" s="175"/>
      <c r="N3" s="175"/>
    </row>
    <row r="4" spans="1:26" x14ac:dyDescent="0.3">
      <c r="A4" s="91" t="s">
        <v>347</v>
      </c>
      <c r="B4" s="91"/>
      <c r="C4" s="91"/>
      <c r="D4" s="104" t="s">
        <v>489</v>
      </c>
      <c r="E4" s="104"/>
      <c r="F4" s="9" t="str">
        <f t="shared" si="0"/>
        <v>OK</v>
      </c>
      <c r="H4" s="178"/>
      <c r="I4" s="178"/>
      <c r="J4" s="178"/>
      <c r="K4" s="178"/>
      <c r="L4" s="178"/>
      <c r="M4" s="178"/>
      <c r="N4" s="178"/>
    </row>
    <row r="5" spans="1:26" x14ac:dyDescent="0.3">
      <c r="A5" s="91" t="s">
        <v>490</v>
      </c>
      <c r="B5" s="91"/>
      <c r="C5" s="92"/>
      <c r="D5" s="199" t="s">
        <v>491</v>
      </c>
      <c r="E5" s="199"/>
      <c r="F5" s="9" t="str">
        <f t="shared" si="0"/>
        <v>OK</v>
      </c>
      <c r="H5" s="178"/>
      <c r="I5" s="178"/>
      <c r="J5" s="178"/>
      <c r="K5" s="178"/>
      <c r="L5" s="178"/>
      <c r="M5" s="178"/>
      <c r="N5" s="178"/>
    </row>
    <row r="6" spans="1:26" x14ac:dyDescent="0.3">
      <c r="A6" s="91" t="s">
        <v>492</v>
      </c>
      <c r="B6" s="91"/>
      <c r="C6" s="92"/>
      <c r="D6" s="19" t="s">
        <v>493</v>
      </c>
      <c r="E6" s="11" t="s">
        <v>494</v>
      </c>
      <c r="F6" s="9" t="str">
        <f t="shared" si="0"/>
        <v>OK</v>
      </c>
      <c r="H6" s="178"/>
      <c r="I6" s="178"/>
      <c r="J6" s="178"/>
      <c r="K6" s="178"/>
      <c r="L6" s="178"/>
      <c r="M6" s="178"/>
      <c r="N6" s="178"/>
    </row>
    <row r="7" spans="1:26" x14ac:dyDescent="0.3">
      <c r="A7" s="91" t="s">
        <v>495</v>
      </c>
      <c r="B7" s="91"/>
      <c r="C7" s="92"/>
      <c r="D7" s="19">
        <v>16</v>
      </c>
      <c r="E7" s="11" t="s">
        <v>24</v>
      </c>
      <c r="F7" s="9" t="str">
        <f t="shared" si="0"/>
        <v>OK</v>
      </c>
      <c r="H7" s="178"/>
      <c r="I7" s="178"/>
      <c r="J7" s="178"/>
      <c r="K7" s="178"/>
      <c r="L7" s="178"/>
      <c r="M7" s="178"/>
      <c r="N7" s="178"/>
    </row>
    <row r="8" spans="1:26" x14ac:dyDescent="0.3">
      <c r="A8" s="91" t="s">
        <v>496</v>
      </c>
      <c r="B8" s="91"/>
      <c r="C8" s="92"/>
      <c r="D8" s="19" t="s">
        <v>497</v>
      </c>
      <c r="E8" s="11" t="s">
        <v>22</v>
      </c>
      <c r="F8" s="9" t="str">
        <f t="shared" si="0"/>
        <v>OK</v>
      </c>
      <c r="H8" s="178"/>
      <c r="I8" s="178"/>
      <c r="J8" s="178"/>
      <c r="K8" s="178"/>
      <c r="L8" s="178"/>
      <c r="M8" s="178"/>
      <c r="N8" s="178"/>
    </row>
    <row r="9" spans="1:26" x14ac:dyDescent="0.3">
      <c r="A9" s="91" t="s">
        <v>498</v>
      </c>
      <c r="B9" s="91"/>
      <c r="C9" s="92"/>
      <c r="D9" s="19">
        <v>10</v>
      </c>
      <c r="E9" s="11" t="s">
        <v>24</v>
      </c>
      <c r="F9" s="9" t="str">
        <f t="shared" si="0"/>
        <v>OK</v>
      </c>
      <c r="H9" s="178"/>
      <c r="I9" s="178"/>
      <c r="J9" s="178"/>
      <c r="K9" s="178"/>
      <c r="L9" s="178"/>
      <c r="M9" s="178"/>
      <c r="N9" s="178"/>
    </row>
    <row r="10" spans="1:26" x14ac:dyDescent="0.3">
      <c r="A10" s="91" t="s">
        <v>499</v>
      </c>
      <c r="B10" s="91"/>
      <c r="C10" s="92"/>
      <c r="D10" s="19">
        <v>3.3</v>
      </c>
      <c r="E10" s="11" t="s">
        <v>500</v>
      </c>
      <c r="F10" s="9" t="str">
        <f t="shared" si="0"/>
        <v>OK</v>
      </c>
      <c r="H10" s="178"/>
      <c r="I10" s="178"/>
      <c r="J10" s="178"/>
      <c r="K10" s="178"/>
      <c r="L10" s="178"/>
      <c r="M10" s="178"/>
      <c r="N10" s="178"/>
    </row>
    <row r="12" spans="1:26" x14ac:dyDescent="0.3">
      <c r="A12" s="152" t="s">
        <v>501</v>
      </c>
      <c r="B12" s="152"/>
      <c r="C12" s="152"/>
      <c r="D12" s="152"/>
      <c r="E12" s="152"/>
      <c r="F12" s="152"/>
      <c r="G12" s="152"/>
      <c r="H12" s="152"/>
      <c r="J12" s="229" t="s">
        <v>502</v>
      </c>
      <c r="K12" s="229"/>
      <c r="L12" s="229"/>
      <c r="M12" s="229"/>
      <c r="N12" s="229"/>
      <c r="O12" s="229"/>
      <c r="P12" s="229"/>
      <c r="Q12" s="229"/>
      <c r="S12" s="229" t="s">
        <v>503</v>
      </c>
      <c r="T12" s="229"/>
      <c r="U12" s="229"/>
      <c r="V12" s="229"/>
      <c r="W12" s="229"/>
      <c r="X12" s="229"/>
      <c r="Y12" s="229"/>
      <c r="Z12" s="229"/>
    </row>
    <row r="13" spans="1:26" x14ac:dyDescent="0.3">
      <c r="A13" s="152"/>
      <c r="B13" s="152"/>
      <c r="C13" s="152"/>
      <c r="D13" s="152"/>
      <c r="E13" s="152"/>
      <c r="F13" s="152"/>
      <c r="G13" s="152"/>
      <c r="H13" s="152"/>
      <c r="J13" s="229"/>
      <c r="K13" s="229"/>
      <c r="L13" s="229"/>
      <c r="M13" s="229"/>
      <c r="N13" s="229"/>
      <c r="O13" s="229"/>
      <c r="P13" s="229"/>
      <c r="Q13" s="229"/>
      <c r="S13" s="229"/>
      <c r="T13" s="229"/>
      <c r="U13" s="229"/>
      <c r="V13" s="229"/>
      <c r="W13" s="229"/>
      <c r="X13" s="229"/>
      <c r="Y13" s="229"/>
      <c r="Z13" s="229"/>
    </row>
    <row r="14" spans="1:26" x14ac:dyDescent="0.3">
      <c r="A14" s="152"/>
      <c r="B14" s="152"/>
      <c r="C14" s="152"/>
      <c r="D14" s="152"/>
      <c r="E14" s="152"/>
      <c r="F14" s="152"/>
      <c r="G14" s="152"/>
      <c r="H14" s="152"/>
      <c r="J14" s="229"/>
      <c r="K14" s="229"/>
      <c r="L14" s="229"/>
      <c r="M14" s="229"/>
      <c r="N14" s="229"/>
      <c r="O14" s="229"/>
      <c r="P14" s="229"/>
      <c r="Q14" s="229"/>
      <c r="S14" s="229"/>
      <c r="T14" s="229"/>
      <c r="U14" s="229"/>
      <c r="V14" s="229"/>
      <c r="W14" s="229"/>
      <c r="X14" s="229"/>
      <c r="Y14" s="229"/>
      <c r="Z14" s="229"/>
    </row>
    <row r="15" spans="1:26" x14ac:dyDescent="0.3">
      <c r="A15" s="152"/>
      <c r="B15" s="152"/>
      <c r="C15" s="152"/>
      <c r="D15" s="152"/>
      <c r="E15" s="152"/>
      <c r="F15" s="152"/>
      <c r="G15" s="152"/>
      <c r="H15" s="152"/>
      <c r="J15" s="229"/>
      <c r="K15" s="229"/>
      <c r="L15" s="229"/>
      <c r="M15" s="229"/>
      <c r="N15" s="229"/>
      <c r="O15" s="229"/>
      <c r="P15" s="229"/>
      <c r="Q15" s="229"/>
      <c r="S15" s="229"/>
      <c r="T15" s="229"/>
      <c r="U15" s="229"/>
      <c r="V15" s="229"/>
      <c r="W15" s="229"/>
      <c r="X15" s="229"/>
      <c r="Y15" s="229"/>
      <c r="Z15" s="229"/>
    </row>
    <row r="16" spans="1:26" x14ac:dyDescent="0.3">
      <c r="A16" s="152"/>
      <c r="B16" s="152"/>
      <c r="C16" s="152"/>
      <c r="D16" s="152"/>
      <c r="E16" s="152"/>
      <c r="F16" s="152"/>
      <c r="G16" s="152"/>
      <c r="H16" s="152"/>
      <c r="J16" s="229"/>
      <c r="K16" s="229"/>
      <c r="L16" s="229"/>
      <c r="M16" s="229"/>
      <c r="N16" s="229"/>
      <c r="O16" s="229"/>
      <c r="P16" s="229"/>
      <c r="Q16" s="229"/>
      <c r="S16" s="229"/>
      <c r="T16" s="229"/>
      <c r="U16" s="229"/>
      <c r="V16" s="229"/>
      <c r="W16" s="229"/>
      <c r="X16" s="229"/>
      <c r="Y16" s="229"/>
      <c r="Z16" s="229"/>
    </row>
    <row r="17" spans="1:26" x14ac:dyDescent="0.3">
      <c r="A17" s="152"/>
      <c r="B17" s="152"/>
      <c r="C17" s="152"/>
      <c r="D17" s="152"/>
      <c r="E17" s="152"/>
      <c r="F17" s="152"/>
      <c r="G17" s="152"/>
      <c r="H17" s="152"/>
      <c r="J17" s="229"/>
      <c r="K17" s="229"/>
      <c r="L17" s="229"/>
      <c r="M17" s="229"/>
      <c r="N17" s="229"/>
      <c r="O17" s="229"/>
      <c r="P17" s="229"/>
      <c r="Q17" s="229"/>
      <c r="S17" s="229"/>
      <c r="T17" s="229"/>
      <c r="U17" s="229"/>
      <c r="V17" s="229"/>
      <c r="W17" s="229"/>
      <c r="X17" s="229"/>
      <c r="Y17" s="229"/>
      <c r="Z17" s="229"/>
    </row>
    <row r="18" spans="1:26" x14ac:dyDescent="0.3">
      <c r="A18" s="152"/>
      <c r="B18" s="152"/>
      <c r="C18" s="152"/>
      <c r="D18" s="152"/>
      <c r="E18" s="152"/>
      <c r="F18" s="152"/>
      <c r="G18" s="152"/>
      <c r="H18" s="152"/>
      <c r="J18" s="229"/>
      <c r="K18" s="229"/>
      <c r="L18" s="229"/>
      <c r="M18" s="229"/>
      <c r="N18" s="229"/>
      <c r="O18" s="229"/>
      <c r="P18" s="229"/>
      <c r="Q18" s="229"/>
      <c r="S18" s="229"/>
      <c r="T18" s="229"/>
      <c r="U18" s="229"/>
      <c r="V18" s="229"/>
      <c r="W18" s="229"/>
      <c r="X18" s="229"/>
      <c r="Y18" s="229"/>
      <c r="Z18" s="229"/>
    </row>
    <row r="19" spans="1:26" x14ac:dyDescent="0.3">
      <c r="A19" s="152"/>
      <c r="B19" s="152"/>
      <c r="C19" s="152"/>
      <c r="D19" s="152"/>
      <c r="E19" s="152"/>
      <c r="F19" s="152"/>
      <c r="G19" s="152"/>
      <c r="H19" s="152"/>
      <c r="J19" s="229"/>
      <c r="K19" s="229"/>
      <c r="L19" s="229"/>
      <c r="M19" s="229"/>
      <c r="N19" s="229"/>
      <c r="O19" s="229"/>
      <c r="P19" s="229"/>
      <c r="Q19" s="229"/>
      <c r="S19" s="229"/>
      <c r="T19" s="229"/>
      <c r="U19" s="229"/>
      <c r="V19" s="229"/>
      <c r="W19" s="229"/>
      <c r="X19" s="229"/>
      <c r="Y19" s="229"/>
      <c r="Z19" s="229"/>
    </row>
    <row r="20" spans="1:26" x14ac:dyDescent="0.3">
      <c r="A20" s="152"/>
      <c r="B20" s="152"/>
      <c r="C20" s="152"/>
      <c r="D20" s="152"/>
      <c r="E20" s="152"/>
      <c r="F20" s="152"/>
      <c r="G20" s="152"/>
      <c r="H20" s="152"/>
      <c r="J20" s="229"/>
      <c r="K20" s="229"/>
      <c r="L20" s="229"/>
      <c r="M20" s="229"/>
      <c r="N20" s="229"/>
      <c r="O20" s="229"/>
      <c r="P20" s="229"/>
      <c r="Q20" s="229"/>
      <c r="S20" s="229"/>
      <c r="T20" s="229"/>
      <c r="U20" s="229"/>
      <c r="V20" s="229"/>
      <c r="W20" s="229"/>
      <c r="X20" s="229"/>
      <c r="Y20" s="229"/>
      <c r="Z20" s="229"/>
    </row>
    <row r="21" spans="1:26" x14ac:dyDescent="0.3">
      <c r="A21" s="152"/>
      <c r="B21" s="152"/>
      <c r="C21" s="152"/>
      <c r="D21" s="152"/>
      <c r="E21" s="152"/>
      <c r="F21" s="152"/>
      <c r="G21" s="152"/>
      <c r="H21" s="152"/>
      <c r="J21" s="229"/>
      <c r="K21" s="229"/>
      <c r="L21" s="229"/>
      <c r="M21" s="229"/>
      <c r="N21" s="229"/>
      <c r="O21" s="229"/>
      <c r="P21" s="229"/>
      <c r="Q21" s="229"/>
      <c r="S21" s="229"/>
      <c r="T21" s="229"/>
      <c r="U21" s="229"/>
      <c r="V21" s="229"/>
      <c r="W21" s="229"/>
      <c r="X21" s="229"/>
      <c r="Y21" s="229"/>
      <c r="Z21" s="229"/>
    </row>
    <row r="22" spans="1:26" x14ac:dyDescent="0.3">
      <c r="A22" s="152"/>
      <c r="B22" s="152"/>
      <c r="C22" s="152"/>
      <c r="D22" s="152"/>
      <c r="E22" s="152"/>
      <c r="F22" s="152"/>
      <c r="G22" s="152"/>
      <c r="H22" s="152"/>
      <c r="J22" s="229"/>
      <c r="K22" s="229"/>
      <c r="L22" s="229"/>
      <c r="M22" s="229"/>
      <c r="N22" s="229"/>
      <c r="O22" s="229"/>
      <c r="P22" s="229"/>
      <c r="Q22" s="229"/>
      <c r="S22" s="229"/>
      <c r="T22" s="229"/>
      <c r="U22" s="229"/>
      <c r="V22" s="229"/>
      <c r="W22" s="229"/>
      <c r="X22" s="229"/>
      <c r="Y22" s="229"/>
      <c r="Z22" s="229"/>
    </row>
    <row r="23" spans="1:26" x14ac:dyDescent="0.3">
      <c r="A23" s="152"/>
      <c r="B23" s="152"/>
      <c r="C23" s="152"/>
      <c r="D23" s="152"/>
      <c r="E23" s="152"/>
      <c r="F23" s="152"/>
      <c r="G23" s="152"/>
      <c r="H23" s="152"/>
      <c r="J23" s="229"/>
      <c r="K23" s="229"/>
      <c r="L23" s="229"/>
      <c r="M23" s="229"/>
      <c r="N23" s="229"/>
      <c r="O23" s="229"/>
      <c r="P23" s="229"/>
      <c r="Q23" s="229"/>
      <c r="S23" s="229"/>
      <c r="T23" s="229"/>
      <c r="U23" s="229"/>
      <c r="V23" s="229"/>
      <c r="W23" s="229"/>
      <c r="X23" s="229"/>
      <c r="Y23" s="229"/>
      <c r="Z23" s="229"/>
    </row>
    <row r="24" spans="1:26" x14ac:dyDescent="0.3">
      <c r="A24" s="152"/>
      <c r="B24" s="152"/>
      <c r="C24" s="152"/>
      <c r="D24" s="152"/>
      <c r="E24" s="152"/>
      <c r="F24" s="152"/>
      <c r="G24" s="152"/>
      <c r="H24" s="152"/>
      <c r="J24" s="229"/>
      <c r="K24" s="229"/>
      <c r="L24" s="229"/>
      <c r="M24" s="229"/>
      <c r="N24" s="229"/>
      <c r="O24" s="229"/>
      <c r="P24" s="229"/>
      <c r="Q24" s="229"/>
      <c r="S24" s="229"/>
      <c r="T24" s="229"/>
      <c r="U24" s="229"/>
      <c r="V24" s="229"/>
      <c r="W24" s="229"/>
      <c r="X24" s="229"/>
      <c r="Y24" s="229"/>
      <c r="Z24" s="229"/>
    </row>
    <row r="25" spans="1:26" x14ac:dyDescent="0.3">
      <c r="A25" s="152"/>
      <c r="B25" s="152"/>
      <c r="C25" s="152"/>
      <c r="D25" s="152"/>
      <c r="E25" s="152"/>
      <c r="F25" s="152"/>
      <c r="G25" s="152"/>
      <c r="H25" s="152"/>
      <c r="J25" s="229"/>
      <c r="K25" s="229"/>
      <c r="L25" s="229"/>
      <c r="M25" s="229"/>
      <c r="N25" s="229"/>
      <c r="O25" s="229"/>
      <c r="P25" s="229"/>
      <c r="Q25" s="229"/>
      <c r="S25" s="229"/>
      <c r="T25" s="229"/>
      <c r="U25" s="229"/>
      <c r="V25" s="229"/>
      <c r="W25" s="229"/>
      <c r="X25" s="229"/>
      <c r="Y25" s="229"/>
      <c r="Z25" s="229"/>
    </row>
    <row r="26" spans="1:26" x14ac:dyDescent="0.3">
      <c r="A26" s="152"/>
      <c r="B26" s="152"/>
      <c r="C26" s="152"/>
      <c r="D26" s="152"/>
      <c r="E26" s="152"/>
      <c r="F26" s="152"/>
      <c r="G26" s="152"/>
      <c r="H26" s="152"/>
      <c r="J26" s="229"/>
      <c r="K26" s="229"/>
      <c r="L26" s="229"/>
      <c r="M26" s="229"/>
      <c r="N26" s="229"/>
      <c r="O26" s="229"/>
      <c r="P26" s="229"/>
      <c r="Q26" s="229"/>
      <c r="S26" s="229"/>
      <c r="T26" s="229"/>
      <c r="U26" s="229"/>
      <c r="V26" s="229"/>
      <c r="W26" s="229"/>
      <c r="X26" s="229"/>
      <c r="Y26" s="229"/>
      <c r="Z26" s="229"/>
    </row>
    <row r="27" spans="1:26" x14ac:dyDescent="0.3">
      <c r="A27" s="152"/>
      <c r="B27" s="152"/>
      <c r="C27" s="152"/>
      <c r="D27" s="152"/>
      <c r="E27" s="152"/>
      <c r="F27" s="152"/>
      <c r="G27" s="152"/>
      <c r="H27" s="152"/>
      <c r="J27" s="229"/>
      <c r="K27" s="229"/>
      <c r="L27" s="229"/>
      <c r="M27" s="229"/>
      <c r="N27" s="229"/>
      <c r="O27" s="229"/>
      <c r="P27" s="229"/>
      <c r="Q27" s="229"/>
      <c r="S27" s="229"/>
      <c r="T27" s="229"/>
      <c r="U27" s="229"/>
      <c r="V27" s="229"/>
      <c r="W27" s="229"/>
      <c r="X27" s="229"/>
      <c r="Y27" s="229"/>
      <c r="Z27" s="229"/>
    </row>
    <row r="28" spans="1:26" x14ac:dyDescent="0.3">
      <c r="A28" s="152"/>
      <c r="B28" s="152"/>
      <c r="C28" s="152"/>
      <c r="D28" s="152"/>
      <c r="E28" s="152"/>
      <c r="F28" s="152"/>
      <c r="G28" s="152"/>
      <c r="H28" s="152"/>
      <c r="J28" s="229"/>
      <c r="K28" s="229"/>
      <c r="L28" s="229"/>
      <c r="M28" s="229"/>
      <c r="N28" s="229"/>
      <c r="O28" s="229"/>
      <c r="P28" s="229"/>
      <c r="Q28" s="229"/>
      <c r="S28" s="229"/>
      <c r="T28" s="229"/>
      <c r="U28" s="229"/>
      <c r="V28" s="229"/>
      <c r="W28" s="229"/>
      <c r="X28" s="229"/>
      <c r="Y28" s="229"/>
      <c r="Z28" s="229"/>
    </row>
    <row r="29" spans="1:26" x14ac:dyDescent="0.3">
      <c r="A29" s="152"/>
      <c r="B29" s="152"/>
      <c r="C29" s="152"/>
      <c r="D29" s="152"/>
      <c r="E29" s="152"/>
      <c r="F29" s="152"/>
      <c r="G29" s="152"/>
      <c r="H29" s="152"/>
      <c r="J29" s="229"/>
      <c r="K29" s="229"/>
      <c r="L29" s="229"/>
      <c r="M29" s="229"/>
      <c r="N29" s="229"/>
      <c r="O29" s="229"/>
      <c r="P29" s="229"/>
      <c r="Q29" s="229"/>
      <c r="S29" s="229"/>
      <c r="T29" s="229"/>
      <c r="U29" s="229"/>
      <c r="V29" s="229"/>
      <c r="W29" s="229"/>
      <c r="X29" s="229"/>
      <c r="Y29" s="229"/>
      <c r="Z29" s="229"/>
    </row>
    <row r="30" spans="1:26" x14ac:dyDescent="0.3">
      <c r="A30" s="152"/>
      <c r="B30" s="152"/>
      <c r="C30" s="152"/>
      <c r="D30" s="152"/>
      <c r="E30" s="152"/>
      <c r="F30" s="152"/>
      <c r="G30" s="152"/>
      <c r="H30" s="152"/>
      <c r="J30" s="229"/>
      <c r="K30" s="229"/>
      <c r="L30" s="229"/>
      <c r="M30" s="229"/>
      <c r="N30" s="229"/>
      <c r="O30" s="229"/>
      <c r="P30" s="229"/>
      <c r="Q30" s="229"/>
      <c r="S30" s="229"/>
      <c r="T30" s="229"/>
      <c r="U30" s="229"/>
      <c r="V30" s="229"/>
      <c r="W30" s="229"/>
      <c r="X30" s="229"/>
      <c r="Y30" s="229"/>
      <c r="Z30" s="229"/>
    </row>
    <row r="31" spans="1:26" x14ac:dyDescent="0.3">
      <c r="A31" s="93" t="s">
        <v>501</v>
      </c>
      <c r="B31" s="93"/>
      <c r="C31" s="93"/>
      <c r="D31" s="93"/>
      <c r="E31" s="93"/>
      <c r="F31" s="93"/>
      <c r="G31" s="93"/>
      <c r="H31" s="219" t="str">
        <f>IF(COUNTIF(H33:H38,"="&amp;IncompleteText),IncompleteText,IF(COUNTIF(H33:H38,"="&amp;ErrorText),ErrorText,OKText))</f>
        <v>OK</v>
      </c>
      <c r="J31" s="93" t="s">
        <v>502</v>
      </c>
      <c r="K31" s="93"/>
      <c r="L31" s="93"/>
      <c r="M31" s="93"/>
      <c r="N31" s="93"/>
      <c r="O31" s="93"/>
      <c r="P31" s="93"/>
      <c r="Q31" s="219" t="str">
        <f>IF(COUNTIF(Q33:Q38,"="&amp;IncompleteText),IncompleteText,IF(COUNTIF(Q33:Q38,"="&amp;ErrorText),ErrorText,OKText))</f>
        <v>OK</v>
      </c>
      <c r="S31" s="93" t="s">
        <v>503</v>
      </c>
      <c r="T31" s="93"/>
      <c r="U31" s="93"/>
      <c r="V31" s="93"/>
      <c r="W31" s="93"/>
      <c r="X31" s="93"/>
      <c r="Y31" s="93"/>
      <c r="Z31" s="219" t="str">
        <f>IF(COUNTIF(Z33:Z37,"="&amp;IncompleteText),IncompleteText,IF(COUNTIF(Z33:Z37,"="&amp;ErrorText),ErrorText,OKText))</f>
        <v>OK</v>
      </c>
    </row>
    <row r="32" spans="1:26" x14ac:dyDescent="0.3">
      <c r="A32" s="226" t="s">
        <v>269</v>
      </c>
      <c r="B32" s="227"/>
      <c r="C32" s="24"/>
      <c r="D32" s="24"/>
      <c r="E32" s="24"/>
      <c r="F32" s="24"/>
      <c r="G32" s="24"/>
      <c r="H32" s="196"/>
      <c r="J32" s="226" t="s">
        <v>269</v>
      </c>
      <c r="K32" s="227"/>
      <c r="L32" s="24"/>
      <c r="M32" s="24"/>
      <c r="N32" s="24"/>
      <c r="O32" s="24"/>
      <c r="P32" s="24"/>
      <c r="Q32" s="196"/>
      <c r="S32" s="226" t="s">
        <v>269</v>
      </c>
      <c r="T32" s="227"/>
      <c r="U32" s="24"/>
      <c r="V32" s="24"/>
      <c r="W32" s="24"/>
      <c r="X32" s="24"/>
      <c r="Y32" s="24"/>
      <c r="Z32" s="196"/>
    </row>
    <row r="33" spans="1:26" x14ac:dyDescent="0.3">
      <c r="A33" s="105"/>
      <c r="B33" s="105"/>
      <c r="C33" s="91" t="s">
        <v>504</v>
      </c>
      <c r="D33" s="91"/>
      <c r="E33" s="91"/>
      <c r="F33" s="92"/>
      <c r="G33" s="15" t="b">
        <v>1</v>
      </c>
      <c r="H33" s="9" t="str">
        <f t="shared" ref="H33:H38" si="1">IF(ISBLANK(G33),IncompleteText,IF(G33,OKText,ErrorText))</f>
        <v>OK</v>
      </c>
      <c r="J33" s="105"/>
      <c r="K33" s="105"/>
      <c r="L33" s="91" t="s">
        <v>505</v>
      </c>
      <c r="M33" s="91"/>
      <c r="N33" s="91"/>
      <c r="O33" s="92"/>
      <c r="P33" s="15" t="b">
        <v>1</v>
      </c>
      <c r="Q33" s="9" t="str">
        <f t="shared" ref="Q33:Q38" si="2">IF(ISBLANK(P33),IncompleteText,IF(P33,OKText,ErrorText))</f>
        <v>OK</v>
      </c>
      <c r="S33" s="218" t="s">
        <v>506</v>
      </c>
      <c r="T33" s="218"/>
      <c r="U33" s="91" t="s">
        <v>507</v>
      </c>
      <c r="V33" s="91"/>
      <c r="W33" s="91"/>
      <c r="X33" s="92"/>
      <c r="Y33" s="15" t="b">
        <v>1</v>
      </c>
      <c r="Z33" s="9" t="str">
        <f t="shared" ref="Z33:Z37" si="3">IF(ISBLANK(Y33),IncompleteText,IF(Y33,OKText,ErrorText))</f>
        <v>OK</v>
      </c>
    </row>
    <row r="34" spans="1:26" x14ac:dyDescent="0.3">
      <c r="A34" s="105"/>
      <c r="B34" s="105"/>
      <c r="C34" s="91" t="s">
        <v>508</v>
      </c>
      <c r="D34" s="91"/>
      <c r="E34" s="91"/>
      <c r="F34" s="92"/>
      <c r="G34" s="15" t="b">
        <v>1</v>
      </c>
      <c r="H34" s="9" t="str">
        <f t="shared" si="1"/>
        <v>OK</v>
      </c>
      <c r="J34" s="105"/>
      <c r="K34" s="105"/>
      <c r="L34" s="91" t="s">
        <v>509</v>
      </c>
      <c r="M34" s="91"/>
      <c r="N34" s="91"/>
      <c r="O34" s="92"/>
      <c r="P34" s="15" t="b">
        <v>1</v>
      </c>
      <c r="Q34" s="9" t="str">
        <f t="shared" si="2"/>
        <v>OK</v>
      </c>
      <c r="S34" s="218" t="s">
        <v>510</v>
      </c>
      <c r="T34" s="218"/>
      <c r="U34" s="91" t="s">
        <v>511</v>
      </c>
      <c r="V34" s="91"/>
      <c r="W34" s="91"/>
      <c r="X34" s="92"/>
      <c r="Y34" s="15" t="b">
        <v>1</v>
      </c>
      <c r="Z34" s="9" t="str">
        <f t="shared" si="3"/>
        <v>OK</v>
      </c>
    </row>
    <row r="35" spans="1:26" x14ac:dyDescent="0.3">
      <c r="A35" s="105"/>
      <c r="B35" s="105"/>
      <c r="C35" s="91" t="s">
        <v>512</v>
      </c>
      <c r="D35" s="91"/>
      <c r="E35" s="91"/>
      <c r="F35" s="92"/>
      <c r="G35" s="15" t="b">
        <v>1</v>
      </c>
      <c r="H35" s="9" t="str">
        <f t="shared" si="1"/>
        <v>OK</v>
      </c>
      <c r="J35" s="105"/>
      <c r="K35" s="105"/>
      <c r="L35" s="91" t="s">
        <v>513</v>
      </c>
      <c r="M35" s="91"/>
      <c r="N35" s="91"/>
      <c r="O35" s="92"/>
      <c r="P35" s="15" t="b">
        <v>1</v>
      </c>
      <c r="Q35" s="9" t="str">
        <f t="shared" si="2"/>
        <v>OK</v>
      </c>
      <c r="S35" s="218" t="s">
        <v>514</v>
      </c>
      <c r="T35" s="218"/>
      <c r="U35" s="91" t="s">
        <v>515</v>
      </c>
      <c r="V35" s="91"/>
      <c r="W35" s="91"/>
      <c r="X35" s="92"/>
      <c r="Y35" s="15" t="b">
        <v>1</v>
      </c>
      <c r="Z35" s="9" t="str">
        <f t="shared" si="3"/>
        <v>OK</v>
      </c>
    </row>
    <row r="36" spans="1:26" x14ac:dyDescent="0.3">
      <c r="A36" s="105"/>
      <c r="B36" s="105"/>
      <c r="C36" s="91" t="s">
        <v>311</v>
      </c>
      <c r="D36" s="91"/>
      <c r="E36" s="91"/>
      <c r="F36" s="92"/>
      <c r="G36" s="15" t="b">
        <v>1</v>
      </c>
      <c r="H36" s="9" t="str">
        <f t="shared" si="1"/>
        <v>OK</v>
      </c>
      <c r="J36" s="105"/>
      <c r="K36" s="105"/>
      <c r="L36" s="91" t="s">
        <v>516</v>
      </c>
      <c r="M36" s="91"/>
      <c r="N36" s="91"/>
      <c r="O36" s="92"/>
      <c r="P36" s="15" t="b">
        <v>1</v>
      </c>
      <c r="Q36" s="9" t="str">
        <f t="shared" si="2"/>
        <v>OK</v>
      </c>
      <c r="S36" s="218" t="s">
        <v>517</v>
      </c>
      <c r="T36" s="218"/>
      <c r="U36" s="91" t="s">
        <v>518</v>
      </c>
      <c r="V36" s="91"/>
      <c r="W36" s="91"/>
      <c r="X36" s="92"/>
      <c r="Y36" s="15" t="b">
        <v>1</v>
      </c>
      <c r="Z36" s="9" t="str">
        <f t="shared" si="3"/>
        <v>OK</v>
      </c>
    </row>
    <row r="37" spans="1:26" x14ac:dyDescent="0.3">
      <c r="A37" s="105"/>
      <c r="B37" s="105"/>
      <c r="C37" s="91" t="s">
        <v>287</v>
      </c>
      <c r="D37" s="91"/>
      <c r="E37" s="91"/>
      <c r="F37" s="92"/>
      <c r="G37" s="15" t="b">
        <v>1</v>
      </c>
      <c r="H37" s="9" t="str">
        <f t="shared" si="1"/>
        <v>OK</v>
      </c>
      <c r="J37" s="105"/>
      <c r="K37" s="105"/>
      <c r="L37" s="91" t="s">
        <v>519</v>
      </c>
      <c r="M37" s="91"/>
      <c r="N37" s="91"/>
      <c r="O37" s="92"/>
      <c r="P37" s="15" t="b">
        <v>1</v>
      </c>
      <c r="Q37" s="9" t="str">
        <f t="shared" si="2"/>
        <v>OK</v>
      </c>
      <c r="S37" s="218" t="s">
        <v>520</v>
      </c>
      <c r="T37" s="218"/>
      <c r="U37" s="91" t="s">
        <v>521</v>
      </c>
      <c r="V37" s="91"/>
      <c r="W37" s="91"/>
      <c r="X37" s="92"/>
      <c r="Y37" s="15" t="b">
        <v>1</v>
      </c>
      <c r="Z37" s="9" t="str">
        <f t="shared" si="3"/>
        <v>OK</v>
      </c>
    </row>
    <row r="38" spans="1:26" ht="13.25" customHeight="1" x14ac:dyDescent="0.3">
      <c r="A38" s="105"/>
      <c r="B38" s="105"/>
      <c r="C38" s="91" t="s">
        <v>289</v>
      </c>
      <c r="D38" s="91"/>
      <c r="E38" s="91"/>
      <c r="F38" s="92"/>
      <c r="G38" s="15" t="b">
        <v>1</v>
      </c>
      <c r="H38" s="9" t="str">
        <f t="shared" si="1"/>
        <v>OK</v>
      </c>
      <c r="J38" s="105"/>
      <c r="K38" s="105"/>
      <c r="L38" s="91" t="s">
        <v>522</v>
      </c>
      <c r="M38" s="91"/>
      <c r="N38" s="91"/>
      <c r="O38" s="92"/>
      <c r="P38" s="15" t="b">
        <v>1</v>
      </c>
      <c r="Q38" s="9" t="str">
        <f t="shared" si="2"/>
        <v>OK</v>
      </c>
      <c r="S38" s="134" t="s">
        <v>321</v>
      </c>
      <c r="T38" s="134"/>
      <c r="U38" s="134"/>
      <c r="V38" s="134"/>
      <c r="W38" s="134"/>
      <c r="X38" s="134"/>
      <c r="Y38" s="134"/>
    </row>
    <row r="39" spans="1:26" x14ac:dyDescent="0.3">
      <c r="A39" s="93" t="s">
        <v>321</v>
      </c>
      <c r="B39" s="93"/>
      <c r="C39" s="93"/>
      <c r="D39" s="93"/>
      <c r="E39" s="93"/>
      <c r="F39" s="93"/>
      <c r="G39" s="93"/>
      <c r="J39" s="93" t="s">
        <v>321</v>
      </c>
      <c r="K39" s="93"/>
      <c r="L39" s="93"/>
      <c r="M39" s="93"/>
      <c r="N39" s="93"/>
      <c r="O39" s="93"/>
      <c r="P39" s="93"/>
      <c r="S39" s="228" t="s">
        <v>523</v>
      </c>
      <c r="T39" s="175"/>
      <c r="U39" s="175"/>
      <c r="V39" s="175"/>
      <c r="W39" s="175"/>
      <c r="X39" s="175"/>
      <c r="Y39" s="176"/>
    </row>
    <row r="40" spans="1:26" x14ac:dyDescent="0.3">
      <c r="A40" s="150" t="s">
        <v>524</v>
      </c>
      <c r="B40" s="151"/>
      <c r="C40" s="151"/>
      <c r="D40" s="151"/>
      <c r="E40" s="151"/>
      <c r="F40" s="151"/>
      <c r="G40" s="151"/>
      <c r="J40" s="150" t="s">
        <v>525</v>
      </c>
      <c r="K40" s="151"/>
      <c r="L40" s="151"/>
      <c r="M40" s="151"/>
      <c r="N40" s="151"/>
      <c r="O40" s="151"/>
      <c r="P40" s="151"/>
      <c r="S40" s="177"/>
      <c r="T40" s="178"/>
      <c r="U40" s="178"/>
      <c r="V40" s="178"/>
      <c r="W40" s="178"/>
      <c r="X40" s="178"/>
      <c r="Y40" s="179"/>
    </row>
    <row r="41" spans="1:26" x14ac:dyDescent="0.3">
      <c r="A41" s="151"/>
      <c r="B41" s="151"/>
      <c r="C41" s="151"/>
      <c r="D41" s="151"/>
      <c r="E41" s="151"/>
      <c r="F41" s="151"/>
      <c r="G41" s="151"/>
      <c r="J41" s="151"/>
      <c r="K41" s="151"/>
      <c r="L41" s="151"/>
      <c r="M41" s="151"/>
      <c r="N41" s="151"/>
      <c r="O41" s="151"/>
      <c r="P41" s="151"/>
      <c r="S41" s="177"/>
      <c r="T41" s="178"/>
      <c r="U41" s="178"/>
      <c r="V41" s="178"/>
      <c r="W41" s="178"/>
      <c r="X41" s="178"/>
      <c r="Y41" s="179"/>
    </row>
    <row r="42" spans="1:26" x14ac:dyDescent="0.3">
      <c r="A42" s="151"/>
      <c r="B42" s="151"/>
      <c r="C42" s="151"/>
      <c r="D42" s="151"/>
      <c r="E42" s="151"/>
      <c r="F42" s="151"/>
      <c r="G42" s="151"/>
      <c r="J42" s="151"/>
      <c r="K42" s="151"/>
      <c r="L42" s="151"/>
      <c r="M42" s="151"/>
      <c r="N42" s="151"/>
      <c r="O42" s="151"/>
      <c r="P42" s="151"/>
      <c r="S42" s="180"/>
      <c r="T42" s="181"/>
      <c r="U42" s="181"/>
      <c r="V42" s="181"/>
      <c r="W42" s="181"/>
      <c r="X42" s="181"/>
      <c r="Y42" s="182"/>
    </row>
    <row r="43" spans="1:26" x14ac:dyDescent="0.3">
      <c r="A43" s="151"/>
      <c r="B43" s="151"/>
      <c r="C43" s="151"/>
      <c r="D43" s="151"/>
      <c r="E43" s="151"/>
      <c r="F43" s="151"/>
      <c r="G43" s="151"/>
      <c r="J43" s="151"/>
      <c r="K43" s="151"/>
      <c r="L43" s="151"/>
      <c r="M43" s="151"/>
      <c r="N43" s="151"/>
      <c r="O43" s="151"/>
      <c r="P43" s="151"/>
    </row>
  </sheetData>
  <sheetProtection algorithmName="SHA-512" hashValue="iW+gDxz6wAW0GVoREiNgdAhyQlM9mLy/NJlzRSJZt9cB34YQNh1K44IoKpVobS08nwv4qB1YURUYhbG6xm5WWA==" saltValue="1ZBhDKCEBNQyorQkFJpgzg==" spinCount="100000" sheet="1" scenarios="1" insertHyperlinks="0"/>
  <mergeCells count="66">
    <mergeCell ref="A40:G43"/>
    <mergeCell ref="J40:P43"/>
    <mergeCell ref="S12:Z30"/>
    <mergeCell ref="S39:Y42"/>
    <mergeCell ref="H3:N10"/>
    <mergeCell ref="A12:H30"/>
    <mergeCell ref="J12:Q30"/>
    <mergeCell ref="A39:G39"/>
    <mergeCell ref="J39:P39"/>
    <mergeCell ref="H31:H32"/>
    <mergeCell ref="Q31:Q32"/>
    <mergeCell ref="Z31:Z32"/>
    <mergeCell ref="U37:X37"/>
    <mergeCell ref="A38:B38"/>
    <mergeCell ref="C38:F38"/>
    <mergeCell ref="J38:K38"/>
    <mergeCell ref="L38:O38"/>
    <mergeCell ref="S38:Y38"/>
    <mergeCell ref="A37:B37"/>
    <mergeCell ref="C37:F37"/>
    <mergeCell ref="J37:K37"/>
    <mergeCell ref="L37:O37"/>
    <mergeCell ref="S37:T37"/>
    <mergeCell ref="U35:X35"/>
    <mergeCell ref="A36:B36"/>
    <mergeCell ref="C36:F36"/>
    <mergeCell ref="J36:K36"/>
    <mergeCell ref="L36:O36"/>
    <mergeCell ref="S36:T36"/>
    <mergeCell ref="U36:X36"/>
    <mergeCell ref="A35:B35"/>
    <mergeCell ref="C35:F35"/>
    <mergeCell ref="J35:K35"/>
    <mergeCell ref="L35:O35"/>
    <mergeCell ref="S35:T35"/>
    <mergeCell ref="U33:X33"/>
    <mergeCell ref="A34:B34"/>
    <mergeCell ref="C34:F34"/>
    <mergeCell ref="J34:K34"/>
    <mergeCell ref="L34:O34"/>
    <mergeCell ref="S34:T34"/>
    <mergeCell ref="U34:X34"/>
    <mergeCell ref="A32:B32"/>
    <mergeCell ref="J32:K32"/>
    <mergeCell ref="S32:T32"/>
    <mergeCell ref="A33:B33"/>
    <mergeCell ref="C33:F33"/>
    <mergeCell ref="J33:K33"/>
    <mergeCell ref="L33:O33"/>
    <mergeCell ref="S33:T33"/>
    <mergeCell ref="A9:C9"/>
    <mergeCell ref="A10:C10"/>
    <mergeCell ref="A31:G31"/>
    <mergeCell ref="J31:P31"/>
    <mergeCell ref="S31:Y31"/>
    <mergeCell ref="A5:C5"/>
    <mergeCell ref="D5:E5"/>
    <mergeCell ref="A6:C6"/>
    <mergeCell ref="A7:C7"/>
    <mergeCell ref="A8:C8"/>
    <mergeCell ref="A2:E2"/>
    <mergeCell ref="H2:N2"/>
    <mergeCell ref="A3:C3"/>
    <mergeCell ref="D3:E3"/>
    <mergeCell ref="A4:C4"/>
    <mergeCell ref="D4:E4"/>
  </mergeCells>
  <phoneticPr fontId="17" type="noConversion"/>
  <dataValidations count="1">
    <dataValidation type="list" allowBlank="1" showInputMessage="1" showErrorMessage="1" sqref="G33:G38 P33:P38 Y33:Y37" xr:uid="{00000000-0002-0000-0600-000000000000}">
      <formula1>"TRUE,FALSE"</formula1>
    </dataValidation>
  </dataValidations>
  <hyperlinks>
    <hyperlink ref="D5:E5" r:id="rId1" display="3.3KW FSE Charger Specification 2022" xr:uid="{00000000-0004-0000-0600-00000000000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X13"/>
  <sheetViews>
    <sheetView workbookViewId="0">
      <selection activeCell="E3" sqref="E3"/>
    </sheetView>
  </sheetViews>
  <sheetFormatPr defaultColWidth="9" defaultRowHeight="14" x14ac:dyDescent="0.3"/>
  <cols>
    <col min="1" max="1" width="12.4140625" customWidth="1"/>
    <col min="3" max="3" width="18.9140625" customWidth="1"/>
    <col min="4" max="4" width="15.33203125" customWidth="1"/>
    <col min="5" max="5" width="12.25" customWidth="1"/>
    <col min="12" max="12" width="20.08203125" customWidth="1"/>
    <col min="13" max="13" width="20" customWidth="1"/>
    <col min="14" max="14" width="18.25" customWidth="1"/>
    <col min="15" max="15" width="21" customWidth="1"/>
    <col min="16" max="16" width="19.6640625" customWidth="1"/>
    <col min="17" max="17" width="15.08203125" customWidth="1"/>
  </cols>
  <sheetData>
    <row r="1" spans="1:24" x14ac:dyDescent="0.3">
      <c r="A1" s="11" t="s">
        <v>526</v>
      </c>
      <c r="B1" s="9" t="str" cm="1">
        <f t="array" ref="B1" ca="1">IF(SUM(COUNTIF(INDIRECT({"$F$2","$F$3","$F$4","$S$6"}),"="&amp;IncompleteText)),IncompleteText,IF(SUM(COUNTIF(INDIRECT({"$F$2","$F$3","$F$4","$S$6"}),"="&amp;ErrorText)),ErrorText,OKText))</f>
        <v>OK</v>
      </c>
    </row>
    <row r="2" spans="1:24" x14ac:dyDescent="0.3">
      <c r="A2" s="91" t="s">
        <v>527</v>
      </c>
      <c r="B2" s="91"/>
      <c r="C2" s="91"/>
      <c r="D2" s="91"/>
      <c r="E2" s="15" t="s">
        <v>528</v>
      </c>
      <c r="F2" s="9" t="str">
        <f>IF(ISBLANK(E2),IncompleteText,OKText)</f>
        <v>OK</v>
      </c>
      <c r="H2" s="93" t="s">
        <v>529</v>
      </c>
      <c r="I2" s="93"/>
      <c r="J2" s="93"/>
      <c r="K2" s="93"/>
      <c r="L2" s="93"/>
      <c r="M2" s="93"/>
      <c r="N2" s="93"/>
      <c r="O2" s="93"/>
      <c r="P2" s="93"/>
      <c r="Q2" s="93"/>
      <c r="R2" s="93"/>
      <c r="S2" s="196" t="str">
        <f>IF(COUNTIF(S6:S11,"="&amp;IncompleteText),IncompleteText,IF(COUNTIF(S6:S11,"="&amp;ErrorText),ErrorText,OKText))</f>
        <v>OK</v>
      </c>
    </row>
    <row r="3" spans="1:24" x14ac:dyDescent="0.3">
      <c r="A3" s="91" t="s">
        <v>530</v>
      </c>
      <c r="B3" s="91"/>
      <c r="C3" s="91"/>
      <c r="D3" s="92"/>
      <c r="E3" s="45" t="s">
        <v>793</v>
      </c>
      <c r="F3" s="9" t="str">
        <f>IF(ISBLANK(E3),IncompleteText,OKText)</f>
        <v>OK</v>
      </c>
      <c r="H3" s="24"/>
      <c r="I3" s="24"/>
      <c r="J3" s="24"/>
      <c r="K3" s="24"/>
      <c r="L3" s="24"/>
      <c r="M3" s="24"/>
      <c r="N3" s="24"/>
      <c r="O3" s="24"/>
      <c r="P3" s="24"/>
      <c r="Q3" s="24"/>
      <c r="R3" s="24"/>
      <c r="S3" s="196"/>
    </row>
    <row r="4" spans="1:24" x14ac:dyDescent="0.3">
      <c r="A4" s="93" t="s">
        <v>531</v>
      </c>
      <c r="B4" s="93"/>
      <c r="C4" s="93"/>
      <c r="D4" s="93"/>
      <c r="E4" s="93"/>
      <c r="F4" s="196" t="str">
        <f>IF(E2="数字 digital",OKText,IF(COUNTIF(F7:F13,"="&amp;IncompleteText),IncompleteText,IF(COUNTIF(F7:F13,"="&amp;ErrorText),ErrorText,OKText)))</f>
        <v>OK</v>
      </c>
      <c r="H4" s="139" t="s">
        <v>532</v>
      </c>
      <c r="I4" s="139"/>
      <c r="J4" s="139" t="s">
        <v>533</v>
      </c>
      <c r="K4" s="139"/>
      <c r="L4" s="139" t="s">
        <v>534</v>
      </c>
      <c r="M4" s="139" t="s">
        <v>535</v>
      </c>
      <c r="N4" s="139" t="s">
        <v>536</v>
      </c>
      <c r="O4" s="139" t="s">
        <v>537</v>
      </c>
      <c r="P4" s="139" t="s">
        <v>538</v>
      </c>
      <c r="Q4" s="139" t="s">
        <v>539</v>
      </c>
      <c r="R4" s="139" t="s">
        <v>540</v>
      </c>
      <c r="S4" s="2"/>
      <c r="T4" s="221" t="s">
        <v>541</v>
      </c>
      <c r="U4" s="221"/>
      <c r="V4" s="221"/>
      <c r="W4" s="221"/>
      <c r="X4" s="221"/>
    </row>
    <row r="5" spans="1:24" x14ac:dyDescent="0.3">
      <c r="A5" s="226" t="s">
        <v>269</v>
      </c>
      <c r="B5" s="231"/>
      <c r="C5" s="232" t="s">
        <v>542</v>
      </c>
      <c r="D5" s="233"/>
      <c r="E5" s="234"/>
      <c r="F5" s="196"/>
      <c r="H5" s="139"/>
      <c r="I5" s="139"/>
      <c r="J5" s="236"/>
      <c r="K5" s="236"/>
      <c r="L5" s="235"/>
      <c r="M5" s="235"/>
      <c r="N5" s="201"/>
      <c r="O5" s="201"/>
      <c r="P5" s="201"/>
      <c r="Q5" s="201"/>
      <c r="R5" s="201"/>
      <c r="S5" s="2"/>
      <c r="T5" s="201"/>
      <c r="U5" s="201"/>
      <c r="V5" s="201"/>
      <c r="W5" s="201"/>
      <c r="X5" s="201"/>
    </row>
    <row r="6" spans="1:24" ht="27.75" customHeight="1" x14ac:dyDescent="0.3">
      <c r="A6" s="29" t="s">
        <v>543</v>
      </c>
      <c r="B6" s="117" t="s">
        <v>544</v>
      </c>
      <c r="C6" s="117"/>
      <c r="D6" s="117" t="s">
        <v>545</v>
      </c>
      <c r="E6" s="117"/>
      <c r="F6" s="9"/>
      <c r="H6" s="221" t="s">
        <v>546</v>
      </c>
      <c r="I6" s="221"/>
      <c r="J6" s="104" t="s">
        <v>547</v>
      </c>
      <c r="K6" s="104"/>
      <c r="L6" s="15" t="s">
        <v>548</v>
      </c>
      <c r="M6" s="15" t="b">
        <v>0</v>
      </c>
      <c r="N6" s="15" t="b">
        <v>1</v>
      </c>
      <c r="O6" s="15" t="b">
        <v>1</v>
      </c>
      <c r="P6" s="15" t="b">
        <v>0</v>
      </c>
      <c r="Q6" s="15" t="b">
        <v>0</v>
      </c>
      <c r="R6" s="19" t="b">
        <v>0</v>
      </c>
      <c r="S6" s="9" t="str">
        <f>IF(COUNTBLANK(J6:R6)&gt;1,IncompleteText,OKText)</f>
        <v>OK</v>
      </c>
      <c r="T6" s="104"/>
      <c r="U6" s="104"/>
      <c r="V6" s="104"/>
      <c r="W6" s="104"/>
      <c r="X6" s="104"/>
    </row>
    <row r="7" spans="1:24" x14ac:dyDescent="0.3">
      <c r="A7" s="30">
        <v>0</v>
      </c>
      <c r="B7" s="125">
        <v>0.504</v>
      </c>
      <c r="C7" s="125"/>
      <c r="D7" s="125">
        <v>0.252</v>
      </c>
      <c r="E7" s="125"/>
      <c r="F7" s="9" t="str">
        <f>IF(OR(ISBLANK(B7),ISBLANK(D7)),IncompleteText,OKText)</f>
        <v>OK</v>
      </c>
      <c r="H7" s="104" t="str">
        <f>IF(ISBLANK(J6),"",J6)</f>
        <v>整车控制器节点(VCU)</v>
      </c>
      <c r="I7" s="104"/>
      <c r="J7" s="104" t="s">
        <v>549</v>
      </c>
      <c r="K7" s="104"/>
      <c r="L7" s="15" t="s">
        <v>550</v>
      </c>
      <c r="M7" s="15" t="b">
        <v>0</v>
      </c>
      <c r="N7" s="15" t="b">
        <v>1</v>
      </c>
      <c r="O7" s="15" t="b">
        <v>1</v>
      </c>
      <c r="P7" s="15" t="b">
        <v>1</v>
      </c>
      <c r="Q7" s="15" t="b">
        <v>1</v>
      </c>
      <c r="R7" s="19" t="b">
        <v>0</v>
      </c>
      <c r="S7" s="9" t="str">
        <f>IF(ISBLANK(J7),"",IF(COUNTBLANK(J7:R7)&gt;1,IncompleteText,OKText))</f>
        <v>OK</v>
      </c>
      <c r="T7" s="104"/>
      <c r="U7" s="104"/>
      <c r="V7" s="104"/>
      <c r="W7" s="104"/>
      <c r="X7" s="104"/>
    </row>
    <row r="8" spans="1:24" x14ac:dyDescent="0.3">
      <c r="A8" s="30">
        <v>0.2</v>
      </c>
      <c r="B8" s="125">
        <v>0.65200000000000002</v>
      </c>
      <c r="C8" s="125"/>
      <c r="D8" s="125">
        <v>0.379</v>
      </c>
      <c r="E8" s="125"/>
      <c r="F8" s="9" t="str">
        <f>IF(OR(ISBLANK(B8),ISBLANK(D8)),IncompleteText,IF(OR(AND(_xlfn.XOR(B8&lt;D8,B7&lt;D7),B7&lt;&gt;D7),B8=D8),ErrorText,OKText))</f>
        <v>OK</v>
      </c>
      <c r="H8" s="104"/>
      <c r="I8" s="104"/>
      <c r="J8" s="104"/>
      <c r="K8" s="104"/>
      <c r="L8" s="15"/>
      <c r="M8" s="15"/>
      <c r="N8" s="15"/>
      <c r="O8" s="15"/>
      <c r="P8" s="15"/>
      <c r="Q8" s="15"/>
      <c r="R8" s="19"/>
      <c r="S8" s="9" t="str">
        <f>IF(ISBLANK(J8),"",IF(COUNTBLANK(J8:R8)&gt;1,IncompleteText,OKText))</f>
        <v/>
      </c>
      <c r="T8" s="104"/>
      <c r="U8" s="104"/>
      <c r="V8" s="104"/>
      <c r="W8" s="104"/>
      <c r="X8" s="104"/>
    </row>
    <row r="9" spans="1:24" x14ac:dyDescent="0.3">
      <c r="A9" s="30">
        <v>0.4</v>
      </c>
      <c r="B9" s="125">
        <v>1.468</v>
      </c>
      <c r="C9" s="125"/>
      <c r="D9" s="125">
        <v>0.78300000000000003</v>
      </c>
      <c r="E9" s="125"/>
      <c r="F9" s="9" t="str">
        <f>IF(OR(ISBLANK(B9),ISBLANK(D9)),IncompleteText,IF(OR(_xlfn.XOR(B9&lt;D9,B8&lt;D8),B9=D9),ErrorText,OKText))</f>
        <v>OK</v>
      </c>
      <c r="H9" s="104" t="str">
        <f>IF(ISBLANK(J8),"",J8)</f>
        <v/>
      </c>
      <c r="I9" s="104"/>
      <c r="J9" s="104"/>
      <c r="K9" s="104"/>
      <c r="L9" s="15"/>
      <c r="M9" s="15"/>
      <c r="N9" s="15"/>
      <c r="O9" s="15"/>
      <c r="P9" s="15"/>
      <c r="Q9" s="15"/>
      <c r="R9" s="19"/>
      <c r="S9" s="9" t="str">
        <f>IF(ISBLANK(J9),"",IF(COUNTBLANK(J9:R9)&gt;1,IncompleteText,OKText))</f>
        <v/>
      </c>
      <c r="T9" s="104"/>
      <c r="U9" s="104"/>
      <c r="V9" s="104"/>
      <c r="W9" s="104"/>
      <c r="X9" s="104"/>
    </row>
    <row r="10" spans="1:24" x14ac:dyDescent="0.3">
      <c r="A10" s="30">
        <v>0.6</v>
      </c>
      <c r="B10" s="125">
        <v>2.2679999999999998</v>
      </c>
      <c r="C10" s="125"/>
      <c r="D10" s="125">
        <v>1.1779999999999999</v>
      </c>
      <c r="E10" s="125"/>
      <c r="F10" s="9" t="str">
        <f>IF(OR(ISBLANK(B10),ISBLANK(D10)),IncompleteText,IF(OR(_xlfn.XOR(B10&lt;D10,B9&lt;D9),B10=D10),ErrorText,OKText))</f>
        <v>OK</v>
      </c>
      <c r="H10" s="104" t="str">
        <f>IF(ISBLANK(J9),"",J9)</f>
        <v/>
      </c>
      <c r="I10" s="104"/>
      <c r="J10" s="104"/>
      <c r="K10" s="104"/>
      <c r="L10" s="15"/>
      <c r="M10" s="15"/>
      <c r="N10" s="15"/>
      <c r="O10" s="15"/>
      <c r="P10" s="15"/>
      <c r="Q10" s="15"/>
      <c r="R10" s="19"/>
      <c r="S10" s="9" t="str">
        <f>IF(ISBLANK(J10),"",IF(COUNTBLANK(J10:R10)&gt;1,IncompleteText,OKText))</f>
        <v/>
      </c>
      <c r="T10" s="104"/>
      <c r="U10" s="104"/>
      <c r="V10" s="104"/>
      <c r="W10" s="104"/>
      <c r="X10" s="104"/>
    </row>
    <row r="11" spans="1:24" x14ac:dyDescent="0.3">
      <c r="A11" s="30">
        <v>0.8</v>
      </c>
      <c r="B11" s="125">
        <v>3.036</v>
      </c>
      <c r="C11" s="125"/>
      <c r="D11" s="125">
        <v>1.544</v>
      </c>
      <c r="E11" s="125"/>
      <c r="F11" s="9" t="str">
        <f>IF(OR(ISBLANK(B11),ISBLANK(D11)),IncompleteText,IF(OR(_xlfn.XOR(B11&lt;D11,B10&lt;D10),B11=D11),ErrorText,OKText))</f>
        <v>OK</v>
      </c>
      <c r="H11" s="104" t="str">
        <f>IF(ISBLANK(J10),"",J10)</f>
        <v/>
      </c>
      <c r="I11" s="104"/>
      <c r="J11" s="104"/>
      <c r="K11" s="104"/>
      <c r="L11" s="15"/>
      <c r="M11" s="15"/>
      <c r="N11" s="15"/>
      <c r="O11" s="15"/>
      <c r="P11" s="15"/>
      <c r="Q11" s="15"/>
      <c r="R11" s="19"/>
      <c r="S11" s="9" t="str">
        <f>IF(ISBLANK(J11),"",IF(COUNTBLANK(J11:R11)&gt;1,IncompleteText,OKText))</f>
        <v/>
      </c>
      <c r="T11" s="104"/>
      <c r="U11" s="104"/>
      <c r="V11" s="104"/>
      <c r="W11" s="104"/>
      <c r="X11" s="104"/>
    </row>
    <row r="12" spans="1:24" x14ac:dyDescent="0.3">
      <c r="A12" s="30">
        <v>1</v>
      </c>
      <c r="B12" s="125">
        <v>3.9580000000000002</v>
      </c>
      <c r="C12" s="125"/>
      <c r="D12" s="125">
        <v>2</v>
      </c>
      <c r="E12" s="125"/>
      <c r="F12" s="9" t="str">
        <f>IF(OR(ISBLANK(B12),ISBLANK(D12)),IncompleteText,IF(OR(_xlfn.XOR(B12&lt;D12,B11&lt;D11),B12=D12),ErrorText,OKText))</f>
        <v>OK</v>
      </c>
    </row>
    <row r="13" spans="1:24" x14ac:dyDescent="0.3">
      <c r="A13" s="105" t="s">
        <v>551</v>
      </c>
      <c r="B13" s="105"/>
      <c r="C13" s="105"/>
      <c r="D13" s="105"/>
      <c r="E13" s="15" t="b">
        <v>1</v>
      </c>
      <c r="F13" s="9" t="str">
        <f>IF(ISBLANK(E13),IncompleteText,IF(E13,OKText,FALSE))</f>
        <v>OK</v>
      </c>
    </row>
  </sheetData>
  <sheetProtection algorithmName="SHA-512" hashValue="om+sKEXUAy+ce2G4Aw2V2Jj1ZWnWxQ2f2hkIYh/uQYLhBjvW6ECrYQ55rwRmuNArDID1Wh8iyqDQR05X8ItZgQ==" saltValue="/QyDpIYwn7V29YH5b5Koiw==" spinCount="100000" sheet="1" scenarios="1" insertHyperlinks="0"/>
  <mergeCells count="51">
    <mergeCell ref="S2:S3"/>
    <mergeCell ref="T4:X5"/>
    <mergeCell ref="H4:I5"/>
    <mergeCell ref="J4:K5"/>
    <mergeCell ref="B12:C12"/>
    <mergeCell ref="D12:E12"/>
    <mergeCell ref="A13:D13"/>
    <mergeCell ref="F4:F5"/>
    <mergeCell ref="L4:L5"/>
    <mergeCell ref="B11:C11"/>
    <mergeCell ref="D11:E11"/>
    <mergeCell ref="H11:I11"/>
    <mergeCell ref="J11:K11"/>
    <mergeCell ref="T11:X11"/>
    <mergeCell ref="B10:C10"/>
    <mergeCell ref="D10:E10"/>
    <mergeCell ref="H10:I10"/>
    <mergeCell ref="J10:K10"/>
    <mergeCell ref="T10:X10"/>
    <mergeCell ref="B9:C9"/>
    <mergeCell ref="D9:E9"/>
    <mergeCell ref="H9:I9"/>
    <mergeCell ref="J9:K9"/>
    <mergeCell ref="T9:X9"/>
    <mergeCell ref="B8:C8"/>
    <mergeCell ref="D8:E8"/>
    <mergeCell ref="H8:I8"/>
    <mergeCell ref="J8:K8"/>
    <mergeCell ref="T8:X8"/>
    <mergeCell ref="B7:C7"/>
    <mergeCell ref="D7:E7"/>
    <mergeCell ref="H7:I7"/>
    <mergeCell ref="J7:K7"/>
    <mergeCell ref="T7:X7"/>
    <mergeCell ref="B6:C6"/>
    <mergeCell ref="D6:E6"/>
    <mergeCell ref="H6:I6"/>
    <mergeCell ref="J6:K6"/>
    <mergeCell ref="T6:X6"/>
    <mergeCell ref="A2:D2"/>
    <mergeCell ref="H2:R2"/>
    <mergeCell ref="A3:D3"/>
    <mergeCell ref="A4:E4"/>
    <mergeCell ref="A5:B5"/>
    <mergeCell ref="C5:E5"/>
    <mergeCell ref="M4:M5"/>
    <mergeCell ref="N4:N5"/>
    <mergeCell ref="O4:O5"/>
    <mergeCell ref="P4:P5"/>
    <mergeCell ref="Q4:Q5"/>
    <mergeCell ref="R4:R5"/>
  </mergeCells>
  <phoneticPr fontId="17" type="noConversion"/>
  <conditionalFormatting sqref="A4:F13">
    <cfRule type="expression" dxfId="19" priority="1">
      <formula>$E$2="数字 digital"</formula>
    </cfRule>
  </conditionalFormatting>
  <dataValidations count="4">
    <dataValidation type="list" allowBlank="1" showInputMessage="1" showErrorMessage="1" sqref="E2" xr:uid="{00000000-0002-0000-0700-000000000000}">
      <formula1>"模拟 analog,数字 digital"</formula1>
    </dataValidation>
    <dataValidation type="list" allowBlank="1" showInputMessage="1" showErrorMessage="1" sqref="J6:K6 H7:K11" xr:uid="{00000000-0002-0000-0700-000001000000}">
      <formula1>"整车控制器节点(VCU),电机控制器(MCU)"</formula1>
    </dataValidation>
    <dataValidation type="list" allowBlank="1" showInputMessage="1" showErrorMessage="1" sqref="E13 M6:R11" xr:uid="{00000000-0002-0000-0700-000002000000}">
      <formula1>"TRUE,FALSE"</formula1>
    </dataValidation>
    <dataValidation type="list" allowBlank="1" showInputMessage="1" showErrorMessage="1" sqref="L6:L11" xr:uid="{00000000-0002-0000-0700-000003000000}">
      <formula1>"模拟,数字"</formula1>
    </dataValidation>
  </dataValidations>
  <hyperlinks>
    <hyperlink ref="E3" r:id="rId1" tooltip="https://pan.baidu.com/s/12OnfNxxb5OMPehBazjE3aQ?pwd=pm7a" xr:uid="{00000000-0004-0000-07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BG100"/>
  <sheetViews>
    <sheetView topLeftCell="K67" zoomScaleNormal="100" workbookViewId="0">
      <selection activeCell="AA76" sqref="AA76"/>
    </sheetView>
  </sheetViews>
  <sheetFormatPr defaultColWidth="9" defaultRowHeight="14" x14ac:dyDescent="0.3"/>
  <cols>
    <col min="1" max="1" width="12.4140625" customWidth="1"/>
    <col min="3" max="3" width="9" customWidth="1"/>
    <col min="8" max="9" width="13.4140625" customWidth="1"/>
    <col min="10" max="10" width="18.25" customWidth="1"/>
    <col min="25" max="33" width="12" customWidth="1"/>
    <col min="46" max="46" width="27.6640625" customWidth="1"/>
  </cols>
  <sheetData>
    <row r="1" spans="1:59" x14ac:dyDescent="0.3">
      <c r="A1" s="8" t="s">
        <v>27</v>
      </c>
      <c r="B1" s="9" t="str">
        <f ca="1">IF(SUM(COUNTIF(INDIRECT({"$F$2","$M$2","$K$36","$W$36","$K$95","$Z$8","$W$95"}),"="&amp;IncompleteText)),IncompleteText,IF(SUM(COUNTIF(INDIRECT({"$F$2","$M$2","$K$36","$W$36","$K$95","$Z$8","$W$95"}),"="&amp;ErrorText)),ErrorText,OKText))</f>
        <v>OK</v>
      </c>
    </row>
    <row r="2" spans="1:59" x14ac:dyDescent="0.3">
      <c r="A2" s="93" t="s">
        <v>311</v>
      </c>
      <c r="B2" s="93"/>
      <c r="C2" s="93"/>
      <c r="D2" s="93"/>
      <c r="E2" s="93"/>
      <c r="F2" s="196" t="str">
        <f>IF(COUNTIF(F4:F8,"="&amp;IncompleteText),IncompleteText,IF(COUNTIF(F4:F8,"="&amp;ErrorText),ErrorText,OKText))</f>
        <v>OK</v>
      </c>
      <c r="H2" s="93" t="s">
        <v>552</v>
      </c>
      <c r="I2" s="93"/>
      <c r="J2" s="93"/>
      <c r="K2" s="93"/>
      <c r="L2" s="93"/>
      <c r="M2" s="196" t="str">
        <f>IF(COUNTIF(M4:M8,"="&amp;IncompleteText),IncompleteText,IF(COUNTIF(M4:M8,"="&amp;ErrorText),ErrorText,OKText))</f>
        <v>OK</v>
      </c>
    </row>
    <row r="3" spans="1:59" x14ac:dyDescent="0.3">
      <c r="A3" s="237" t="s">
        <v>269</v>
      </c>
      <c r="B3" s="238"/>
      <c r="C3" s="238"/>
      <c r="D3" s="232" t="s">
        <v>310</v>
      </c>
      <c r="E3" s="234"/>
      <c r="F3" s="196"/>
      <c r="H3" s="237" t="s">
        <v>269</v>
      </c>
      <c r="I3" s="238"/>
      <c r="J3" s="239"/>
      <c r="K3" s="232" t="s">
        <v>553</v>
      </c>
      <c r="L3" s="234"/>
      <c r="M3" s="196"/>
    </row>
    <row r="4" spans="1:59" x14ac:dyDescent="0.3">
      <c r="A4" s="91" t="s">
        <v>29</v>
      </c>
      <c r="B4" s="91"/>
      <c r="C4" s="91"/>
      <c r="D4" s="240" t="s">
        <v>554</v>
      </c>
      <c r="E4" s="240"/>
      <c r="F4" s="9" t="str">
        <f>IF(ISBLANK(D4),IncompleteText,OKText)</f>
        <v>OK</v>
      </c>
      <c r="H4" s="91" t="s">
        <v>555</v>
      </c>
      <c r="I4" s="91"/>
      <c r="J4" s="91"/>
      <c r="K4" s="241" t="s">
        <v>556</v>
      </c>
      <c r="L4" s="241"/>
      <c r="M4" s="9" t="str">
        <f>IF(ISBLANK(K4),IncompleteText,OKText)</f>
        <v>OK</v>
      </c>
    </row>
    <row r="5" spans="1:59" x14ac:dyDescent="0.3">
      <c r="A5" s="91" t="s">
        <v>557</v>
      </c>
      <c r="B5" s="91"/>
      <c r="C5" s="91"/>
      <c r="D5" s="15">
        <v>240</v>
      </c>
      <c r="E5" s="11" t="s">
        <v>558</v>
      </c>
      <c r="F5" s="9" t="str">
        <f>IF(ISBLANK(D5),IncompleteText,IF(D5&lt;(MaxTSVoltage*0.5),ErrorText,OKText))</f>
        <v>OK</v>
      </c>
      <c r="H5" s="91" t="s">
        <v>559</v>
      </c>
      <c r="I5" s="91"/>
      <c r="J5" s="91"/>
      <c r="K5" s="242" t="s">
        <v>556</v>
      </c>
      <c r="L5" s="242"/>
      <c r="M5" s="9" t="str">
        <f>IF(ISBLANK(K5),IncompleteText,OKText)</f>
        <v>OK</v>
      </c>
    </row>
    <row r="6" spans="1:59" ht="39.75" customHeight="1" x14ac:dyDescent="0.3">
      <c r="A6" s="132" t="s">
        <v>560</v>
      </c>
      <c r="B6" s="132"/>
      <c r="C6" s="132"/>
      <c r="D6" s="125" t="s">
        <v>561</v>
      </c>
      <c r="E6" s="125"/>
      <c r="F6" s="9" t="str">
        <f>IF(ISBLANK(D6),IncompleteText,OKText)</f>
        <v>OK</v>
      </c>
      <c r="H6" s="130" t="s">
        <v>562</v>
      </c>
      <c r="I6" s="130"/>
      <c r="J6" s="130"/>
      <c r="K6" s="15">
        <v>13</v>
      </c>
      <c r="L6" s="11" t="s">
        <v>24</v>
      </c>
      <c r="M6" s="9" t="str">
        <f>IF(ISBLANK(K6),IncompleteText,IF(K6&gt;(5000/MaxTSVoltage),ErrorText,OKText))</f>
        <v>OK</v>
      </c>
    </row>
    <row r="7" spans="1:59" ht="39.75" customHeight="1" x14ac:dyDescent="0.3">
      <c r="A7" s="132" t="s">
        <v>563</v>
      </c>
      <c r="B7" s="132"/>
      <c r="C7" s="132"/>
      <c r="D7" s="125" t="s">
        <v>564</v>
      </c>
      <c r="E7" s="125"/>
      <c r="F7" s="9" t="str">
        <f>IF(ISBLANK(D7),IncompleteText,OKText)</f>
        <v>OK</v>
      </c>
      <c r="H7" s="130" t="s">
        <v>565</v>
      </c>
      <c r="I7" s="130"/>
      <c r="J7" s="130"/>
      <c r="K7" s="15">
        <v>1.3</v>
      </c>
      <c r="L7" s="11" t="s">
        <v>22</v>
      </c>
      <c r="M7" s="9" t="str">
        <f>IF(ISBLANK(K7),IncompleteText,OKText)</f>
        <v>OK</v>
      </c>
    </row>
    <row r="8" spans="1:59" x14ac:dyDescent="0.3">
      <c r="A8" s="91" t="s">
        <v>566</v>
      </c>
      <c r="B8" s="91"/>
      <c r="C8" s="91"/>
      <c r="D8" s="125" t="s">
        <v>567</v>
      </c>
      <c r="E8" s="125"/>
      <c r="F8" s="9" t="str">
        <f>IF(ISBLANK(D8),IncompleteText,OKText)</f>
        <v>OK</v>
      </c>
      <c r="H8" s="91" t="s">
        <v>568</v>
      </c>
      <c r="I8" s="91"/>
      <c r="J8" s="91"/>
      <c r="K8" s="15">
        <v>0.5</v>
      </c>
      <c r="L8" s="11" t="s">
        <v>24</v>
      </c>
      <c r="M8" s="9" t="str">
        <f>IF(ISBLANK(K8),IncompleteText,OKText)</f>
        <v>OK</v>
      </c>
      <c r="Y8" s="20" t="s">
        <v>569</v>
      </c>
      <c r="Z8" s="9" t="str">
        <f ca="1">IF(SUM(COUNTIF(INDIRECT({"$AI$35","$AI$49","$AI$55","$AU$35","$AU$76","$BG$76"}),"="&amp;IncompleteText)),IncompleteText,IF(SUM(COUNTIF(INDIRECT({"$AI$35","$AI$49","$AI$55","$AU$35","$AU$76","$BG$76"}),"="&amp;ErrorText)),ErrorText,OKText))</f>
        <v>OK</v>
      </c>
    </row>
    <row r="9" spans="1:59" ht="14" customHeight="1" x14ac:dyDescent="0.3">
      <c r="Y9" s="165" t="s">
        <v>570</v>
      </c>
      <c r="Z9" s="166"/>
      <c r="AA9" s="166"/>
      <c r="AB9" s="166"/>
      <c r="AC9" s="166"/>
      <c r="AD9" s="166"/>
      <c r="AE9" s="166"/>
      <c r="AF9" s="166"/>
      <c r="AG9" s="166"/>
      <c r="AH9" s="166"/>
      <c r="AI9" s="167"/>
      <c r="AK9" s="154" t="s">
        <v>571</v>
      </c>
      <c r="AL9" s="152"/>
      <c r="AM9" s="152"/>
      <c r="AN9" s="152"/>
      <c r="AO9" s="152"/>
      <c r="AP9" s="152"/>
      <c r="AQ9" s="152"/>
      <c r="AR9" s="152"/>
      <c r="AS9" s="152"/>
      <c r="AT9" s="152"/>
      <c r="AU9" s="152"/>
      <c r="AW9" s="154" t="s">
        <v>572</v>
      </c>
      <c r="AX9" s="152"/>
      <c r="AY9" s="152"/>
      <c r="AZ9" s="152"/>
      <c r="BA9" s="152"/>
      <c r="BB9" s="152"/>
      <c r="BC9" s="152"/>
      <c r="BD9" s="152"/>
      <c r="BE9" s="152"/>
      <c r="BF9" s="152"/>
      <c r="BG9" s="152"/>
    </row>
    <row r="10" spans="1:59" x14ac:dyDescent="0.3">
      <c r="A10" s="152" t="s">
        <v>573</v>
      </c>
      <c r="B10" s="152"/>
      <c r="C10" s="152"/>
      <c r="D10" s="152"/>
      <c r="E10" s="152"/>
      <c r="F10" s="152"/>
      <c r="G10" s="152"/>
      <c r="H10" s="152"/>
      <c r="I10" s="152"/>
      <c r="J10" s="152"/>
      <c r="K10" s="152"/>
      <c r="M10" s="152" t="s">
        <v>574</v>
      </c>
      <c r="N10" s="152"/>
      <c r="O10" s="152"/>
      <c r="P10" s="152"/>
      <c r="Q10" s="152"/>
      <c r="R10" s="152"/>
      <c r="S10" s="152"/>
      <c r="T10" s="152"/>
      <c r="U10" s="152"/>
      <c r="V10" s="152"/>
      <c r="W10" s="152"/>
      <c r="Y10" s="168"/>
      <c r="Z10" s="169"/>
      <c r="AA10" s="169"/>
      <c r="AB10" s="169"/>
      <c r="AC10" s="169"/>
      <c r="AD10" s="169"/>
      <c r="AE10" s="169"/>
      <c r="AF10" s="169"/>
      <c r="AG10" s="169"/>
      <c r="AH10" s="169"/>
      <c r="AI10" s="170"/>
      <c r="AK10" s="152"/>
      <c r="AL10" s="152"/>
      <c r="AM10" s="152"/>
      <c r="AN10" s="152"/>
      <c r="AO10" s="152"/>
      <c r="AP10" s="152"/>
      <c r="AQ10" s="152"/>
      <c r="AR10" s="152"/>
      <c r="AS10" s="152"/>
      <c r="AT10" s="152"/>
      <c r="AU10" s="152"/>
      <c r="AW10" s="152"/>
      <c r="AX10" s="152"/>
      <c r="AY10" s="152"/>
      <c r="AZ10" s="152"/>
      <c r="BA10" s="152"/>
      <c r="BB10" s="152"/>
      <c r="BC10" s="152"/>
      <c r="BD10" s="152"/>
      <c r="BE10" s="152"/>
      <c r="BF10" s="152"/>
      <c r="BG10" s="152"/>
    </row>
    <row r="11" spans="1:59" x14ac:dyDescent="0.3">
      <c r="A11" s="152"/>
      <c r="B11" s="152"/>
      <c r="C11" s="152"/>
      <c r="D11" s="152"/>
      <c r="E11" s="152"/>
      <c r="F11" s="152"/>
      <c r="G11" s="152"/>
      <c r="H11" s="152"/>
      <c r="I11" s="152"/>
      <c r="J11" s="152"/>
      <c r="K11" s="152"/>
      <c r="M11" s="152"/>
      <c r="N11" s="152"/>
      <c r="O11" s="152"/>
      <c r="P11" s="152"/>
      <c r="Q11" s="152"/>
      <c r="R11" s="152"/>
      <c r="S11" s="152"/>
      <c r="T11" s="152"/>
      <c r="U11" s="152"/>
      <c r="V11" s="152"/>
      <c r="W11" s="152"/>
      <c r="Y11" s="168"/>
      <c r="Z11" s="169"/>
      <c r="AA11" s="169"/>
      <c r="AB11" s="169"/>
      <c r="AC11" s="169"/>
      <c r="AD11" s="169"/>
      <c r="AE11" s="169"/>
      <c r="AF11" s="169"/>
      <c r="AG11" s="169"/>
      <c r="AH11" s="169"/>
      <c r="AI11" s="170"/>
      <c r="AK11" s="152"/>
      <c r="AL11" s="152"/>
      <c r="AM11" s="152"/>
      <c r="AN11" s="152"/>
      <c r="AO11" s="152"/>
      <c r="AP11" s="152"/>
      <c r="AQ11" s="152"/>
      <c r="AR11" s="152"/>
      <c r="AS11" s="152"/>
      <c r="AT11" s="152"/>
      <c r="AU11" s="152"/>
      <c r="AW11" s="152"/>
      <c r="AX11" s="152"/>
      <c r="AY11" s="152"/>
      <c r="AZ11" s="152"/>
      <c r="BA11" s="152"/>
      <c r="BB11" s="152"/>
      <c r="BC11" s="152"/>
      <c r="BD11" s="152"/>
      <c r="BE11" s="152"/>
      <c r="BF11" s="152"/>
      <c r="BG11" s="152"/>
    </row>
    <row r="12" spans="1:59" x14ac:dyDescent="0.3">
      <c r="A12" s="152"/>
      <c r="B12" s="152"/>
      <c r="C12" s="152"/>
      <c r="D12" s="152"/>
      <c r="E12" s="152"/>
      <c r="F12" s="152"/>
      <c r="G12" s="152"/>
      <c r="H12" s="152"/>
      <c r="I12" s="152"/>
      <c r="J12" s="152"/>
      <c r="K12" s="152"/>
      <c r="M12" s="152"/>
      <c r="N12" s="152"/>
      <c r="O12" s="152"/>
      <c r="P12" s="152"/>
      <c r="Q12" s="152"/>
      <c r="R12" s="152"/>
      <c r="S12" s="152"/>
      <c r="T12" s="152"/>
      <c r="U12" s="152"/>
      <c r="V12" s="152"/>
      <c r="W12" s="152"/>
      <c r="Y12" s="168"/>
      <c r="Z12" s="169"/>
      <c r="AA12" s="169"/>
      <c r="AB12" s="169"/>
      <c r="AC12" s="169"/>
      <c r="AD12" s="169"/>
      <c r="AE12" s="169"/>
      <c r="AF12" s="169"/>
      <c r="AG12" s="169"/>
      <c r="AH12" s="169"/>
      <c r="AI12" s="170"/>
      <c r="AK12" s="152"/>
      <c r="AL12" s="152"/>
      <c r="AM12" s="152"/>
      <c r="AN12" s="152"/>
      <c r="AO12" s="152"/>
      <c r="AP12" s="152"/>
      <c r="AQ12" s="152"/>
      <c r="AR12" s="152"/>
      <c r="AS12" s="152"/>
      <c r="AT12" s="152"/>
      <c r="AU12" s="152"/>
      <c r="AW12" s="152"/>
      <c r="AX12" s="152"/>
      <c r="AY12" s="152"/>
      <c r="AZ12" s="152"/>
      <c r="BA12" s="152"/>
      <c r="BB12" s="152"/>
      <c r="BC12" s="152"/>
      <c r="BD12" s="152"/>
      <c r="BE12" s="152"/>
      <c r="BF12" s="152"/>
      <c r="BG12" s="152"/>
    </row>
    <row r="13" spans="1:59" x14ac:dyDescent="0.3">
      <c r="A13" s="152"/>
      <c r="B13" s="152"/>
      <c r="C13" s="152"/>
      <c r="D13" s="152"/>
      <c r="E13" s="152"/>
      <c r="F13" s="152"/>
      <c r="G13" s="152"/>
      <c r="H13" s="152"/>
      <c r="I13" s="152"/>
      <c r="J13" s="152"/>
      <c r="K13" s="152"/>
      <c r="M13" s="152"/>
      <c r="N13" s="152"/>
      <c r="O13" s="152"/>
      <c r="P13" s="152"/>
      <c r="Q13" s="152"/>
      <c r="R13" s="152"/>
      <c r="S13" s="152"/>
      <c r="T13" s="152"/>
      <c r="U13" s="152"/>
      <c r="V13" s="152"/>
      <c r="W13" s="152"/>
      <c r="Y13" s="168"/>
      <c r="Z13" s="169"/>
      <c r="AA13" s="169"/>
      <c r="AB13" s="169"/>
      <c r="AC13" s="169"/>
      <c r="AD13" s="169"/>
      <c r="AE13" s="169"/>
      <c r="AF13" s="169"/>
      <c r="AG13" s="169"/>
      <c r="AH13" s="169"/>
      <c r="AI13" s="170"/>
      <c r="AK13" s="152"/>
      <c r="AL13" s="152"/>
      <c r="AM13" s="152"/>
      <c r="AN13" s="152"/>
      <c r="AO13" s="152"/>
      <c r="AP13" s="152"/>
      <c r="AQ13" s="152"/>
      <c r="AR13" s="152"/>
      <c r="AS13" s="152"/>
      <c r="AT13" s="152"/>
      <c r="AU13" s="152"/>
      <c r="AW13" s="152"/>
      <c r="AX13" s="152"/>
      <c r="AY13" s="152"/>
      <c r="AZ13" s="152"/>
      <c r="BA13" s="152"/>
      <c r="BB13" s="152"/>
      <c r="BC13" s="152"/>
      <c r="BD13" s="152"/>
      <c r="BE13" s="152"/>
      <c r="BF13" s="152"/>
      <c r="BG13" s="152"/>
    </row>
    <row r="14" spans="1:59" x14ac:dyDescent="0.3">
      <c r="A14" s="152"/>
      <c r="B14" s="152"/>
      <c r="C14" s="152"/>
      <c r="D14" s="152"/>
      <c r="E14" s="152"/>
      <c r="F14" s="152"/>
      <c r="G14" s="152"/>
      <c r="H14" s="152"/>
      <c r="I14" s="152"/>
      <c r="J14" s="152"/>
      <c r="K14" s="152"/>
      <c r="M14" s="152"/>
      <c r="N14" s="152"/>
      <c r="O14" s="152"/>
      <c r="P14" s="152"/>
      <c r="Q14" s="152"/>
      <c r="R14" s="152"/>
      <c r="S14" s="152"/>
      <c r="T14" s="152"/>
      <c r="U14" s="152"/>
      <c r="V14" s="152"/>
      <c r="W14" s="152"/>
      <c r="Y14" s="168"/>
      <c r="Z14" s="169"/>
      <c r="AA14" s="169"/>
      <c r="AB14" s="169"/>
      <c r="AC14" s="169"/>
      <c r="AD14" s="169"/>
      <c r="AE14" s="169"/>
      <c r="AF14" s="169"/>
      <c r="AG14" s="169"/>
      <c r="AH14" s="169"/>
      <c r="AI14" s="170"/>
      <c r="AK14" s="152"/>
      <c r="AL14" s="152"/>
      <c r="AM14" s="152"/>
      <c r="AN14" s="152"/>
      <c r="AO14" s="152"/>
      <c r="AP14" s="152"/>
      <c r="AQ14" s="152"/>
      <c r="AR14" s="152"/>
      <c r="AS14" s="152"/>
      <c r="AT14" s="152"/>
      <c r="AU14" s="152"/>
      <c r="AW14" s="152"/>
      <c r="AX14" s="152"/>
      <c r="AY14" s="152"/>
      <c r="AZ14" s="152"/>
      <c r="BA14" s="152"/>
      <c r="BB14" s="152"/>
      <c r="BC14" s="152"/>
      <c r="BD14" s="152"/>
      <c r="BE14" s="152"/>
      <c r="BF14" s="152"/>
      <c r="BG14" s="152"/>
    </row>
    <row r="15" spans="1:59" x14ac:dyDescent="0.3">
      <c r="A15" s="152"/>
      <c r="B15" s="152"/>
      <c r="C15" s="152"/>
      <c r="D15" s="152"/>
      <c r="E15" s="152"/>
      <c r="F15" s="152"/>
      <c r="G15" s="152"/>
      <c r="H15" s="152"/>
      <c r="I15" s="152"/>
      <c r="J15" s="152"/>
      <c r="K15" s="152"/>
      <c r="M15" s="152"/>
      <c r="N15" s="152"/>
      <c r="O15" s="152"/>
      <c r="P15" s="152"/>
      <c r="Q15" s="152"/>
      <c r="R15" s="152"/>
      <c r="S15" s="152"/>
      <c r="T15" s="152"/>
      <c r="U15" s="152"/>
      <c r="V15" s="152"/>
      <c r="W15" s="152"/>
      <c r="Y15" s="168"/>
      <c r="Z15" s="169"/>
      <c r="AA15" s="169"/>
      <c r="AB15" s="169"/>
      <c r="AC15" s="169"/>
      <c r="AD15" s="169"/>
      <c r="AE15" s="169"/>
      <c r="AF15" s="169"/>
      <c r="AG15" s="169"/>
      <c r="AH15" s="169"/>
      <c r="AI15" s="170"/>
      <c r="AK15" s="152"/>
      <c r="AL15" s="152"/>
      <c r="AM15" s="152"/>
      <c r="AN15" s="152"/>
      <c r="AO15" s="152"/>
      <c r="AP15" s="152"/>
      <c r="AQ15" s="152"/>
      <c r="AR15" s="152"/>
      <c r="AS15" s="152"/>
      <c r="AT15" s="152"/>
      <c r="AU15" s="152"/>
      <c r="AW15" s="152"/>
      <c r="AX15" s="152"/>
      <c r="AY15" s="152"/>
      <c r="AZ15" s="152"/>
      <c r="BA15" s="152"/>
      <c r="BB15" s="152"/>
      <c r="BC15" s="152"/>
      <c r="BD15" s="152"/>
      <c r="BE15" s="152"/>
      <c r="BF15" s="152"/>
      <c r="BG15" s="152"/>
    </row>
    <row r="16" spans="1:59" x14ac:dyDescent="0.3">
      <c r="A16" s="152"/>
      <c r="B16" s="152"/>
      <c r="C16" s="152"/>
      <c r="D16" s="152"/>
      <c r="E16" s="152"/>
      <c r="F16" s="152"/>
      <c r="G16" s="152"/>
      <c r="H16" s="152"/>
      <c r="I16" s="152"/>
      <c r="J16" s="152"/>
      <c r="K16" s="152"/>
      <c r="M16" s="152"/>
      <c r="N16" s="152"/>
      <c r="O16" s="152"/>
      <c r="P16" s="152"/>
      <c r="Q16" s="152"/>
      <c r="R16" s="152"/>
      <c r="S16" s="152"/>
      <c r="T16" s="152"/>
      <c r="U16" s="152"/>
      <c r="V16" s="152"/>
      <c r="W16" s="152"/>
      <c r="Y16" s="168"/>
      <c r="Z16" s="169"/>
      <c r="AA16" s="169"/>
      <c r="AB16" s="169"/>
      <c r="AC16" s="169"/>
      <c r="AD16" s="169"/>
      <c r="AE16" s="169"/>
      <c r="AF16" s="169"/>
      <c r="AG16" s="169"/>
      <c r="AH16" s="169"/>
      <c r="AI16" s="170"/>
      <c r="AK16" s="152"/>
      <c r="AL16" s="152"/>
      <c r="AM16" s="152"/>
      <c r="AN16" s="152"/>
      <c r="AO16" s="152"/>
      <c r="AP16" s="152"/>
      <c r="AQ16" s="152"/>
      <c r="AR16" s="152"/>
      <c r="AS16" s="152"/>
      <c r="AT16" s="152"/>
      <c r="AU16" s="152"/>
      <c r="AW16" s="152"/>
      <c r="AX16" s="152"/>
      <c r="AY16" s="152"/>
      <c r="AZ16" s="152"/>
      <c r="BA16" s="152"/>
      <c r="BB16" s="152"/>
      <c r="BC16" s="152"/>
      <c r="BD16" s="152"/>
      <c r="BE16" s="152"/>
      <c r="BF16" s="152"/>
      <c r="BG16" s="152"/>
    </row>
    <row r="17" spans="1:59" x14ac:dyDescent="0.3">
      <c r="A17" s="152"/>
      <c r="B17" s="152"/>
      <c r="C17" s="152"/>
      <c r="D17" s="152"/>
      <c r="E17" s="152"/>
      <c r="F17" s="152"/>
      <c r="G17" s="152"/>
      <c r="H17" s="152"/>
      <c r="I17" s="152"/>
      <c r="J17" s="152"/>
      <c r="K17" s="152"/>
      <c r="M17" s="152"/>
      <c r="N17" s="152"/>
      <c r="O17" s="152"/>
      <c r="P17" s="152"/>
      <c r="Q17" s="152"/>
      <c r="R17" s="152"/>
      <c r="S17" s="152"/>
      <c r="T17" s="152"/>
      <c r="U17" s="152"/>
      <c r="V17" s="152"/>
      <c r="W17" s="152"/>
      <c r="Y17" s="168"/>
      <c r="Z17" s="169"/>
      <c r="AA17" s="169"/>
      <c r="AB17" s="169"/>
      <c r="AC17" s="169"/>
      <c r="AD17" s="169"/>
      <c r="AE17" s="169"/>
      <c r="AF17" s="169"/>
      <c r="AG17" s="169"/>
      <c r="AH17" s="169"/>
      <c r="AI17" s="170"/>
      <c r="AK17" s="152"/>
      <c r="AL17" s="152"/>
      <c r="AM17" s="152"/>
      <c r="AN17" s="152"/>
      <c r="AO17" s="152"/>
      <c r="AP17" s="152"/>
      <c r="AQ17" s="152"/>
      <c r="AR17" s="152"/>
      <c r="AS17" s="152"/>
      <c r="AT17" s="152"/>
      <c r="AU17" s="152"/>
      <c r="AW17" s="152"/>
      <c r="AX17" s="152"/>
      <c r="AY17" s="152"/>
      <c r="AZ17" s="152"/>
      <c r="BA17" s="152"/>
      <c r="BB17" s="152"/>
      <c r="BC17" s="152"/>
      <c r="BD17" s="152"/>
      <c r="BE17" s="152"/>
      <c r="BF17" s="152"/>
      <c r="BG17" s="152"/>
    </row>
    <row r="18" spans="1:59" x14ac:dyDescent="0.3">
      <c r="A18" s="152"/>
      <c r="B18" s="152"/>
      <c r="C18" s="152"/>
      <c r="D18" s="152"/>
      <c r="E18" s="152"/>
      <c r="F18" s="152"/>
      <c r="G18" s="152"/>
      <c r="H18" s="152"/>
      <c r="I18" s="152"/>
      <c r="J18" s="152"/>
      <c r="K18" s="152"/>
      <c r="M18" s="152"/>
      <c r="N18" s="152"/>
      <c r="O18" s="152"/>
      <c r="P18" s="152"/>
      <c r="Q18" s="152"/>
      <c r="R18" s="152"/>
      <c r="S18" s="152"/>
      <c r="T18" s="152"/>
      <c r="U18" s="152"/>
      <c r="V18" s="152"/>
      <c r="W18" s="152"/>
      <c r="Y18" s="168"/>
      <c r="Z18" s="169"/>
      <c r="AA18" s="169"/>
      <c r="AB18" s="169"/>
      <c r="AC18" s="169"/>
      <c r="AD18" s="169"/>
      <c r="AE18" s="169"/>
      <c r="AF18" s="169"/>
      <c r="AG18" s="169"/>
      <c r="AH18" s="169"/>
      <c r="AI18" s="170"/>
      <c r="AK18" s="152"/>
      <c r="AL18" s="152"/>
      <c r="AM18" s="152"/>
      <c r="AN18" s="152"/>
      <c r="AO18" s="152"/>
      <c r="AP18" s="152"/>
      <c r="AQ18" s="152"/>
      <c r="AR18" s="152"/>
      <c r="AS18" s="152"/>
      <c r="AT18" s="152"/>
      <c r="AU18" s="152"/>
      <c r="AW18" s="152"/>
      <c r="AX18" s="152"/>
      <c r="AY18" s="152"/>
      <c r="AZ18" s="152"/>
      <c r="BA18" s="152"/>
      <c r="BB18" s="152"/>
      <c r="BC18" s="152"/>
      <c r="BD18" s="152"/>
      <c r="BE18" s="152"/>
      <c r="BF18" s="152"/>
      <c r="BG18" s="152"/>
    </row>
    <row r="19" spans="1:59" x14ac:dyDescent="0.3">
      <c r="A19" s="152"/>
      <c r="B19" s="152"/>
      <c r="C19" s="152"/>
      <c r="D19" s="152"/>
      <c r="E19" s="152"/>
      <c r="F19" s="152"/>
      <c r="G19" s="152"/>
      <c r="H19" s="152"/>
      <c r="I19" s="152"/>
      <c r="J19" s="152"/>
      <c r="K19" s="152"/>
      <c r="M19" s="152"/>
      <c r="N19" s="152"/>
      <c r="O19" s="152"/>
      <c r="P19" s="152"/>
      <c r="Q19" s="152"/>
      <c r="R19" s="152"/>
      <c r="S19" s="152"/>
      <c r="T19" s="152"/>
      <c r="U19" s="152"/>
      <c r="V19" s="152"/>
      <c r="W19" s="152"/>
      <c r="Y19" s="168"/>
      <c r="Z19" s="169"/>
      <c r="AA19" s="169"/>
      <c r="AB19" s="169"/>
      <c r="AC19" s="169"/>
      <c r="AD19" s="169"/>
      <c r="AE19" s="169"/>
      <c r="AF19" s="169"/>
      <c r="AG19" s="169"/>
      <c r="AH19" s="169"/>
      <c r="AI19" s="170"/>
      <c r="AK19" s="152"/>
      <c r="AL19" s="152"/>
      <c r="AM19" s="152"/>
      <c r="AN19" s="152"/>
      <c r="AO19" s="152"/>
      <c r="AP19" s="152"/>
      <c r="AQ19" s="152"/>
      <c r="AR19" s="152"/>
      <c r="AS19" s="152"/>
      <c r="AT19" s="152"/>
      <c r="AU19" s="152"/>
      <c r="AW19" s="152"/>
      <c r="AX19" s="152"/>
      <c r="AY19" s="152"/>
      <c r="AZ19" s="152"/>
      <c r="BA19" s="152"/>
      <c r="BB19" s="152"/>
      <c r="BC19" s="152"/>
      <c r="BD19" s="152"/>
      <c r="BE19" s="152"/>
      <c r="BF19" s="152"/>
      <c r="BG19" s="152"/>
    </row>
    <row r="20" spans="1:59" x14ac:dyDescent="0.3">
      <c r="A20" s="152"/>
      <c r="B20" s="152"/>
      <c r="C20" s="152"/>
      <c r="D20" s="152"/>
      <c r="E20" s="152"/>
      <c r="F20" s="152"/>
      <c r="G20" s="152"/>
      <c r="H20" s="152"/>
      <c r="I20" s="152"/>
      <c r="J20" s="152"/>
      <c r="K20" s="152"/>
      <c r="M20" s="152"/>
      <c r="N20" s="152"/>
      <c r="O20" s="152"/>
      <c r="P20" s="152"/>
      <c r="Q20" s="152"/>
      <c r="R20" s="152"/>
      <c r="S20" s="152"/>
      <c r="T20" s="152"/>
      <c r="U20" s="152"/>
      <c r="V20" s="152"/>
      <c r="W20" s="152"/>
      <c r="Y20" s="168"/>
      <c r="Z20" s="169"/>
      <c r="AA20" s="169"/>
      <c r="AB20" s="169"/>
      <c r="AC20" s="169"/>
      <c r="AD20" s="169"/>
      <c r="AE20" s="169"/>
      <c r="AF20" s="169"/>
      <c r="AG20" s="169"/>
      <c r="AH20" s="169"/>
      <c r="AI20" s="170"/>
      <c r="AK20" s="152"/>
      <c r="AL20" s="152"/>
      <c r="AM20" s="152"/>
      <c r="AN20" s="152"/>
      <c r="AO20" s="152"/>
      <c r="AP20" s="152"/>
      <c r="AQ20" s="152"/>
      <c r="AR20" s="152"/>
      <c r="AS20" s="152"/>
      <c r="AT20" s="152"/>
      <c r="AU20" s="152"/>
      <c r="AW20" s="152"/>
      <c r="AX20" s="152"/>
      <c r="AY20" s="152"/>
      <c r="AZ20" s="152"/>
      <c r="BA20" s="152"/>
      <c r="BB20" s="152"/>
      <c r="BC20" s="152"/>
      <c r="BD20" s="152"/>
      <c r="BE20" s="152"/>
      <c r="BF20" s="152"/>
      <c r="BG20" s="152"/>
    </row>
    <row r="21" spans="1:59" x14ac:dyDescent="0.3">
      <c r="A21" s="152"/>
      <c r="B21" s="152"/>
      <c r="C21" s="152"/>
      <c r="D21" s="152"/>
      <c r="E21" s="152"/>
      <c r="F21" s="152"/>
      <c r="G21" s="152"/>
      <c r="H21" s="152"/>
      <c r="I21" s="152"/>
      <c r="J21" s="152"/>
      <c r="K21" s="152"/>
      <c r="M21" s="152"/>
      <c r="N21" s="152"/>
      <c r="O21" s="152"/>
      <c r="P21" s="152"/>
      <c r="Q21" s="152"/>
      <c r="R21" s="152"/>
      <c r="S21" s="152"/>
      <c r="T21" s="152"/>
      <c r="U21" s="152"/>
      <c r="V21" s="152"/>
      <c r="W21" s="152"/>
      <c r="Y21" s="168"/>
      <c r="Z21" s="169"/>
      <c r="AA21" s="169"/>
      <c r="AB21" s="169"/>
      <c r="AC21" s="169"/>
      <c r="AD21" s="169"/>
      <c r="AE21" s="169"/>
      <c r="AF21" s="169"/>
      <c r="AG21" s="169"/>
      <c r="AH21" s="169"/>
      <c r="AI21" s="170"/>
      <c r="AK21" s="152"/>
      <c r="AL21" s="152"/>
      <c r="AM21" s="152"/>
      <c r="AN21" s="152"/>
      <c r="AO21" s="152"/>
      <c r="AP21" s="152"/>
      <c r="AQ21" s="152"/>
      <c r="AR21" s="152"/>
      <c r="AS21" s="152"/>
      <c r="AT21" s="152"/>
      <c r="AU21" s="152"/>
      <c r="AW21" s="152"/>
      <c r="AX21" s="152"/>
      <c r="AY21" s="152"/>
      <c r="AZ21" s="152"/>
      <c r="BA21" s="152"/>
      <c r="BB21" s="152"/>
      <c r="BC21" s="152"/>
      <c r="BD21" s="152"/>
      <c r="BE21" s="152"/>
      <c r="BF21" s="152"/>
      <c r="BG21" s="152"/>
    </row>
    <row r="22" spans="1:59" x14ac:dyDescent="0.3">
      <c r="A22" s="152"/>
      <c r="B22" s="152"/>
      <c r="C22" s="152"/>
      <c r="D22" s="152"/>
      <c r="E22" s="152"/>
      <c r="F22" s="152"/>
      <c r="G22" s="152"/>
      <c r="H22" s="152"/>
      <c r="I22" s="152"/>
      <c r="J22" s="152"/>
      <c r="K22" s="152"/>
      <c r="M22" s="152"/>
      <c r="N22" s="152"/>
      <c r="O22" s="152"/>
      <c r="P22" s="152"/>
      <c r="Q22" s="152"/>
      <c r="R22" s="152"/>
      <c r="S22" s="152"/>
      <c r="T22" s="152"/>
      <c r="U22" s="152"/>
      <c r="V22" s="152"/>
      <c r="W22" s="152"/>
      <c r="Y22" s="168"/>
      <c r="Z22" s="169"/>
      <c r="AA22" s="169"/>
      <c r="AB22" s="169"/>
      <c r="AC22" s="169"/>
      <c r="AD22" s="169"/>
      <c r="AE22" s="169"/>
      <c r="AF22" s="169"/>
      <c r="AG22" s="169"/>
      <c r="AH22" s="169"/>
      <c r="AI22" s="170"/>
      <c r="AK22" s="152"/>
      <c r="AL22" s="152"/>
      <c r="AM22" s="152"/>
      <c r="AN22" s="152"/>
      <c r="AO22" s="152"/>
      <c r="AP22" s="152"/>
      <c r="AQ22" s="152"/>
      <c r="AR22" s="152"/>
      <c r="AS22" s="152"/>
      <c r="AT22" s="152"/>
      <c r="AU22" s="152"/>
      <c r="AW22" s="152"/>
      <c r="AX22" s="152"/>
      <c r="AY22" s="152"/>
      <c r="AZ22" s="152"/>
      <c r="BA22" s="152"/>
      <c r="BB22" s="152"/>
      <c r="BC22" s="152"/>
      <c r="BD22" s="152"/>
      <c r="BE22" s="152"/>
      <c r="BF22" s="152"/>
      <c r="BG22" s="152"/>
    </row>
    <row r="23" spans="1:59" x14ac:dyDescent="0.3">
      <c r="A23" s="152"/>
      <c r="B23" s="152"/>
      <c r="C23" s="152"/>
      <c r="D23" s="152"/>
      <c r="E23" s="152"/>
      <c r="F23" s="152"/>
      <c r="G23" s="152"/>
      <c r="H23" s="152"/>
      <c r="I23" s="152"/>
      <c r="J23" s="152"/>
      <c r="K23" s="152"/>
      <c r="M23" s="152"/>
      <c r="N23" s="152"/>
      <c r="O23" s="152"/>
      <c r="P23" s="152"/>
      <c r="Q23" s="152"/>
      <c r="R23" s="152"/>
      <c r="S23" s="152"/>
      <c r="T23" s="152"/>
      <c r="U23" s="152"/>
      <c r="V23" s="152"/>
      <c r="W23" s="152"/>
      <c r="Y23" s="168"/>
      <c r="Z23" s="169"/>
      <c r="AA23" s="169"/>
      <c r="AB23" s="169"/>
      <c r="AC23" s="169"/>
      <c r="AD23" s="169"/>
      <c r="AE23" s="169"/>
      <c r="AF23" s="169"/>
      <c r="AG23" s="169"/>
      <c r="AH23" s="169"/>
      <c r="AI23" s="170"/>
      <c r="AK23" s="152"/>
      <c r="AL23" s="152"/>
      <c r="AM23" s="152"/>
      <c r="AN23" s="152"/>
      <c r="AO23" s="152"/>
      <c r="AP23" s="152"/>
      <c r="AQ23" s="152"/>
      <c r="AR23" s="152"/>
      <c r="AS23" s="152"/>
      <c r="AT23" s="152"/>
      <c r="AU23" s="152"/>
      <c r="AW23" s="152"/>
      <c r="AX23" s="152"/>
      <c r="AY23" s="152"/>
      <c r="AZ23" s="152"/>
      <c r="BA23" s="152"/>
      <c r="BB23" s="152"/>
      <c r="BC23" s="152"/>
      <c r="BD23" s="152"/>
      <c r="BE23" s="152"/>
      <c r="BF23" s="152"/>
      <c r="BG23" s="152"/>
    </row>
    <row r="24" spans="1:59" x14ac:dyDescent="0.3">
      <c r="A24" s="152"/>
      <c r="B24" s="152"/>
      <c r="C24" s="152"/>
      <c r="D24" s="152"/>
      <c r="E24" s="152"/>
      <c r="F24" s="152"/>
      <c r="G24" s="152"/>
      <c r="H24" s="152"/>
      <c r="I24" s="152"/>
      <c r="J24" s="152"/>
      <c r="K24" s="152"/>
      <c r="M24" s="152"/>
      <c r="N24" s="152"/>
      <c r="O24" s="152"/>
      <c r="P24" s="152"/>
      <c r="Q24" s="152"/>
      <c r="R24" s="152"/>
      <c r="S24" s="152"/>
      <c r="T24" s="152"/>
      <c r="U24" s="152"/>
      <c r="V24" s="152"/>
      <c r="W24" s="152"/>
      <c r="Y24" s="168"/>
      <c r="Z24" s="169"/>
      <c r="AA24" s="169"/>
      <c r="AB24" s="169"/>
      <c r="AC24" s="169"/>
      <c r="AD24" s="169"/>
      <c r="AE24" s="169"/>
      <c r="AF24" s="169"/>
      <c r="AG24" s="169"/>
      <c r="AH24" s="169"/>
      <c r="AI24" s="170"/>
      <c r="AK24" s="152"/>
      <c r="AL24" s="152"/>
      <c r="AM24" s="152"/>
      <c r="AN24" s="152"/>
      <c r="AO24" s="152"/>
      <c r="AP24" s="152"/>
      <c r="AQ24" s="152"/>
      <c r="AR24" s="152"/>
      <c r="AS24" s="152"/>
      <c r="AT24" s="152"/>
      <c r="AU24" s="152"/>
      <c r="AW24" s="152"/>
      <c r="AX24" s="152"/>
      <c r="AY24" s="152"/>
      <c r="AZ24" s="152"/>
      <c r="BA24" s="152"/>
      <c r="BB24" s="152"/>
      <c r="BC24" s="152"/>
      <c r="BD24" s="152"/>
      <c r="BE24" s="152"/>
      <c r="BF24" s="152"/>
      <c r="BG24" s="152"/>
    </row>
    <row r="25" spans="1:59" x14ac:dyDescent="0.3">
      <c r="A25" s="152"/>
      <c r="B25" s="152"/>
      <c r="C25" s="152"/>
      <c r="D25" s="152"/>
      <c r="E25" s="152"/>
      <c r="F25" s="152"/>
      <c r="G25" s="152"/>
      <c r="H25" s="152"/>
      <c r="I25" s="152"/>
      <c r="J25" s="152"/>
      <c r="K25" s="152"/>
      <c r="M25" s="152"/>
      <c r="N25" s="152"/>
      <c r="O25" s="152"/>
      <c r="P25" s="152"/>
      <c r="Q25" s="152"/>
      <c r="R25" s="152"/>
      <c r="S25" s="152"/>
      <c r="T25" s="152"/>
      <c r="U25" s="152"/>
      <c r="V25" s="152"/>
      <c r="W25" s="152"/>
      <c r="Y25" s="168"/>
      <c r="Z25" s="169"/>
      <c r="AA25" s="169"/>
      <c r="AB25" s="169"/>
      <c r="AC25" s="169"/>
      <c r="AD25" s="169"/>
      <c r="AE25" s="169"/>
      <c r="AF25" s="169"/>
      <c r="AG25" s="169"/>
      <c r="AH25" s="169"/>
      <c r="AI25" s="170"/>
      <c r="AK25" s="152"/>
      <c r="AL25" s="152"/>
      <c r="AM25" s="152"/>
      <c r="AN25" s="152"/>
      <c r="AO25" s="152"/>
      <c r="AP25" s="152"/>
      <c r="AQ25" s="152"/>
      <c r="AR25" s="152"/>
      <c r="AS25" s="152"/>
      <c r="AT25" s="152"/>
      <c r="AU25" s="152"/>
      <c r="AW25" s="152"/>
      <c r="AX25" s="152"/>
      <c r="AY25" s="152"/>
      <c r="AZ25" s="152"/>
      <c r="BA25" s="152"/>
      <c r="BB25" s="152"/>
      <c r="BC25" s="152"/>
      <c r="BD25" s="152"/>
      <c r="BE25" s="152"/>
      <c r="BF25" s="152"/>
      <c r="BG25" s="152"/>
    </row>
    <row r="26" spans="1:59" x14ac:dyDescent="0.3">
      <c r="A26" s="152"/>
      <c r="B26" s="152"/>
      <c r="C26" s="152"/>
      <c r="D26" s="152"/>
      <c r="E26" s="152"/>
      <c r="F26" s="152"/>
      <c r="G26" s="152"/>
      <c r="H26" s="152"/>
      <c r="I26" s="152"/>
      <c r="J26" s="152"/>
      <c r="K26" s="152"/>
      <c r="M26" s="152"/>
      <c r="N26" s="152"/>
      <c r="O26" s="152"/>
      <c r="P26" s="152"/>
      <c r="Q26" s="152"/>
      <c r="R26" s="152"/>
      <c r="S26" s="152"/>
      <c r="T26" s="152"/>
      <c r="U26" s="152"/>
      <c r="V26" s="152"/>
      <c r="W26" s="152"/>
      <c r="Y26" s="168"/>
      <c r="Z26" s="169"/>
      <c r="AA26" s="169"/>
      <c r="AB26" s="169"/>
      <c r="AC26" s="169"/>
      <c r="AD26" s="169"/>
      <c r="AE26" s="169"/>
      <c r="AF26" s="169"/>
      <c r="AG26" s="169"/>
      <c r="AH26" s="169"/>
      <c r="AI26" s="170"/>
      <c r="AK26" s="152"/>
      <c r="AL26" s="152"/>
      <c r="AM26" s="152"/>
      <c r="AN26" s="152"/>
      <c r="AO26" s="152"/>
      <c r="AP26" s="152"/>
      <c r="AQ26" s="152"/>
      <c r="AR26" s="152"/>
      <c r="AS26" s="152"/>
      <c r="AT26" s="152"/>
      <c r="AU26" s="152"/>
      <c r="AW26" s="152"/>
      <c r="AX26" s="152"/>
      <c r="AY26" s="152"/>
      <c r="AZ26" s="152"/>
      <c r="BA26" s="152"/>
      <c r="BB26" s="152"/>
      <c r="BC26" s="152"/>
      <c r="BD26" s="152"/>
      <c r="BE26" s="152"/>
      <c r="BF26" s="152"/>
      <c r="BG26" s="152"/>
    </row>
    <row r="27" spans="1:59" x14ac:dyDescent="0.3">
      <c r="A27" s="152"/>
      <c r="B27" s="152"/>
      <c r="C27" s="152"/>
      <c r="D27" s="152"/>
      <c r="E27" s="152"/>
      <c r="F27" s="152"/>
      <c r="G27" s="152"/>
      <c r="H27" s="152"/>
      <c r="I27" s="152"/>
      <c r="J27" s="152"/>
      <c r="K27" s="152"/>
      <c r="M27" s="152"/>
      <c r="N27" s="152"/>
      <c r="O27" s="152"/>
      <c r="P27" s="152"/>
      <c r="Q27" s="152"/>
      <c r="R27" s="152"/>
      <c r="S27" s="152"/>
      <c r="T27" s="152"/>
      <c r="U27" s="152"/>
      <c r="V27" s="152"/>
      <c r="W27" s="152"/>
      <c r="Y27" s="168"/>
      <c r="Z27" s="169"/>
      <c r="AA27" s="169"/>
      <c r="AB27" s="169"/>
      <c r="AC27" s="169"/>
      <c r="AD27" s="169"/>
      <c r="AE27" s="169"/>
      <c r="AF27" s="169"/>
      <c r="AG27" s="169"/>
      <c r="AH27" s="169"/>
      <c r="AI27" s="170"/>
      <c r="AK27" s="152"/>
      <c r="AL27" s="152"/>
      <c r="AM27" s="152"/>
      <c r="AN27" s="152"/>
      <c r="AO27" s="152"/>
      <c r="AP27" s="152"/>
      <c r="AQ27" s="152"/>
      <c r="AR27" s="152"/>
      <c r="AS27" s="152"/>
      <c r="AT27" s="152"/>
      <c r="AU27" s="152"/>
      <c r="AW27" s="152"/>
      <c r="AX27" s="152"/>
      <c r="AY27" s="152"/>
      <c r="AZ27" s="152"/>
      <c r="BA27" s="152"/>
      <c r="BB27" s="152"/>
      <c r="BC27" s="152"/>
      <c r="BD27" s="152"/>
      <c r="BE27" s="152"/>
      <c r="BF27" s="152"/>
      <c r="BG27" s="152"/>
    </row>
    <row r="28" spans="1:59" x14ac:dyDescent="0.3">
      <c r="A28" s="152"/>
      <c r="B28" s="152"/>
      <c r="C28" s="152"/>
      <c r="D28" s="152"/>
      <c r="E28" s="152"/>
      <c r="F28" s="152"/>
      <c r="G28" s="152"/>
      <c r="H28" s="152"/>
      <c r="I28" s="152"/>
      <c r="J28" s="152"/>
      <c r="K28" s="152"/>
      <c r="M28" s="152"/>
      <c r="N28" s="152"/>
      <c r="O28" s="152"/>
      <c r="P28" s="152"/>
      <c r="Q28" s="152"/>
      <c r="R28" s="152"/>
      <c r="S28" s="152"/>
      <c r="T28" s="152"/>
      <c r="U28" s="152"/>
      <c r="V28" s="152"/>
      <c r="W28" s="152"/>
      <c r="Y28" s="168"/>
      <c r="Z28" s="169"/>
      <c r="AA28" s="169"/>
      <c r="AB28" s="169"/>
      <c r="AC28" s="169"/>
      <c r="AD28" s="169"/>
      <c r="AE28" s="169"/>
      <c r="AF28" s="169"/>
      <c r="AG28" s="169"/>
      <c r="AH28" s="169"/>
      <c r="AI28" s="170"/>
      <c r="AK28" s="152"/>
      <c r="AL28" s="152"/>
      <c r="AM28" s="152"/>
      <c r="AN28" s="152"/>
      <c r="AO28" s="152"/>
      <c r="AP28" s="152"/>
      <c r="AQ28" s="152"/>
      <c r="AR28" s="152"/>
      <c r="AS28" s="152"/>
      <c r="AT28" s="152"/>
      <c r="AU28" s="152"/>
      <c r="AW28" s="152"/>
      <c r="AX28" s="152"/>
      <c r="AY28" s="152"/>
      <c r="AZ28" s="152"/>
      <c r="BA28" s="152"/>
      <c r="BB28" s="152"/>
      <c r="BC28" s="152"/>
      <c r="BD28" s="152"/>
      <c r="BE28" s="152"/>
      <c r="BF28" s="152"/>
      <c r="BG28" s="152"/>
    </row>
    <row r="29" spans="1:59" x14ac:dyDescent="0.3">
      <c r="A29" s="152"/>
      <c r="B29" s="152"/>
      <c r="C29" s="152"/>
      <c r="D29" s="152"/>
      <c r="E29" s="152"/>
      <c r="F29" s="152"/>
      <c r="G29" s="152"/>
      <c r="H29" s="152"/>
      <c r="I29" s="152"/>
      <c r="J29" s="152"/>
      <c r="K29" s="152"/>
      <c r="M29" s="152"/>
      <c r="N29" s="152"/>
      <c r="O29" s="152"/>
      <c r="P29" s="152"/>
      <c r="Q29" s="152"/>
      <c r="R29" s="152"/>
      <c r="S29" s="152"/>
      <c r="T29" s="152"/>
      <c r="U29" s="152"/>
      <c r="V29" s="152"/>
      <c r="W29" s="152"/>
      <c r="Y29" s="168"/>
      <c r="Z29" s="169"/>
      <c r="AA29" s="169"/>
      <c r="AB29" s="169"/>
      <c r="AC29" s="169"/>
      <c r="AD29" s="169"/>
      <c r="AE29" s="169"/>
      <c r="AF29" s="169"/>
      <c r="AG29" s="169"/>
      <c r="AH29" s="169"/>
      <c r="AI29" s="170"/>
      <c r="AK29" s="152"/>
      <c r="AL29" s="152"/>
      <c r="AM29" s="152"/>
      <c r="AN29" s="152"/>
      <c r="AO29" s="152"/>
      <c r="AP29" s="152"/>
      <c r="AQ29" s="152"/>
      <c r="AR29" s="152"/>
      <c r="AS29" s="152"/>
      <c r="AT29" s="152"/>
      <c r="AU29" s="152"/>
      <c r="AW29" s="152"/>
      <c r="AX29" s="152"/>
      <c r="AY29" s="152"/>
      <c r="AZ29" s="152"/>
      <c r="BA29" s="152"/>
      <c r="BB29" s="152"/>
      <c r="BC29" s="152"/>
      <c r="BD29" s="152"/>
      <c r="BE29" s="152"/>
      <c r="BF29" s="152"/>
      <c r="BG29" s="152"/>
    </row>
    <row r="30" spans="1:59" x14ac:dyDescent="0.3">
      <c r="A30" s="152"/>
      <c r="B30" s="152"/>
      <c r="C30" s="152"/>
      <c r="D30" s="152"/>
      <c r="E30" s="152"/>
      <c r="F30" s="152"/>
      <c r="G30" s="152"/>
      <c r="H30" s="152"/>
      <c r="I30" s="152"/>
      <c r="J30" s="152"/>
      <c r="K30" s="152"/>
      <c r="M30" s="152"/>
      <c r="N30" s="152"/>
      <c r="O30" s="152"/>
      <c r="P30" s="152"/>
      <c r="Q30" s="152"/>
      <c r="R30" s="152"/>
      <c r="S30" s="152"/>
      <c r="T30" s="152"/>
      <c r="U30" s="152"/>
      <c r="V30" s="152"/>
      <c r="W30" s="152"/>
      <c r="Y30" s="168"/>
      <c r="Z30" s="169"/>
      <c r="AA30" s="169"/>
      <c r="AB30" s="169"/>
      <c r="AC30" s="169"/>
      <c r="AD30" s="169"/>
      <c r="AE30" s="169"/>
      <c r="AF30" s="169"/>
      <c r="AG30" s="169"/>
      <c r="AH30" s="169"/>
      <c r="AI30" s="170"/>
      <c r="AK30" s="152"/>
      <c r="AL30" s="152"/>
      <c r="AM30" s="152"/>
      <c r="AN30" s="152"/>
      <c r="AO30" s="152"/>
      <c r="AP30" s="152"/>
      <c r="AQ30" s="152"/>
      <c r="AR30" s="152"/>
      <c r="AS30" s="152"/>
      <c r="AT30" s="152"/>
      <c r="AU30" s="152"/>
      <c r="AW30" s="152"/>
      <c r="AX30" s="152"/>
      <c r="AY30" s="152"/>
      <c r="AZ30" s="152"/>
      <c r="BA30" s="152"/>
      <c r="BB30" s="152"/>
      <c r="BC30" s="152"/>
      <c r="BD30" s="152"/>
      <c r="BE30" s="152"/>
      <c r="BF30" s="152"/>
      <c r="BG30" s="152"/>
    </row>
    <row r="31" spans="1:59" x14ac:dyDescent="0.3">
      <c r="A31" s="152"/>
      <c r="B31" s="152"/>
      <c r="C31" s="152"/>
      <c r="D31" s="152"/>
      <c r="E31" s="152"/>
      <c r="F31" s="152"/>
      <c r="G31" s="152"/>
      <c r="H31" s="152"/>
      <c r="I31" s="152"/>
      <c r="J31" s="152"/>
      <c r="K31" s="152"/>
      <c r="M31" s="152"/>
      <c r="N31" s="152"/>
      <c r="O31" s="152"/>
      <c r="P31" s="152"/>
      <c r="Q31" s="152"/>
      <c r="R31" s="152"/>
      <c r="S31" s="152"/>
      <c r="T31" s="152"/>
      <c r="U31" s="152"/>
      <c r="V31" s="152"/>
      <c r="W31" s="152"/>
      <c r="Y31" s="168"/>
      <c r="Z31" s="169"/>
      <c r="AA31" s="169"/>
      <c r="AB31" s="169"/>
      <c r="AC31" s="169"/>
      <c r="AD31" s="169"/>
      <c r="AE31" s="169"/>
      <c r="AF31" s="169"/>
      <c r="AG31" s="169"/>
      <c r="AH31" s="169"/>
      <c r="AI31" s="170"/>
      <c r="AK31" s="152"/>
      <c r="AL31" s="152"/>
      <c r="AM31" s="152"/>
      <c r="AN31" s="152"/>
      <c r="AO31" s="152"/>
      <c r="AP31" s="152"/>
      <c r="AQ31" s="152"/>
      <c r="AR31" s="152"/>
      <c r="AS31" s="152"/>
      <c r="AT31" s="152"/>
      <c r="AU31" s="152"/>
      <c r="AW31" s="152"/>
      <c r="AX31" s="152"/>
      <c r="AY31" s="152"/>
      <c r="AZ31" s="152"/>
      <c r="BA31" s="152"/>
      <c r="BB31" s="152"/>
      <c r="BC31" s="152"/>
      <c r="BD31" s="152"/>
      <c r="BE31" s="152"/>
      <c r="BF31" s="152"/>
      <c r="BG31" s="152"/>
    </row>
    <row r="32" spans="1:59" x14ac:dyDescent="0.3">
      <c r="A32" s="152"/>
      <c r="B32" s="152"/>
      <c r="C32" s="152"/>
      <c r="D32" s="152"/>
      <c r="E32" s="152"/>
      <c r="F32" s="152"/>
      <c r="G32" s="152"/>
      <c r="H32" s="152"/>
      <c r="I32" s="152"/>
      <c r="J32" s="152"/>
      <c r="K32" s="152"/>
      <c r="M32" s="152"/>
      <c r="N32" s="152"/>
      <c r="O32" s="152"/>
      <c r="P32" s="152"/>
      <c r="Q32" s="152"/>
      <c r="R32" s="152"/>
      <c r="S32" s="152"/>
      <c r="T32" s="152"/>
      <c r="U32" s="152"/>
      <c r="V32" s="152"/>
      <c r="W32" s="152"/>
      <c r="Y32" s="168"/>
      <c r="Z32" s="169"/>
      <c r="AA32" s="169"/>
      <c r="AB32" s="169"/>
      <c r="AC32" s="169"/>
      <c r="AD32" s="169"/>
      <c r="AE32" s="169"/>
      <c r="AF32" s="169"/>
      <c r="AG32" s="169"/>
      <c r="AH32" s="169"/>
      <c r="AI32" s="170"/>
      <c r="AK32" s="152"/>
      <c r="AL32" s="152"/>
      <c r="AM32" s="152"/>
      <c r="AN32" s="152"/>
      <c r="AO32" s="152"/>
      <c r="AP32" s="152"/>
      <c r="AQ32" s="152"/>
      <c r="AR32" s="152"/>
      <c r="AS32" s="152"/>
      <c r="AT32" s="152"/>
      <c r="AU32" s="152"/>
      <c r="AW32" s="152"/>
      <c r="AX32" s="152"/>
      <c r="AY32" s="152"/>
      <c r="AZ32" s="152"/>
      <c r="BA32" s="152"/>
      <c r="BB32" s="152"/>
      <c r="BC32" s="152"/>
      <c r="BD32" s="152"/>
      <c r="BE32" s="152"/>
      <c r="BF32" s="152"/>
      <c r="BG32" s="152"/>
    </row>
    <row r="33" spans="1:59" x14ac:dyDescent="0.3">
      <c r="A33" s="152"/>
      <c r="B33" s="152"/>
      <c r="C33" s="152"/>
      <c r="D33" s="152"/>
      <c r="E33" s="152"/>
      <c r="F33" s="152"/>
      <c r="G33" s="152"/>
      <c r="H33" s="152"/>
      <c r="I33" s="152"/>
      <c r="J33" s="152"/>
      <c r="K33" s="152"/>
      <c r="M33" s="152"/>
      <c r="N33" s="152"/>
      <c r="O33" s="152"/>
      <c r="P33" s="152"/>
      <c r="Q33" s="152"/>
      <c r="R33" s="152"/>
      <c r="S33" s="152"/>
      <c r="T33" s="152"/>
      <c r="U33" s="152"/>
      <c r="V33" s="152"/>
      <c r="W33" s="152"/>
      <c r="Y33" s="168"/>
      <c r="Z33" s="169"/>
      <c r="AA33" s="169"/>
      <c r="AB33" s="169"/>
      <c r="AC33" s="169"/>
      <c r="AD33" s="169"/>
      <c r="AE33" s="169"/>
      <c r="AF33" s="169"/>
      <c r="AG33" s="169"/>
      <c r="AH33" s="169"/>
      <c r="AI33" s="170"/>
      <c r="AK33" s="152"/>
      <c r="AL33" s="152"/>
      <c r="AM33" s="152"/>
      <c r="AN33" s="152"/>
      <c r="AO33" s="152"/>
      <c r="AP33" s="152"/>
      <c r="AQ33" s="152"/>
      <c r="AR33" s="152"/>
      <c r="AS33" s="152"/>
      <c r="AT33" s="152"/>
      <c r="AU33" s="152"/>
      <c r="AW33" s="152"/>
      <c r="AX33" s="152"/>
      <c r="AY33" s="152"/>
      <c r="AZ33" s="152"/>
      <c r="BA33" s="152"/>
      <c r="BB33" s="152"/>
      <c r="BC33" s="152"/>
      <c r="BD33" s="152"/>
      <c r="BE33" s="152"/>
      <c r="BF33" s="152"/>
      <c r="BG33" s="152"/>
    </row>
    <row r="34" spans="1:59" x14ac:dyDescent="0.3">
      <c r="A34" s="152"/>
      <c r="B34" s="152"/>
      <c r="C34" s="152"/>
      <c r="D34" s="152"/>
      <c r="E34" s="152"/>
      <c r="F34" s="152"/>
      <c r="G34" s="152"/>
      <c r="H34" s="152"/>
      <c r="I34" s="152"/>
      <c r="J34" s="152"/>
      <c r="K34" s="152"/>
      <c r="M34" s="152"/>
      <c r="N34" s="152"/>
      <c r="O34" s="152"/>
      <c r="P34" s="152"/>
      <c r="Q34" s="152"/>
      <c r="R34" s="152"/>
      <c r="S34" s="152"/>
      <c r="T34" s="152"/>
      <c r="U34" s="152"/>
      <c r="V34" s="152"/>
      <c r="W34" s="152"/>
      <c r="Y34" s="171"/>
      <c r="Z34" s="172"/>
      <c r="AA34" s="172"/>
      <c r="AB34" s="172"/>
      <c r="AC34" s="172"/>
      <c r="AD34" s="172"/>
      <c r="AE34" s="172"/>
      <c r="AF34" s="172"/>
      <c r="AG34" s="172"/>
      <c r="AH34" s="172"/>
      <c r="AI34" s="173"/>
      <c r="AK34" s="152"/>
      <c r="AL34" s="152"/>
      <c r="AM34" s="152"/>
      <c r="AN34" s="152"/>
      <c r="AO34" s="152"/>
      <c r="AP34" s="152"/>
      <c r="AQ34" s="152"/>
      <c r="AR34" s="152"/>
      <c r="AS34" s="152"/>
      <c r="AT34" s="152"/>
      <c r="AU34" s="152"/>
      <c r="AW34" s="152"/>
      <c r="AX34" s="152"/>
      <c r="AY34" s="152"/>
      <c r="AZ34" s="152"/>
      <c r="BA34" s="152"/>
      <c r="BB34" s="152"/>
      <c r="BC34" s="152"/>
      <c r="BD34" s="152"/>
      <c r="BE34" s="152"/>
      <c r="BF34" s="152"/>
      <c r="BG34" s="152"/>
    </row>
    <row r="35" spans="1:59" x14ac:dyDescent="0.3">
      <c r="A35" s="152"/>
      <c r="B35" s="152"/>
      <c r="C35" s="152"/>
      <c r="D35" s="152"/>
      <c r="E35" s="152"/>
      <c r="F35" s="152"/>
      <c r="G35" s="152"/>
      <c r="H35" s="152"/>
      <c r="I35" s="152"/>
      <c r="J35" s="152"/>
      <c r="K35" s="152"/>
      <c r="M35" s="152"/>
      <c r="N35" s="152"/>
      <c r="O35" s="152"/>
      <c r="P35" s="152"/>
      <c r="Q35" s="152"/>
      <c r="R35" s="152"/>
      <c r="S35" s="152"/>
      <c r="T35" s="152"/>
      <c r="U35" s="152"/>
      <c r="V35" s="152"/>
      <c r="W35" s="152"/>
      <c r="Y35" s="265" t="s">
        <v>575</v>
      </c>
      <c r="Z35" s="265"/>
      <c r="AA35" s="265"/>
      <c r="AB35" s="265"/>
      <c r="AC35" s="265"/>
      <c r="AD35" s="265"/>
      <c r="AE35" s="265"/>
      <c r="AF35" s="265"/>
      <c r="AG35" s="265"/>
      <c r="AH35" s="265"/>
      <c r="AI35" s="219" t="str">
        <f>IF(COUNTIF(AI37:AI41,"="&amp;IncompleteText),IncompleteText,IF(COUNTIF(AI37:AI41,"="&amp;ErrorText),ErrorText,OKText))</f>
        <v>OK</v>
      </c>
      <c r="AK35" s="265" t="s">
        <v>576</v>
      </c>
      <c r="AL35" s="265"/>
      <c r="AM35" s="265"/>
      <c r="AN35" s="265"/>
      <c r="AO35" s="265"/>
      <c r="AP35" s="265"/>
      <c r="AQ35" s="265"/>
      <c r="AR35" s="265"/>
      <c r="AS35" s="265"/>
      <c r="AT35" s="265"/>
      <c r="AU35" s="219" t="str">
        <f>IF(COUNTIF(AU37:AU48,"="&amp;IncompleteText),IncompleteText,IF(COUNTIF(AU37:AU48,"="&amp;ErrorText),ErrorText,OKText))</f>
        <v>OK</v>
      </c>
    </row>
    <row r="36" spans="1:59" x14ac:dyDescent="0.3">
      <c r="A36" s="263" t="s">
        <v>269</v>
      </c>
      <c r="B36" s="263"/>
      <c r="C36" s="265" t="s">
        <v>573</v>
      </c>
      <c r="D36" s="265"/>
      <c r="E36" s="265"/>
      <c r="F36" s="265"/>
      <c r="G36" s="265"/>
      <c r="H36" s="265"/>
      <c r="I36" s="265"/>
      <c r="J36" s="265"/>
      <c r="K36" s="219" t="str">
        <f>IF(COUNTIF(K38:K62,"="&amp;IncompleteText),IncompleteText,IF(COUNTIF(K38:K62,"="&amp;ErrorText),ErrorText,OKText))</f>
        <v>OK</v>
      </c>
      <c r="M36" s="265" t="s">
        <v>574</v>
      </c>
      <c r="N36" s="265"/>
      <c r="O36" s="265"/>
      <c r="P36" s="265"/>
      <c r="Q36" s="265"/>
      <c r="R36" s="265"/>
      <c r="S36" s="265"/>
      <c r="T36" s="265"/>
      <c r="U36" s="265"/>
      <c r="V36" s="265"/>
      <c r="W36" s="219" t="str">
        <f>IF(COUNTIF(W38:W41,"="&amp;IncompleteText),IncompleteText,IF(COUNTIF(W38:W41,"="&amp;ErrorText),ErrorText,OKText))</f>
        <v>OK</v>
      </c>
      <c r="Y36" s="266"/>
      <c r="Z36" s="266"/>
      <c r="AA36" s="266"/>
      <c r="AB36" s="266"/>
      <c r="AC36" s="266"/>
      <c r="AD36" s="266"/>
      <c r="AE36" s="266"/>
      <c r="AF36" s="266"/>
      <c r="AG36" s="266"/>
      <c r="AH36" s="266"/>
      <c r="AI36" s="196"/>
      <c r="AK36" s="183"/>
      <c r="AL36" s="183"/>
      <c r="AM36" s="183"/>
      <c r="AN36" s="183"/>
      <c r="AO36" s="183"/>
      <c r="AP36" s="183"/>
      <c r="AQ36" s="183"/>
      <c r="AR36" s="183"/>
      <c r="AS36" s="183"/>
      <c r="AT36" s="183"/>
      <c r="AU36" s="196"/>
      <c r="AW36" s="187" t="s">
        <v>577</v>
      </c>
      <c r="AX36" s="187"/>
      <c r="AY36" s="187"/>
      <c r="AZ36" s="187"/>
      <c r="BA36" s="187"/>
      <c r="BB36" s="187"/>
      <c r="BC36" s="187"/>
      <c r="BD36" s="187"/>
      <c r="BE36" s="187"/>
      <c r="BF36" s="187"/>
      <c r="BG36" s="187"/>
    </row>
    <row r="37" spans="1:59" ht="16.25" customHeight="1" x14ac:dyDescent="0.3">
      <c r="A37" s="264"/>
      <c r="B37" s="264"/>
      <c r="C37" s="266"/>
      <c r="D37" s="266"/>
      <c r="E37" s="266"/>
      <c r="F37" s="266"/>
      <c r="G37" s="266"/>
      <c r="H37" s="266"/>
      <c r="I37" s="266"/>
      <c r="J37" s="266"/>
      <c r="K37" s="196"/>
      <c r="M37" s="183"/>
      <c r="N37" s="183"/>
      <c r="O37" s="183"/>
      <c r="P37" s="183"/>
      <c r="Q37" s="183"/>
      <c r="R37" s="183"/>
      <c r="S37" s="183"/>
      <c r="T37" s="183"/>
      <c r="U37" s="183"/>
      <c r="V37" s="183"/>
      <c r="W37" s="196"/>
      <c r="Y37" s="100" t="s">
        <v>578</v>
      </c>
      <c r="Z37" s="100"/>
      <c r="AA37" s="100"/>
      <c r="AB37" s="100"/>
      <c r="AC37" s="100"/>
      <c r="AD37" s="100"/>
      <c r="AE37" s="100"/>
      <c r="AF37" s="100"/>
      <c r="AG37" s="101"/>
      <c r="AH37" s="15" t="b">
        <v>1</v>
      </c>
      <c r="AI37" s="9" t="str">
        <f>IF(ISBLANK(AH37),IncompleteText,IF(AH37,OKText,ErrorText))</f>
        <v>OK</v>
      </c>
      <c r="AK37" s="118" t="s">
        <v>579</v>
      </c>
      <c r="AL37" s="118"/>
      <c r="AM37" s="118"/>
      <c r="AN37" s="118"/>
      <c r="AO37" s="118"/>
      <c r="AP37" s="118"/>
      <c r="AQ37" s="118"/>
      <c r="AR37" s="118"/>
      <c r="AS37" s="119"/>
      <c r="AT37" s="22" t="s">
        <v>580</v>
      </c>
      <c r="AU37" s="9" t="str">
        <f>IF(ISBLANK(AT37),IncompleteText,OKText)</f>
        <v>OK</v>
      </c>
      <c r="AW37" s="262" t="s">
        <v>581</v>
      </c>
      <c r="AX37" s="166"/>
      <c r="AY37" s="166"/>
      <c r="AZ37" s="166"/>
      <c r="BA37" s="166"/>
      <c r="BB37" s="166"/>
      <c r="BC37" s="166"/>
      <c r="BD37" s="166"/>
      <c r="BE37" s="166"/>
      <c r="BF37" s="166"/>
      <c r="BG37" s="167"/>
    </row>
    <row r="38" spans="1:59" x14ac:dyDescent="0.3">
      <c r="A38" s="218" t="s">
        <v>582</v>
      </c>
      <c r="B38" s="218"/>
      <c r="C38" s="118" t="s">
        <v>583</v>
      </c>
      <c r="D38" s="118"/>
      <c r="E38" s="118"/>
      <c r="F38" s="118"/>
      <c r="G38" s="118"/>
      <c r="H38" s="118"/>
      <c r="I38" s="119"/>
      <c r="J38" s="15" t="b">
        <v>1</v>
      </c>
      <c r="K38" s="9" t="str">
        <f t="shared" ref="K38:K62" si="0">IF(ISBLANK(J38),IncompleteText,IF(J38,OKText,ErrorText))</f>
        <v>OK</v>
      </c>
      <c r="M38" s="91" t="s">
        <v>584</v>
      </c>
      <c r="N38" s="91"/>
      <c r="O38" s="91"/>
      <c r="P38" s="91"/>
      <c r="Q38" s="91"/>
      <c r="R38" s="91"/>
      <c r="S38" s="91"/>
      <c r="T38" s="91"/>
      <c r="U38" s="92"/>
      <c r="V38" s="15" t="b">
        <v>1</v>
      </c>
      <c r="W38" s="9" t="str">
        <f>IF(ISBLANK(V38),IncompleteText,IF(V38,OKText,ErrorText))</f>
        <v>OK</v>
      </c>
      <c r="Y38" s="243" t="s">
        <v>585</v>
      </c>
      <c r="Z38" s="243"/>
      <c r="AA38" s="243"/>
      <c r="AB38" s="243"/>
      <c r="AC38" s="243"/>
      <c r="AD38" s="243"/>
      <c r="AE38" s="243"/>
      <c r="AF38" s="243"/>
      <c r="AG38" s="244"/>
      <c r="AH38" s="15" t="b">
        <v>1</v>
      </c>
      <c r="AI38" s="9" t="str">
        <f>IF(ISBLANK(AH38),IncompleteText,IF(AH38,OKText,ErrorText))</f>
        <v>OK</v>
      </c>
      <c r="AK38" s="118" t="s">
        <v>586</v>
      </c>
      <c r="AL38" s="118"/>
      <c r="AM38" s="118"/>
      <c r="AN38" s="118"/>
      <c r="AO38" s="118"/>
      <c r="AP38" s="118"/>
      <c r="AQ38" s="118"/>
      <c r="AR38" s="118"/>
      <c r="AS38" s="119"/>
      <c r="AT38" s="15">
        <v>2000</v>
      </c>
      <c r="AU38" s="9" t="str">
        <f>IF(AT$37="车队自制原理 team made",OKText,IF(ISBLANK(AT38),IncompleteText,IF(AT38,OKText,ErrorText)))</f>
        <v>OK</v>
      </c>
      <c r="AW38" s="168"/>
      <c r="AX38" s="169"/>
      <c r="AY38" s="169"/>
      <c r="AZ38" s="169"/>
      <c r="BA38" s="169"/>
      <c r="BB38" s="169"/>
      <c r="BC38" s="169"/>
      <c r="BD38" s="169"/>
      <c r="BE38" s="169"/>
      <c r="BF38" s="169"/>
      <c r="BG38" s="170"/>
    </row>
    <row r="39" spans="1:59" x14ac:dyDescent="0.3">
      <c r="A39" s="218" t="s">
        <v>587</v>
      </c>
      <c r="B39" s="218"/>
      <c r="C39" s="118" t="s">
        <v>588</v>
      </c>
      <c r="D39" s="118"/>
      <c r="E39" s="118"/>
      <c r="F39" s="118"/>
      <c r="G39" s="118"/>
      <c r="H39" s="118"/>
      <c r="I39" s="119"/>
      <c r="J39" s="15" t="b">
        <v>1</v>
      </c>
      <c r="K39" s="9" t="str">
        <f t="shared" si="0"/>
        <v>OK</v>
      </c>
      <c r="M39" s="91" t="s">
        <v>589</v>
      </c>
      <c r="N39" s="91"/>
      <c r="O39" s="91"/>
      <c r="P39" s="91"/>
      <c r="Q39" s="91"/>
      <c r="R39" s="91"/>
      <c r="S39" s="91"/>
      <c r="T39" s="91"/>
      <c r="U39" s="92"/>
      <c r="V39" s="15" t="b">
        <v>1</v>
      </c>
      <c r="W39" s="9" t="str">
        <f>IF(ISBLANK(V39),IncompleteText,IF(V39,OKText,ErrorText))</f>
        <v>OK</v>
      </c>
      <c r="Y39" s="243" t="s">
        <v>590</v>
      </c>
      <c r="Z39" s="243"/>
      <c r="AA39" s="243"/>
      <c r="AB39" s="243"/>
      <c r="AC39" s="243"/>
      <c r="AD39" s="243"/>
      <c r="AE39" s="243"/>
      <c r="AF39" s="243"/>
      <c r="AG39" s="244"/>
      <c r="AH39" s="15" t="b">
        <v>1</v>
      </c>
      <c r="AI39" s="9" t="str">
        <f>IF(ISBLANK(AH39),IncompleteText,IF(AH39,OKText,ErrorText))</f>
        <v>OK</v>
      </c>
      <c r="AK39" s="118" t="s">
        <v>591</v>
      </c>
      <c r="AL39" s="118"/>
      <c r="AM39" s="118"/>
      <c r="AN39" s="118"/>
      <c r="AO39" s="118"/>
      <c r="AP39" s="118"/>
      <c r="AQ39" s="118"/>
      <c r="AR39" s="118"/>
      <c r="AS39" s="119"/>
      <c r="AT39" s="16" t="s">
        <v>592</v>
      </c>
      <c r="AU39" s="9" t="e">
        <f>IF(AT$37="车队自制原理 team made",OKText,IF(ISBLANK(AT39),IncompleteText,IF(AT39,OKText,ErrorText)))</f>
        <v>#VALUE!</v>
      </c>
      <c r="AW39" s="168"/>
      <c r="AX39" s="169"/>
      <c r="AY39" s="169"/>
      <c r="AZ39" s="169"/>
      <c r="BA39" s="169"/>
      <c r="BB39" s="169"/>
      <c r="BC39" s="169"/>
      <c r="BD39" s="169"/>
      <c r="BE39" s="169"/>
      <c r="BF39" s="169"/>
      <c r="BG39" s="170"/>
    </row>
    <row r="40" spans="1:59" x14ac:dyDescent="0.3">
      <c r="A40" s="218" t="s">
        <v>593</v>
      </c>
      <c r="B40" s="218"/>
      <c r="C40" s="118" t="s">
        <v>594</v>
      </c>
      <c r="D40" s="118"/>
      <c r="E40" s="118"/>
      <c r="F40" s="118"/>
      <c r="G40" s="118"/>
      <c r="H40" s="118"/>
      <c r="I40" s="119"/>
      <c r="J40" s="15" t="b">
        <v>1</v>
      </c>
      <c r="K40" s="9" t="str">
        <f t="shared" si="0"/>
        <v>OK</v>
      </c>
      <c r="M40" s="91" t="s">
        <v>595</v>
      </c>
      <c r="N40" s="91"/>
      <c r="O40" s="91"/>
      <c r="P40" s="91"/>
      <c r="Q40" s="91"/>
      <c r="R40" s="91"/>
      <c r="S40" s="91"/>
      <c r="T40" s="91"/>
      <c r="U40" s="92"/>
      <c r="V40" s="15" t="b">
        <v>1</v>
      </c>
      <c r="W40" s="9" t="str">
        <f>IF(ISBLANK(V40),IncompleteText,IF(V40,OKText,ErrorText))</f>
        <v>OK</v>
      </c>
      <c r="Y40" s="243" t="s">
        <v>596</v>
      </c>
      <c r="Z40" s="243"/>
      <c r="AA40" s="243"/>
      <c r="AB40" s="243"/>
      <c r="AC40" s="243"/>
      <c r="AD40" s="243"/>
      <c r="AE40" s="243"/>
      <c r="AF40" s="243"/>
      <c r="AG40" s="244"/>
      <c r="AH40" s="15" t="b">
        <v>1</v>
      </c>
      <c r="AI40" s="9" t="str">
        <f>IF(ISBLANK(AH40),IncompleteText,IF(AH40,OKText,ErrorText))</f>
        <v>OK</v>
      </c>
      <c r="AK40" s="118" t="s">
        <v>597</v>
      </c>
      <c r="AL40" s="118"/>
      <c r="AM40" s="118"/>
      <c r="AN40" s="118"/>
      <c r="AO40" s="118"/>
      <c r="AP40" s="118"/>
      <c r="AQ40" s="118"/>
      <c r="AR40" s="118"/>
      <c r="AS40" s="119"/>
      <c r="AT40" s="15"/>
      <c r="AU40" s="9" t="str">
        <f>IF(AT$37="供应商 purchased",OKText,IF(ISBLANK(AT40),IncompleteText,IF(AT40,OKText,ErrorText)))</f>
        <v>OK</v>
      </c>
      <c r="AW40" s="168"/>
      <c r="AX40" s="169"/>
      <c r="AY40" s="169"/>
      <c r="AZ40" s="169"/>
      <c r="BA40" s="169"/>
      <c r="BB40" s="169"/>
      <c r="BC40" s="169"/>
      <c r="BD40" s="169"/>
      <c r="BE40" s="169"/>
      <c r="BF40" s="169"/>
      <c r="BG40" s="170"/>
    </row>
    <row r="41" spans="1:59" ht="19.25" customHeight="1" x14ac:dyDescent="0.3">
      <c r="A41" s="218" t="s">
        <v>593</v>
      </c>
      <c r="B41" s="218"/>
      <c r="C41" s="118" t="s">
        <v>598</v>
      </c>
      <c r="D41" s="118"/>
      <c r="E41" s="118"/>
      <c r="F41" s="118"/>
      <c r="G41" s="118"/>
      <c r="H41" s="118"/>
      <c r="I41" s="119"/>
      <c r="J41" s="15" t="b">
        <v>1</v>
      </c>
      <c r="K41" s="9" t="str">
        <f t="shared" si="0"/>
        <v>OK</v>
      </c>
      <c r="M41" s="91" t="s">
        <v>599</v>
      </c>
      <c r="N41" s="91"/>
      <c r="O41" s="91"/>
      <c r="P41" s="91"/>
      <c r="Q41" s="91"/>
      <c r="R41" s="91"/>
      <c r="S41" s="91"/>
      <c r="T41" s="91"/>
      <c r="U41" s="92"/>
      <c r="V41" s="15" t="b">
        <v>1</v>
      </c>
      <c r="W41" s="9" t="str">
        <f>IF(ISBLANK(V41),IncompleteText,IF(V41,OKText,ErrorText))</f>
        <v>OK</v>
      </c>
      <c r="Y41" s="100" t="s">
        <v>600</v>
      </c>
      <c r="Z41" s="100"/>
      <c r="AA41" s="100"/>
      <c r="AB41" s="100"/>
      <c r="AC41" s="100"/>
      <c r="AD41" s="100"/>
      <c r="AE41" s="100"/>
      <c r="AF41" s="100"/>
      <c r="AG41" s="101"/>
      <c r="AH41" s="15" t="b">
        <v>1</v>
      </c>
      <c r="AI41" s="6" t="str">
        <f>IF(ISBLANK(AH41),IncompleteText,IF(AH41,OKText,ErrorText))</f>
        <v>OK</v>
      </c>
      <c r="AK41" s="100" t="s">
        <v>601</v>
      </c>
      <c r="AL41" s="100"/>
      <c r="AM41" s="100"/>
      <c r="AN41" s="100"/>
      <c r="AO41" s="100"/>
      <c r="AP41" s="100"/>
      <c r="AQ41" s="100"/>
      <c r="AR41" s="100"/>
      <c r="AS41" s="101"/>
      <c r="AT41" s="15"/>
      <c r="AU41" s="9" t="str">
        <f>IF(AT$37="供应商 purchased",OKText,IF(ISBLANK(AT41),IncompleteText,IF(AT41,OKText,ErrorText)))</f>
        <v>OK</v>
      </c>
      <c r="AW41" s="168"/>
      <c r="AX41" s="169"/>
      <c r="AY41" s="169"/>
      <c r="AZ41" s="169"/>
      <c r="BA41" s="169"/>
      <c r="BB41" s="169"/>
      <c r="BC41" s="169"/>
      <c r="BD41" s="169"/>
      <c r="BE41" s="169"/>
      <c r="BF41" s="169"/>
      <c r="BG41" s="170"/>
    </row>
    <row r="42" spans="1:59" x14ac:dyDescent="0.3">
      <c r="A42" s="218" t="s">
        <v>602</v>
      </c>
      <c r="B42" s="218"/>
      <c r="C42" s="118" t="s">
        <v>603</v>
      </c>
      <c r="D42" s="118"/>
      <c r="E42" s="118"/>
      <c r="F42" s="118"/>
      <c r="G42" s="118"/>
      <c r="H42" s="118"/>
      <c r="I42" s="119"/>
      <c r="J42" s="15" t="b">
        <v>1</v>
      </c>
      <c r="K42" s="9" t="str">
        <f t="shared" si="0"/>
        <v>OK</v>
      </c>
      <c r="M42" s="93" t="s">
        <v>321</v>
      </c>
      <c r="N42" s="93"/>
      <c r="O42" s="93"/>
      <c r="P42" s="93"/>
      <c r="Q42" s="93"/>
      <c r="R42" s="93"/>
      <c r="S42" s="93"/>
      <c r="T42" s="93"/>
      <c r="U42" s="93"/>
      <c r="V42" s="245" t="s">
        <v>269</v>
      </c>
      <c r="W42" s="246"/>
      <c r="Y42" s="93" t="s">
        <v>321</v>
      </c>
      <c r="Z42" s="93"/>
      <c r="AA42" s="93"/>
      <c r="AB42" s="93"/>
      <c r="AC42" s="93"/>
      <c r="AD42" s="93"/>
      <c r="AE42" s="93"/>
      <c r="AF42" s="93"/>
      <c r="AG42" s="247"/>
      <c r="AH42" s="248" t="s">
        <v>269</v>
      </c>
      <c r="AI42" s="249"/>
      <c r="AK42" s="118" t="s">
        <v>604</v>
      </c>
      <c r="AL42" s="118"/>
      <c r="AM42" s="118"/>
      <c r="AN42" s="118"/>
      <c r="AO42" s="118"/>
      <c r="AP42" s="118"/>
      <c r="AQ42" s="118"/>
      <c r="AR42" s="118"/>
      <c r="AS42" s="119"/>
      <c r="AT42" s="15"/>
      <c r="AU42" s="9" t="str">
        <f>IF(AT$37="供应商 purchased",OKText,IF(ISBLANK(AT42),IncompleteText,IF(ISBLANK(AT42),ErrorText,OKText)))</f>
        <v>OK</v>
      </c>
      <c r="AW42" s="168"/>
      <c r="AX42" s="169"/>
      <c r="AY42" s="169"/>
      <c r="AZ42" s="169"/>
      <c r="BA42" s="169"/>
      <c r="BB42" s="169"/>
      <c r="BC42" s="169"/>
      <c r="BD42" s="169"/>
      <c r="BE42" s="169"/>
      <c r="BF42" s="169"/>
      <c r="BG42" s="170"/>
    </row>
    <row r="43" spans="1:59" ht="14" customHeight="1" x14ac:dyDescent="0.3">
      <c r="A43" s="218" t="s">
        <v>605</v>
      </c>
      <c r="B43" s="218"/>
      <c r="C43" s="118" t="s">
        <v>606</v>
      </c>
      <c r="D43" s="118"/>
      <c r="E43" s="118"/>
      <c r="F43" s="118"/>
      <c r="G43" s="118"/>
      <c r="H43" s="118"/>
      <c r="I43" s="119"/>
      <c r="J43" s="15" t="b">
        <v>1</v>
      </c>
      <c r="K43" s="9" t="str">
        <f t="shared" si="0"/>
        <v>OK</v>
      </c>
      <c r="M43" s="254" t="s">
        <v>607</v>
      </c>
      <c r="N43" s="255"/>
      <c r="O43" s="255"/>
      <c r="P43" s="255"/>
      <c r="Q43" s="255"/>
      <c r="R43" s="255"/>
      <c r="S43" s="255"/>
      <c r="T43" s="255"/>
      <c r="U43" s="255"/>
      <c r="V43" s="140" t="s">
        <v>553</v>
      </c>
      <c r="W43" s="149"/>
      <c r="Y43" s="267" t="s">
        <v>608</v>
      </c>
      <c r="Z43" s="178"/>
      <c r="AA43" s="178"/>
      <c r="AB43" s="178"/>
      <c r="AC43" s="178"/>
      <c r="AD43" s="178"/>
      <c r="AE43" s="178"/>
      <c r="AF43" s="178"/>
      <c r="AG43" s="268"/>
      <c r="AH43" s="256" t="s">
        <v>609</v>
      </c>
      <c r="AI43" s="257"/>
      <c r="AK43" s="118" t="s">
        <v>610</v>
      </c>
      <c r="AL43" s="118"/>
      <c r="AM43" s="118"/>
      <c r="AN43" s="118"/>
      <c r="AO43" s="118"/>
      <c r="AP43" s="118"/>
      <c r="AQ43" s="118"/>
      <c r="AR43" s="118"/>
      <c r="AS43" s="119"/>
      <c r="AT43" s="15"/>
      <c r="AU43" s="9" t="str">
        <f>IF(AT$37="供应商 purchased",OKText,IF(ISBLANK(AT43),IncompleteText,IF(AT43,OKText,ErrorText)))</f>
        <v>OK</v>
      </c>
      <c r="AW43" s="168"/>
      <c r="AX43" s="169"/>
      <c r="AY43" s="169"/>
      <c r="AZ43" s="169"/>
      <c r="BA43" s="169"/>
      <c r="BB43" s="169"/>
      <c r="BC43" s="169"/>
      <c r="BD43" s="169"/>
      <c r="BE43" s="169"/>
      <c r="BF43" s="169"/>
      <c r="BG43" s="170"/>
    </row>
    <row r="44" spans="1:59" x14ac:dyDescent="0.3">
      <c r="A44" s="218" t="s">
        <v>611</v>
      </c>
      <c r="B44" s="218"/>
      <c r="C44" s="118" t="s">
        <v>612</v>
      </c>
      <c r="D44" s="118"/>
      <c r="E44" s="118"/>
      <c r="F44" s="118"/>
      <c r="G44" s="118"/>
      <c r="H44" s="118"/>
      <c r="I44" s="119"/>
      <c r="J44" s="15" t="b">
        <v>1</v>
      </c>
      <c r="K44" s="9" t="str">
        <f t="shared" si="0"/>
        <v>OK</v>
      </c>
      <c r="M44" s="254"/>
      <c r="N44" s="255"/>
      <c r="O44" s="255"/>
      <c r="P44" s="255"/>
      <c r="Q44" s="255"/>
      <c r="R44" s="255"/>
      <c r="S44" s="255"/>
      <c r="T44" s="255"/>
      <c r="U44" s="255"/>
      <c r="V44" s="149"/>
      <c r="W44" s="149"/>
      <c r="Y44" s="177"/>
      <c r="Z44" s="178"/>
      <c r="AA44" s="178"/>
      <c r="AB44" s="178"/>
      <c r="AC44" s="178"/>
      <c r="AD44" s="178"/>
      <c r="AE44" s="178"/>
      <c r="AF44" s="178"/>
      <c r="AG44" s="268"/>
      <c r="AH44" s="258"/>
      <c r="AI44" s="259"/>
      <c r="AK44" s="118" t="s">
        <v>613</v>
      </c>
      <c r="AL44" s="118"/>
      <c r="AM44" s="118"/>
      <c r="AN44" s="118"/>
      <c r="AO44" s="118"/>
      <c r="AP44" s="118"/>
      <c r="AQ44" s="118"/>
      <c r="AR44" s="118"/>
      <c r="AS44" s="119"/>
      <c r="AT44" s="15" t="s">
        <v>153</v>
      </c>
      <c r="AU44" s="9" t="str">
        <f>IF(ISBLANK(AT44),IncompleteText,IF(ISBLANK(AT44),ErrorText,OKText))</f>
        <v>OK</v>
      </c>
      <c r="AW44" s="168"/>
      <c r="AX44" s="169"/>
      <c r="AY44" s="169"/>
      <c r="AZ44" s="169"/>
      <c r="BA44" s="169"/>
      <c r="BB44" s="169"/>
      <c r="BC44" s="169"/>
      <c r="BD44" s="169"/>
      <c r="BE44" s="169"/>
      <c r="BF44" s="169"/>
      <c r="BG44" s="170"/>
    </row>
    <row r="45" spans="1:59" x14ac:dyDescent="0.3">
      <c r="A45" s="218" t="s">
        <v>611</v>
      </c>
      <c r="B45" s="218"/>
      <c r="C45" s="118" t="s">
        <v>614</v>
      </c>
      <c r="D45" s="118"/>
      <c r="E45" s="118"/>
      <c r="F45" s="118"/>
      <c r="G45" s="118"/>
      <c r="H45" s="118"/>
      <c r="I45" s="119"/>
      <c r="J45" s="15" t="b">
        <v>1</v>
      </c>
      <c r="K45" s="9" t="str">
        <f t="shared" si="0"/>
        <v>OK</v>
      </c>
      <c r="M45" s="254"/>
      <c r="N45" s="255"/>
      <c r="O45" s="255"/>
      <c r="P45" s="255"/>
      <c r="Q45" s="255"/>
      <c r="R45" s="255"/>
      <c r="S45" s="255"/>
      <c r="T45" s="255"/>
      <c r="U45" s="255"/>
      <c r="V45" s="149"/>
      <c r="W45" s="149"/>
      <c r="Y45" s="177"/>
      <c r="Z45" s="178"/>
      <c r="AA45" s="178"/>
      <c r="AB45" s="178"/>
      <c r="AC45" s="178"/>
      <c r="AD45" s="178"/>
      <c r="AE45" s="178"/>
      <c r="AF45" s="178"/>
      <c r="AG45" s="268"/>
      <c r="AH45" s="258"/>
      <c r="AI45" s="259"/>
      <c r="AK45" s="118" t="s">
        <v>615</v>
      </c>
      <c r="AL45" s="118"/>
      <c r="AM45" s="118"/>
      <c r="AN45" s="118"/>
      <c r="AO45" s="118"/>
      <c r="AP45" s="118"/>
      <c r="AQ45" s="118"/>
      <c r="AR45" s="118"/>
      <c r="AS45" s="119"/>
      <c r="AT45" s="17">
        <f>VLOOKUP(AT44,FuseTable,2,FALSE)</f>
        <v>1000</v>
      </c>
      <c r="AU45" s="9" t="str">
        <f>IF(ISNA(AT45),IncompleteText,OKText)</f>
        <v>OK</v>
      </c>
      <c r="AW45" s="168"/>
      <c r="AX45" s="169"/>
      <c r="AY45" s="169"/>
      <c r="AZ45" s="169"/>
      <c r="BA45" s="169"/>
      <c r="BB45" s="169"/>
      <c r="BC45" s="169"/>
      <c r="BD45" s="169"/>
      <c r="BE45" s="169"/>
      <c r="BF45" s="169"/>
      <c r="BG45" s="170"/>
    </row>
    <row r="46" spans="1:59" ht="17.399999999999999" customHeight="1" x14ac:dyDescent="0.3">
      <c r="A46" s="218" t="s">
        <v>553</v>
      </c>
      <c r="B46" s="218"/>
      <c r="C46" s="118" t="s">
        <v>552</v>
      </c>
      <c r="D46" s="118"/>
      <c r="E46" s="118"/>
      <c r="F46" s="118"/>
      <c r="G46" s="118"/>
      <c r="H46" s="118"/>
      <c r="I46" s="119"/>
      <c r="J46" s="15" t="b">
        <v>1</v>
      </c>
      <c r="K46" s="9" t="str">
        <f t="shared" si="0"/>
        <v>OK</v>
      </c>
      <c r="M46" s="254"/>
      <c r="N46" s="255"/>
      <c r="O46" s="255"/>
      <c r="P46" s="255"/>
      <c r="Q46" s="255"/>
      <c r="R46" s="255"/>
      <c r="S46" s="255"/>
      <c r="T46" s="255"/>
      <c r="U46" s="255"/>
      <c r="V46" s="149"/>
      <c r="W46" s="149"/>
      <c r="Y46" s="177"/>
      <c r="Z46" s="178"/>
      <c r="AA46" s="178"/>
      <c r="AB46" s="178"/>
      <c r="AC46" s="178"/>
      <c r="AD46" s="178"/>
      <c r="AE46" s="178"/>
      <c r="AF46" s="178"/>
      <c r="AG46" s="268"/>
      <c r="AH46" s="260"/>
      <c r="AI46" s="261"/>
      <c r="AK46" s="100" t="s">
        <v>616</v>
      </c>
      <c r="AL46" s="100"/>
      <c r="AM46" s="100"/>
      <c r="AN46" s="100"/>
      <c r="AO46" s="100"/>
      <c r="AP46" s="100"/>
      <c r="AQ46" s="100"/>
      <c r="AR46" s="100"/>
      <c r="AS46" s="101"/>
      <c r="AT46" s="15" t="b">
        <v>1</v>
      </c>
      <c r="AU46" s="9" t="str">
        <f>IF(ISBLANK(AT46),IncompleteText,IF(AT46,OKText,ErrorText))</f>
        <v>OK</v>
      </c>
      <c r="AW46" s="171"/>
      <c r="AX46" s="172"/>
      <c r="AY46" s="172"/>
      <c r="AZ46" s="172"/>
      <c r="BA46" s="172"/>
      <c r="BB46" s="172"/>
      <c r="BC46" s="172"/>
      <c r="BD46" s="172"/>
      <c r="BE46" s="172"/>
      <c r="BF46" s="172"/>
      <c r="BG46" s="173"/>
    </row>
    <row r="47" spans="1:59" x14ac:dyDescent="0.3">
      <c r="A47" s="218" t="s">
        <v>617</v>
      </c>
      <c r="B47" s="218"/>
      <c r="C47" s="118" t="s">
        <v>618</v>
      </c>
      <c r="D47" s="118"/>
      <c r="E47" s="118"/>
      <c r="F47" s="118"/>
      <c r="G47" s="118"/>
      <c r="H47" s="118"/>
      <c r="I47" s="119"/>
      <c r="J47" s="15" t="b">
        <v>1</v>
      </c>
      <c r="K47" s="9" t="str">
        <f t="shared" si="0"/>
        <v>OK</v>
      </c>
      <c r="AK47" s="118" t="s">
        <v>619</v>
      </c>
      <c r="AL47" s="118"/>
      <c r="AM47" s="118"/>
      <c r="AN47" s="118"/>
      <c r="AO47" s="118"/>
      <c r="AP47" s="118"/>
      <c r="AQ47" s="118"/>
      <c r="AR47" s="118"/>
      <c r="AS47" s="119"/>
      <c r="AT47" s="15" t="b">
        <v>1</v>
      </c>
      <c r="AU47" s="9" t="str">
        <f>IF(ISBLANK(AT47),IncompleteText,IF(AT47,OKText,ErrorText))</f>
        <v>OK</v>
      </c>
    </row>
    <row r="48" spans="1:59" ht="33" customHeight="1" x14ac:dyDescent="0.3">
      <c r="A48" s="218" t="s">
        <v>620</v>
      </c>
      <c r="B48" s="218"/>
      <c r="C48" s="130" t="s">
        <v>621</v>
      </c>
      <c r="D48" s="130"/>
      <c r="E48" s="130"/>
      <c r="F48" s="130"/>
      <c r="G48" s="130"/>
      <c r="H48" s="130"/>
      <c r="I48" s="131"/>
      <c r="J48" s="23" t="b">
        <v>1</v>
      </c>
      <c r="K48" s="6" t="str">
        <f t="shared" si="0"/>
        <v>OK</v>
      </c>
      <c r="AK48" s="118" t="s">
        <v>622</v>
      </c>
      <c r="AL48" s="118"/>
      <c r="AM48" s="118"/>
      <c r="AN48" s="118"/>
      <c r="AO48" s="118"/>
      <c r="AP48" s="118"/>
      <c r="AQ48" s="118"/>
      <c r="AR48" s="118"/>
      <c r="AS48" s="118"/>
      <c r="AT48" s="15" t="b">
        <v>1</v>
      </c>
      <c r="AU48" s="9" t="str">
        <f>IF(ISBLANK(AT48),IncompleteText,IF(AT48,OKText,ErrorText))</f>
        <v>OK</v>
      </c>
    </row>
    <row r="49" spans="1:59" x14ac:dyDescent="0.3">
      <c r="A49" s="218" t="s">
        <v>623</v>
      </c>
      <c r="B49" s="218"/>
      <c r="C49" s="118" t="s">
        <v>624</v>
      </c>
      <c r="D49" s="118"/>
      <c r="E49" s="118"/>
      <c r="F49" s="118"/>
      <c r="G49" s="118"/>
      <c r="H49" s="118"/>
      <c r="I49" s="119"/>
      <c r="J49" s="15" t="b">
        <v>1</v>
      </c>
      <c r="K49" s="9" t="str">
        <f t="shared" si="0"/>
        <v>OK</v>
      </c>
      <c r="Y49" s="93" t="s">
        <v>625</v>
      </c>
      <c r="Z49" s="93"/>
      <c r="AA49" s="93"/>
      <c r="AB49" s="93"/>
      <c r="AC49" s="93"/>
      <c r="AD49" s="93"/>
      <c r="AE49" s="93"/>
      <c r="AF49" s="93"/>
      <c r="AG49" s="93"/>
      <c r="AH49" s="93"/>
      <c r="AI49" s="196" t="str">
        <f>IF(COUNTIF(AI51:AI52,"="&amp;IncompleteText),IncompleteText,IF(COUNTIF(AI51:AI52,"="&amp;ErrorText),ErrorText,OKText))</f>
        <v>OK</v>
      </c>
    </row>
    <row r="50" spans="1:59" x14ac:dyDescent="0.3">
      <c r="A50" s="218" t="s">
        <v>626</v>
      </c>
      <c r="B50" s="218"/>
      <c r="C50" s="118" t="s">
        <v>627</v>
      </c>
      <c r="D50" s="118"/>
      <c r="E50" s="118"/>
      <c r="F50" s="118"/>
      <c r="G50" s="118"/>
      <c r="H50" s="118"/>
      <c r="I50" s="119"/>
      <c r="J50" s="15" t="b">
        <v>1</v>
      </c>
      <c r="K50" s="9" t="str">
        <f t="shared" si="0"/>
        <v>OK</v>
      </c>
      <c r="Y50" s="94" t="s">
        <v>628</v>
      </c>
      <c r="Z50" s="94"/>
      <c r="AA50" s="94"/>
      <c r="AB50" s="94"/>
      <c r="AC50" s="94"/>
      <c r="AD50" s="94"/>
      <c r="AE50" s="94"/>
      <c r="AF50" s="94"/>
      <c r="AG50" s="94"/>
      <c r="AH50" s="94"/>
      <c r="AI50" s="196"/>
      <c r="AK50" s="154" t="s">
        <v>629</v>
      </c>
      <c r="AL50" s="152"/>
      <c r="AM50" s="152"/>
      <c r="AN50" s="152"/>
      <c r="AO50" s="152"/>
      <c r="AP50" s="152"/>
      <c r="AQ50" s="152"/>
      <c r="AR50" s="152"/>
      <c r="AS50" s="152"/>
      <c r="AT50" s="152"/>
      <c r="AU50" s="152"/>
      <c r="AW50" s="154" t="s">
        <v>630</v>
      </c>
      <c r="AX50" s="152"/>
      <c r="AY50" s="152"/>
      <c r="AZ50" s="152"/>
      <c r="BA50" s="152"/>
      <c r="BB50" s="152"/>
      <c r="BC50" s="152"/>
      <c r="BD50" s="152"/>
      <c r="BE50" s="152"/>
      <c r="BF50" s="152"/>
      <c r="BG50" s="152"/>
    </row>
    <row r="51" spans="1:59" x14ac:dyDescent="0.3">
      <c r="A51" s="218"/>
      <c r="B51" s="218"/>
      <c r="C51" s="118" t="s">
        <v>631</v>
      </c>
      <c r="D51" s="118"/>
      <c r="E51" s="118"/>
      <c r="F51" s="118"/>
      <c r="G51" s="118"/>
      <c r="H51" s="118"/>
      <c r="I51" s="119"/>
      <c r="J51" s="15" t="b">
        <v>1</v>
      </c>
      <c r="K51" s="9" t="str">
        <f t="shared" si="0"/>
        <v>OK</v>
      </c>
      <c r="Y51" s="118" t="s">
        <v>632</v>
      </c>
      <c r="Z51" s="118"/>
      <c r="AA51" s="118"/>
      <c r="AB51" s="118"/>
      <c r="AC51" s="118"/>
      <c r="AD51" s="118"/>
      <c r="AE51" s="118"/>
      <c r="AF51" s="118"/>
      <c r="AG51" s="119"/>
      <c r="AH51" s="15" t="b">
        <v>1</v>
      </c>
      <c r="AI51" s="9" t="str">
        <f>IF(ISBLANK(AH51),IncompleteText,IF(AH51,OKText,ErrorText))</f>
        <v>OK</v>
      </c>
      <c r="AK51" s="152"/>
      <c r="AL51" s="152"/>
      <c r="AM51" s="152"/>
      <c r="AN51" s="152"/>
      <c r="AO51" s="152"/>
      <c r="AP51" s="152"/>
      <c r="AQ51" s="152"/>
      <c r="AR51" s="152"/>
      <c r="AS51" s="152"/>
      <c r="AT51" s="152"/>
      <c r="AU51" s="152"/>
      <c r="AW51" s="152"/>
      <c r="AX51" s="152"/>
      <c r="AY51" s="152"/>
      <c r="AZ51" s="152"/>
      <c r="BA51" s="152"/>
      <c r="BB51" s="152"/>
      <c r="BC51" s="152"/>
      <c r="BD51" s="152"/>
      <c r="BE51" s="152"/>
      <c r="BF51" s="152"/>
      <c r="BG51" s="152"/>
    </row>
    <row r="52" spans="1:59" x14ac:dyDescent="0.3">
      <c r="A52" s="218"/>
      <c r="B52" s="218"/>
      <c r="C52" s="118" t="s">
        <v>633</v>
      </c>
      <c r="D52" s="118"/>
      <c r="E52" s="118"/>
      <c r="F52" s="118"/>
      <c r="G52" s="118"/>
      <c r="H52" s="118"/>
      <c r="I52" s="119"/>
      <c r="J52" s="15" t="b">
        <v>1</v>
      </c>
      <c r="K52" s="9" t="str">
        <f t="shared" si="0"/>
        <v>OK</v>
      </c>
      <c r="Y52" s="118" t="s">
        <v>634</v>
      </c>
      <c r="Z52" s="118"/>
      <c r="AA52" s="118"/>
      <c r="AB52" s="118"/>
      <c r="AC52" s="118"/>
      <c r="AD52" s="118"/>
      <c r="AE52" s="118"/>
      <c r="AF52" s="118"/>
      <c r="AG52" s="119"/>
      <c r="AH52" s="15" t="b">
        <v>1</v>
      </c>
      <c r="AI52" s="9" t="str">
        <f>IF(ISBLANK(AH52),IncompleteText,IF(AH52,OKText,ErrorText))</f>
        <v>OK</v>
      </c>
      <c r="AK52" s="152"/>
      <c r="AL52" s="152"/>
      <c r="AM52" s="152"/>
      <c r="AN52" s="152"/>
      <c r="AO52" s="152"/>
      <c r="AP52" s="152"/>
      <c r="AQ52" s="152"/>
      <c r="AR52" s="152"/>
      <c r="AS52" s="152"/>
      <c r="AT52" s="152"/>
      <c r="AU52" s="152"/>
      <c r="AW52" s="152"/>
      <c r="AX52" s="152"/>
      <c r="AY52" s="152"/>
      <c r="AZ52" s="152"/>
      <c r="BA52" s="152"/>
      <c r="BB52" s="152"/>
      <c r="BC52" s="152"/>
      <c r="BD52" s="152"/>
      <c r="BE52" s="152"/>
      <c r="BF52" s="152"/>
      <c r="BG52" s="152"/>
    </row>
    <row r="53" spans="1:59" x14ac:dyDescent="0.3">
      <c r="A53" s="218" t="s">
        <v>299</v>
      </c>
      <c r="B53" s="218"/>
      <c r="C53" s="118" t="s">
        <v>635</v>
      </c>
      <c r="D53" s="118"/>
      <c r="E53" s="118"/>
      <c r="F53" s="118"/>
      <c r="G53" s="118"/>
      <c r="H53" s="118"/>
      <c r="I53" s="119"/>
      <c r="J53" s="15" t="b">
        <v>1</v>
      </c>
      <c r="K53" s="9" t="str">
        <f t="shared" si="0"/>
        <v>OK</v>
      </c>
      <c r="AK53" s="152"/>
      <c r="AL53" s="152"/>
      <c r="AM53" s="152"/>
      <c r="AN53" s="152"/>
      <c r="AO53" s="152"/>
      <c r="AP53" s="152"/>
      <c r="AQ53" s="152"/>
      <c r="AR53" s="152"/>
      <c r="AS53" s="152"/>
      <c r="AT53" s="152"/>
      <c r="AU53" s="152"/>
      <c r="AW53" s="152"/>
      <c r="AX53" s="152"/>
      <c r="AY53" s="152"/>
      <c r="AZ53" s="152"/>
      <c r="BA53" s="152"/>
      <c r="BB53" s="152"/>
      <c r="BC53" s="152"/>
      <c r="BD53" s="152"/>
      <c r="BE53" s="152"/>
      <c r="BF53" s="152"/>
      <c r="BG53" s="152"/>
    </row>
    <row r="54" spans="1:59" x14ac:dyDescent="0.3">
      <c r="A54" s="218" t="s">
        <v>636</v>
      </c>
      <c r="B54" s="218"/>
      <c r="C54" s="118" t="s">
        <v>637</v>
      </c>
      <c r="D54" s="118"/>
      <c r="E54" s="118"/>
      <c r="F54" s="118"/>
      <c r="G54" s="118"/>
      <c r="H54" s="118"/>
      <c r="I54" s="119"/>
      <c r="J54" s="15" t="b">
        <v>1</v>
      </c>
      <c r="K54" s="9" t="str">
        <f t="shared" si="0"/>
        <v>OK</v>
      </c>
      <c r="AK54" s="152"/>
      <c r="AL54" s="152"/>
      <c r="AM54" s="152"/>
      <c r="AN54" s="152"/>
      <c r="AO54" s="152"/>
      <c r="AP54" s="152"/>
      <c r="AQ54" s="152"/>
      <c r="AR54" s="152"/>
      <c r="AS54" s="152"/>
      <c r="AT54" s="152"/>
      <c r="AU54" s="152"/>
      <c r="AW54" s="152"/>
      <c r="AX54" s="152"/>
      <c r="AY54" s="152"/>
      <c r="AZ54" s="152"/>
      <c r="BA54" s="152"/>
      <c r="BB54" s="152"/>
      <c r="BC54" s="152"/>
      <c r="BD54" s="152"/>
      <c r="BE54" s="152"/>
      <c r="BF54" s="152"/>
      <c r="BG54" s="152"/>
    </row>
    <row r="55" spans="1:59" x14ac:dyDescent="0.3">
      <c r="A55" s="218"/>
      <c r="B55" s="218"/>
      <c r="C55" s="118" t="s">
        <v>638</v>
      </c>
      <c r="D55" s="118"/>
      <c r="E55" s="118"/>
      <c r="F55" s="118"/>
      <c r="G55" s="118"/>
      <c r="H55" s="118"/>
      <c r="I55" s="119"/>
      <c r="J55" s="15" t="b">
        <v>1</v>
      </c>
      <c r="K55" s="9" t="str">
        <f t="shared" si="0"/>
        <v>OK</v>
      </c>
      <c r="Y55" s="93" t="s">
        <v>639</v>
      </c>
      <c r="Z55" s="93"/>
      <c r="AA55" s="93"/>
      <c r="AB55" s="93"/>
      <c r="AC55" s="93"/>
      <c r="AD55" s="93"/>
      <c r="AE55" s="93"/>
      <c r="AF55" s="93"/>
      <c r="AG55" s="93"/>
      <c r="AH55" s="93"/>
      <c r="AI55" s="196" t="str">
        <f>IF(COUNTIF(AI58:AI63,"="&amp;IncompleteText),IncompleteText,IF(COUNTIF(AI58:AI63,"="&amp;ErrorText),ErrorText,OKText))</f>
        <v>OK</v>
      </c>
      <c r="AK55" s="152"/>
      <c r="AL55" s="152"/>
      <c r="AM55" s="152"/>
      <c r="AN55" s="152"/>
      <c r="AO55" s="152"/>
      <c r="AP55" s="152"/>
      <c r="AQ55" s="152"/>
      <c r="AR55" s="152"/>
      <c r="AS55" s="152"/>
      <c r="AT55" s="152"/>
      <c r="AU55" s="152"/>
      <c r="AW55" s="152"/>
      <c r="AX55" s="152"/>
      <c r="AY55" s="152"/>
      <c r="AZ55" s="152"/>
      <c r="BA55" s="152"/>
      <c r="BB55" s="152"/>
      <c r="BC55" s="152"/>
      <c r="BD55" s="152"/>
      <c r="BE55" s="152"/>
      <c r="BF55" s="152"/>
      <c r="BG55" s="152"/>
    </row>
    <row r="56" spans="1:59" x14ac:dyDescent="0.3">
      <c r="A56" s="218"/>
      <c r="B56" s="218"/>
      <c r="C56" s="118" t="s">
        <v>640</v>
      </c>
      <c r="D56" s="118"/>
      <c r="E56" s="118"/>
      <c r="F56" s="118"/>
      <c r="G56" s="118"/>
      <c r="H56" s="118"/>
      <c r="I56" s="119"/>
      <c r="J56" s="15" t="b">
        <v>1</v>
      </c>
      <c r="K56" s="9" t="str">
        <f t="shared" si="0"/>
        <v>OK</v>
      </c>
      <c r="Y56" s="94" t="s">
        <v>641</v>
      </c>
      <c r="Z56" s="94"/>
      <c r="AA56" s="94"/>
      <c r="AB56" s="94"/>
      <c r="AC56" s="94"/>
      <c r="AD56" s="94"/>
      <c r="AE56" s="94"/>
      <c r="AF56" s="94"/>
      <c r="AG56" s="94"/>
      <c r="AH56" s="94"/>
      <c r="AI56" s="196"/>
      <c r="AK56" s="152"/>
      <c r="AL56" s="152"/>
      <c r="AM56" s="152"/>
      <c r="AN56" s="152"/>
      <c r="AO56" s="152"/>
      <c r="AP56" s="152"/>
      <c r="AQ56" s="152"/>
      <c r="AR56" s="152"/>
      <c r="AS56" s="152"/>
      <c r="AT56" s="152"/>
      <c r="AU56" s="152"/>
      <c r="AW56" s="152"/>
      <c r="AX56" s="152"/>
      <c r="AY56" s="152"/>
      <c r="AZ56" s="152"/>
      <c r="BA56" s="152"/>
      <c r="BB56" s="152"/>
      <c r="BC56" s="152"/>
      <c r="BD56" s="152"/>
      <c r="BE56" s="152"/>
      <c r="BF56" s="152"/>
      <c r="BG56" s="152"/>
    </row>
    <row r="57" spans="1:59" x14ac:dyDescent="0.3">
      <c r="A57" s="218" t="s">
        <v>642</v>
      </c>
      <c r="B57" s="218"/>
      <c r="C57" s="118" t="s">
        <v>643</v>
      </c>
      <c r="D57" s="118"/>
      <c r="E57" s="118"/>
      <c r="F57" s="118"/>
      <c r="G57" s="118"/>
      <c r="H57" s="118"/>
      <c r="I57" s="119"/>
      <c r="J57" s="15" t="b">
        <v>1</v>
      </c>
      <c r="K57" s="9" t="str">
        <f t="shared" si="0"/>
        <v>OK</v>
      </c>
      <c r="Y57" s="250" t="s">
        <v>644</v>
      </c>
      <c r="Z57" s="250"/>
      <c r="AA57" s="250"/>
      <c r="AB57" s="250"/>
      <c r="AC57" s="250"/>
      <c r="AD57" s="250"/>
      <c r="AE57" s="250"/>
      <c r="AF57" s="250"/>
      <c r="AG57" s="25" t="s">
        <v>645</v>
      </c>
      <c r="AH57" s="25" t="s">
        <v>646</v>
      </c>
      <c r="AI57" s="196"/>
      <c r="AK57" s="152"/>
      <c r="AL57" s="152"/>
      <c r="AM57" s="152"/>
      <c r="AN57" s="152"/>
      <c r="AO57" s="152"/>
      <c r="AP57" s="152"/>
      <c r="AQ57" s="152"/>
      <c r="AR57" s="152"/>
      <c r="AS57" s="152"/>
      <c r="AT57" s="152"/>
      <c r="AU57" s="152"/>
      <c r="AW57" s="152"/>
      <c r="AX57" s="152"/>
      <c r="AY57" s="152"/>
      <c r="AZ57" s="152"/>
      <c r="BA57" s="152"/>
      <c r="BB57" s="152"/>
      <c r="BC57" s="152"/>
      <c r="BD57" s="152"/>
      <c r="BE57" s="152"/>
      <c r="BF57" s="152"/>
      <c r="BG57" s="152"/>
    </row>
    <row r="58" spans="1:59" x14ac:dyDescent="0.3">
      <c r="A58" s="218"/>
      <c r="B58" s="218"/>
      <c r="C58" s="118" t="s">
        <v>647</v>
      </c>
      <c r="D58" s="118"/>
      <c r="E58" s="118"/>
      <c r="F58" s="118"/>
      <c r="G58" s="118"/>
      <c r="H58" s="118"/>
      <c r="I58" s="119"/>
      <c r="J58" s="15" t="b">
        <v>1</v>
      </c>
      <c r="K58" s="9" t="str">
        <f t="shared" si="0"/>
        <v>OK</v>
      </c>
      <c r="Y58" s="118" t="s">
        <v>648</v>
      </c>
      <c r="Z58" s="118"/>
      <c r="AA58" s="118"/>
      <c r="AB58" s="118"/>
      <c r="AC58" s="118"/>
      <c r="AD58" s="118"/>
      <c r="AE58" s="118"/>
      <c r="AF58" s="119"/>
      <c r="AG58" s="15" t="s">
        <v>649</v>
      </c>
      <c r="AH58" s="15" t="s">
        <v>649</v>
      </c>
      <c r="AI58" s="9" t="str">
        <f>IF(OR(ISBLANK(AG58),ISBLANK(AH58)),IncompleteText,IF(AND(AH58="熄灭 OFF",AG58="熄灭 OFF"),OKText,ErrorText))</f>
        <v>OK</v>
      </c>
      <c r="AK58" s="152"/>
      <c r="AL58" s="152"/>
      <c r="AM58" s="152"/>
      <c r="AN58" s="152"/>
      <c r="AO58" s="152"/>
      <c r="AP58" s="152"/>
      <c r="AQ58" s="152"/>
      <c r="AR58" s="152"/>
      <c r="AS58" s="152"/>
      <c r="AT58" s="152"/>
      <c r="AU58" s="152"/>
      <c r="AW58" s="152"/>
      <c r="AX58" s="152"/>
      <c r="AY58" s="152"/>
      <c r="AZ58" s="152"/>
      <c r="BA58" s="152"/>
      <c r="BB58" s="152"/>
      <c r="BC58" s="152"/>
      <c r="BD58" s="152"/>
      <c r="BE58" s="152"/>
      <c r="BF58" s="152"/>
      <c r="BG58" s="152"/>
    </row>
    <row r="59" spans="1:59" x14ac:dyDescent="0.3">
      <c r="A59" s="218"/>
      <c r="B59" s="218"/>
      <c r="C59" s="118" t="s">
        <v>650</v>
      </c>
      <c r="D59" s="118"/>
      <c r="E59" s="118"/>
      <c r="F59" s="118"/>
      <c r="G59" s="118"/>
      <c r="H59" s="118"/>
      <c r="I59" s="119"/>
      <c r="J59" s="15" t="b">
        <v>1</v>
      </c>
      <c r="K59" s="9" t="str">
        <f t="shared" si="0"/>
        <v>OK</v>
      </c>
      <c r="Y59" s="118" t="s">
        <v>651</v>
      </c>
      <c r="Z59" s="118"/>
      <c r="AA59" s="118"/>
      <c r="AB59" s="118"/>
      <c r="AC59" s="118"/>
      <c r="AD59" s="118"/>
      <c r="AE59" s="118"/>
      <c r="AF59" s="119"/>
      <c r="AG59" s="15" t="s">
        <v>652</v>
      </c>
      <c r="AH59" s="15" t="s">
        <v>649</v>
      </c>
      <c r="AI59" s="9" t="str">
        <f>IF(OR(ISBLANK(AG59),ISBLANK(AH59)),IncompleteText,IF(AND(AG59="常亮 ON",AH59="熄灭 OFF"),OKText,ErrorText))</f>
        <v>OK</v>
      </c>
      <c r="AK59" s="152"/>
      <c r="AL59" s="152"/>
      <c r="AM59" s="152"/>
      <c r="AN59" s="152"/>
      <c r="AO59" s="152"/>
      <c r="AP59" s="152"/>
      <c r="AQ59" s="152"/>
      <c r="AR59" s="152"/>
      <c r="AS59" s="152"/>
      <c r="AT59" s="152"/>
      <c r="AU59" s="152"/>
      <c r="AW59" s="152"/>
      <c r="AX59" s="152"/>
      <c r="AY59" s="152"/>
      <c r="AZ59" s="152"/>
      <c r="BA59" s="152"/>
      <c r="BB59" s="152"/>
      <c r="BC59" s="152"/>
      <c r="BD59" s="152"/>
      <c r="BE59" s="152"/>
      <c r="BF59" s="152"/>
      <c r="BG59" s="152"/>
    </row>
    <row r="60" spans="1:59" s="18" customFormat="1" ht="42" customHeight="1" x14ac:dyDescent="0.3">
      <c r="A60" s="218"/>
      <c r="B60" s="218"/>
      <c r="C60" s="118" t="s">
        <v>653</v>
      </c>
      <c r="D60" s="118"/>
      <c r="E60" s="118"/>
      <c r="F60" s="118"/>
      <c r="G60" s="118"/>
      <c r="H60" s="118"/>
      <c r="I60" s="119"/>
      <c r="J60" s="23" t="b">
        <v>1</v>
      </c>
      <c r="K60" s="6" t="str">
        <f t="shared" si="0"/>
        <v>OK</v>
      </c>
      <c r="Y60" s="130" t="s">
        <v>654</v>
      </c>
      <c r="Z60" s="130"/>
      <c r="AA60" s="130"/>
      <c r="AB60" s="130"/>
      <c r="AC60" s="130"/>
      <c r="AD60" s="130"/>
      <c r="AE60" s="130"/>
      <c r="AF60" s="131"/>
      <c r="AG60" s="23" t="s">
        <v>652</v>
      </c>
      <c r="AH60" s="23" t="s">
        <v>649</v>
      </c>
      <c r="AI60" s="6" t="str">
        <f>IF(OR(ISBLANK(AG60),ISBLANK(AH60)),IncompleteText,IF(AND(AG60="常亮 ON",AH60="熄灭 OFF"),OKText,ErrorText))</f>
        <v>OK</v>
      </c>
      <c r="AK60" s="152"/>
      <c r="AL60" s="152"/>
      <c r="AM60" s="152"/>
      <c r="AN60" s="152"/>
      <c r="AO60" s="152"/>
      <c r="AP60" s="152"/>
      <c r="AQ60" s="152"/>
      <c r="AR60" s="152"/>
      <c r="AS60" s="152"/>
      <c r="AT60" s="152"/>
      <c r="AU60" s="152"/>
      <c r="AW60" s="152"/>
      <c r="AX60" s="152"/>
      <c r="AY60" s="152"/>
      <c r="AZ60" s="152"/>
      <c r="BA60" s="152"/>
      <c r="BB60" s="152"/>
      <c r="BC60" s="152"/>
      <c r="BD60" s="152"/>
      <c r="BE60" s="152"/>
      <c r="BF60" s="152"/>
      <c r="BG60" s="152"/>
    </row>
    <row r="61" spans="1:59" s="18" customFormat="1" ht="33" customHeight="1" x14ac:dyDescent="0.3">
      <c r="A61" s="218" t="s">
        <v>655</v>
      </c>
      <c r="B61" s="218"/>
      <c r="C61" s="118" t="s">
        <v>656</v>
      </c>
      <c r="D61" s="118"/>
      <c r="E61" s="118"/>
      <c r="F61" s="118"/>
      <c r="G61" s="118"/>
      <c r="H61" s="118"/>
      <c r="I61" s="119"/>
      <c r="J61" s="23" t="b">
        <v>1</v>
      </c>
      <c r="K61" s="6" t="str">
        <f t="shared" si="0"/>
        <v>OK</v>
      </c>
      <c r="Y61" s="130" t="s">
        <v>657</v>
      </c>
      <c r="Z61" s="130"/>
      <c r="AA61" s="130"/>
      <c r="AB61" s="130"/>
      <c r="AC61" s="130"/>
      <c r="AD61" s="130"/>
      <c r="AE61" s="130"/>
      <c r="AF61" s="131"/>
      <c r="AG61" s="23" t="s">
        <v>652</v>
      </c>
      <c r="AH61" s="23" t="s">
        <v>658</v>
      </c>
      <c r="AI61" s="6" t="str">
        <f>IF(OR(ISBLANK(AG61),ISBLANK(AH61)),IncompleteText,IF(AND(AG61="常亮 ON",AH61="闪烁 Flashing"),OKText,ErrorText))</f>
        <v>OK</v>
      </c>
      <c r="AK61" s="152"/>
      <c r="AL61" s="152"/>
      <c r="AM61" s="152"/>
      <c r="AN61" s="152"/>
      <c r="AO61" s="152"/>
      <c r="AP61" s="152"/>
      <c r="AQ61" s="152"/>
      <c r="AR61" s="152"/>
      <c r="AS61" s="152"/>
      <c r="AT61" s="152"/>
      <c r="AU61" s="152"/>
      <c r="AW61" s="152"/>
      <c r="AX61" s="152"/>
      <c r="AY61" s="152"/>
      <c r="AZ61" s="152"/>
      <c r="BA61" s="152"/>
      <c r="BB61" s="152"/>
      <c r="BC61" s="152"/>
      <c r="BD61" s="152"/>
      <c r="BE61" s="152"/>
      <c r="BF61" s="152"/>
      <c r="BG61" s="152"/>
    </row>
    <row r="62" spans="1:59" ht="21" customHeight="1" x14ac:dyDescent="0.3">
      <c r="A62" s="218" t="s">
        <v>617</v>
      </c>
      <c r="B62" s="218"/>
      <c r="C62" s="118" t="s">
        <v>659</v>
      </c>
      <c r="D62" s="118"/>
      <c r="E62" s="118"/>
      <c r="F62" s="118"/>
      <c r="G62" s="118"/>
      <c r="H62" s="118"/>
      <c r="I62" s="119"/>
      <c r="J62" s="15" t="b">
        <v>1</v>
      </c>
      <c r="K62" s="9" t="str">
        <f t="shared" si="0"/>
        <v>OK</v>
      </c>
      <c r="Y62" s="118" t="s">
        <v>660</v>
      </c>
      <c r="Z62" s="118"/>
      <c r="AA62" s="118"/>
      <c r="AB62" s="118"/>
      <c r="AC62" s="118"/>
      <c r="AD62" s="118"/>
      <c r="AE62" s="118"/>
      <c r="AF62" s="119"/>
      <c r="AG62" s="15" t="s">
        <v>649</v>
      </c>
      <c r="AH62" s="15" t="s">
        <v>649</v>
      </c>
      <c r="AI62" s="9" t="str">
        <f>IF(OR(ISBLANK(AG62),ISBLANK(AH62)),IncompleteText,IF(AND(AH62="熄灭 OFF",AG62="熄灭 OFF"),OKText,ErrorText))</f>
        <v>OK</v>
      </c>
      <c r="AK62" s="152"/>
      <c r="AL62" s="152"/>
      <c r="AM62" s="152"/>
      <c r="AN62" s="152"/>
      <c r="AO62" s="152"/>
      <c r="AP62" s="152"/>
      <c r="AQ62" s="152"/>
      <c r="AR62" s="152"/>
      <c r="AS62" s="152"/>
      <c r="AT62" s="152"/>
      <c r="AU62" s="152"/>
      <c r="AW62" s="152"/>
      <c r="AX62" s="152"/>
      <c r="AY62" s="152"/>
      <c r="AZ62" s="152"/>
      <c r="BA62" s="152"/>
      <c r="BB62" s="152"/>
      <c r="BC62" s="152"/>
      <c r="BD62" s="152"/>
      <c r="BE62" s="152"/>
      <c r="BF62" s="152"/>
      <c r="BG62" s="152"/>
    </row>
    <row r="63" spans="1:59" ht="27" customHeight="1" x14ac:dyDescent="0.3">
      <c r="A63" s="183" t="s">
        <v>321</v>
      </c>
      <c r="B63" s="183"/>
      <c r="C63" s="183"/>
      <c r="D63" s="183"/>
      <c r="E63" s="183"/>
      <c r="F63" s="183"/>
      <c r="G63" s="183"/>
      <c r="H63" s="183"/>
      <c r="I63" s="183"/>
      <c r="J63" s="251" t="s">
        <v>269</v>
      </c>
      <c r="K63" s="252"/>
      <c r="Y63" s="130" t="s">
        <v>661</v>
      </c>
      <c r="Z63" s="130"/>
      <c r="AA63" s="130"/>
      <c r="AB63" s="130"/>
      <c r="AC63" s="130"/>
      <c r="AD63" s="130"/>
      <c r="AE63" s="130"/>
      <c r="AF63" s="131"/>
      <c r="AG63" s="15" t="s">
        <v>649</v>
      </c>
      <c r="AH63" s="15" t="s">
        <v>649</v>
      </c>
      <c r="AI63" s="9" t="str">
        <f>IF(OR(ISBLANK(AG63),ISBLANK(AH63)),IncompleteText,IF(AND(AH63="熄灭 OFF",AG63="熄灭 OFF"),OKText,ErrorText))</f>
        <v>OK</v>
      </c>
      <c r="AK63" s="152"/>
      <c r="AL63" s="152"/>
      <c r="AM63" s="152"/>
      <c r="AN63" s="152"/>
      <c r="AO63" s="152"/>
      <c r="AP63" s="152"/>
      <c r="AQ63" s="152"/>
      <c r="AR63" s="152"/>
      <c r="AS63" s="152"/>
      <c r="AT63" s="152"/>
      <c r="AU63" s="152"/>
      <c r="AW63" s="152"/>
      <c r="AX63" s="152"/>
      <c r="AY63" s="152"/>
      <c r="AZ63" s="152"/>
      <c r="BA63" s="152"/>
      <c r="BB63" s="152"/>
      <c r="BC63" s="152"/>
      <c r="BD63" s="152"/>
      <c r="BE63" s="152"/>
      <c r="BF63" s="152"/>
      <c r="BG63" s="152"/>
    </row>
    <row r="64" spans="1:59" x14ac:dyDescent="0.3">
      <c r="A64" s="267" t="s">
        <v>662</v>
      </c>
      <c r="B64" s="178"/>
      <c r="C64" s="178"/>
      <c r="D64" s="178"/>
      <c r="E64" s="178"/>
      <c r="F64" s="178"/>
      <c r="G64" s="178"/>
      <c r="H64" s="178"/>
      <c r="I64" s="178"/>
      <c r="J64" s="140" t="s">
        <v>663</v>
      </c>
      <c r="K64" s="149"/>
      <c r="AK64" s="152"/>
      <c r="AL64" s="152"/>
      <c r="AM64" s="152"/>
      <c r="AN64" s="152"/>
      <c r="AO64" s="152"/>
      <c r="AP64" s="152"/>
      <c r="AQ64" s="152"/>
      <c r="AR64" s="152"/>
      <c r="AS64" s="152"/>
      <c r="AT64" s="152"/>
      <c r="AU64" s="152"/>
      <c r="AW64" s="152"/>
      <c r="AX64" s="152"/>
      <c r="AY64" s="152"/>
      <c r="AZ64" s="152"/>
      <c r="BA64" s="152"/>
      <c r="BB64" s="152"/>
      <c r="BC64" s="152"/>
      <c r="BD64" s="152"/>
      <c r="BE64" s="152"/>
      <c r="BF64" s="152"/>
      <c r="BG64" s="152"/>
    </row>
    <row r="65" spans="1:59" x14ac:dyDescent="0.3">
      <c r="A65" s="177"/>
      <c r="B65" s="178"/>
      <c r="C65" s="178"/>
      <c r="D65" s="178"/>
      <c r="E65" s="178"/>
      <c r="F65" s="178"/>
      <c r="G65" s="178"/>
      <c r="H65" s="178"/>
      <c r="I65" s="178"/>
      <c r="J65" s="149"/>
      <c r="K65" s="149"/>
      <c r="AK65" s="152"/>
      <c r="AL65" s="152"/>
      <c r="AM65" s="152"/>
      <c r="AN65" s="152"/>
      <c r="AO65" s="152"/>
      <c r="AP65" s="152"/>
      <c r="AQ65" s="152"/>
      <c r="AR65" s="152"/>
      <c r="AS65" s="152"/>
      <c r="AT65" s="152"/>
      <c r="AU65" s="152"/>
      <c r="AW65" s="152"/>
      <c r="AX65" s="152"/>
      <c r="AY65" s="152"/>
      <c r="AZ65" s="152"/>
      <c r="BA65" s="152"/>
      <c r="BB65" s="152"/>
      <c r="BC65" s="152"/>
      <c r="BD65" s="152"/>
      <c r="BE65" s="152"/>
      <c r="BF65" s="152"/>
      <c r="BG65" s="152"/>
    </row>
    <row r="66" spans="1:59" x14ac:dyDescent="0.3">
      <c r="A66" s="177"/>
      <c r="B66" s="178"/>
      <c r="C66" s="178"/>
      <c r="D66" s="178"/>
      <c r="E66" s="178"/>
      <c r="F66" s="178"/>
      <c r="G66" s="178"/>
      <c r="H66" s="178"/>
      <c r="I66" s="178"/>
      <c r="J66" s="149"/>
      <c r="K66" s="149"/>
      <c r="AK66" s="152"/>
      <c r="AL66" s="152"/>
      <c r="AM66" s="152"/>
      <c r="AN66" s="152"/>
      <c r="AO66" s="152"/>
      <c r="AP66" s="152"/>
      <c r="AQ66" s="152"/>
      <c r="AR66" s="152"/>
      <c r="AS66" s="152"/>
      <c r="AT66" s="152"/>
      <c r="AU66" s="152"/>
      <c r="AW66" s="152"/>
      <c r="AX66" s="152"/>
      <c r="AY66" s="152"/>
      <c r="AZ66" s="152"/>
      <c r="BA66" s="152"/>
      <c r="BB66" s="152"/>
      <c r="BC66" s="152"/>
      <c r="BD66" s="152"/>
      <c r="BE66" s="152"/>
      <c r="BF66" s="152"/>
      <c r="BG66" s="152"/>
    </row>
    <row r="67" spans="1:59" x14ac:dyDescent="0.3">
      <c r="A67" s="177"/>
      <c r="B67" s="178"/>
      <c r="C67" s="178"/>
      <c r="D67" s="178"/>
      <c r="E67" s="178"/>
      <c r="F67" s="178"/>
      <c r="G67" s="178"/>
      <c r="H67" s="178"/>
      <c r="I67" s="178"/>
      <c r="J67" s="149"/>
      <c r="K67" s="149"/>
      <c r="AK67" s="152"/>
      <c r="AL67" s="152"/>
      <c r="AM67" s="152"/>
      <c r="AN67" s="152"/>
      <c r="AO67" s="152"/>
      <c r="AP67" s="152"/>
      <c r="AQ67" s="152"/>
      <c r="AR67" s="152"/>
      <c r="AS67" s="152"/>
      <c r="AT67" s="152"/>
      <c r="AU67" s="152"/>
      <c r="AW67" s="152"/>
      <c r="AX67" s="152"/>
      <c r="AY67" s="152"/>
      <c r="AZ67" s="152"/>
      <c r="BA67" s="152"/>
      <c r="BB67" s="152"/>
      <c r="BC67" s="152"/>
      <c r="BD67" s="152"/>
      <c r="BE67" s="152"/>
      <c r="BF67" s="152"/>
      <c r="BG67" s="152"/>
    </row>
    <row r="68" spans="1:59" x14ac:dyDescent="0.3">
      <c r="AK68" s="152"/>
      <c r="AL68" s="152"/>
      <c r="AM68" s="152"/>
      <c r="AN68" s="152"/>
      <c r="AO68" s="152"/>
      <c r="AP68" s="152"/>
      <c r="AQ68" s="152"/>
      <c r="AR68" s="152"/>
      <c r="AS68" s="152"/>
      <c r="AT68" s="152"/>
      <c r="AU68" s="152"/>
      <c r="AW68" s="152"/>
      <c r="AX68" s="152"/>
      <c r="AY68" s="152"/>
      <c r="AZ68" s="152"/>
      <c r="BA68" s="152"/>
      <c r="BB68" s="152"/>
      <c r="BC68" s="152"/>
      <c r="BD68" s="152"/>
      <c r="BE68" s="152"/>
      <c r="BF68" s="152"/>
      <c r="BG68" s="152"/>
    </row>
    <row r="69" spans="1:59" x14ac:dyDescent="0.3">
      <c r="A69" s="152" t="s">
        <v>664</v>
      </c>
      <c r="B69" s="152"/>
      <c r="C69" s="152"/>
      <c r="D69" s="152"/>
      <c r="E69" s="152"/>
      <c r="F69" s="152"/>
      <c r="G69" s="152"/>
      <c r="H69" s="152"/>
      <c r="I69" s="152"/>
      <c r="J69" s="152"/>
      <c r="K69" s="152"/>
      <c r="M69" s="152" t="s">
        <v>665</v>
      </c>
      <c r="N69" s="152"/>
      <c r="O69" s="152"/>
      <c r="P69" s="152"/>
      <c r="Q69" s="152"/>
      <c r="R69" s="152"/>
      <c r="S69" s="152"/>
      <c r="T69" s="152"/>
      <c r="U69" s="152"/>
      <c r="V69" s="152"/>
      <c r="W69" s="152"/>
      <c r="AK69" s="152"/>
      <c r="AL69" s="152"/>
      <c r="AM69" s="152"/>
      <c r="AN69" s="152"/>
      <c r="AO69" s="152"/>
      <c r="AP69" s="152"/>
      <c r="AQ69" s="152"/>
      <c r="AR69" s="152"/>
      <c r="AS69" s="152"/>
      <c r="AT69" s="152"/>
      <c r="AU69" s="152"/>
      <c r="AW69" s="152"/>
      <c r="AX69" s="152"/>
      <c r="AY69" s="152"/>
      <c r="AZ69" s="152"/>
      <c r="BA69" s="152"/>
      <c r="BB69" s="152"/>
      <c r="BC69" s="152"/>
      <c r="BD69" s="152"/>
      <c r="BE69" s="152"/>
      <c r="BF69" s="152"/>
      <c r="BG69" s="152"/>
    </row>
    <row r="70" spans="1:59" x14ac:dyDescent="0.3">
      <c r="A70" s="152"/>
      <c r="B70" s="152"/>
      <c r="C70" s="152"/>
      <c r="D70" s="152"/>
      <c r="E70" s="152"/>
      <c r="F70" s="152"/>
      <c r="G70" s="152"/>
      <c r="H70" s="152"/>
      <c r="I70" s="152"/>
      <c r="J70" s="152"/>
      <c r="K70" s="152"/>
      <c r="M70" s="152"/>
      <c r="N70" s="152"/>
      <c r="O70" s="152"/>
      <c r="P70" s="152"/>
      <c r="Q70" s="152"/>
      <c r="R70" s="152"/>
      <c r="S70" s="152"/>
      <c r="T70" s="152"/>
      <c r="U70" s="152"/>
      <c r="V70" s="152"/>
      <c r="W70" s="152"/>
      <c r="AK70" s="152"/>
      <c r="AL70" s="152"/>
      <c r="AM70" s="152"/>
      <c r="AN70" s="152"/>
      <c r="AO70" s="152"/>
      <c r="AP70" s="152"/>
      <c r="AQ70" s="152"/>
      <c r="AR70" s="152"/>
      <c r="AS70" s="152"/>
      <c r="AT70" s="152"/>
      <c r="AU70" s="152"/>
      <c r="AW70" s="152"/>
      <c r="AX70" s="152"/>
      <c r="AY70" s="152"/>
      <c r="AZ70" s="152"/>
      <c r="BA70" s="152"/>
      <c r="BB70" s="152"/>
      <c r="BC70" s="152"/>
      <c r="BD70" s="152"/>
      <c r="BE70" s="152"/>
      <c r="BF70" s="152"/>
      <c r="BG70" s="152"/>
    </row>
    <row r="71" spans="1:59" x14ac:dyDescent="0.3">
      <c r="A71" s="152"/>
      <c r="B71" s="152"/>
      <c r="C71" s="152"/>
      <c r="D71" s="152"/>
      <c r="E71" s="152"/>
      <c r="F71" s="152"/>
      <c r="G71" s="152"/>
      <c r="H71" s="152"/>
      <c r="I71" s="152"/>
      <c r="J71" s="152"/>
      <c r="K71" s="152"/>
      <c r="M71" s="152"/>
      <c r="N71" s="152"/>
      <c r="O71" s="152"/>
      <c r="P71" s="152"/>
      <c r="Q71" s="152"/>
      <c r="R71" s="152"/>
      <c r="S71" s="152"/>
      <c r="T71" s="152"/>
      <c r="U71" s="152"/>
      <c r="V71" s="152"/>
      <c r="W71" s="152"/>
      <c r="AK71" s="152"/>
      <c r="AL71" s="152"/>
      <c r="AM71" s="152"/>
      <c r="AN71" s="152"/>
      <c r="AO71" s="152"/>
      <c r="AP71" s="152"/>
      <c r="AQ71" s="152"/>
      <c r="AR71" s="152"/>
      <c r="AS71" s="152"/>
      <c r="AT71" s="152"/>
      <c r="AU71" s="152"/>
      <c r="AW71" s="152"/>
      <c r="AX71" s="152"/>
      <c r="AY71" s="152"/>
      <c r="AZ71" s="152"/>
      <c r="BA71" s="152"/>
      <c r="BB71" s="152"/>
      <c r="BC71" s="152"/>
      <c r="BD71" s="152"/>
      <c r="BE71" s="152"/>
      <c r="BF71" s="152"/>
      <c r="BG71" s="152"/>
    </row>
    <row r="72" spans="1:59" x14ac:dyDescent="0.3">
      <c r="A72" s="152"/>
      <c r="B72" s="152"/>
      <c r="C72" s="152"/>
      <c r="D72" s="152"/>
      <c r="E72" s="152"/>
      <c r="F72" s="152"/>
      <c r="G72" s="152"/>
      <c r="H72" s="152"/>
      <c r="I72" s="152"/>
      <c r="J72" s="152"/>
      <c r="K72" s="152"/>
      <c r="M72" s="152"/>
      <c r="N72" s="152"/>
      <c r="O72" s="152"/>
      <c r="P72" s="152"/>
      <c r="Q72" s="152"/>
      <c r="R72" s="152"/>
      <c r="S72" s="152"/>
      <c r="T72" s="152"/>
      <c r="U72" s="152"/>
      <c r="V72" s="152"/>
      <c r="W72" s="152"/>
      <c r="AK72" s="152"/>
      <c r="AL72" s="152"/>
      <c r="AM72" s="152"/>
      <c r="AN72" s="152"/>
      <c r="AO72" s="152"/>
      <c r="AP72" s="152"/>
      <c r="AQ72" s="152"/>
      <c r="AR72" s="152"/>
      <c r="AS72" s="152"/>
      <c r="AT72" s="152"/>
      <c r="AU72" s="152"/>
      <c r="AW72" s="152"/>
      <c r="AX72" s="152"/>
      <c r="AY72" s="152"/>
      <c r="AZ72" s="152"/>
      <c r="BA72" s="152"/>
      <c r="BB72" s="152"/>
      <c r="BC72" s="152"/>
      <c r="BD72" s="152"/>
      <c r="BE72" s="152"/>
      <c r="BF72" s="152"/>
      <c r="BG72" s="152"/>
    </row>
    <row r="73" spans="1:59" x14ac:dyDescent="0.3">
      <c r="A73" s="152"/>
      <c r="B73" s="152"/>
      <c r="C73" s="152"/>
      <c r="D73" s="152"/>
      <c r="E73" s="152"/>
      <c r="F73" s="152"/>
      <c r="G73" s="152"/>
      <c r="H73" s="152"/>
      <c r="I73" s="152"/>
      <c r="J73" s="152"/>
      <c r="K73" s="152"/>
      <c r="M73" s="152"/>
      <c r="N73" s="152"/>
      <c r="O73" s="152"/>
      <c r="P73" s="152"/>
      <c r="Q73" s="152"/>
      <c r="R73" s="152"/>
      <c r="S73" s="152"/>
      <c r="T73" s="152"/>
      <c r="U73" s="152"/>
      <c r="V73" s="152"/>
      <c r="W73" s="152"/>
      <c r="AK73" s="152"/>
      <c r="AL73" s="152"/>
      <c r="AM73" s="152"/>
      <c r="AN73" s="152"/>
      <c r="AO73" s="152"/>
      <c r="AP73" s="152"/>
      <c r="AQ73" s="152"/>
      <c r="AR73" s="152"/>
      <c r="AS73" s="152"/>
      <c r="AT73" s="152"/>
      <c r="AU73" s="152"/>
      <c r="AW73" s="152"/>
      <c r="AX73" s="152"/>
      <c r="AY73" s="152"/>
      <c r="AZ73" s="152"/>
      <c r="BA73" s="152"/>
      <c r="BB73" s="152"/>
      <c r="BC73" s="152"/>
      <c r="BD73" s="152"/>
      <c r="BE73" s="152"/>
      <c r="BF73" s="152"/>
      <c r="BG73" s="152"/>
    </row>
    <row r="74" spans="1:59" x14ac:dyDescent="0.3">
      <c r="A74" s="152"/>
      <c r="B74" s="152"/>
      <c r="C74" s="152"/>
      <c r="D74" s="152"/>
      <c r="E74" s="152"/>
      <c r="F74" s="152"/>
      <c r="G74" s="152"/>
      <c r="H74" s="152"/>
      <c r="I74" s="152"/>
      <c r="J74" s="152"/>
      <c r="K74" s="152"/>
      <c r="M74" s="152"/>
      <c r="N74" s="152"/>
      <c r="O74" s="152"/>
      <c r="P74" s="152"/>
      <c r="Q74" s="152"/>
      <c r="R74" s="152"/>
      <c r="S74" s="152"/>
      <c r="T74" s="152"/>
      <c r="U74" s="152"/>
      <c r="V74" s="152"/>
      <c r="W74" s="152"/>
      <c r="AK74" s="152"/>
      <c r="AL74" s="152"/>
      <c r="AM74" s="152"/>
      <c r="AN74" s="152"/>
      <c r="AO74" s="152"/>
      <c r="AP74" s="152"/>
      <c r="AQ74" s="152"/>
      <c r="AR74" s="152"/>
      <c r="AS74" s="152"/>
      <c r="AT74" s="152"/>
      <c r="AU74" s="152"/>
      <c r="AW74" s="152"/>
      <c r="AX74" s="152"/>
      <c r="AY74" s="152"/>
      <c r="AZ74" s="152"/>
      <c r="BA74" s="152"/>
      <c r="BB74" s="152"/>
      <c r="BC74" s="152"/>
      <c r="BD74" s="152"/>
      <c r="BE74" s="152"/>
      <c r="BF74" s="152"/>
      <c r="BG74" s="152"/>
    </row>
    <row r="75" spans="1:59" x14ac:dyDescent="0.3">
      <c r="A75" s="152"/>
      <c r="B75" s="152"/>
      <c r="C75" s="152"/>
      <c r="D75" s="152"/>
      <c r="E75" s="152"/>
      <c r="F75" s="152"/>
      <c r="G75" s="152"/>
      <c r="H75" s="152"/>
      <c r="I75" s="152"/>
      <c r="J75" s="152"/>
      <c r="K75" s="152"/>
      <c r="M75" s="152"/>
      <c r="N75" s="152"/>
      <c r="O75" s="152"/>
      <c r="P75" s="152"/>
      <c r="Q75" s="152"/>
      <c r="R75" s="152"/>
      <c r="S75" s="152"/>
      <c r="T75" s="152"/>
      <c r="U75" s="152"/>
      <c r="V75" s="152"/>
      <c r="W75" s="152"/>
      <c r="AK75" s="152"/>
      <c r="AL75" s="152"/>
      <c r="AM75" s="152"/>
      <c r="AN75" s="152"/>
      <c r="AO75" s="152"/>
      <c r="AP75" s="152"/>
      <c r="AQ75" s="152"/>
      <c r="AR75" s="152"/>
      <c r="AS75" s="152"/>
      <c r="AT75" s="152"/>
      <c r="AU75" s="152"/>
      <c r="AW75" s="152"/>
      <c r="AX75" s="152"/>
      <c r="AY75" s="152"/>
      <c r="AZ75" s="152"/>
      <c r="BA75" s="152"/>
      <c r="BB75" s="152"/>
      <c r="BC75" s="152"/>
      <c r="BD75" s="152"/>
      <c r="BE75" s="152"/>
      <c r="BF75" s="152"/>
      <c r="BG75" s="152"/>
    </row>
    <row r="76" spans="1:59" x14ac:dyDescent="0.3">
      <c r="A76" s="152"/>
      <c r="B76" s="152"/>
      <c r="C76" s="152"/>
      <c r="D76" s="152"/>
      <c r="E76" s="152"/>
      <c r="F76" s="152"/>
      <c r="G76" s="152"/>
      <c r="H76" s="152"/>
      <c r="I76" s="152"/>
      <c r="J76" s="152"/>
      <c r="K76" s="152"/>
      <c r="M76" s="152"/>
      <c r="N76" s="152"/>
      <c r="O76" s="152"/>
      <c r="P76" s="152"/>
      <c r="Q76" s="152"/>
      <c r="R76" s="152"/>
      <c r="S76" s="152"/>
      <c r="T76" s="152"/>
      <c r="U76" s="152"/>
      <c r="V76" s="152"/>
      <c r="W76" s="152"/>
      <c r="AK76" s="265" t="s">
        <v>666</v>
      </c>
      <c r="AL76" s="265"/>
      <c r="AM76" s="265"/>
      <c r="AN76" s="265"/>
      <c r="AO76" s="265"/>
      <c r="AP76" s="265"/>
      <c r="AQ76" s="265"/>
      <c r="AR76" s="265"/>
      <c r="AS76" s="265"/>
      <c r="AT76" s="265"/>
      <c r="AU76" s="219" t="str">
        <f>IF(COUNTIF(AU78:AU100,"="&amp;IncompleteText),IncompleteText,IF(COUNTIF(AU78:AU100,"="&amp;ErrorText),ErrorText,OKText))</f>
        <v>OK</v>
      </c>
      <c r="AW76" s="265" t="s">
        <v>667</v>
      </c>
      <c r="AX76" s="265"/>
      <c r="AY76" s="265"/>
      <c r="AZ76" s="265"/>
      <c r="BA76" s="265"/>
      <c r="BB76" s="265"/>
      <c r="BC76" s="265"/>
      <c r="BD76" s="265"/>
      <c r="BE76" s="265"/>
      <c r="BF76" s="265"/>
      <c r="BG76" s="219" t="str">
        <f>IF(COUNTIF(BG78:BG80,"="&amp;IncompleteText),IncompleteText,IF(COUNTIF(BG78:BG80,"="&amp;ErrorText),ErrorText,OKText))</f>
        <v>OK</v>
      </c>
    </row>
    <row r="77" spans="1:59" x14ac:dyDescent="0.3">
      <c r="A77" s="152"/>
      <c r="B77" s="152"/>
      <c r="C77" s="152"/>
      <c r="D77" s="152"/>
      <c r="E77" s="152"/>
      <c r="F77" s="152"/>
      <c r="G77" s="152"/>
      <c r="H77" s="152"/>
      <c r="I77" s="152"/>
      <c r="J77" s="152"/>
      <c r="K77" s="152"/>
      <c r="M77" s="152"/>
      <c r="N77" s="152"/>
      <c r="O77" s="152"/>
      <c r="P77" s="152"/>
      <c r="Q77" s="152"/>
      <c r="R77" s="152"/>
      <c r="S77" s="152"/>
      <c r="T77" s="152"/>
      <c r="U77" s="152"/>
      <c r="V77" s="152"/>
      <c r="W77" s="152"/>
      <c r="AK77" s="183"/>
      <c r="AL77" s="183"/>
      <c r="AM77" s="183"/>
      <c r="AN77" s="183"/>
      <c r="AO77" s="183"/>
      <c r="AP77" s="183"/>
      <c r="AQ77" s="183"/>
      <c r="AR77" s="183"/>
      <c r="AS77" s="183"/>
      <c r="AT77" s="183"/>
      <c r="AU77" s="196"/>
      <c r="AW77" s="183"/>
      <c r="AX77" s="183"/>
      <c r="AY77" s="183"/>
      <c r="AZ77" s="183"/>
      <c r="BA77" s="183"/>
      <c r="BB77" s="183"/>
      <c r="BC77" s="183"/>
      <c r="BD77" s="183"/>
      <c r="BE77" s="183"/>
      <c r="BF77" s="183"/>
      <c r="BG77" s="196"/>
    </row>
    <row r="78" spans="1:59" x14ac:dyDescent="0.3">
      <c r="A78" s="152"/>
      <c r="B78" s="152"/>
      <c r="C78" s="152"/>
      <c r="D78" s="152"/>
      <c r="E78" s="152"/>
      <c r="F78" s="152"/>
      <c r="G78" s="152"/>
      <c r="H78" s="152"/>
      <c r="I78" s="152"/>
      <c r="J78" s="152"/>
      <c r="K78" s="152"/>
      <c r="M78" s="152"/>
      <c r="N78" s="152"/>
      <c r="O78" s="152"/>
      <c r="P78" s="152"/>
      <c r="Q78" s="152"/>
      <c r="R78" s="152"/>
      <c r="S78" s="152"/>
      <c r="T78" s="152"/>
      <c r="U78" s="152"/>
      <c r="V78" s="152"/>
      <c r="W78" s="152"/>
      <c r="AK78" s="243" t="s">
        <v>668</v>
      </c>
      <c r="AL78" s="243"/>
      <c r="AM78" s="243"/>
      <c r="AN78" s="243"/>
      <c r="AO78" s="243"/>
      <c r="AP78" s="243"/>
      <c r="AQ78" s="243"/>
      <c r="AR78" s="243"/>
      <c r="AS78" s="244"/>
      <c r="AT78" s="15" t="s">
        <v>669</v>
      </c>
      <c r="AU78" s="9" t="str">
        <f>IF(ISBLANK(AT78),IncompleteText,OKText)</f>
        <v>OK</v>
      </c>
      <c r="AW78" s="91" t="s">
        <v>670</v>
      </c>
      <c r="AX78" s="91"/>
      <c r="AY78" s="91"/>
      <c r="AZ78" s="91"/>
      <c r="BA78" s="91"/>
      <c r="BB78" s="91"/>
      <c r="BC78" s="91"/>
      <c r="BD78" s="91"/>
      <c r="BE78" s="92"/>
      <c r="BF78" s="15" t="b">
        <v>1</v>
      </c>
      <c r="BG78" s="9" t="str">
        <f>IF(ISBLANK(BF78),IncompleteText,IF(BF78,OKText,ErrorText))</f>
        <v>OK</v>
      </c>
    </row>
    <row r="79" spans="1:59" x14ac:dyDescent="0.3">
      <c r="A79" s="152"/>
      <c r="B79" s="152"/>
      <c r="C79" s="152"/>
      <c r="D79" s="152"/>
      <c r="E79" s="152"/>
      <c r="F79" s="152"/>
      <c r="G79" s="152"/>
      <c r="H79" s="152"/>
      <c r="I79" s="152"/>
      <c r="J79" s="152"/>
      <c r="K79" s="152"/>
      <c r="M79" s="152"/>
      <c r="N79" s="152"/>
      <c r="O79" s="152"/>
      <c r="P79" s="152"/>
      <c r="Q79" s="152"/>
      <c r="R79" s="152"/>
      <c r="S79" s="152"/>
      <c r="T79" s="152"/>
      <c r="U79" s="152"/>
      <c r="V79" s="152"/>
      <c r="W79" s="152"/>
      <c r="AK79" s="243" t="s">
        <v>671</v>
      </c>
      <c r="AL79" s="243"/>
      <c r="AM79" s="243"/>
      <c r="AN79" s="243"/>
      <c r="AO79" s="243"/>
      <c r="AP79" s="243"/>
      <c r="AQ79" s="243"/>
      <c r="AR79" s="243"/>
      <c r="AS79" s="244"/>
      <c r="AT79" s="15" t="s">
        <v>189</v>
      </c>
      <c r="AU79" s="9" t="str">
        <f>IF(ISBLANK(AT79),IncompleteText,OKText)</f>
        <v>OK</v>
      </c>
      <c r="AW79" s="91" t="s">
        <v>672</v>
      </c>
      <c r="AX79" s="91"/>
      <c r="AY79" s="91"/>
      <c r="AZ79" s="91"/>
      <c r="BA79" s="91"/>
      <c r="BB79" s="91"/>
      <c r="BC79" s="91"/>
      <c r="BD79" s="91"/>
      <c r="BE79" s="92"/>
      <c r="BF79" s="15" t="b">
        <v>1</v>
      </c>
      <c r="BG79" s="9" t="str">
        <f>IF(ISBLANK(BF79),IncompleteText,IF(BF79,OKText,ErrorText))</f>
        <v>OK</v>
      </c>
    </row>
    <row r="80" spans="1:59" x14ac:dyDescent="0.3">
      <c r="A80" s="152"/>
      <c r="B80" s="152"/>
      <c r="C80" s="152"/>
      <c r="D80" s="152"/>
      <c r="E80" s="152"/>
      <c r="F80" s="152"/>
      <c r="G80" s="152"/>
      <c r="H80" s="152"/>
      <c r="I80" s="152"/>
      <c r="J80" s="152"/>
      <c r="K80" s="152"/>
      <c r="M80" s="152"/>
      <c r="N80" s="152"/>
      <c r="O80" s="152"/>
      <c r="P80" s="152"/>
      <c r="Q80" s="152"/>
      <c r="R80" s="152"/>
      <c r="S80" s="152"/>
      <c r="T80" s="152"/>
      <c r="U80" s="152"/>
      <c r="V80" s="152"/>
      <c r="W80" s="152"/>
      <c r="AK80" s="243" t="s">
        <v>673</v>
      </c>
      <c r="AL80" s="243"/>
      <c r="AM80" s="243"/>
      <c r="AN80" s="243"/>
      <c r="AO80" s="243"/>
      <c r="AP80" s="243"/>
      <c r="AQ80" s="243"/>
      <c r="AR80" s="243"/>
      <c r="AS80" s="244"/>
      <c r="AT80" s="17" t="str">
        <f>VLOOKUP(AT79,ContactorsTable,6,FALSE)</f>
        <v>EVL250-HAD_AIR</v>
      </c>
      <c r="AU80" s="9" t="str">
        <f>IF(ISNA(AT80),IncompleteText,OKText)</f>
        <v>OK</v>
      </c>
      <c r="AW80" s="91" t="s">
        <v>674</v>
      </c>
      <c r="AX80" s="91"/>
      <c r="AY80" s="91"/>
      <c r="AZ80" s="91"/>
      <c r="BA80" s="91"/>
      <c r="BB80" s="91"/>
      <c r="BC80" s="91"/>
      <c r="BD80" s="91"/>
      <c r="BE80" s="92"/>
      <c r="BF80" s="15" t="b">
        <v>1</v>
      </c>
      <c r="BG80" s="9" t="str">
        <f>IF(ISBLANK(BF80),IncompleteText,IF(BF80,OKText,ErrorText))</f>
        <v>OK</v>
      </c>
    </row>
    <row r="81" spans="1:47" x14ac:dyDescent="0.3">
      <c r="A81" s="152"/>
      <c r="B81" s="152"/>
      <c r="C81" s="152"/>
      <c r="D81" s="152"/>
      <c r="E81" s="152"/>
      <c r="F81" s="152"/>
      <c r="G81" s="152"/>
      <c r="H81" s="152"/>
      <c r="I81" s="152"/>
      <c r="J81" s="152"/>
      <c r="K81" s="152"/>
      <c r="M81" s="152"/>
      <c r="N81" s="152"/>
      <c r="O81" s="152"/>
      <c r="P81" s="152"/>
      <c r="Q81" s="152"/>
      <c r="R81" s="152"/>
      <c r="S81" s="152"/>
      <c r="T81" s="152"/>
      <c r="U81" s="152"/>
      <c r="V81" s="152"/>
      <c r="W81" s="152"/>
      <c r="AK81" s="243" t="s">
        <v>675</v>
      </c>
      <c r="AL81" s="243"/>
      <c r="AM81" s="243"/>
      <c r="AN81" s="243"/>
      <c r="AO81" s="243"/>
      <c r="AP81" s="243"/>
      <c r="AQ81" s="243"/>
      <c r="AR81" s="243"/>
      <c r="AS81" s="253"/>
      <c r="AT81" s="15" t="b">
        <v>1</v>
      </c>
      <c r="AU81" s="9" t="str">
        <f>IF(AT78="其他测量方式 Others",OKText,IF(ISBLANK(AT81),IncompleteText,IF(AT81,OKText,ErrorText)))</f>
        <v>OK</v>
      </c>
    </row>
    <row r="82" spans="1:47" x14ac:dyDescent="0.3">
      <c r="A82" s="152"/>
      <c r="B82" s="152"/>
      <c r="C82" s="152"/>
      <c r="D82" s="152"/>
      <c r="E82" s="152"/>
      <c r="F82" s="152"/>
      <c r="G82" s="152"/>
      <c r="H82" s="152"/>
      <c r="I82" s="152"/>
      <c r="J82" s="152"/>
      <c r="K82" s="152"/>
      <c r="M82" s="152"/>
      <c r="N82" s="152"/>
      <c r="O82" s="152"/>
      <c r="P82" s="152"/>
      <c r="Q82" s="152"/>
      <c r="R82" s="152"/>
      <c r="S82" s="152"/>
      <c r="T82" s="152"/>
      <c r="U82" s="152"/>
      <c r="V82" s="152"/>
      <c r="W82" s="152"/>
      <c r="AK82" s="243" t="s">
        <v>676</v>
      </c>
      <c r="AL82" s="243"/>
      <c r="AM82" s="243"/>
      <c r="AN82" s="243"/>
      <c r="AO82" s="243"/>
      <c r="AP82" s="243"/>
      <c r="AQ82" s="243"/>
      <c r="AR82" s="243"/>
      <c r="AS82" s="244"/>
      <c r="AT82" s="15" t="s">
        <v>669</v>
      </c>
      <c r="AU82" s="9" t="str">
        <f>IF(ISBLANK(AT82),IncompleteText,OKText)</f>
        <v>OK</v>
      </c>
    </row>
    <row r="83" spans="1:47" x14ac:dyDescent="0.3">
      <c r="A83" s="152"/>
      <c r="B83" s="152"/>
      <c r="C83" s="152"/>
      <c r="D83" s="152"/>
      <c r="E83" s="152"/>
      <c r="F83" s="152"/>
      <c r="G83" s="152"/>
      <c r="H83" s="152"/>
      <c r="I83" s="152"/>
      <c r="J83" s="152"/>
      <c r="K83" s="152"/>
      <c r="M83" s="152"/>
      <c r="N83" s="152"/>
      <c r="O83" s="152"/>
      <c r="P83" s="152"/>
      <c r="Q83" s="152"/>
      <c r="R83" s="152"/>
      <c r="S83" s="152"/>
      <c r="T83" s="152"/>
      <c r="U83" s="152"/>
      <c r="V83" s="152"/>
      <c r="W83" s="152"/>
      <c r="AK83" s="243" t="s">
        <v>677</v>
      </c>
      <c r="AL83" s="243"/>
      <c r="AM83" s="243"/>
      <c r="AN83" s="243"/>
      <c r="AO83" s="243"/>
      <c r="AP83" s="243"/>
      <c r="AQ83" s="243"/>
      <c r="AR83" s="243"/>
      <c r="AS83" s="244"/>
      <c r="AT83" s="15" t="s">
        <v>193</v>
      </c>
      <c r="AU83" s="9" t="str">
        <f>IF(ISBLANK(AT83),IncompleteText,OKText)</f>
        <v>OK</v>
      </c>
    </row>
    <row r="84" spans="1:47" x14ac:dyDescent="0.3">
      <c r="A84" s="152"/>
      <c r="B84" s="152"/>
      <c r="C84" s="152"/>
      <c r="D84" s="152"/>
      <c r="E84" s="152"/>
      <c r="F84" s="152"/>
      <c r="G84" s="152"/>
      <c r="H84" s="152"/>
      <c r="I84" s="152"/>
      <c r="J84" s="152"/>
      <c r="K84" s="152"/>
      <c r="M84" s="152"/>
      <c r="N84" s="152"/>
      <c r="O84" s="152"/>
      <c r="P84" s="152"/>
      <c r="Q84" s="152"/>
      <c r="R84" s="152"/>
      <c r="S84" s="152"/>
      <c r="T84" s="152"/>
      <c r="U84" s="152"/>
      <c r="V84" s="152"/>
      <c r="W84" s="152"/>
      <c r="AK84" s="243" t="s">
        <v>678</v>
      </c>
      <c r="AL84" s="243"/>
      <c r="AM84" s="243"/>
      <c r="AN84" s="243"/>
      <c r="AO84" s="243"/>
      <c r="AP84" s="243"/>
      <c r="AQ84" s="243"/>
      <c r="AR84" s="243"/>
      <c r="AS84" s="244"/>
      <c r="AT84" s="17" t="str">
        <f>VLOOKUP(AT83,ContactorsTable,6,FALSE)</f>
        <v>LEV50-12HD_预充电 Precharge</v>
      </c>
      <c r="AU84" s="9" t="str">
        <f>IF(ISNA(AT84),IncompleteText,OKText)</f>
        <v>OK</v>
      </c>
    </row>
    <row r="85" spans="1:47" x14ac:dyDescent="0.3">
      <c r="A85" s="152"/>
      <c r="B85" s="152"/>
      <c r="C85" s="152"/>
      <c r="D85" s="152"/>
      <c r="E85" s="152"/>
      <c r="F85" s="152"/>
      <c r="G85" s="152"/>
      <c r="H85" s="152"/>
      <c r="I85" s="152"/>
      <c r="J85" s="152"/>
      <c r="K85" s="152"/>
      <c r="M85" s="152"/>
      <c r="N85" s="152"/>
      <c r="O85" s="152"/>
      <c r="P85" s="152"/>
      <c r="Q85" s="152"/>
      <c r="R85" s="152"/>
      <c r="S85" s="152"/>
      <c r="T85" s="152"/>
      <c r="U85" s="152"/>
      <c r="V85" s="152"/>
      <c r="W85" s="152"/>
      <c r="AK85" s="243" t="s">
        <v>675</v>
      </c>
      <c r="AL85" s="243"/>
      <c r="AM85" s="243"/>
      <c r="AN85" s="243"/>
      <c r="AO85" s="243"/>
      <c r="AP85" s="243"/>
      <c r="AQ85" s="243"/>
      <c r="AR85" s="243"/>
      <c r="AS85" s="253"/>
      <c r="AT85" s="15" t="b">
        <v>1</v>
      </c>
      <c r="AU85" s="9" t="str">
        <f>IF(ISBLANK(AT85),IncompleteText,IF(AT85,OKText,ErrorText))</f>
        <v>OK</v>
      </c>
    </row>
    <row r="86" spans="1:47" x14ac:dyDescent="0.3">
      <c r="A86" s="152"/>
      <c r="B86" s="152"/>
      <c r="C86" s="152"/>
      <c r="D86" s="152"/>
      <c r="E86" s="152"/>
      <c r="F86" s="152"/>
      <c r="G86" s="152"/>
      <c r="H86" s="152"/>
      <c r="I86" s="152"/>
      <c r="J86" s="152"/>
      <c r="K86" s="152"/>
      <c r="M86" s="152"/>
      <c r="N86" s="152"/>
      <c r="O86" s="152"/>
      <c r="P86" s="152"/>
      <c r="Q86" s="152"/>
      <c r="R86" s="152"/>
      <c r="S86" s="152"/>
      <c r="T86" s="152"/>
      <c r="U86" s="152"/>
      <c r="V86" s="152"/>
      <c r="W86" s="152"/>
      <c r="AK86" s="243" t="s">
        <v>679</v>
      </c>
      <c r="AL86" s="243"/>
      <c r="AM86" s="243"/>
      <c r="AN86" s="243"/>
      <c r="AO86" s="243"/>
      <c r="AP86" s="243"/>
      <c r="AQ86" s="243"/>
      <c r="AR86" s="243"/>
      <c r="AS86" s="244"/>
      <c r="AT86" s="15"/>
      <c r="AU86" s="9" t="str">
        <f>IF(AT78="辅助触点 Auxiliary Contacts",OKText,IF(ISBLANK(AT86),IncompleteText,IF(AT86,OKText,ErrorText)))</f>
        <v>OK</v>
      </c>
    </row>
    <row r="87" spans="1:47" ht="42" customHeight="1" x14ac:dyDescent="0.3">
      <c r="A87" s="152"/>
      <c r="B87" s="152"/>
      <c r="C87" s="152"/>
      <c r="D87" s="152"/>
      <c r="E87" s="152"/>
      <c r="F87" s="152"/>
      <c r="G87" s="152"/>
      <c r="H87" s="152"/>
      <c r="I87" s="152"/>
      <c r="J87" s="152"/>
      <c r="K87" s="152"/>
      <c r="M87" s="152"/>
      <c r="N87" s="152"/>
      <c r="O87" s="152"/>
      <c r="P87" s="152"/>
      <c r="Q87" s="152"/>
      <c r="R87" s="152"/>
      <c r="S87" s="152"/>
      <c r="T87" s="152"/>
      <c r="U87" s="152"/>
      <c r="V87" s="152"/>
      <c r="W87" s="152"/>
      <c r="AK87" s="100" t="s">
        <v>680</v>
      </c>
      <c r="AL87" s="243"/>
      <c r="AM87" s="243"/>
      <c r="AN87" s="243"/>
      <c r="AO87" s="243"/>
      <c r="AP87" s="243"/>
      <c r="AQ87" s="243"/>
      <c r="AR87" s="243"/>
      <c r="AS87" s="244"/>
      <c r="AT87" s="15"/>
      <c r="AU87" s="9" t="str">
        <f>IF(AT78="辅助触点 Auxiliary Contacts",OKText,IF(ISBLANK(AT87),IncompleteText,IF(AT87,OKText,ErrorText)))</f>
        <v>OK</v>
      </c>
    </row>
    <row r="88" spans="1:47" x14ac:dyDescent="0.3">
      <c r="A88" s="152"/>
      <c r="B88" s="152"/>
      <c r="C88" s="152"/>
      <c r="D88" s="152"/>
      <c r="E88" s="152"/>
      <c r="F88" s="152"/>
      <c r="G88" s="152"/>
      <c r="H88" s="152"/>
      <c r="I88" s="152"/>
      <c r="J88" s="152"/>
      <c r="K88" s="152"/>
      <c r="M88" s="152"/>
      <c r="N88" s="152"/>
      <c r="O88" s="152"/>
      <c r="P88" s="152"/>
      <c r="Q88" s="152"/>
      <c r="R88" s="152"/>
      <c r="S88" s="152"/>
      <c r="T88" s="152"/>
      <c r="U88" s="152"/>
      <c r="V88" s="152"/>
      <c r="W88" s="152"/>
      <c r="AK88" s="243" t="s">
        <v>681</v>
      </c>
      <c r="AL88" s="243"/>
      <c r="AM88" s="243"/>
      <c r="AN88" s="243"/>
      <c r="AO88" s="243"/>
      <c r="AP88" s="243"/>
      <c r="AQ88" s="243"/>
      <c r="AR88" s="243"/>
      <c r="AS88" s="243"/>
      <c r="AT88" s="15" t="b">
        <v>1</v>
      </c>
      <c r="AU88" s="9" t="str">
        <f>IF(ISBLANK(AT88),IncompleteText,IF(AT88,OKText,ErrorText))</f>
        <v>OK</v>
      </c>
    </row>
    <row r="89" spans="1:47" ht="42" customHeight="1" x14ac:dyDescent="0.3">
      <c r="A89" s="152"/>
      <c r="B89" s="152"/>
      <c r="C89" s="152"/>
      <c r="D89" s="152"/>
      <c r="E89" s="152"/>
      <c r="F89" s="152"/>
      <c r="G89" s="152"/>
      <c r="H89" s="152"/>
      <c r="I89" s="152"/>
      <c r="J89" s="152"/>
      <c r="K89" s="152"/>
      <c r="M89" s="152"/>
      <c r="N89" s="152"/>
      <c r="O89" s="152"/>
      <c r="P89" s="152"/>
      <c r="Q89" s="152"/>
      <c r="R89" s="152"/>
      <c r="S89" s="152"/>
      <c r="T89" s="152"/>
      <c r="U89" s="152"/>
      <c r="V89" s="152"/>
      <c r="W89" s="152"/>
      <c r="AK89" s="100" t="s">
        <v>682</v>
      </c>
      <c r="AL89" s="100"/>
      <c r="AM89" s="100"/>
      <c r="AN89" s="100"/>
      <c r="AO89" s="100"/>
      <c r="AP89" s="100"/>
      <c r="AQ89" s="100"/>
      <c r="AR89" s="100"/>
      <c r="AS89" s="100"/>
      <c r="AT89" s="15" t="b">
        <v>1</v>
      </c>
      <c r="AU89" s="9" t="str">
        <f>IF(ISBLANK(AT89),IncompleteText,IF(AT89,OKText,ErrorText))</f>
        <v>OK</v>
      </c>
    </row>
    <row r="90" spans="1:47" x14ac:dyDescent="0.3">
      <c r="A90" s="152"/>
      <c r="B90" s="152"/>
      <c r="C90" s="152"/>
      <c r="D90" s="152"/>
      <c r="E90" s="152"/>
      <c r="F90" s="152"/>
      <c r="G90" s="152"/>
      <c r="H90" s="152"/>
      <c r="I90" s="152"/>
      <c r="J90" s="152"/>
      <c r="K90" s="152"/>
      <c r="M90" s="152"/>
      <c r="N90" s="152"/>
      <c r="O90" s="152"/>
      <c r="P90" s="152"/>
      <c r="Q90" s="152"/>
      <c r="R90" s="152"/>
      <c r="S90" s="152"/>
      <c r="T90" s="152"/>
      <c r="U90" s="152"/>
      <c r="V90" s="152"/>
      <c r="W90" s="152"/>
      <c r="AK90" s="243" t="s">
        <v>579</v>
      </c>
      <c r="AL90" s="243"/>
      <c r="AM90" s="243"/>
      <c r="AN90" s="243"/>
      <c r="AO90" s="243"/>
      <c r="AP90" s="243"/>
      <c r="AQ90" s="243"/>
      <c r="AR90" s="243"/>
      <c r="AS90" s="244"/>
      <c r="AT90" s="15" t="s">
        <v>683</v>
      </c>
      <c r="AU90" s="9" t="str">
        <f>IF(ISBLANK(AT90),IncompleteText,OKText)</f>
        <v>OK</v>
      </c>
    </row>
    <row r="91" spans="1:47" x14ac:dyDescent="0.3">
      <c r="A91" s="152"/>
      <c r="B91" s="152"/>
      <c r="C91" s="152"/>
      <c r="D91" s="152"/>
      <c r="E91" s="152"/>
      <c r="F91" s="152"/>
      <c r="G91" s="152"/>
      <c r="H91" s="152"/>
      <c r="I91" s="152"/>
      <c r="J91" s="152"/>
      <c r="K91" s="152"/>
      <c r="M91" s="152"/>
      <c r="N91" s="152"/>
      <c r="O91" s="152"/>
      <c r="P91" s="152"/>
      <c r="Q91" s="152"/>
      <c r="R91" s="152"/>
      <c r="S91" s="152"/>
      <c r="T91" s="152"/>
      <c r="U91" s="152"/>
      <c r="V91" s="152"/>
      <c r="W91" s="152"/>
      <c r="AK91" s="243" t="s">
        <v>684</v>
      </c>
      <c r="AL91" s="243"/>
      <c r="AM91" s="243"/>
      <c r="AN91" s="243"/>
      <c r="AO91" s="243"/>
      <c r="AP91" s="243"/>
      <c r="AQ91" s="243"/>
      <c r="AR91" s="243"/>
      <c r="AS91" s="244"/>
      <c r="AT91" s="15">
        <v>3500</v>
      </c>
      <c r="AU91" s="9" t="str">
        <f>IF(AT$90="车队自制原理 Team design",OKText,IF(ISBLANK(AT91),IncompleteText,OKText))</f>
        <v>OK</v>
      </c>
    </row>
    <row r="92" spans="1:47" x14ac:dyDescent="0.3">
      <c r="A92" s="152"/>
      <c r="B92" s="152"/>
      <c r="C92" s="152"/>
      <c r="D92" s="152"/>
      <c r="E92" s="152"/>
      <c r="F92" s="152"/>
      <c r="G92" s="152"/>
      <c r="H92" s="152"/>
      <c r="I92" s="152"/>
      <c r="J92" s="152"/>
      <c r="K92" s="152"/>
      <c r="M92" s="152"/>
      <c r="N92" s="152"/>
      <c r="O92" s="152"/>
      <c r="P92" s="152"/>
      <c r="Q92" s="152"/>
      <c r="R92" s="152"/>
      <c r="S92" s="152"/>
      <c r="T92" s="152"/>
      <c r="U92" s="152"/>
      <c r="V92" s="152"/>
      <c r="W92" s="152"/>
      <c r="AK92" s="243" t="s">
        <v>591</v>
      </c>
      <c r="AL92" s="243"/>
      <c r="AM92" s="243"/>
      <c r="AN92" s="243"/>
      <c r="AO92" s="243"/>
      <c r="AP92" s="243"/>
      <c r="AQ92" s="243"/>
      <c r="AR92" s="243"/>
      <c r="AS92" s="244"/>
      <c r="AT92" s="45" t="s">
        <v>797</v>
      </c>
      <c r="AU92" s="9" t="str">
        <f>IF(AT$90="车队自制原理 Team design",OKText,IF(ISBLANK(AT92),IncompleteText,OKText))</f>
        <v>OK</v>
      </c>
    </row>
    <row r="93" spans="1:47" x14ac:dyDescent="0.3">
      <c r="A93" s="152"/>
      <c r="B93" s="152"/>
      <c r="C93" s="152"/>
      <c r="D93" s="152"/>
      <c r="E93" s="152"/>
      <c r="F93" s="152"/>
      <c r="G93" s="152"/>
      <c r="H93" s="152"/>
      <c r="I93" s="152"/>
      <c r="J93" s="152"/>
      <c r="K93" s="152"/>
      <c r="M93" s="152"/>
      <c r="N93" s="152"/>
      <c r="O93" s="152"/>
      <c r="P93" s="152"/>
      <c r="Q93" s="152"/>
      <c r="R93" s="152"/>
      <c r="S93" s="152"/>
      <c r="T93" s="152"/>
      <c r="U93" s="152"/>
      <c r="V93" s="152"/>
      <c r="W93" s="152"/>
      <c r="AK93" s="243" t="s">
        <v>597</v>
      </c>
      <c r="AL93" s="243"/>
      <c r="AM93" s="243"/>
      <c r="AN93" s="243"/>
      <c r="AO93" s="243"/>
      <c r="AP93" s="243"/>
      <c r="AQ93" s="243"/>
      <c r="AR93" s="243"/>
      <c r="AS93" s="244"/>
      <c r="AT93" s="15"/>
      <c r="AU93" s="9" t="str">
        <f>IF(AT$90="购买传感器 Purchased",OKText,IF(ISBLANK(AT93),IncompleteText,IF(AT93,OKText,ErrorText)))</f>
        <v>OK</v>
      </c>
    </row>
    <row r="94" spans="1:47" ht="37.5" customHeight="1" x14ac:dyDescent="0.3">
      <c r="A94" s="152"/>
      <c r="B94" s="152"/>
      <c r="C94" s="152"/>
      <c r="D94" s="152"/>
      <c r="E94" s="152"/>
      <c r="F94" s="152"/>
      <c r="G94" s="152"/>
      <c r="H94" s="152"/>
      <c r="I94" s="152"/>
      <c r="J94" s="152"/>
      <c r="K94" s="152"/>
      <c r="M94" s="152"/>
      <c r="N94" s="152"/>
      <c r="O94" s="152"/>
      <c r="P94" s="152"/>
      <c r="Q94" s="152"/>
      <c r="R94" s="152"/>
      <c r="S94" s="152"/>
      <c r="T94" s="152"/>
      <c r="U94" s="152"/>
      <c r="V94" s="152"/>
      <c r="W94" s="152"/>
      <c r="AK94" s="100" t="s">
        <v>601</v>
      </c>
      <c r="AL94" s="100"/>
      <c r="AM94" s="100"/>
      <c r="AN94" s="100"/>
      <c r="AO94" s="100"/>
      <c r="AP94" s="100"/>
      <c r="AQ94" s="100"/>
      <c r="AR94" s="100"/>
      <c r="AS94" s="101"/>
      <c r="AT94" s="15"/>
      <c r="AU94" s="9" t="str">
        <f>IF(AT$90="购买传感器 Purchased",OKText,IF(ISBLANK(AT94),IncompleteText,IF(AT94,OKText,ErrorText)))</f>
        <v>OK</v>
      </c>
    </row>
    <row r="95" spans="1:47" x14ac:dyDescent="0.3">
      <c r="A95" s="263" t="s">
        <v>269</v>
      </c>
      <c r="B95" s="263"/>
      <c r="C95" s="265" t="s">
        <v>664</v>
      </c>
      <c r="D95" s="265"/>
      <c r="E95" s="265"/>
      <c r="F95" s="265"/>
      <c r="G95" s="265"/>
      <c r="H95" s="265"/>
      <c r="I95" s="265"/>
      <c r="J95" s="265"/>
      <c r="K95" s="219" t="str">
        <f>IF(AND(J97=FALSE,NOT(ISBLANK(J97))),OKText,IF(COUNTIF(K97:K99,"="&amp;IncompleteText),IncompleteText,IF(COUNTIF(K97:K99,"="&amp;ErrorText),ErrorText,OKText)))</f>
        <v>OK</v>
      </c>
      <c r="M95" s="263" t="s">
        <v>269</v>
      </c>
      <c r="N95" s="263"/>
      <c r="O95" s="269" t="s">
        <v>665</v>
      </c>
      <c r="P95" s="269"/>
      <c r="Q95" s="269"/>
      <c r="R95" s="269"/>
      <c r="S95" s="269"/>
      <c r="T95" s="269"/>
      <c r="U95" s="269"/>
      <c r="V95" s="269"/>
      <c r="W95" s="219" t="str">
        <f>IF(AND(V97=FALSE,NOT(ISBLANK(V97))),OKText,IF(COUNTIF(W97:W99,"="&amp;IncompleteText),IncompleteText,IF(COUNTIF(W97:W99,"="&amp;ErrorText),ErrorText,OKText)))</f>
        <v>OK</v>
      </c>
      <c r="AK95" s="243" t="s">
        <v>604</v>
      </c>
      <c r="AL95" s="243"/>
      <c r="AM95" s="243"/>
      <c r="AN95" s="243"/>
      <c r="AO95" s="243"/>
      <c r="AP95" s="243"/>
      <c r="AQ95" s="243"/>
      <c r="AR95" s="243"/>
      <c r="AS95" s="244"/>
      <c r="AT95" s="15"/>
      <c r="AU95" s="9" t="str">
        <f>IF(AT90="购买传感器 Purchased",OKText,IF(ISBLANK(AT95),IncompleteText,IF(ISBLANK(AT95),ErrorText,OKText)))</f>
        <v>OK</v>
      </c>
    </row>
    <row r="96" spans="1:47" x14ac:dyDescent="0.3">
      <c r="A96" s="264"/>
      <c r="B96" s="264"/>
      <c r="C96" s="183"/>
      <c r="D96" s="183"/>
      <c r="E96" s="183"/>
      <c r="F96" s="183"/>
      <c r="G96" s="183"/>
      <c r="H96" s="183"/>
      <c r="I96" s="183"/>
      <c r="J96" s="183"/>
      <c r="K96" s="196"/>
      <c r="M96" s="264"/>
      <c r="N96" s="264"/>
      <c r="O96" s="270"/>
      <c r="P96" s="270"/>
      <c r="Q96" s="270"/>
      <c r="R96" s="270"/>
      <c r="S96" s="270"/>
      <c r="T96" s="270"/>
      <c r="U96" s="270"/>
      <c r="V96" s="270"/>
      <c r="W96" s="196"/>
      <c r="AK96" s="243" t="s">
        <v>685</v>
      </c>
      <c r="AL96" s="243"/>
      <c r="AM96" s="243"/>
      <c r="AN96" s="243"/>
      <c r="AO96" s="243"/>
      <c r="AP96" s="243"/>
      <c r="AQ96" s="243"/>
      <c r="AR96" s="243"/>
      <c r="AS96" s="244"/>
      <c r="AT96" s="15"/>
      <c r="AU96" s="9" t="str">
        <f>IF(AT$90="购买传感器 Purchased",OKText,IF(ISBLANK(AT96),IncompleteText,IF(AT96,OKText,ErrorText)))</f>
        <v>OK</v>
      </c>
    </row>
    <row r="97" spans="1:47" ht="21" customHeight="1" x14ac:dyDescent="0.3">
      <c r="A97" s="149" t="s">
        <v>623</v>
      </c>
      <c r="B97" s="149"/>
      <c r="C97" s="118" t="s">
        <v>686</v>
      </c>
      <c r="D97" s="118"/>
      <c r="E97" s="118"/>
      <c r="F97" s="118"/>
      <c r="G97" s="118"/>
      <c r="H97" s="118"/>
      <c r="I97" s="136"/>
      <c r="J97" s="26" t="b">
        <v>0</v>
      </c>
      <c r="K97" s="9" t="str">
        <f>IF(ISBLANK(J97),IncompleteText,OKText)</f>
        <v>OK</v>
      </c>
      <c r="M97" s="140" t="s">
        <v>687</v>
      </c>
      <c r="N97" s="140"/>
      <c r="O97" s="118" t="s">
        <v>688</v>
      </c>
      <c r="P97" s="118"/>
      <c r="Q97" s="118"/>
      <c r="R97" s="118"/>
      <c r="S97" s="118"/>
      <c r="T97" s="118"/>
      <c r="U97" s="119"/>
      <c r="V97" s="15" t="b">
        <v>1</v>
      </c>
      <c r="W97" s="9" t="str">
        <f>IF(ISBLANK(V97),IncompleteText,OKText)</f>
        <v>OK</v>
      </c>
      <c r="AK97" s="243" t="s">
        <v>613</v>
      </c>
      <c r="AL97" s="243"/>
      <c r="AM97" s="243"/>
      <c r="AN97" s="243"/>
      <c r="AO97" s="243"/>
      <c r="AP97" s="243"/>
      <c r="AQ97" s="243"/>
      <c r="AR97" s="243"/>
      <c r="AS97" s="244"/>
      <c r="AT97" s="15" t="s">
        <v>144</v>
      </c>
      <c r="AU97" s="9" t="str">
        <f>IF(ISBLANK(AT97),IncompleteText,IF(ISBLANK(AT97),ErrorText,OKText))</f>
        <v>OK</v>
      </c>
    </row>
    <row r="98" spans="1:47" ht="27" customHeight="1" x14ac:dyDescent="0.3">
      <c r="A98" s="149"/>
      <c r="B98" s="149"/>
      <c r="C98" s="130" t="s">
        <v>689</v>
      </c>
      <c r="D98" s="130"/>
      <c r="E98" s="130"/>
      <c r="F98" s="130"/>
      <c r="G98" s="130"/>
      <c r="H98" s="130"/>
      <c r="I98" s="137"/>
      <c r="J98" s="27"/>
      <c r="K98" s="9" t="str">
        <f t="shared" ref="K98:K99" si="1">IF(ISBLANK(J98),IncompleteText,IF(J98,OKText,ErrorText))</f>
        <v>BLANK</v>
      </c>
      <c r="M98" s="140"/>
      <c r="N98" s="140"/>
      <c r="O98" s="118" t="s">
        <v>690</v>
      </c>
      <c r="P98" s="118"/>
      <c r="Q98" s="118"/>
      <c r="R98" s="118"/>
      <c r="S98" s="118"/>
      <c r="T98" s="118"/>
      <c r="U98" s="119"/>
      <c r="V98" s="15" t="b">
        <v>1</v>
      </c>
      <c r="W98" s="9" t="str">
        <f t="shared" ref="W98:W99" si="2">IF(ISBLANK(V98),IncompleteText,IF(V98,OKText,ErrorText))</f>
        <v>OK</v>
      </c>
      <c r="AK98" s="243" t="s">
        <v>615</v>
      </c>
      <c r="AL98" s="243"/>
      <c r="AM98" s="243"/>
      <c r="AN98" s="243"/>
      <c r="AO98" s="243"/>
      <c r="AP98" s="243"/>
      <c r="AQ98" s="243"/>
      <c r="AR98" s="243"/>
      <c r="AS98" s="244"/>
      <c r="AT98" s="17">
        <f>VLOOKUP(AT97,FuseTable,2,FALSE)</f>
        <v>500</v>
      </c>
      <c r="AU98" s="9" t="str">
        <f>IF(ISNA(AT98),IncompleteText,OKText)</f>
        <v>OK</v>
      </c>
    </row>
    <row r="99" spans="1:47" ht="43.5" customHeight="1" x14ac:dyDescent="0.3">
      <c r="A99" s="149"/>
      <c r="B99" s="149"/>
      <c r="C99" s="118" t="s">
        <v>691</v>
      </c>
      <c r="D99" s="118"/>
      <c r="E99" s="118"/>
      <c r="F99" s="118"/>
      <c r="G99" s="118"/>
      <c r="H99" s="118"/>
      <c r="I99" s="136"/>
      <c r="J99" s="27"/>
      <c r="K99" s="9" t="str">
        <f t="shared" si="1"/>
        <v>BLANK</v>
      </c>
      <c r="M99" s="140"/>
      <c r="N99" s="140"/>
      <c r="O99" s="118" t="s">
        <v>692</v>
      </c>
      <c r="P99" s="118"/>
      <c r="Q99" s="118"/>
      <c r="R99" s="118"/>
      <c r="S99" s="118"/>
      <c r="T99" s="118"/>
      <c r="U99" s="119"/>
      <c r="V99" s="15" t="b">
        <v>1</v>
      </c>
      <c r="W99" s="9" t="str">
        <f t="shared" si="2"/>
        <v>OK</v>
      </c>
      <c r="AK99" s="100" t="s">
        <v>693</v>
      </c>
      <c r="AL99" s="100"/>
      <c r="AM99" s="100"/>
      <c r="AN99" s="100"/>
      <c r="AO99" s="100"/>
      <c r="AP99" s="100"/>
      <c r="AQ99" s="100"/>
      <c r="AR99" s="100"/>
      <c r="AS99" s="101"/>
      <c r="AT99" s="15" t="b">
        <v>1</v>
      </c>
      <c r="AU99" s="9" t="str">
        <f>IF(ISBLANK(AT99),IncompleteText,IF(AT99,OKText,ErrorText))</f>
        <v>OK</v>
      </c>
    </row>
    <row r="100" spans="1:47" ht="34.25" customHeight="1" x14ac:dyDescent="0.3">
      <c r="AK100" s="100" t="s">
        <v>694</v>
      </c>
      <c r="AL100" s="100"/>
      <c r="AM100" s="100"/>
      <c r="AN100" s="100"/>
      <c r="AO100" s="100"/>
      <c r="AP100" s="100"/>
      <c r="AQ100" s="100"/>
      <c r="AR100" s="100"/>
      <c r="AS100" s="100"/>
      <c r="AT100" s="15" t="b">
        <v>1</v>
      </c>
      <c r="AU100" s="9" t="str">
        <f>IF(ISBLANK(AT100),IncompleteText,IF(AT100,OKText,ErrorText))</f>
        <v>OK</v>
      </c>
    </row>
  </sheetData>
  <sheetProtection algorithmName="SHA-512" hashValue="2Nlz8dTnfqItJS+j7FbCXYoXMIfe7aqWZgB+a71QRklF9GYByDqDBeIKbYnHtF4S8CyRqFD2irCOSgxC2rP5lw==" saltValue="Rzzz5Pw4fH6TcreaDhrIbg==" spinCount="100000" sheet="1" scenarios="1" insertHyperlinks="0"/>
  <mergeCells count="184">
    <mergeCell ref="A95:B96"/>
    <mergeCell ref="M95:N96"/>
    <mergeCell ref="O95:V96"/>
    <mergeCell ref="AK76:AT77"/>
    <mergeCell ref="AW76:BF77"/>
    <mergeCell ref="BG76:BG77"/>
    <mergeCell ref="A97:B99"/>
    <mergeCell ref="M97:N99"/>
    <mergeCell ref="AW50:BG75"/>
    <mergeCell ref="M10:W35"/>
    <mergeCell ref="M43:U46"/>
    <mergeCell ref="V43:W46"/>
    <mergeCell ref="AH43:AI46"/>
    <mergeCell ref="AK50:AU75"/>
    <mergeCell ref="AW9:BG34"/>
    <mergeCell ref="AW37:BG46"/>
    <mergeCell ref="A10:K35"/>
    <mergeCell ref="A36:B37"/>
    <mergeCell ref="C36:J37"/>
    <mergeCell ref="A64:I67"/>
    <mergeCell ref="J64:K67"/>
    <mergeCell ref="A69:K94"/>
    <mergeCell ref="C95:J96"/>
    <mergeCell ref="A54:B56"/>
    <mergeCell ref="M69:W94"/>
    <mergeCell ref="AK9:AU34"/>
    <mergeCell ref="Y9:AI34"/>
    <mergeCell ref="Y43:AG46"/>
    <mergeCell ref="Y35:AH36"/>
    <mergeCell ref="C98:I98"/>
    <mergeCell ref="O98:U98"/>
    <mergeCell ref="AK98:AS98"/>
    <mergeCell ref="C99:I99"/>
    <mergeCell ref="O99:U99"/>
    <mergeCell ref="AK99:AS99"/>
    <mergeCell ref="AK100:AS100"/>
    <mergeCell ref="F2:F3"/>
    <mergeCell ref="K36:K37"/>
    <mergeCell ref="K95:K96"/>
    <mergeCell ref="M2:M3"/>
    <mergeCell ref="W36:W37"/>
    <mergeCell ref="W95:W96"/>
    <mergeCell ref="AI35:AI36"/>
    <mergeCell ref="AI49:AI50"/>
    <mergeCell ref="AI55:AI57"/>
    <mergeCell ref="M36:V37"/>
    <mergeCell ref="AK35:AT36"/>
    <mergeCell ref="AK90:AS90"/>
    <mergeCell ref="AK91:AS91"/>
    <mergeCell ref="AK92:AS92"/>
    <mergeCell ref="AK93:AS93"/>
    <mergeCell ref="AK94:AS94"/>
    <mergeCell ref="AK95:AS95"/>
    <mergeCell ref="AK96:AS96"/>
    <mergeCell ref="C97:I97"/>
    <mergeCell ref="O97:U97"/>
    <mergeCell ref="AK97:AS97"/>
    <mergeCell ref="AK81:AS81"/>
    <mergeCell ref="AK82:AS82"/>
    <mergeCell ref="AK83:AS83"/>
    <mergeCell ref="AK84:AS84"/>
    <mergeCell ref="AK85:AS85"/>
    <mergeCell ref="AK86:AS86"/>
    <mergeCell ref="AK87:AS87"/>
    <mergeCell ref="AK88:AS88"/>
    <mergeCell ref="AK89:AS89"/>
    <mergeCell ref="A63:I63"/>
    <mergeCell ref="J63:K63"/>
    <mergeCell ref="Y63:AF63"/>
    <mergeCell ref="AK78:AS78"/>
    <mergeCell ref="AW78:BE78"/>
    <mergeCell ref="AK79:AS79"/>
    <mergeCell ref="AW79:BE79"/>
    <mergeCell ref="AK80:AS80"/>
    <mergeCell ref="AW80:BE80"/>
    <mergeCell ref="AU76:AU77"/>
    <mergeCell ref="A60:B60"/>
    <mergeCell ref="C60:I60"/>
    <mergeCell ref="Y60:AF60"/>
    <mergeCell ref="A61:B61"/>
    <mergeCell ref="C61:I61"/>
    <mergeCell ref="Y61:AF61"/>
    <mergeCell ref="A62:B62"/>
    <mergeCell ref="C62:I62"/>
    <mergeCell ref="Y62:AF62"/>
    <mergeCell ref="A57:B57"/>
    <mergeCell ref="C57:I57"/>
    <mergeCell ref="Y57:AF57"/>
    <mergeCell ref="A58:B58"/>
    <mergeCell ref="C58:I58"/>
    <mergeCell ref="Y58:AF58"/>
    <mergeCell ref="A59:B59"/>
    <mergeCell ref="C59:I59"/>
    <mergeCell ref="Y59:AF59"/>
    <mergeCell ref="A52:B52"/>
    <mergeCell ref="C52:I52"/>
    <mergeCell ref="Y52:AG52"/>
    <mergeCell ref="A53:B53"/>
    <mergeCell ref="C53:I53"/>
    <mergeCell ref="C54:I54"/>
    <mergeCell ref="C55:I55"/>
    <mergeCell ref="Y55:AH55"/>
    <mergeCell ref="C56:I56"/>
    <mergeCell ref="Y56:AH56"/>
    <mergeCell ref="A49:B49"/>
    <mergeCell ref="C49:I49"/>
    <mergeCell ref="Y49:AH49"/>
    <mergeCell ref="A50:B50"/>
    <mergeCell ref="C50:I50"/>
    <mergeCell ref="Y50:AH50"/>
    <mergeCell ref="A51:B51"/>
    <mergeCell ref="C51:I51"/>
    <mergeCell ref="Y51:AG51"/>
    <mergeCell ref="A46:B46"/>
    <mergeCell ref="C46:I46"/>
    <mergeCell ref="AK46:AS46"/>
    <mergeCell ref="A47:B47"/>
    <mergeCell ref="C47:I47"/>
    <mergeCell ref="AK47:AS47"/>
    <mergeCell ref="A48:B48"/>
    <mergeCell ref="C48:I48"/>
    <mergeCell ref="AK48:AS48"/>
    <mergeCell ref="A43:B43"/>
    <mergeCell ref="C43:I43"/>
    <mergeCell ref="AK43:AS43"/>
    <mergeCell ref="A44:B44"/>
    <mergeCell ref="C44:I44"/>
    <mergeCell ref="AK44:AS44"/>
    <mergeCell ref="A45:B45"/>
    <mergeCell ref="C45:I45"/>
    <mergeCell ref="AK45:AS45"/>
    <mergeCell ref="A41:B41"/>
    <mergeCell ref="C41:I41"/>
    <mergeCell ref="M41:U41"/>
    <mergeCell ref="Y41:AG41"/>
    <mergeCell ref="AK41:AS41"/>
    <mergeCell ref="A42:B42"/>
    <mergeCell ref="C42:I42"/>
    <mergeCell ref="M42:U42"/>
    <mergeCell ref="V42:W42"/>
    <mergeCell ref="Y42:AG42"/>
    <mergeCell ref="AH42:AI42"/>
    <mergeCell ref="AK42:AS42"/>
    <mergeCell ref="A39:B39"/>
    <mergeCell ref="C39:I39"/>
    <mergeCell ref="M39:U39"/>
    <mergeCell ref="Y39:AG39"/>
    <mergeCell ref="AK39:AS39"/>
    <mergeCell ref="A40:B40"/>
    <mergeCell ref="C40:I40"/>
    <mergeCell ref="M40:U40"/>
    <mergeCell ref="Y40:AG40"/>
    <mergeCell ref="AK40:AS40"/>
    <mergeCell ref="A8:C8"/>
    <mergeCell ref="D8:E8"/>
    <mergeCell ref="H8:J8"/>
    <mergeCell ref="AW36:BG36"/>
    <mergeCell ref="Y37:AG37"/>
    <mergeCell ref="AK37:AS37"/>
    <mergeCell ref="A38:B38"/>
    <mergeCell ref="C38:I38"/>
    <mergeCell ref="M38:U38"/>
    <mergeCell ref="Y38:AG38"/>
    <mergeCell ref="AK38:AS38"/>
    <mergeCell ref="AU35:AU36"/>
    <mergeCell ref="A5:C5"/>
    <mergeCell ref="H5:J5"/>
    <mergeCell ref="K5:L5"/>
    <mergeCell ref="A6:C6"/>
    <mergeCell ref="D6:E6"/>
    <mergeCell ref="H6:J6"/>
    <mergeCell ref="A7:C7"/>
    <mergeCell ref="D7:E7"/>
    <mergeCell ref="H7:J7"/>
    <mergeCell ref="A2:E2"/>
    <mergeCell ref="H2:L2"/>
    <mergeCell ref="A3:C3"/>
    <mergeCell ref="D3:E3"/>
    <mergeCell ref="H3:J3"/>
    <mergeCell ref="K3:L3"/>
    <mergeCell ref="A4:C4"/>
    <mergeCell ref="D4:E4"/>
    <mergeCell ref="H4:J4"/>
    <mergeCell ref="K4:L4"/>
  </mergeCells>
  <phoneticPr fontId="17" type="noConversion"/>
  <conditionalFormatting sqref="C98:K99">
    <cfRule type="expression" dxfId="18" priority="4">
      <formula>AND($K$97=OKText,NOT($J$97))</formula>
    </cfRule>
  </conditionalFormatting>
  <conditionalFormatting sqref="K95:K99 W36:W41">
    <cfRule type="cellIs" dxfId="17" priority="16" operator="equal">
      <formula>ErrorText</formula>
    </cfRule>
  </conditionalFormatting>
  <conditionalFormatting sqref="W95:W99">
    <cfRule type="cellIs" dxfId="16" priority="5" operator="equal">
      <formula>ErrorText</formula>
    </cfRule>
  </conditionalFormatting>
  <conditionalFormatting sqref="AK38:AT39">
    <cfRule type="expression" dxfId="15" priority="3">
      <formula>$AT$37="车队自制原理 team made"</formula>
    </cfRule>
  </conditionalFormatting>
  <conditionalFormatting sqref="AK81:AT81">
    <cfRule type="expression" dxfId="14" priority="2">
      <formula>$AT$78="其他测量方式 Others"</formula>
    </cfRule>
  </conditionalFormatting>
  <conditionalFormatting sqref="AK40:AU43">
    <cfRule type="expression" dxfId="13" priority="47">
      <formula>$AT$37="供应商 Purchased"</formula>
    </cfRule>
  </conditionalFormatting>
  <conditionalFormatting sqref="AK85:AU85">
    <cfRule type="expression" dxfId="12" priority="37">
      <formula>$AT$82="其他测量方式 Others"</formula>
    </cfRule>
  </conditionalFormatting>
  <conditionalFormatting sqref="AK86:AU87">
    <cfRule type="expression" dxfId="11" priority="34">
      <formula>$AT$78="辅助触点 Auxiliary Contacts"</formula>
    </cfRule>
  </conditionalFormatting>
  <conditionalFormatting sqref="AK91:AU92">
    <cfRule type="expression" dxfId="10" priority="1">
      <formula>$AT$90="车队自制原理 Team design"</formula>
    </cfRule>
  </conditionalFormatting>
  <conditionalFormatting sqref="AK93:AU96">
    <cfRule type="expression" dxfId="9" priority="11">
      <formula>$AT$90="购买传感器 Purchased"</formula>
    </cfRule>
  </conditionalFormatting>
  <conditionalFormatting sqref="AU38:AU39">
    <cfRule type="expression" dxfId="8" priority="50">
      <formula>$AT$37="车队自制原理 team made"</formula>
    </cfRule>
  </conditionalFormatting>
  <conditionalFormatting sqref="AU76:AU96 F2:F8 M2:M8 Z8 AI35:AI41 AU35:AU43 K36:K62 AU48 AI49:AI52 AI55:AI64 BG76:BG80 AU100">
    <cfRule type="cellIs" dxfId="7" priority="14" operator="equal">
      <formula>ErrorText</formula>
    </cfRule>
  </conditionalFormatting>
  <conditionalFormatting sqref="AU81">
    <cfRule type="expression" dxfId="6" priority="39">
      <formula>$AT$78="其他测量方式 Others"</formula>
    </cfRule>
  </conditionalFormatting>
  <dataValidations count="10">
    <dataValidation type="list" allowBlank="1" showInputMessage="1" showErrorMessage="1" sqref="D4:E4" xr:uid="{00000000-0002-0000-0800-000000000000}">
      <formula1>"Bender IR155-3203,Bender IR155-3204,Bender iso165c-1,Kclear BMU05"</formula1>
    </dataValidation>
    <dataValidation type="list" allowBlank="1" showInputMessage="1" showErrorMessage="1" sqref="AT37" xr:uid="{00000000-0002-0000-0800-000001000000}">
      <formula1>"车队自制原理 team made, 供应商 purchased"</formula1>
    </dataValidation>
    <dataValidation type="list" allowBlank="1" showInputMessage="1" showErrorMessage="1" sqref="AT43 AT81 AT96 J38:J62 J97:J99 V38:V41 V97:V99 AH37:AH41 AH51:AH52 AT40:AT41 AT46:AT48 AT85:AT89 AT93:AT94 AT99:AT100 BF78:BF80" xr:uid="{00000000-0002-0000-0800-000002000000}">
      <formula1>"TRUE,FALSE"</formula1>
    </dataValidation>
    <dataValidation type="list" allowBlank="1" showInputMessage="1" showErrorMessage="1" sqref="AT44 AT97" xr:uid="{00000000-0002-0000-0800-000003000000}">
      <formula1>FuseName</formula1>
    </dataValidation>
    <dataValidation type="list" allowBlank="1" showInputMessage="1" showErrorMessage="1" sqref="AT78" xr:uid="{00000000-0002-0000-0800-000004000000}">
      <formula1>"辅助触点 Auxiliary Contacts, 其他测量方式 Others"</formula1>
    </dataValidation>
    <dataValidation type="list" allowBlank="1" showInputMessage="1" showErrorMessage="1" sqref="AT79 AT83" xr:uid="{00000000-0002-0000-0800-000005000000}">
      <formula1>ContactorNames</formula1>
    </dataValidation>
    <dataValidation type="list" allowBlank="1" showInputMessage="1" showErrorMessage="1" sqref="AT82" xr:uid="{00000000-0002-0000-0800-000006000000}">
      <formula1>"辅助触点 Auxiliary Contacts, 其他测量 Others"</formula1>
    </dataValidation>
    <dataValidation type="list" allowBlank="1" showInputMessage="1" showErrorMessage="1" sqref="AT90" xr:uid="{00000000-0002-0000-0800-000007000000}">
      <formula1>"车队自制原理 Team design,购买传感器 Purchased"</formula1>
    </dataValidation>
    <dataValidation type="list" allowBlank="1" showInputMessage="1" showErrorMessage="1" sqref="AG58:AG63" xr:uid="{00000000-0002-0000-0800-000008000000}">
      <formula1>"熄灭 OFF,常亮 ON"</formula1>
    </dataValidation>
    <dataValidation type="list" allowBlank="1" showInputMessage="1" showErrorMessage="1" sqref="AH58:AH63" xr:uid="{00000000-0002-0000-0800-000009000000}">
      <formula1>"熄灭 OFF, 闪烁 Flashing"</formula1>
    </dataValidation>
  </dataValidations>
  <hyperlinks>
    <hyperlink ref="K5:L5" r:id="rId1" display="HRI-36" xr:uid="{00000000-0004-0000-0800-000000000000}"/>
    <hyperlink ref="AT39" r:id="rId2" xr:uid="{00000000-0004-0000-0800-000001000000}"/>
    <hyperlink ref="AT92" r:id="rId3" xr:uid="{00000000-0004-0000-0800-000002000000}"/>
  </hyperlink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I64"/>
  <sheetViews>
    <sheetView zoomScale="85" zoomScaleNormal="85" workbookViewId="0">
      <selection activeCell="P11" sqref="P11:Q11"/>
    </sheetView>
  </sheetViews>
  <sheetFormatPr defaultColWidth="9" defaultRowHeight="14" x14ac:dyDescent="0.3"/>
  <cols>
    <col min="1" max="1" width="12" customWidth="1"/>
    <col min="25" max="25" width="29.33203125" customWidth="1"/>
    <col min="34" max="34" width="19.6640625" customWidth="1"/>
  </cols>
  <sheetData>
    <row r="1" spans="1:35" x14ac:dyDescent="0.3">
      <c r="A1" s="8" t="s">
        <v>27</v>
      </c>
      <c r="B1" s="9" t="str">
        <f ca="1">IF(SUM(COUNTIF(INDIRECT({"$H$2","$F$8","$L$8","$R$8","$X$8","$H$34","$Q$34","$Z$34","$Z$36","$AI$34"}),"="&amp;IncompleteText)),IncompleteText,IF(SUM(COUNTIF(INDIRECT({"$H$2","$F$8","$L$8","$R$8","$X$8","$H$34","$Q$34","$Z$34","$Z$36","$AI$34"}),"="&amp;ErrorText)),ErrorText,OKText))</f>
        <v>OK</v>
      </c>
    </row>
    <row r="2" spans="1:35" x14ac:dyDescent="0.3">
      <c r="A2" s="183" t="s">
        <v>695</v>
      </c>
      <c r="B2" s="183"/>
      <c r="C2" s="183"/>
      <c r="D2" s="183"/>
      <c r="E2" s="183"/>
      <c r="F2" s="183"/>
      <c r="G2" s="183"/>
      <c r="H2" s="9" t="str">
        <f>IF(COUNTIF(H3:H6,"="&amp;IncompleteText),IncompleteText,IF(COUNTIF(H3:H6,"="&amp;ErrorText),ErrorText,OKText))</f>
        <v>OK</v>
      </c>
    </row>
    <row r="3" spans="1:35" x14ac:dyDescent="0.3">
      <c r="A3" s="118" t="s">
        <v>696</v>
      </c>
      <c r="B3" s="118"/>
      <c r="C3" s="118"/>
      <c r="D3" s="118"/>
      <c r="E3" s="119"/>
      <c r="F3" s="271" t="s">
        <v>697</v>
      </c>
      <c r="G3" s="272"/>
      <c r="H3" s="9" t="str">
        <f>IF(ISBLANK(F3),IncompleteText,OKText)</f>
        <v>OK</v>
      </c>
    </row>
    <row r="4" spans="1:35" x14ac:dyDescent="0.3">
      <c r="A4" s="118" t="s">
        <v>698</v>
      </c>
      <c r="B4" s="118"/>
      <c r="C4" s="118"/>
      <c r="D4" s="118"/>
      <c r="E4" s="119"/>
      <c r="F4" s="271" t="s">
        <v>699</v>
      </c>
      <c r="G4" s="272"/>
      <c r="H4" s="9" t="str">
        <f>IF(ISBLANK(F4),IncompleteText,OKText)</f>
        <v>OK</v>
      </c>
    </row>
    <row r="5" spans="1:35" x14ac:dyDescent="0.3">
      <c r="A5" s="118" t="s">
        <v>700</v>
      </c>
      <c r="B5" s="118"/>
      <c r="C5" s="118"/>
      <c r="D5" s="118"/>
      <c r="E5" s="119"/>
      <c r="F5" s="271">
        <v>1</v>
      </c>
      <c r="G5" s="272"/>
      <c r="H5" s="9" t="str">
        <f>IF(ISBLANK(F5),IncompleteText,OKText)</f>
        <v>OK</v>
      </c>
    </row>
    <row r="6" spans="1:35" x14ac:dyDescent="0.3">
      <c r="A6" s="118" t="s">
        <v>701</v>
      </c>
      <c r="B6" s="118"/>
      <c r="C6" s="118"/>
      <c r="D6" s="118"/>
      <c r="E6" s="119"/>
      <c r="F6" s="271">
        <v>1</v>
      </c>
      <c r="G6" s="272"/>
      <c r="H6" s="9" t="str">
        <f>IF(ISBLANK(F6),IncompleteText,OKText)</f>
        <v>OK</v>
      </c>
    </row>
    <row r="8" spans="1:35" x14ac:dyDescent="0.3">
      <c r="A8" s="93" t="s">
        <v>702</v>
      </c>
      <c r="B8" s="93"/>
      <c r="C8" s="93"/>
      <c r="D8" s="93"/>
      <c r="E8" s="93"/>
      <c r="F8" s="9" t="str">
        <f>IF(COUNTIF(F9:F13,"="&amp;IncompleteText),IncompleteText,IF(COUNTIF(F9:F13,"="&amp;ErrorText),ErrorText,OKText))</f>
        <v>OK</v>
      </c>
      <c r="G8" s="93" t="s">
        <v>703</v>
      </c>
      <c r="H8" s="93"/>
      <c r="I8" s="93"/>
      <c r="J8" s="93"/>
      <c r="K8" s="93"/>
      <c r="L8" s="9" t="str">
        <f>IF(F5&lt;&gt;2,OKText,IF(COUNTIF(L9:L13,"="&amp;IncompleteText),IncompleteText,IF(COUNTIF(L9:L13,"="&amp;ErrorText),ErrorText,OKText)))</f>
        <v>OK</v>
      </c>
      <c r="M8" s="93" t="s">
        <v>294</v>
      </c>
      <c r="N8" s="93"/>
      <c r="O8" s="93"/>
      <c r="P8" s="93"/>
      <c r="Q8" s="93"/>
      <c r="R8" s="9" t="str">
        <f>IF(COUNTIF(R9:R11,"="&amp;IncompleteText),IncompleteText,IF(COUNTIF(R9:R11,"="&amp;ErrorText),ErrorText,OKText))</f>
        <v>OK</v>
      </c>
      <c r="S8" s="93" t="s">
        <v>704</v>
      </c>
      <c r="T8" s="93"/>
      <c r="U8" s="93"/>
      <c r="V8" s="93"/>
      <c r="W8" s="93"/>
      <c r="X8" s="9" t="str">
        <f>IF(F6&lt;&gt;2,OKText,IF(COUNTIF(X9:X11,"="&amp;IncompleteText),IncompleteText,IF(COUNTIF(X9:X11,"="&amp;ErrorText),ErrorText,OKText)))</f>
        <v>OK</v>
      </c>
    </row>
    <row r="9" spans="1:35" x14ac:dyDescent="0.3">
      <c r="A9" s="91" t="s">
        <v>52</v>
      </c>
      <c r="B9" s="91"/>
      <c r="C9" s="92"/>
      <c r="D9" s="115" t="s">
        <v>705</v>
      </c>
      <c r="E9" s="116"/>
      <c r="F9" s="9" t="str">
        <f>IF(ISBLANK(D9),IncompleteText,OKText)</f>
        <v>OK</v>
      </c>
      <c r="G9" s="91" t="s">
        <v>52</v>
      </c>
      <c r="H9" s="91"/>
      <c r="I9" s="92"/>
      <c r="J9" s="115"/>
      <c r="K9" s="116"/>
      <c r="L9" s="9" t="str">
        <f>IF(ISBLANK(J9),IncompleteText,OKText)</f>
        <v>BLANK</v>
      </c>
      <c r="M9" s="95" t="s">
        <v>52</v>
      </c>
      <c r="N9" s="95"/>
      <c r="O9" s="96"/>
      <c r="P9" s="115" t="s">
        <v>705</v>
      </c>
      <c r="Q9" s="116"/>
      <c r="R9" s="9" t="str">
        <f>IF(ISBLANK(P9),IncompleteText,OKText)</f>
        <v>OK</v>
      </c>
      <c r="S9" s="95" t="s">
        <v>52</v>
      </c>
      <c r="T9" s="95"/>
      <c r="U9" s="96"/>
      <c r="V9" s="115"/>
      <c r="W9" s="116"/>
      <c r="X9" s="9" t="str">
        <f>IF(ISBLANK(V9),IncompleteText,OKText)</f>
        <v>BLANK</v>
      </c>
    </row>
    <row r="10" spans="1:35" x14ac:dyDescent="0.3">
      <c r="A10" s="118" t="s">
        <v>347</v>
      </c>
      <c r="B10" s="118"/>
      <c r="C10" s="118"/>
      <c r="D10" s="293" t="s">
        <v>796</v>
      </c>
      <c r="E10" s="104"/>
      <c r="F10" s="9" t="str">
        <f>IF(ISBLANK(D10),IncompleteText,OKText)</f>
        <v>OK</v>
      </c>
      <c r="G10" s="118" t="s">
        <v>347</v>
      </c>
      <c r="H10" s="118"/>
      <c r="I10" s="118"/>
      <c r="J10" s="104"/>
      <c r="K10" s="104"/>
      <c r="L10" s="9" t="str">
        <f>IF(ISBLANK(J10),IncompleteText,OKText)</f>
        <v>BLANK</v>
      </c>
      <c r="M10" s="95" t="s">
        <v>347</v>
      </c>
      <c r="N10" s="95"/>
      <c r="O10" s="95"/>
      <c r="P10" s="293" t="s">
        <v>795</v>
      </c>
      <c r="Q10" s="104"/>
      <c r="R10" s="9" t="str">
        <f>IF(ISBLANK(P10),IncompleteText,OKText)</f>
        <v>OK</v>
      </c>
      <c r="S10" s="95" t="s">
        <v>347</v>
      </c>
      <c r="T10" s="95"/>
      <c r="U10" s="95"/>
      <c r="V10" s="104"/>
      <c r="W10" s="104"/>
      <c r="X10" s="9" t="str">
        <f>IF(ISBLANK(V10),IncompleteText,OKText)</f>
        <v>BLANK</v>
      </c>
    </row>
    <row r="11" spans="1:35" x14ac:dyDescent="0.3">
      <c r="A11" s="91" t="s">
        <v>708</v>
      </c>
      <c r="B11" s="91"/>
      <c r="C11" s="92"/>
      <c r="D11" s="202" t="s">
        <v>706</v>
      </c>
      <c r="E11" s="202"/>
      <c r="F11" s="9" t="str">
        <f>IF(ISBLANK(D11),IncompleteText,OKText)</f>
        <v>OK</v>
      </c>
      <c r="G11" s="91" t="s">
        <v>708</v>
      </c>
      <c r="H11" s="91"/>
      <c r="I11" s="92"/>
      <c r="J11" s="104"/>
      <c r="K11" s="104"/>
      <c r="L11" s="9" t="str">
        <f>IF(ISBLANK(J11),IncompleteText,OKText)</f>
        <v>BLANK</v>
      </c>
      <c r="M11" s="107" t="s">
        <v>709</v>
      </c>
      <c r="N11" s="107"/>
      <c r="O11" s="113"/>
      <c r="P11" s="202" t="s">
        <v>707</v>
      </c>
      <c r="Q11" s="202"/>
      <c r="R11" s="9" t="str">
        <f>IF(ISBLANK(P11),IncompleteText,OKText)</f>
        <v>OK</v>
      </c>
      <c r="S11" s="107" t="s">
        <v>709</v>
      </c>
      <c r="T11" s="107"/>
      <c r="U11" s="113"/>
      <c r="V11" s="104"/>
      <c r="W11" s="104"/>
      <c r="X11" s="9" t="str">
        <f>IF(ISBLANK(V11),IncompleteText,OKText)</f>
        <v>BLANK</v>
      </c>
    </row>
    <row r="12" spans="1:35" x14ac:dyDescent="0.3">
      <c r="A12" s="130" t="s">
        <v>710</v>
      </c>
      <c r="B12" s="130"/>
      <c r="C12" s="130"/>
      <c r="D12" s="275">
        <v>1500</v>
      </c>
      <c r="E12" s="276" t="s">
        <v>22</v>
      </c>
      <c r="F12" s="278" t="str">
        <f>IF(ISBLANK(D12),IncompleteText,IF(D12&lt;MaxTSVoltage,ErrorText,OKText))</f>
        <v>OK</v>
      </c>
      <c r="G12" s="130" t="s">
        <v>710</v>
      </c>
      <c r="H12" s="130"/>
      <c r="I12" s="130"/>
      <c r="J12" s="275"/>
      <c r="K12" s="276" t="s">
        <v>22</v>
      </c>
      <c r="L12" s="278" t="str">
        <f>IF(ISBLANK(J12),IncompleteText,IF(J12&lt;MaxTSVoltage,ErrorText,OKText))</f>
        <v>BLANK</v>
      </c>
    </row>
    <row r="13" spans="1:35" x14ac:dyDescent="0.3">
      <c r="A13" s="130"/>
      <c r="B13" s="130"/>
      <c r="C13" s="130"/>
      <c r="D13" s="240"/>
      <c r="E13" s="277"/>
      <c r="F13" s="278"/>
      <c r="G13" s="130"/>
      <c r="H13" s="130"/>
      <c r="I13" s="130"/>
      <c r="J13" s="240"/>
      <c r="K13" s="277"/>
      <c r="L13" s="278"/>
    </row>
    <row r="14" spans="1:35" x14ac:dyDescent="0.3">
      <c r="S14" s="93" t="s">
        <v>711</v>
      </c>
      <c r="T14" s="93"/>
      <c r="U14" s="93"/>
      <c r="V14" s="93"/>
      <c r="W14" s="93"/>
      <c r="X14" s="93"/>
      <c r="Y14" s="93"/>
      <c r="Z14" s="14" t="str">
        <f ca="1">IF(SUM(COUNTIF(INDIRECT({"$Z$28","$Z$30","$AI$28"}),"="&amp;IncompleteText)),IncompleteText,IF(SUM(COUNTIF(INDIRECT({"$Z$28","$Z$30","$AI$28"}),"="&amp;ErrorText)),ErrorText,OKText))</f>
        <v>OK</v>
      </c>
    </row>
    <row r="15" spans="1:35" ht="14" customHeight="1" x14ac:dyDescent="0.3">
      <c r="A15" s="154" t="s">
        <v>712</v>
      </c>
      <c r="B15" s="154"/>
      <c r="C15" s="154"/>
      <c r="D15" s="154"/>
      <c r="E15" s="154"/>
      <c r="F15" s="154"/>
      <c r="G15" s="154"/>
      <c r="H15" s="154"/>
      <c r="J15" s="154" t="s">
        <v>713</v>
      </c>
      <c r="K15" s="154"/>
      <c r="L15" s="154"/>
      <c r="M15" s="154"/>
      <c r="N15" s="154"/>
      <c r="O15" s="154"/>
      <c r="P15" s="154"/>
      <c r="Q15" s="154"/>
      <c r="S15" s="154" t="s">
        <v>714</v>
      </c>
      <c r="T15" s="154"/>
      <c r="U15" s="154"/>
      <c r="V15" s="154"/>
      <c r="W15" s="154"/>
      <c r="X15" s="154"/>
      <c r="Y15" s="154"/>
      <c r="Z15" s="154"/>
      <c r="AB15" s="169" t="s">
        <v>715</v>
      </c>
      <c r="AC15" s="169"/>
      <c r="AD15" s="169"/>
      <c r="AE15" s="169"/>
      <c r="AF15" s="169"/>
      <c r="AG15" s="169"/>
      <c r="AH15" s="169"/>
      <c r="AI15" s="169"/>
    </row>
    <row r="16" spans="1:35" x14ac:dyDescent="0.3">
      <c r="A16" s="154"/>
      <c r="B16" s="154"/>
      <c r="C16" s="154"/>
      <c r="D16" s="154"/>
      <c r="E16" s="154"/>
      <c r="F16" s="154"/>
      <c r="G16" s="154"/>
      <c r="H16" s="154"/>
      <c r="J16" s="154"/>
      <c r="K16" s="154"/>
      <c r="L16" s="154"/>
      <c r="M16" s="154"/>
      <c r="N16" s="154"/>
      <c r="O16" s="154"/>
      <c r="P16" s="154"/>
      <c r="Q16" s="154"/>
      <c r="S16" s="154"/>
      <c r="T16" s="154"/>
      <c r="U16" s="154"/>
      <c r="V16" s="154"/>
      <c r="W16" s="154"/>
      <c r="X16" s="154"/>
      <c r="Y16" s="154"/>
      <c r="Z16" s="154"/>
      <c r="AB16" s="169"/>
      <c r="AC16" s="169"/>
      <c r="AD16" s="169"/>
      <c r="AE16" s="169"/>
      <c r="AF16" s="169"/>
      <c r="AG16" s="169"/>
      <c r="AH16" s="169"/>
      <c r="AI16" s="169"/>
    </row>
    <row r="17" spans="1:35" x14ac:dyDescent="0.3">
      <c r="A17" s="154"/>
      <c r="B17" s="154"/>
      <c r="C17" s="154"/>
      <c r="D17" s="154"/>
      <c r="E17" s="154"/>
      <c r="F17" s="154"/>
      <c r="G17" s="154"/>
      <c r="H17" s="154"/>
      <c r="J17" s="154"/>
      <c r="K17" s="154"/>
      <c r="L17" s="154"/>
      <c r="M17" s="154"/>
      <c r="N17" s="154"/>
      <c r="O17" s="154"/>
      <c r="P17" s="154"/>
      <c r="Q17" s="154"/>
      <c r="S17" s="154"/>
      <c r="T17" s="154"/>
      <c r="U17" s="154"/>
      <c r="V17" s="154"/>
      <c r="W17" s="154"/>
      <c r="X17" s="154"/>
      <c r="Y17" s="154"/>
      <c r="Z17" s="154"/>
      <c r="AB17" s="169"/>
      <c r="AC17" s="169"/>
      <c r="AD17" s="169"/>
      <c r="AE17" s="169"/>
      <c r="AF17" s="169"/>
      <c r="AG17" s="169"/>
      <c r="AH17" s="169"/>
      <c r="AI17" s="169"/>
    </row>
    <row r="18" spans="1:35" x14ac:dyDescent="0.3">
      <c r="A18" s="154"/>
      <c r="B18" s="154"/>
      <c r="C18" s="154"/>
      <c r="D18" s="154"/>
      <c r="E18" s="154"/>
      <c r="F18" s="154"/>
      <c r="G18" s="154"/>
      <c r="H18" s="154"/>
      <c r="J18" s="154"/>
      <c r="K18" s="154"/>
      <c r="L18" s="154"/>
      <c r="M18" s="154"/>
      <c r="N18" s="154"/>
      <c r="O18" s="154"/>
      <c r="P18" s="154"/>
      <c r="Q18" s="154"/>
      <c r="S18" s="154"/>
      <c r="T18" s="154"/>
      <c r="U18" s="154"/>
      <c r="V18" s="154"/>
      <c r="W18" s="154"/>
      <c r="X18" s="154"/>
      <c r="Y18" s="154"/>
      <c r="Z18" s="154"/>
      <c r="AB18" s="169"/>
      <c r="AC18" s="169"/>
      <c r="AD18" s="169"/>
      <c r="AE18" s="169"/>
      <c r="AF18" s="169"/>
      <c r="AG18" s="169"/>
      <c r="AH18" s="169"/>
      <c r="AI18" s="169"/>
    </row>
    <row r="19" spans="1:35" x14ac:dyDescent="0.3">
      <c r="A19" s="154"/>
      <c r="B19" s="154"/>
      <c r="C19" s="154"/>
      <c r="D19" s="154"/>
      <c r="E19" s="154"/>
      <c r="F19" s="154"/>
      <c r="G19" s="154"/>
      <c r="H19" s="154"/>
      <c r="J19" s="154"/>
      <c r="K19" s="154"/>
      <c r="L19" s="154"/>
      <c r="M19" s="154"/>
      <c r="N19" s="154"/>
      <c r="O19" s="154"/>
      <c r="P19" s="154"/>
      <c r="Q19" s="154"/>
      <c r="S19" s="154"/>
      <c r="T19" s="154"/>
      <c r="U19" s="154"/>
      <c r="V19" s="154"/>
      <c r="W19" s="154"/>
      <c r="X19" s="154"/>
      <c r="Y19" s="154"/>
      <c r="Z19" s="154"/>
      <c r="AB19" s="169"/>
      <c r="AC19" s="169"/>
      <c r="AD19" s="169"/>
      <c r="AE19" s="169"/>
      <c r="AF19" s="169"/>
      <c r="AG19" s="169"/>
      <c r="AH19" s="169"/>
      <c r="AI19" s="169"/>
    </row>
    <row r="20" spans="1:35" x14ac:dyDescent="0.3">
      <c r="A20" s="154"/>
      <c r="B20" s="154"/>
      <c r="C20" s="154"/>
      <c r="D20" s="154"/>
      <c r="E20" s="154"/>
      <c r="F20" s="154"/>
      <c r="G20" s="154"/>
      <c r="H20" s="154"/>
      <c r="J20" s="154"/>
      <c r="K20" s="154"/>
      <c r="L20" s="154"/>
      <c r="M20" s="154"/>
      <c r="N20" s="154"/>
      <c r="O20" s="154"/>
      <c r="P20" s="154"/>
      <c r="Q20" s="154"/>
      <c r="S20" s="154"/>
      <c r="T20" s="154"/>
      <c r="U20" s="154"/>
      <c r="V20" s="154"/>
      <c r="W20" s="154"/>
      <c r="X20" s="154"/>
      <c r="Y20" s="154"/>
      <c r="Z20" s="154"/>
      <c r="AB20" s="169"/>
      <c r="AC20" s="169"/>
      <c r="AD20" s="169"/>
      <c r="AE20" s="169"/>
      <c r="AF20" s="169"/>
      <c r="AG20" s="169"/>
      <c r="AH20" s="169"/>
      <c r="AI20" s="169"/>
    </row>
    <row r="21" spans="1:35" x14ac:dyDescent="0.3">
      <c r="A21" s="154"/>
      <c r="B21" s="154"/>
      <c r="C21" s="154"/>
      <c r="D21" s="154"/>
      <c r="E21" s="154"/>
      <c r="F21" s="154"/>
      <c r="G21" s="154"/>
      <c r="H21" s="154"/>
      <c r="J21" s="154"/>
      <c r="K21" s="154"/>
      <c r="L21" s="154"/>
      <c r="M21" s="154"/>
      <c r="N21" s="154"/>
      <c r="O21" s="154"/>
      <c r="P21" s="154"/>
      <c r="Q21" s="154"/>
      <c r="S21" s="154"/>
      <c r="T21" s="154"/>
      <c r="U21" s="154"/>
      <c r="V21" s="154"/>
      <c r="W21" s="154"/>
      <c r="X21" s="154"/>
      <c r="Y21" s="154"/>
      <c r="Z21" s="154"/>
      <c r="AB21" s="169"/>
      <c r="AC21" s="169"/>
      <c r="AD21" s="169"/>
      <c r="AE21" s="169"/>
      <c r="AF21" s="169"/>
      <c r="AG21" s="169"/>
      <c r="AH21" s="169"/>
      <c r="AI21" s="169"/>
    </row>
    <row r="22" spans="1:35" x14ac:dyDescent="0.3">
      <c r="A22" s="154"/>
      <c r="B22" s="154"/>
      <c r="C22" s="154"/>
      <c r="D22" s="154"/>
      <c r="E22" s="154"/>
      <c r="F22" s="154"/>
      <c r="G22" s="154"/>
      <c r="H22" s="154"/>
      <c r="J22" s="154"/>
      <c r="K22" s="154"/>
      <c r="L22" s="154"/>
      <c r="M22" s="154"/>
      <c r="N22" s="154"/>
      <c r="O22" s="154"/>
      <c r="P22" s="154"/>
      <c r="Q22" s="154"/>
      <c r="S22" s="154"/>
      <c r="T22" s="154"/>
      <c r="U22" s="154"/>
      <c r="V22" s="154"/>
      <c r="W22" s="154"/>
      <c r="X22" s="154"/>
      <c r="Y22" s="154"/>
      <c r="Z22" s="154"/>
      <c r="AB22" s="169"/>
      <c r="AC22" s="169"/>
      <c r="AD22" s="169"/>
      <c r="AE22" s="169"/>
      <c r="AF22" s="169"/>
      <c r="AG22" s="169"/>
      <c r="AH22" s="169"/>
      <c r="AI22" s="169"/>
    </row>
    <row r="23" spans="1:35" x14ac:dyDescent="0.3">
      <c r="A23" s="154"/>
      <c r="B23" s="154"/>
      <c r="C23" s="154"/>
      <c r="D23" s="154"/>
      <c r="E23" s="154"/>
      <c r="F23" s="154"/>
      <c r="G23" s="154"/>
      <c r="H23" s="154"/>
      <c r="J23" s="154"/>
      <c r="K23" s="154"/>
      <c r="L23" s="154"/>
      <c r="M23" s="154"/>
      <c r="N23" s="154"/>
      <c r="O23" s="154"/>
      <c r="P23" s="154"/>
      <c r="Q23" s="154"/>
      <c r="S23" s="154"/>
      <c r="T23" s="154"/>
      <c r="U23" s="154"/>
      <c r="V23" s="154"/>
      <c r="W23" s="154"/>
      <c r="X23" s="154"/>
      <c r="Y23" s="154"/>
      <c r="Z23" s="154"/>
      <c r="AB23" s="169"/>
      <c r="AC23" s="169"/>
      <c r="AD23" s="169"/>
      <c r="AE23" s="169"/>
      <c r="AF23" s="169"/>
      <c r="AG23" s="169"/>
      <c r="AH23" s="169"/>
      <c r="AI23" s="169"/>
    </row>
    <row r="24" spans="1:35" x14ac:dyDescent="0.3">
      <c r="A24" s="154"/>
      <c r="B24" s="154"/>
      <c r="C24" s="154"/>
      <c r="D24" s="154"/>
      <c r="E24" s="154"/>
      <c r="F24" s="154"/>
      <c r="G24" s="154"/>
      <c r="H24" s="154"/>
      <c r="J24" s="154"/>
      <c r="K24" s="154"/>
      <c r="L24" s="154"/>
      <c r="M24" s="154"/>
      <c r="N24" s="154"/>
      <c r="O24" s="154"/>
      <c r="P24" s="154"/>
      <c r="Q24" s="154"/>
      <c r="S24" s="154"/>
      <c r="T24" s="154"/>
      <c r="U24" s="154"/>
      <c r="V24" s="154"/>
      <c r="W24" s="154"/>
      <c r="X24" s="154"/>
      <c r="Y24" s="154"/>
      <c r="Z24" s="154"/>
      <c r="AB24" s="169"/>
      <c r="AC24" s="169"/>
      <c r="AD24" s="169"/>
      <c r="AE24" s="169"/>
      <c r="AF24" s="169"/>
      <c r="AG24" s="169"/>
      <c r="AH24" s="169"/>
      <c r="AI24" s="169"/>
    </row>
    <row r="25" spans="1:35" x14ac:dyDescent="0.3">
      <c r="A25" s="154"/>
      <c r="B25" s="154"/>
      <c r="C25" s="154"/>
      <c r="D25" s="154"/>
      <c r="E25" s="154"/>
      <c r="F25" s="154"/>
      <c r="G25" s="154"/>
      <c r="H25" s="154"/>
      <c r="J25" s="154"/>
      <c r="K25" s="154"/>
      <c r="L25" s="154"/>
      <c r="M25" s="154"/>
      <c r="N25" s="154"/>
      <c r="O25" s="154"/>
      <c r="P25" s="154"/>
      <c r="Q25" s="154"/>
      <c r="S25" s="154"/>
      <c r="T25" s="154"/>
      <c r="U25" s="154"/>
      <c r="V25" s="154"/>
      <c r="W25" s="154"/>
      <c r="X25" s="154"/>
      <c r="Y25" s="154"/>
      <c r="Z25" s="154"/>
      <c r="AB25" s="169"/>
      <c r="AC25" s="169"/>
      <c r="AD25" s="169"/>
      <c r="AE25" s="169"/>
      <c r="AF25" s="169"/>
      <c r="AG25" s="169"/>
      <c r="AH25" s="169"/>
      <c r="AI25" s="169"/>
    </row>
    <row r="26" spans="1:35" x14ac:dyDescent="0.3">
      <c r="A26" s="154"/>
      <c r="B26" s="154"/>
      <c r="C26" s="154"/>
      <c r="D26" s="154"/>
      <c r="E26" s="154"/>
      <c r="F26" s="154"/>
      <c r="G26" s="154"/>
      <c r="H26" s="154"/>
      <c r="J26" s="154"/>
      <c r="K26" s="154"/>
      <c r="L26" s="154"/>
      <c r="M26" s="154"/>
      <c r="N26" s="154"/>
      <c r="O26" s="154"/>
      <c r="P26" s="154"/>
      <c r="Q26" s="154"/>
      <c r="S26" s="154"/>
      <c r="T26" s="154"/>
      <c r="U26" s="154"/>
      <c r="V26" s="154"/>
      <c r="W26" s="154"/>
      <c r="X26" s="154"/>
      <c r="Y26" s="154"/>
      <c r="Z26" s="154"/>
      <c r="AB26" s="169"/>
      <c r="AC26" s="169"/>
      <c r="AD26" s="169"/>
      <c r="AE26" s="169"/>
      <c r="AF26" s="169"/>
      <c r="AG26" s="169"/>
      <c r="AH26" s="169"/>
      <c r="AI26" s="169"/>
    </row>
    <row r="27" spans="1:35" x14ac:dyDescent="0.3">
      <c r="A27" s="154"/>
      <c r="B27" s="154"/>
      <c r="C27" s="154"/>
      <c r="D27" s="154"/>
      <c r="E27" s="154"/>
      <c r="F27" s="154"/>
      <c r="G27" s="154"/>
      <c r="H27" s="154"/>
      <c r="J27" s="154"/>
      <c r="K27" s="154"/>
      <c r="L27" s="154"/>
      <c r="M27" s="154"/>
      <c r="N27" s="154"/>
      <c r="O27" s="154"/>
      <c r="P27" s="154"/>
      <c r="Q27" s="154"/>
      <c r="S27" s="154"/>
      <c r="T27" s="154"/>
      <c r="U27" s="154"/>
      <c r="V27" s="154"/>
      <c r="W27" s="154"/>
      <c r="X27" s="154"/>
      <c r="Y27" s="154"/>
      <c r="Z27" s="154"/>
      <c r="AB27" s="169"/>
      <c r="AC27" s="169"/>
      <c r="AD27" s="169"/>
      <c r="AE27" s="169"/>
      <c r="AF27" s="169"/>
      <c r="AG27" s="169"/>
      <c r="AH27" s="169"/>
      <c r="AI27" s="169"/>
    </row>
    <row r="28" spans="1:35" x14ac:dyDescent="0.3">
      <c r="A28" s="154"/>
      <c r="B28" s="154"/>
      <c r="C28" s="154"/>
      <c r="D28" s="154"/>
      <c r="E28" s="154"/>
      <c r="F28" s="154"/>
      <c r="G28" s="154"/>
      <c r="H28" s="154"/>
      <c r="J28" s="154"/>
      <c r="K28" s="154"/>
      <c r="L28" s="154"/>
      <c r="M28" s="154"/>
      <c r="N28" s="154"/>
      <c r="O28" s="154"/>
      <c r="P28" s="154"/>
      <c r="Q28" s="154"/>
      <c r="S28" s="154"/>
      <c r="T28" s="154"/>
      <c r="U28" s="154"/>
      <c r="V28" s="154"/>
      <c r="W28" s="154"/>
      <c r="X28" s="154"/>
      <c r="Y28" s="154"/>
      <c r="Z28" s="154"/>
      <c r="AB28" s="169"/>
      <c r="AC28" s="169"/>
      <c r="AD28" s="169"/>
      <c r="AE28" s="169"/>
      <c r="AF28" s="169"/>
      <c r="AG28" s="169"/>
      <c r="AH28" s="169"/>
      <c r="AI28" s="169"/>
    </row>
    <row r="29" spans="1:35" x14ac:dyDescent="0.3">
      <c r="A29" s="154"/>
      <c r="B29" s="154"/>
      <c r="C29" s="154"/>
      <c r="D29" s="154"/>
      <c r="E29" s="154"/>
      <c r="F29" s="154"/>
      <c r="G29" s="154"/>
      <c r="H29" s="154"/>
      <c r="J29" s="154"/>
      <c r="K29" s="154"/>
      <c r="L29" s="154"/>
      <c r="M29" s="154"/>
      <c r="N29" s="154"/>
      <c r="O29" s="154"/>
      <c r="P29" s="154"/>
      <c r="Q29" s="154"/>
      <c r="S29" s="154"/>
      <c r="T29" s="154"/>
      <c r="U29" s="154"/>
      <c r="V29" s="154"/>
      <c r="W29" s="154"/>
      <c r="X29" s="154"/>
      <c r="Y29" s="154"/>
      <c r="Z29" s="154"/>
      <c r="AB29" s="169"/>
      <c r="AC29" s="169"/>
      <c r="AD29" s="169"/>
      <c r="AE29" s="169"/>
      <c r="AF29" s="169"/>
      <c r="AG29" s="169"/>
      <c r="AH29" s="169"/>
      <c r="AI29" s="169"/>
    </row>
    <row r="30" spans="1:35" x14ac:dyDescent="0.3">
      <c r="A30" s="154"/>
      <c r="B30" s="154"/>
      <c r="C30" s="154"/>
      <c r="D30" s="154"/>
      <c r="E30" s="154"/>
      <c r="F30" s="154"/>
      <c r="G30" s="154"/>
      <c r="H30" s="154"/>
      <c r="J30" s="154"/>
      <c r="K30" s="154"/>
      <c r="L30" s="154"/>
      <c r="M30" s="154"/>
      <c r="N30" s="154"/>
      <c r="O30" s="154"/>
      <c r="P30" s="154"/>
      <c r="Q30" s="154"/>
      <c r="S30" s="154"/>
      <c r="T30" s="154"/>
      <c r="U30" s="154"/>
      <c r="V30" s="154"/>
      <c r="W30" s="154"/>
      <c r="X30" s="154"/>
      <c r="Y30" s="154"/>
      <c r="Z30" s="154"/>
      <c r="AB30" s="169"/>
      <c r="AC30" s="169"/>
      <c r="AD30" s="169"/>
      <c r="AE30" s="169"/>
      <c r="AF30" s="169"/>
      <c r="AG30" s="169"/>
      <c r="AH30" s="169"/>
      <c r="AI30" s="169"/>
    </row>
    <row r="31" spans="1:35" x14ac:dyDescent="0.3">
      <c r="A31" s="154"/>
      <c r="B31" s="154"/>
      <c r="C31" s="154"/>
      <c r="D31" s="154"/>
      <c r="E31" s="154"/>
      <c r="F31" s="154"/>
      <c r="G31" s="154"/>
      <c r="H31" s="154"/>
      <c r="J31" s="154"/>
      <c r="K31" s="154"/>
      <c r="L31" s="154"/>
      <c r="M31" s="154"/>
      <c r="N31" s="154"/>
      <c r="O31" s="154"/>
      <c r="P31" s="154"/>
      <c r="Q31" s="154"/>
      <c r="S31" s="154"/>
      <c r="T31" s="154"/>
      <c r="U31" s="154"/>
      <c r="V31" s="154"/>
      <c r="W31" s="154"/>
      <c r="X31" s="154"/>
      <c r="Y31" s="154"/>
      <c r="Z31" s="154"/>
      <c r="AB31" s="169"/>
      <c r="AC31" s="169"/>
      <c r="AD31" s="169"/>
      <c r="AE31" s="169"/>
      <c r="AF31" s="169"/>
      <c r="AG31" s="169"/>
      <c r="AH31" s="169"/>
      <c r="AI31" s="169"/>
    </row>
    <row r="32" spans="1:35" x14ac:dyDescent="0.3">
      <c r="A32" s="154"/>
      <c r="B32" s="154"/>
      <c r="C32" s="154"/>
      <c r="D32" s="154"/>
      <c r="E32" s="154"/>
      <c r="F32" s="154"/>
      <c r="G32" s="154"/>
      <c r="H32" s="154"/>
      <c r="J32" s="154"/>
      <c r="K32" s="154"/>
      <c r="L32" s="154"/>
      <c r="M32" s="154"/>
      <c r="N32" s="154"/>
      <c r="O32" s="154"/>
      <c r="P32" s="154"/>
      <c r="Q32" s="154"/>
      <c r="S32" s="154"/>
      <c r="T32" s="154"/>
      <c r="U32" s="154"/>
      <c r="V32" s="154"/>
      <c r="W32" s="154"/>
      <c r="X32" s="154"/>
      <c r="Y32" s="154"/>
      <c r="Z32" s="154"/>
      <c r="AB32" s="169"/>
      <c r="AC32" s="169"/>
      <c r="AD32" s="169"/>
      <c r="AE32" s="169"/>
      <c r="AF32" s="169"/>
      <c r="AG32" s="169"/>
      <c r="AH32" s="169"/>
      <c r="AI32" s="169"/>
    </row>
    <row r="33" spans="1:35" x14ac:dyDescent="0.3">
      <c r="A33" s="154"/>
      <c r="B33" s="154"/>
      <c r="C33" s="154"/>
      <c r="D33" s="154"/>
      <c r="E33" s="154"/>
      <c r="F33" s="154"/>
      <c r="G33" s="154"/>
      <c r="H33" s="154"/>
      <c r="J33" s="154"/>
      <c r="K33" s="154"/>
      <c r="L33" s="154"/>
      <c r="M33" s="154"/>
      <c r="N33" s="154"/>
      <c r="O33" s="154"/>
      <c r="P33" s="154"/>
      <c r="Q33" s="154"/>
      <c r="S33" s="154"/>
      <c r="T33" s="154"/>
      <c r="U33" s="154"/>
      <c r="V33" s="154"/>
      <c r="W33" s="154"/>
      <c r="X33" s="154"/>
      <c r="Y33" s="154"/>
      <c r="Z33" s="154"/>
      <c r="AB33" s="169"/>
      <c r="AC33" s="169"/>
      <c r="AD33" s="169"/>
      <c r="AE33" s="169"/>
      <c r="AF33" s="169"/>
      <c r="AG33" s="169"/>
      <c r="AH33" s="169"/>
      <c r="AI33" s="169"/>
    </row>
    <row r="34" spans="1:35" x14ac:dyDescent="0.3">
      <c r="A34" s="93" t="s">
        <v>712</v>
      </c>
      <c r="B34" s="93"/>
      <c r="C34" s="93"/>
      <c r="D34" s="93"/>
      <c r="E34" s="93"/>
      <c r="F34" s="93"/>
      <c r="G34" s="93"/>
      <c r="H34" s="9" t="str">
        <f>IF(COUNTIF(H35,"="&amp;IncompleteText),IncompleteText,IF(COUNTIF(H35,"="&amp;ErrorText),ErrorText,OKText))</f>
        <v>OK</v>
      </c>
      <c r="J34" s="93" t="s">
        <v>716</v>
      </c>
      <c r="K34" s="93"/>
      <c r="L34" s="93"/>
      <c r="M34" s="93"/>
      <c r="N34" s="93"/>
      <c r="O34" s="93"/>
      <c r="P34" s="93"/>
      <c r="Q34" s="9" t="str">
        <f>IF(COUNTIF(Q35,"="&amp;IncompleteText),IncompleteText,IF(COUNTIF(Q35,"="&amp;ErrorText),ErrorText,OKText))</f>
        <v>OK</v>
      </c>
      <c r="S34" s="93" t="s">
        <v>714</v>
      </c>
      <c r="T34" s="93"/>
      <c r="U34" s="93"/>
      <c r="V34" s="93"/>
      <c r="W34" s="93"/>
      <c r="X34" s="93"/>
      <c r="Y34" s="93"/>
      <c r="Z34" s="9" t="str">
        <f>IF(COUNTIF(Z35,"="&amp;IncompleteText),IncompleteText,IF(COUNTIF(Z35,"="&amp;ErrorText),ErrorText,OKText))</f>
        <v>OK</v>
      </c>
      <c r="AB34" s="93" t="s">
        <v>717</v>
      </c>
      <c r="AC34" s="93"/>
      <c r="AD34" s="93"/>
      <c r="AE34" s="93"/>
      <c r="AF34" s="93"/>
      <c r="AG34" s="93"/>
      <c r="AH34" s="93"/>
      <c r="AI34" s="14" t="str">
        <f>IF(Y38="其他锂电池 Other Li-ion",IF(COUNTIF(AI35:AI42,"="&amp;IncompleteText),IncompleteText,IF(COUNTIF(AI35:AI42,"="&amp;ErrorText),ErrorText,OKText)),OKText)</f>
        <v>OK</v>
      </c>
    </row>
    <row r="35" spans="1:35" x14ac:dyDescent="0.3">
      <c r="A35" s="105" t="s">
        <v>718</v>
      </c>
      <c r="B35" s="105"/>
      <c r="C35" s="105"/>
      <c r="D35" s="105"/>
      <c r="E35" s="105"/>
      <c r="F35" s="106"/>
      <c r="G35" s="15" t="b">
        <v>1</v>
      </c>
      <c r="H35" s="9" t="str">
        <f>IF(ISBLANK(G35),IncompleteText,IF(G35,OKText,ErrorText))</f>
        <v>OK</v>
      </c>
      <c r="J35" s="105" t="s">
        <v>719</v>
      </c>
      <c r="K35" s="105"/>
      <c r="L35" s="105"/>
      <c r="M35" s="105"/>
      <c r="N35" s="105"/>
      <c r="O35" s="106"/>
      <c r="P35" s="15" t="b">
        <v>1</v>
      </c>
      <c r="Q35" s="9" t="str">
        <f>IF(ISBLANK(P35),IncompleteText,IF(P35,OKText,ErrorText))</f>
        <v>OK</v>
      </c>
      <c r="S35" s="105" t="s">
        <v>720</v>
      </c>
      <c r="T35" s="105"/>
      <c r="U35" s="105"/>
      <c r="V35" s="105"/>
      <c r="W35" s="105"/>
      <c r="X35" s="106"/>
      <c r="Y35" s="15" t="b">
        <v>1</v>
      </c>
      <c r="Z35" s="9" t="str">
        <f>IF(ISBLANK(Y35),IncompleteText,IF(Y35,OKText,ErrorText))</f>
        <v>OK</v>
      </c>
      <c r="AB35" s="91" t="s">
        <v>721</v>
      </c>
      <c r="AC35" s="91"/>
      <c r="AD35" s="91"/>
      <c r="AE35" s="91"/>
      <c r="AF35" s="91"/>
      <c r="AG35" s="91"/>
      <c r="AH35" s="15"/>
      <c r="AI35" s="14" t="str">
        <f>IF(ISBLANK(AH35),IncompleteText,OKText)</f>
        <v>BLANK</v>
      </c>
    </row>
    <row r="36" spans="1:35" x14ac:dyDescent="0.3">
      <c r="A36" s="93" t="s">
        <v>722</v>
      </c>
      <c r="B36" s="93"/>
      <c r="C36" s="93"/>
      <c r="D36" s="93"/>
      <c r="E36" s="93"/>
      <c r="F36" s="93"/>
      <c r="G36" s="93"/>
      <c r="J36" s="273" t="s">
        <v>723</v>
      </c>
      <c r="K36" s="273"/>
      <c r="L36" s="273"/>
      <c r="M36" s="273"/>
      <c r="N36" s="273"/>
      <c r="O36" s="274"/>
      <c r="P36" s="15" t="b">
        <v>1</v>
      </c>
      <c r="Q36" s="9" t="str">
        <f>IF(ISBLANK(P36),IncompleteText,IF(P36,OKText,ErrorText))</f>
        <v>OK</v>
      </c>
      <c r="S36" s="93" t="s">
        <v>724</v>
      </c>
      <c r="T36" s="93"/>
      <c r="U36" s="93"/>
      <c r="V36" s="93"/>
      <c r="W36" s="93"/>
      <c r="X36" s="93"/>
      <c r="Y36" s="93"/>
      <c r="Z36" s="9" t="str">
        <f>IF(COUNTIF(Z37:Z45,"="&amp;IncompleteText),IncompleteText,IF(COUNTIF(Z37:Z45,"="&amp;ErrorText),ErrorText,OKText))</f>
        <v>OK</v>
      </c>
      <c r="AB36" s="91" t="s">
        <v>725</v>
      </c>
      <c r="AC36" s="91"/>
      <c r="AD36" s="91"/>
      <c r="AE36" s="91"/>
      <c r="AF36" s="91"/>
      <c r="AG36" s="91"/>
      <c r="AH36" s="15"/>
      <c r="AI36" s="14" t="str">
        <f>IF(AH$35="车队自制 Team made",OKText,IF(ISBLANK(AH36),IncompleteText,OKText))</f>
        <v>BLANK</v>
      </c>
    </row>
    <row r="37" spans="1:35" ht="14" customHeight="1" x14ac:dyDescent="0.3">
      <c r="A37" s="280" t="s">
        <v>726</v>
      </c>
      <c r="B37" s="178"/>
      <c r="C37" s="178"/>
      <c r="D37" s="178"/>
      <c r="E37" s="178"/>
      <c r="F37" s="178"/>
      <c r="G37" s="178"/>
      <c r="J37" s="93" t="s">
        <v>722</v>
      </c>
      <c r="K37" s="93"/>
      <c r="L37" s="93"/>
      <c r="M37" s="93"/>
      <c r="N37" s="93"/>
      <c r="O37" s="93"/>
      <c r="P37" s="93"/>
      <c r="S37" s="91" t="s">
        <v>727</v>
      </c>
      <c r="T37" s="91"/>
      <c r="U37" s="91"/>
      <c r="V37" s="91"/>
      <c r="W37" s="91"/>
      <c r="X37" s="91"/>
      <c r="Y37" s="15" t="s">
        <v>728</v>
      </c>
      <c r="Z37" s="9" t="str">
        <f>IF(ISBLANK(Y37),IncompleteText,OKText)</f>
        <v>OK</v>
      </c>
      <c r="AB37" s="91" t="s">
        <v>729</v>
      </c>
      <c r="AC37" s="91"/>
      <c r="AD37" s="91"/>
      <c r="AE37" s="91"/>
      <c r="AF37" s="91"/>
      <c r="AG37" s="91"/>
      <c r="AH37" s="15"/>
      <c r="AI37" s="14" t="str">
        <f>IF(AH$35="车队自制 Team made",OKText,IF(ISBLANK(AH37),IncompleteText,OKText))</f>
        <v>BLANK</v>
      </c>
    </row>
    <row r="38" spans="1:35" ht="30.75" customHeight="1" x14ac:dyDescent="0.3">
      <c r="A38" s="177"/>
      <c r="B38" s="178"/>
      <c r="C38" s="178"/>
      <c r="D38" s="178"/>
      <c r="E38" s="178"/>
      <c r="F38" s="178"/>
      <c r="G38" s="178"/>
      <c r="J38" s="168"/>
      <c r="K38" s="169"/>
      <c r="L38" s="169"/>
      <c r="M38" s="169"/>
      <c r="N38" s="169"/>
      <c r="O38" s="169"/>
      <c r="P38" s="169"/>
      <c r="S38" s="91" t="s">
        <v>730</v>
      </c>
      <c r="T38" s="91"/>
      <c r="U38" s="91"/>
      <c r="V38" s="91"/>
      <c r="W38" s="91"/>
      <c r="X38" s="91"/>
      <c r="Y38" s="15" t="s">
        <v>731</v>
      </c>
      <c r="Z38" s="9" t="str">
        <f>IF(ISBLANK(Y38),IncompleteText,IF(Y38="非锂电池",IF(#REF!=OKText,OKText,IncompleteText),OKText))</f>
        <v>OK</v>
      </c>
      <c r="AB38" s="132" t="s">
        <v>732</v>
      </c>
      <c r="AC38" s="132"/>
      <c r="AD38" s="132"/>
      <c r="AE38" s="132"/>
      <c r="AF38" s="132"/>
      <c r="AG38" s="132"/>
      <c r="AH38" s="15"/>
      <c r="AI38" s="14" t="str">
        <f>IF(AH$35="供应商提供 Suppliers",OKText,IF(ISBLANK(AH38),IncompleteText,IF(AH38,OKText,ErrorText)))</f>
        <v>BLANK</v>
      </c>
    </row>
    <row r="39" spans="1:35" ht="36.75" customHeight="1" x14ac:dyDescent="0.3">
      <c r="A39" s="177"/>
      <c r="B39" s="178"/>
      <c r="C39" s="178"/>
      <c r="D39" s="178"/>
      <c r="E39" s="178"/>
      <c r="F39" s="178"/>
      <c r="G39" s="178"/>
      <c r="J39" s="168"/>
      <c r="K39" s="169"/>
      <c r="L39" s="169"/>
      <c r="M39" s="169"/>
      <c r="N39" s="169"/>
      <c r="O39" s="169"/>
      <c r="P39" s="169"/>
      <c r="S39" s="91" t="s">
        <v>733</v>
      </c>
      <c r="T39" s="91"/>
      <c r="U39" s="91"/>
      <c r="V39" s="91"/>
      <c r="W39" s="91"/>
      <c r="X39" s="91"/>
      <c r="Y39" s="45" t="s">
        <v>794</v>
      </c>
      <c r="Z39" s="9" t="str">
        <f t="shared" ref="Z39:Z44" si="0">IF(ISBLANK(Y39),IncompleteText,OKText)</f>
        <v>OK</v>
      </c>
      <c r="AB39" s="132" t="s">
        <v>734</v>
      </c>
      <c r="AC39" s="132"/>
      <c r="AD39" s="132"/>
      <c r="AE39" s="132"/>
      <c r="AF39" s="132"/>
      <c r="AG39" s="133"/>
      <c r="AH39" s="15"/>
      <c r="AI39" s="14" t="str">
        <f>IF(ISBLANK(AH39),IncompleteText,IF(AH39,OKText,ErrorText))</f>
        <v>BLANK</v>
      </c>
    </row>
    <row r="40" spans="1:35" x14ac:dyDescent="0.3">
      <c r="A40" s="177"/>
      <c r="B40" s="178"/>
      <c r="C40" s="178"/>
      <c r="D40" s="178"/>
      <c r="E40" s="178"/>
      <c r="F40" s="178"/>
      <c r="G40" s="178"/>
      <c r="J40" s="168"/>
      <c r="K40" s="169"/>
      <c r="L40" s="169"/>
      <c r="M40" s="169"/>
      <c r="N40" s="169"/>
      <c r="O40" s="169"/>
      <c r="P40" s="169"/>
      <c r="S40" s="91" t="s">
        <v>735</v>
      </c>
      <c r="T40" s="91"/>
      <c r="U40" s="91"/>
      <c r="V40" s="91"/>
      <c r="W40" s="91"/>
      <c r="X40" s="91"/>
      <c r="Y40" s="15">
        <v>8</v>
      </c>
      <c r="Z40" s="9" t="str">
        <f t="shared" si="0"/>
        <v>OK</v>
      </c>
      <c r="AB40" s="91" t="s">
        <v>736</v>
      </c>
      <c r="AC40" s="91"/>
      <c r="AD40" s="91"/>
      <c r="AE40" s="91"/>
      <c r="AF40" s="91"/>
      <c r="AG40" s="91"/>
      <c r="AH40" s="15"/>
      <c r="AI40" s="14" t="str">
        <f>IF(ISBLANK(AH40),IncompleteText,IF(AH40&gt;=30,OKText,ErrorText))</f>
        <v>BLANK</v>
      </c>
    </row>
    <row r="41" spans="1:35" x14ac:dyDescent="0.3">
      <c r="J41" s="168"/>
      <c r="K41" s="169"/>
      <c r="L41" s="169"/>
      <c r="M41" s="169"/>
      <c r="N41" s="169"/>
      <c r="O41" s="169"/>
      <c r="P41" s="169"/>
      <c r="S41" s="91" t="s">
        <v>737</v>
      </c>
      <c r="T41" s="91"/>
      <c r="U41" s="91"/>
      <c r="V41" s="91"/>
      <c r="W41" s="91"/>
      <c r="X41" s="91"/>
      <c r="Y41" s="15">
        <v>1</v>
      </c>
      <c r="Z41" s="9" t="str">
        <f t="shared" si="0"/>
        <v>OK</v>
      </c>
      <c r="AB41" s="91" t="s">
        <v>738</v>
      </c>
      <c r="AC41" s="91"/>
      <c r="AD41" s="91"/>
      <c r="AE41" s="91"/>
      <c r="AF41" s="91"/>
      <c r="AG41" s="91"/>
      <c r="AH41" s="15"/>
      <c r="AI41" s="14" t="str">
        <f>IF(ISBLANK(AH41),IncompleteText,IF(AH41&gt;=100,OKText,ErrorText))</f>
        <v>BLANK</v>
      </c>
    </row>
    <row r="42" spans="1:35" ht="14.25" customHeight="1" x14ac:dyDescent="0.3">
      <c r="S42" s="91" t="s">
        <v>739</v>
      </c>
      <c r="T42" s="91"/>
      <c r="U42" s="91"/>
      <c r="V42" s="91"/>
      <c r="W42" s="91"/>
      <c r="X42" s="91"/>
      <c r="Y42" s="15">
        <v>3.65</v>
      </c>
      <c r="Z42" s="9" t="str">
        <f t="shared" si="0"/>
        <v>OK</v>
      </c>
      <c r="AB42" s="91" t="s">
        <v>740</v>
      </c>
      <c r="AC42" s="91"/>
      <c r="AD42" s="91"/>
      <c r="AE42" s="91"/>
      <c r="AF42" s="91"/>
      <c r="AG42" s="91"/>
      <c r="AH42" s="15"/>
      <c r="AI42" s="14" t="str">
        <f>IF(ISBLANK(AH42),IncompleteText,IF(AH42,OKText,ErrorText))</f>
        <v>BLANK</v>
      </c>
    </row>
    <row r="43" spans="1:35" x14ac:dyDescent="0.3">
      <c r="S43" s="91" t="s">
        <v>741</v>
      </c>
      <c r="T43" s="91"/>
      <c r="U43" s="91"/>
      <c r="V43" s="91"/>
      <c r="W43" s="91"/>
      <c r="X43" s="91"/>
      <c r="Y43" s="15">
        <v>3.2</v>
      </c>
      <c r="Z43" s="9" t="str">
        <f t="shared" si="0"/>
        <v>OK</v>
      </c>
    </row>
    <row r="44" spans="1:35" x14ac:dyDescent="0.3">
      <c r="S44" s="91" t="s">
        <v>742</v>
      </c>
      <c r="T44" s="91"/>
      <c r="U44" s="91"/>
      <c r="V44" s="91"/>
      <c r="W44" s="91"/>
      <c r="X44" s="91"/>
      <c r="Y44" s="15">
        <v>85</v>
      </c>
      <c r="Z44" s="9" t="str">
        <f t="shared" si="0"/>
        <v>OK</v>
      </c>
    </row>
    <row r="45" spans="1:35" x14ac:dyDescent="0.3">
      <c r="A45" s="134" t="s">
        <v>446</v>
      </c>
      <c r="B45" s="134"/>
      <c r="C45" s="134"/>
      <c r="D45" s="134"/>
      <c r="E45" s="134"/>
      <c r="F45" s="134"/>
      <c r="G45" s="134"/>
      <c r="H45" s="134"/>
      <c r="S45" s="91" t="s">
        <v>743</v>
      </c>
      <c r="T45" s="91"/>
      <c r="U45" s="91"/>
      <c r="V45" s="91"/>
      <c r="W45" s="91"/>
      <c r="X45" s="91"/>
      <c r="Y45" s="17">
        <f>Y40*Y42</f>
        <v>29.2</v>
      </c>
      <c r="Z45" s="9" t="str">
        <f>IF(OR(ISBLANK(Y40),ISBLANK(Y42)),IncompleteText,IF(Y45&lt;=60,OKText,ErrorText))</f>
        <v>OK</v>
      </c>
    </row>
    <row r="46" spans="1:35" x14ac:dyDescent="0.3">
      <c r="A46" s="279" t="s">
        <v>744</v>
      </c>
      <c r="B46" s="154"/>
      <c r="C46" s="154"/>
      <c r="D46" s="154"/>
      <c r="E46" s="154"/>
      <c r="F46" s="154"/>
      <c r="G46" s="154"/>
      <c r="H46" s="154"/>
    </row>
    <row r="47" spans="1:35" x14ac:dyDescent="0.3">
      <c r="A47" s="154"/>
      <c r="B47" s="154"/>
      <c r="C47" s="154"/>
      <c r="D47" s="154"/>
      <c r="E47" s="154"/>
      <c r="F47" s="154"/>
      <c r="G47" s="154"/>
      <c r="H47" s="154"/>
    </row>
    <row r="48" spans="1:35" x14ac:dyDescent="0.3">
      <c r="A48" s="154"/>
      <c r="B48" s="154"/>
      <c r="C48" s="154"/>
      <c r="D48" s="154"/>
      <c r="E48" s="154"/>
      <c r="F48" s="154"/>
      <c r="G48" s="154"/>
      <c r="H48" s="154"/>
    </row>
    <row r="49" spans="1:8" x14ac:dyDescent="0.3">
      <c r="A49" s="154"/>
      <c r="B49" s="154"/>
      <c r="C49" s="154"/>
      <c r="D49" s="154"/>
      <c r="E49" s="154"/>
      <c r="F49" s="154"/>
      <c r="G49" s="154"/>
      <c r="H49" s="154"/>
    </row>
    <row r="50" spans="1:8" x14ac:dyDescent="0.3">
      <c r="A50" s="154"/>
      <c r="B50" s="154"/>
      <c r="C50" s="154"/>
      <c r="D50" s="154"/>
      <c r="E50" s="154"/>
      <c r="F50" s="154"/>
      <c r="G50" s="154"/>
      <c r="H50" s="154"/>
    </row>
    <row r="51" spans="1:8" x14ac:dyDescent="0.3">
      <c r="A51" s="154"/>
      <c r="B51" s="154"/>
      <c r="C51" s="154"/>
      <c r="D51" s="154"/>
      <c r="E51" s="154"/>
      <c r="F51" s="154"/>
      <c r="G51" s="154"/>
      <c r="H51" s="154"/>
    </row>
    <row r="52" spans="1:8" x14ac:dyDescent="0.3">
      <c r="A52" s="154"/>
      <c r="B52" s="154"/>
      <c r="C52" s="154"/>
      <c r="D52" s="154"/>
      <c r="E52" s="154"/>
      <c r="F52" s="154"/>
      <c r="G52" s="154"/>
      <c r="H52" s="154"/>
    </row>
    <row r="53" spans="1:8" x14ac:dyDescent="0.3">
      <c r="A53" s="154"/>
      <c r="B53" s="154"/>
      <c r="C53" s="154"/>
      <c r="D53" s="154"/>
      <c r="E53" s="154"/>
      <c r="F53" s="154"/>
      <c r="G53" s="154"/>
      <c r="H53" s="154"/>
    </row>
    <row r="54" spans="1:8" x14ac:dyDescent="0.3">
      <c r="A54" s="154"/>
      <c r="B54" s="154"/>
      <c r="C54" s="154"/>
      <c r="D54" s="154"/>
      <c r="E54" s="154"/>
      <c r="F54" s="154"/>
      <c r="G54" s="154"/>
      <c r="H54" s="154"/>
    </row>
    <row r="55" spans="1:8" x14ac:dyDescent="0.3">
      <c r="A55" s="154"/>
      <c r="B55" s="154"/>
      <c r="C55" s="154"/>
      <c r="D55" s="154"/>
      <c r="E55" s="154"/>
      <c r="F55" s="154"/>
      <c r="G55" s="154"/>
      <c r="H55" s="154"/>
    </row>
    <row r="56" spans="1:8" x14ac:dyDescent="0.3">
      <c r="A56" s="154"/>
      <c r="B56" s="154"/>
      <c r="C56" s="154"/>
      <c r="D56" s="154"/>
      <c r="E56" s="154"/>
      <c r="F56" s="154"/>
      <c r="G56" s="154"/>
      <c r="H56" s="154"/>
    </row>
    <row r="57" spans="1:8" x14ac:dyDescent="0.3">
      <c r="A57" s="154"/>
      <c r="B57" s="154"/>
      <c r="C57" s="154"/>
      <c r="D57" s="154"/>
      <c r="E57" s="154"/>
      <c r="F57" s="154"/>
      <c r="G57" s="154"/>
      <c r="H57" s="154"/>
    </row>
    <row r="58" spans="1:8" x14ac:dyDescent="0.3">
      <c r="A58" s="154"/>
      <c r="B58" s="154"/>
      <c r="C58" s="154"/>
      <c r="D58" s="154"/>
      <c r="E58" s="154"/>
      <c r="F58" s="154"/>
      <c r="G58" s="154"/>
      <c r="H58" s="154"/>
    </row>
    <row r="59" spans="1:8" x14ac:dyDescent="0.3">
      <c r="A59" s="154"/>
      <c r="B59" s="154"/>
      <c r="C59" s="154"/>
      <c r="D59" s="154"/>
      <c r="E59" s="154"/>
      <c r="F59" s="154"/>
      <c r="G59" s="154"/>
      <c r="H59" s="154"/>
    </row>
    <row r="60" spans="1:8" x14ac:dyDescent="0.3">
      <c r="A60" s="154"/>
      <c r="B60" s="154"/>
      <c r="C60" s="154"/>
      <c r="D60" s="154"/>
      <c r="E60" s="154"/>
      <c r="F60" s="154"/>
      <c r="G60" s="154"/>
      <c r="H60" s="154"/>
    </row>
    <row r="61" spans="1:8" x14ac:dyDescent="0.3">
      <c r="A61" s="154"/>
      <c r="B61" s="154"/>
      <c r="C61" s="154"/>
      <c r="D61" s="154"/>
      <c r="E61" s="154"/>
      <c r="F61" s="154"/>
      <c r="G61" s="154"/>
      <c r="H61" s="154"/>
    </row>
    <row r="62" spans="1:8" x14ac:dyDescent="0.3">
      <c r="A62" s="154"/>
      <c r="B62" s="154"/>
      <c r="C62" s="154"/>
      <c r="D62" s="154"/>
      <c r="E62" s="154"/>
      <c r="F62" s="154"/>
      <c r="G62" s="154"/>
      <c r="H62" s="154"/>
    </row>
    <row r="63" spans="1:8" x14ac:dyDescent="0.3">
      <c r="A63" s="154"/>
      <c r="B63" s="154"/>
      <c r="C63" s="154"/>
      <c r="D63" s="154"/>
      <c r="E63" s="154"/>
      <c r="F63" s="154"/>
      <c r="G63" s="154"/>
      <c r="H63" s="154"/>
    </row>
    <row r="64" spans="1:8" x14ac:dyDescent="0.3">
      <c r="A64" s="154"/>
      <c r="B64" s="154"/>
      <c r="C64" s="154"/>
      <c r="D64" s="154"/>
      <c r="E64" s="154"/>
      <c r="F64" s="154"/>
      <c r="G64" s="154"/>
      <c r="H64" s="154"/>
    </row>
  </sheetData>
  <sheetProtection algorithmName="SHA-512" hashValue="oEAPRPlKwkOPsS5smYahodsHrGdeyDa8CzipxWC9J00s7po9sVeGUGS+X19D9MpgXzyp9YpXPhdo59NGQyRYHw==" saltValue="ak63oPXftqXx+ihAlO+ATw==" spinCount="100000" sheet="1" scenarios="1" insertHyperlinks="0"/>
  <mergeCells count="82">
    <mergeCell ref="L12:L13"/>
    <mergeCell ref="A46:H64"/>
    <mergeCell ref="AB15:AI33"/>
    <mergeCell ref="J38:P41"/>
    <mergeCell ref="S15:Z33"/>
    <mergeCell ref="J15:Q33"/>
    <mergeCell ref="A12:C13"/>
    <mergeCell ref="G12:I13"/>
    <mergeCell ref="A15:H33"/>
    <mergeCell ref="A37:G40"/>
    <mergeCell ref="D12:D13"/>
    <mergeCell ref="E12:E13"/>
    <mergeCell ref="F12:F13"/>
    <mergeCell ref="J12:J13"/>
    <mergeCell ref="K12:K13"/>
    <mergeCell ref="S42:X42"/>
    <mergeCell ref="AB42:AG42"/>
    <mergeCell ref="S43:X43"/>
    <mergeCell ref="S44:X44"/>
    <mergeCell ref="A45:H45"/>
    <mergeCell ref="S45:X45"/>
    <mergeCell ref="S39:X39"/>
    <mergeCell ref="AB39:AG39"/>
    <mergeCell ref="S40:X40"/>
    <mergeCell ref="AB40:AG40"/>
    <mergeCell ref="S41:X41"/>
    <mergeCell ref="AB41:AG41"/>
    <mergeCell ref="J37:P37"/>
    <mergeCell ref="S37:X37"/>
    <mergeCell ref="AB37:AG37"/>
    <mergeCell ref="S38:X38"/>
    <mergeCell ref="AB38:AG38"/>
    <mergeCell ref="A35:F35"/>
    <mergeCell ref="J35:O35"/>
    <mergeCell ref="S35:X35"/>
    <mergeCell ref="AB35:AG35"/>
    <mergeCell ref="A36:G36"/>
    <mergeCell ref="J36:O36"/>
    <mergeCell ref="S36:Y36"/>
    <mergeCell ref="AB36:AG36"/>
    <mergeCell ref="S14:Y14"/>
    <mergeCell ref="A34:G34"/>
    <mergeCell ref="J34:P34"/>
    <mergeCell ref="S34:Y34"/>
    <mergeCell ref="AB34:AH34"/>
    <mergeCell ref="P10:Q10"/>
    <mergeCell ref="S10:U10"/>
    <mergeCell ref="V10:W10"/>
    <mergeCell ref="A11:C11"/>
    <mergeCell ref="D11:E11"/>
    <mergeCell ref="G11:I11"/>
    <mergeCell ref="J11:K11"/>
    <mergeCell ref="M11:O11"/>
    <mergeCell ref="P11:Q11"/>
    <mergeCell ref="S11:U11"/>
    <mergeCell ref="V11:W11"/>
    <mergeCell ref="A10:C10"/>
    <mergeCell ref="D10:E10"/>
    <mergeCell ref="G10:I10"/>
    <mergeCell ref="J10:K10"/>
    <mergeCell ref="M10:O10"/>
    <mergeCell ref="M8:Q8"/>
    <mergeCell ref="S8:W8"/>
    <mergeCell ref="A9:C9"/>
    <mergeCell ref="D9:E9"/>
    <mergeCell ref="G9:I9"/>
    <mergeCell ref="J9:K9"/>
    <mergeCell ref="M9:O9"/>
    <mergeCell ref="P9:Q9"/>
    <mergeCell ref="S9:U9"/>
    <mergeCell ref="V9:W9"/>
    <mergeCell ref="A5:E5"/>
    <mergeCell ref="F5:G5"/>
    <mergeCell ref="A6:E6"/>
    <mergeCell ref="F6:G6"/>
    <mergeCell ref="A8:E8"/>
    <mergeCell ref="G8:K8"/>
    <mergeCell ref="A2:G2"/>
    <mergeCell ref="A3:E3"/>
    <mergeCell ref="F3:G3"/>
    <mergeCell ref="A4:E4"/>
    <mergeCell ref="F4:G4"/>
  </mergeCells>
  <phoneticPr fontId="17" type="noConversion"/>
  <conditionalFormatting sqref="G8:L13">
    <cfRule type="expression" dxfId="5" priority="2">
      <formula>$F$5&lt;&gt;2</formula>
    </cfRule>
  </conditionalFormatting>
  <conditionalFormatting sqref="S8:X11">
    <cfRule type="expression" dxfId="4" priority="1">
      <formula>$F$6&lt;&gt;2</formula>
    </cfRule>
  </conditionalFormatting>
  <conditionalFormatting sqref="AB15">
    <cfRule type="expression" dxfId="3" priority="6">
      <formula>$AH$35="供应商提供 Suppliers"</formula>
    </cfRule>
  </conditionalFormatting>
  <conditionalFormatting sqref="AB15:AI42">
    <cfRule type="expression" dxfId="2" priority="3">
      <formula>$Y$38&lt;&gt;"其他锂电池 Other Li-ion"</formula>
    </cfRule>
  </conditionalFormatting>
  <conditionalFormatting sqref="AB36:AI37">
    <cfRule type="expression" dxfId="1" priority="7">
      <formula>$AH$35="车队自制 Team made"</formula>
    </cfRule>
  </conditionalFormatting>
  <conditionalFormatting sqref="AB38:AI38">
    <cfRule type="expression" dxfId="0" priority="4">
      <formula>$AH$35="供应商提供 Suppliers"</formula>
    </cfRule>
  </conditionalFormatting>
  <dataValidations count="6">
    <dataValidation type="list" allowBlank="1" showInputMessage="1" showErrorMessage="1" sqref="F3:G3 F4" xr:uid="{00000000-0002-0000-0900-000000000000}">
      <formula1>"无驱动 Undriven, 单电机驱动 Single‑Motor Drive, 双电机驱动 Dual‑Motor Drive"</formula1>
    </dataValidation>
    <dataValidation type="list" allowBlank="1" showInputMessage="1" showErrorMessage="1" sqref="G35 Y35 AH42 P35:P36 AH38:AH39" xr:uid="{00000000-0002-0000-0900-000001000000}">
      <formula1>"TRUE,FALSE"</formula1>
    </dataValidation>
    <dataValidation type="list" allowBlank="1" showInputMessage="1" showErrorMessage="1" sqref="AH35" xr:uid="{00000000-0002-0000-0900-000002000000}">
      <formula1>"车队自制 Team made,供应商提供 Suppliers"</formula1>
    </dataValidation>
    <dataValidation type="list" allowBlank="1" showInputMessage="1" showErrorMessage="1" sqref="Y37" xr:uid="{00000000-0002-0000-0900-000003000000}">
      <formula1>"车队自制电池组 Team made,供应商提供 Supplier"</formula1>
    </dataValidation>
    <dataValidation type="list" allowBlank="1" showInputMessage="1" showErrorMessage="1" sqref="Y38" xr:uid="{00000000-0002-0000-0900-000004000000}">
      <formula1>"磷酸铁锂 LiFePO4,其他锂电池 Other Li-ion,非锂电池 Not Li-ion"</formula1>
    </dataValidation>
    <dataValidation type="list" allowBlank="1" showInputMessage="1" showErrorMessage="1" sqref="F5:G6" xr:uid="{00000000-0002-0000-0900-000005000000}">
      <formula1>"1,2"</formula1>
    </dataValidation>
  </dataValidations>
  <hyperlinks>
    <hyperlink ref="D11" r:id="rId1" display="https://pan.baidu.com/s/1BTg_m391ebjkLEsbABPMBw?pwd=2333" xr:uid="{00000000-0004-0000-0900-000000000000}"/>
    <hyperlink ref="P11" r:id="rId2" display="https://pan.baidu.com/s/1aoubApKZ8Op4ddLQPiMQOg?pwd=2333" xr:uid="{00000000-0004-0000-0900-000001000000}"/>
    <hyperlink ref="Y39" r:id="rId3" xr:uid="{00000000-0004-0000-0900-000002000000}"/>
    <hyperlink ref="P11:Q11" r:id="rId4" display="SD154-TZ154XS201D8" xr:uid="{4E808E2C-B7A5-4315-9370-600BF6F4C0F4}"/>
    <hyperlink ref="D11:E11" r:id="rId5" display="单体式HVP3-600" xr:uid="{DA1D4267-1928-4A40-A3E8-5E140E3B5E31}"/>
  </hyperlinks>
  <pageMargins left="0.7" right="0.7" top="0.75" bottom="0.75" header="0.3" footer="0.3"/>
  <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O93"/>
  <sheetViews>
    <sheetView topLeftCell="I82" zoomScale="85" zoomScaleNormal="85" workbookViewId="0">
      <selection activeCell="J16" sqref="J16"/>
    </sheetView>
  </sheetViews>
  <sheetFormatPr defaultColWidth="8.9140625" defaultRowHeight="20" customHeight="1" x14ac:dyDescent="0.3"/>
  <cols>
    <col min="1" max="1" width="15.9140625" style="4" customWidth="1"/>
    <col min="2" max="2" width="26.75" style="4" customWidth="1"/>
    <col min="3" max="3" width="69" style="4" customWidth="1"/>
    <col min="4" max="4" width="26.4140625" style="4" customWidth="1"/>
    <col min="5" max="5" width="11.4140625" style="4" customWidth="1"/>
    <col min="6" max="6" width="12.33203125" style="4" customWidth="1"/>
    <col min="7" max="7" width="24.08203125" style="4" customWidth="1"/>
    <col min="8" max="8" width="94.4140625" style="4" customWidth="1"/>
    <col min="9" max="9" width="18.9140625" style="4" customWidth="1"/>
    <col min="10" max="10" width="8.9140625" style="4"/>
    <col min="11" max="11" width="16.4140625" style="4" customWidth="1"/>
    <col min="12" max="12" width="27.9140625" style="4" customWidth="1"/>
    <col min="13" max="13" width="56" style="4" customWidth="1"/>
    <col min="14" max="14" width="21.25" style="4" customWidth="1"/>
    <col min="15" max="15" width="18.4140625" style="4" customWidth="1"/>
    <col min="16" max="16384" width="8.9140625" style="4"/>
  </cols>
  <sheetData>
    <row r="1" spans="1:15" ht="20" customHeight="1" x14ac:dyDescent="0.3">
      <c r="A1" s="5" t="s">
        <v>27</v>
      </c>
      <c r="B1" s="6" t="str" cm="1">
        <f t="array" ref="B1" ca="1">IF(SUM(COUNTIF(INDIRECT({"$E$2","$I$2","$O$2"}),"="&amp;IncompleteText)),IncompleteText,IF(SUM(COUNTIF(INDIRECT({"$E$2","$I$2","$O$2"}),"="&amp;ErrorText)),ErrorText,OKText))</f>
        <v>OK</v>
      </c>
    </row>
    <row r="2" spans="1:15" ht="30" customHeight="1" x14ac:dyDescent="0.3">
      <c r="A2" s="270" t="s">
        <v>745</v>
      </c>
      <c r="B2" s="270"/>
      <c r="C2" s="270"/>
      <c r="D2" s="270"/>
      <c r="E2" s="6" t="str">
        <f>IF(COUNTIF(E4:E93,"="&amp;IncompleteText),IncompleteText,IF(COUNTIF(E4:E93,"="&amp;ErrorText),ErrorText,OKText))</f>
        <v>OK</v>
      </c>
      <c r="G2" s="270" t="s">
        <v>746</v>
      </c>
      <c r="H2" s="270"/>
      <c r="I2" s="6" t="str">
        <f>IF(COUNTIF(I4:I93,"="&amp;IncompleteText),IncompleteText,IF(COUNTIF(I4:I93,"="&amp;ErrorText),ErrorText,OKText))</f>
        <v>OK</v>
      </c>
      <c r="K2" s="270" t="s">
        <v>747</v>
      </c>
      <c r="L2" s="270"/>
      <c r="M2" s="270"/>
      <c r="N2" s="270"/>
      <c r="O2" s="6" t="str">
        <f>IF(COUNTIF(O4:O93,"="&amp;IncompleteText),IncompleteText,IF(COUNTIF(O4:O93,"="&amp;ErrorText),ErrorText,OKText))</f>
        <v>OK</v>
      </c>
    </row>
    <row r="3" spans="1:15" ht="20" customHeight="1" x14ac:dyDescent="0.3">
      <c r="A3" s="7" t="s">
        <v>748</v>
      </c>
      <c r="B3" s="7" t="s">
        <v>749</v>
      </c>
      <c r="C3" s="7" t="s">
        <v>750</v>
      </c>
      <c r="D3" s="7" t="s">
        <v>751</v>
      </c>
      <c r="G3" s="7" t="s">
        <v>748</v>
      </c>
      <c r="H3" s="7" t="s">
        <v>750</v>
      </c>
      <c r="I3" s="7"/>
      <c r="K3" s="7" t="s">
        <v>748</v>
      </c>
      <c r="L3" s="7" t="s">
        <v>749</v>
      </c>
      <c r="M3" s="7" t="s">
        <v>750</v>
      </c>
      <c r="N3" s="7" t="s">
        <v>751</v>
      </c>
      <c r="O3" s="7"/>
    </row>
    <row r="4" spans="1:15" ht="20" customHeight="1" x14ac:dyDescent="0.3">
      <c r="A4" s="218" t="s">
        <v>752</v>
      </c>
      <c r="B4" s="281" t="s">
        <v>753</v>
      </c>
      <c r="C4" s="283" t="b">
        <v>1</v>
      </c>
      <c r="D4" s="286">
        <v>6</v>
      </c>
      <c r="E4" s="292" t="str" cm="1">
        <f t="array" ref="E4">IF(ISBLANK(D4),IncompleteText,IF(AND(C4,D4&gt;=0.1*FuseNoiCur),OKText,ErrorText))</f>
        <v>OK</v>
      </c>
      <c r="G4" s="283" t="s">
        <v>754</v>
      </c>
      <c r="H4" s="283" t="b">
        <v>1</v>
      </c>
      <c r="I4" s="292" t="str">
        <f>IF(ISERROR(IF(ISBLANK(G4),IncompleteText,IF(H4,OKText,IncompleteText))),IncompleteText,IF(ISBLANK(G4),IncompleteText,IF(H4,OKText,IncompleteText)))</f>
        <v>OK</v>
      </c>
      <c r="K4" s="286" t="s">
        <v>755</v>
      </c>
      <c r="L4" s="286" t="s">
        <v>753</v>
      </c>
      <c r="M4" s="283" t="b">
        <v>1</v>
      </c>
      <c r="N4" s="289">
        <v>6</v>
      </c>
      <c r="O4" s="292" t="str">
        <f>IF(ISERROR(IF(L4="导电",IF(ISBLANK(N4),IncompleteText,IF(AND(M4,N4&gt;=0.1*FuseNoiCur),OKText,ErrorText)),IF(M4,OKText,ErrorText))),IncompleteText,IF(L4="导电",IF(ISBLANK(N4),IncompleteText,IF(AND(M4,N4&gt;=0.1*FuseNoiCur),OKText,ErrorText)),IF(M4,OKText,ErrorText)))</f>
        <v>OK</v>
      </c>
    </row>
    <row r="5" spans="1:15" ht="20" customHeight="1" x14ac:dyDescent="0.3">
      <c r="A5" s="218"/>
      <c r="B5" s="281"/>
      <c r="C5" s="284"/>
      <c r="D5" s="287"/>
      <c r="E5" s="292"/>
      <c r="G5" s="284"/>
      <c r="H5" s="284"/>
      <c r="I5" s="292"/>
      <c r="K5" s="287"/>
      <c r="L5" s="287"/>
      <c r="M5" s="284"/>
      <c r="N5" s="290"/>
      <c r="O5" s="292"/>
    </row>
    <row r="6" spans="1:15" ht="20" customHeight="1" x14ac:dyDescent="0.3">
      <c r="A6" s="218"/>
      <c r="B6" s="281"/>
      <c r="C6" s="284"/>
      <c r="D6" s="287"/>
      <c r="E6" s="292"/>
      <c r="G6" s="284"/>
      <c r="H6" s="284"/>
      <c r="I6" s="292"/>
      <c r="K6" s="287"/>
      <c r="L6" s="287"/>
      <c r="M6" s="284"/>
      <c r="N6" s="290"/>
      <c r="O6" s="292"/>
    </row>
    <row r="7" spans="1:15" ht="20" customHeight="1" x14ac:dyDescent="0.3">
      <c r="A7" s="218"/>
      <c r="B7" s="281"/>
      <c r="C7" s="284"/>
      <c r="D7" s="287"/>
      <c r="E7" s="292"/>
      <c r="G7" s="284"/>
      <c r="H7" s="284"/>
      <c r="I7" s="292"/>
      <c r="K7" s="287"/>
      <c r="L7" s="287"/>
      <c r="M7" s="284"/>
      <c r="N7" s="290"/>
      <c r="O7" s="292"/>
    </row>
    <row r="8" spans="1:15" ht="20" customHeight="1" x14ac:dyDescent="0.3">
      <c r="A8" s="218"/>
      <c r="B8" s="281"/>
      <c r="C8" s="284"/>
      <c r="D8" s="287"/>
      <c r="E8" s="292"/>
      <c r="G8" s="284"/>
      <c r="H8" s="284"/>
      <c r="I8" s="292"/>
      <c r="K8" s="287"/>
      <c r="L8" s="287"/>
      <c r="M8" s="284"/>
      <c r="N8" s="290"/>
      <c r="O8" s="292"/>
    </row>
    <row r="9" spans="1:15" ht="20" customHeight="1" x14ac:dyDescent="0.3">
      <c r="A9" s="218"/>
      <c r="B9" s="281"/>
      <c r="C9" s="284"/>
      <c r="D9" s="287"/>
      <c r="E9" s="292"/>
      <c r="G9" s="284"/>
      <c r="H9" s="284"/>
      <c r="I9" s="292"/>
      <c r="K9" s="287"/>
      <c r="L9" s="287"/>
      <c r="M9" s="284"/>
      <c r="N9" s="290"/>
      <c r="O9" s="292"/>
    </row>
    <row r="10" spans="1:15" ht="20" customHeight="1" x14ac:dyDescent="0.3">
      <c r="A10" s="218"/>
      <c r="B10" s="281"/>
      <c r="C10" s="284"/>
      <c r="D10" s="287"/>
      <c r="E10" s="292"/>
      <c r="G10" s="284"/>
      <c r="H10" s="284"/>
      <c r="I10" s="292"/>
      <c r="K10" s="287"/>
      <c r="L10" s="287"/>
      <c r="M10" s="284"/>
      <c r="N10" s="290"/>
      <c r="O10" s="292"/>
    </row>
    <row r="11" spans="1:15" ht="20" customHeight="1" x14ac:dyDescent="0.3">
      <c r="A11" s="218"/>
      <c r="B11" s="281"/>
      <c r="C11" s="284"/>
      <c r="D11" s="287"/>
      <c r="E11" s="292"/>
      <c r="G11" s="284"/>
      <c r="H11" s="284"/>
      <c r="I11" s="292"/>
      <c r="K11" s="287"/>
      <c r="L11" s="287"/>
      <c r="M11" s="284"/>
      <c r="N11" s="290"/>
      <c r="O11" s="292"/>
    </row>
    <row r="12" spans="1:15" ht="20" customHeight="1" x14ac:dyDescent="0.3">
      <c r="A12" s="218"/>
      <c r="B12" s="281"/>
      <c r="C12" s="284"/>
      <c r="D12" s="287"/>
      <c r="E12" s="292"/>
      <c r="G12" s="284"/>
      <c r="H12" s="284"/>
      <c r="I12" s="292"/>
      <c r="K12" s="287"/>
      <c r="L12" s="287"/>
      <c r="M12" s="284"/>
      <c r="N12" s="290"/>
      <c r="O12" s="292"/>
    </row>
    <row r="13" spans="1:15" ht="20" customHeight="1" x14ac:dyDescent="0.3">
      <c r="A13" s="218"/>
      <c r="B13" s="282"/>
      <c r="C13" s="285"/>
      <c r="D13" s="288"/>
      <c r="E13" s="292"/>
      <c r="G13" s="285"/>
      <c r="H13" s="285"/>
      <c r="I13" s="292"/>
      <c r="K13" s="288"/>
      <c r="L13" s="288"/>
      <c r="M13" s="285"/>
      <c r="N13" s="291"/>
      <c r="O13" s="292"/>
    </row>
    <row r="14" spans="1:15" ht="20" customHeight="1" x14ac:dyDescent="0.3">
      <c r="A14" s="138" t="s">
        <v>756</v>
      </c>
      <c r="B14" s="158" t="s">
        <v>753</v>
      </c>
      <c r="C14" s="283" t="b">
        <v>1</v>
      </c>
      <c r="D14" s="289">
        <v>6</v>
      </c>
      <c r="E14" s="292" t="str">
        <f>IF(ISERROR(IF(B14="导电",IF(ISBLANK(D14),IncompleteText,IF(AND(C14,D14&gt;=0.1*FuseNoiCur),OKText,ErrorText)),IF(C14,OKText,ErrorText))),IncompleteText,IF(B14="导电",IF(ISBLANK(D14),IncompleteText,IF(AND(C14,D14&gt;=0.1*FuseNoiCur),OKText,ErrorText)),IF(C14,OKText,ErrorText)))</f>
        <v>OK</v>
      </c>
      <c r="G14" s="286"/>
      <c r="H14" s="283" t="b">
        <v>1</v>
      </c>
      <c r="I14" s="292" t="str">
        <f t="shared" ref="I14:I84" si="0">IF(ISBLANK(G14),"",IF(H14,OKText,IncompleteText))</f>
        <v/>
      </c>
      <c r="K14" s="286" t="s">
        <v>757</v>
      </c>
      <c r="L14" s="286" t="s">
        <v>753</v>
      </c>
      <c r="M14" s="283" t="b">
        <v>1</v>
      </c>
      <c r="N14" s="289">
        <v>6</v>
      </c>
      <c r="O14" s="292" t="str">
        <f t="shared" ref="O14:O84" si="1">IF(ISERROR(IF(L14="导电",IF(ISBLANK(N14),IncompleteText,IF(AND(M14,N14&gt;=0.1*FuseNoiCur),OKText,ErrorText)),IF(M14,OKText,ErrorText))),"",IF(L14="导电",IF(ISBLANK(N14),IncompleteText,IF(AND(M14,N14&gt;=0.1*FuseNoiCur),OKText,ErrorText)),IF(M14,OKText,ErrorText)))</f>
        <v>OK</v>
      </c>
    </row>
    <row r="15" spans="1:15" ht="20" customHeight="1" x14ac:dyDescent="0.3">
      <c r="A15" s="138"/>
      <c r="B15" s="161"/>
      <c r="C15" s="284"/>
      <c r="D15" s="290"/>
      <c r="E15" s="292"/>
      <c r="G15" s="287"/>
      <c r="H15" s="284"/>
      <c r="I15" s="292"/>
      <c r="K15" s="287"/>
      <c r="L15" s="287"/>
      <c r="M15" s="284"/>
      <c r="N15" s="290"/>
      <c r="O15" s="292"/>
    </row>
    <row r="16" spans="1:15" ht="20" customHeight="1" x14ac:dyDescent="0.3">
      <c r="A16" s="138"/>
      <c r="B16" s="161"/>
      <c r="C16" s="284"/>
      <c r="D16" s="290"/>
      <c r="E16" s="292"/>
      <c r="G16" s="287"/>
      <c r="H16" s="284"/>
      <c r="I16" s="292"/>
      <c r="K16" s="287"/>
      <c r="L16" s="287"/>
      <c r="M16" s="284"/>
      <c r="N16" s="290"/>
      <c r="O16" s="292"/>
    </row>
    <row r="17" spans="1:15" ht="20" customHeight="1" x14ac:dyDescent="0.3">
      <c r="A17" s="138"/>
      <c r="B17" s="161"/>
      <c r="C17" s="284"/>
      <c r="D17" s="290"/>
      <c r="E17" s="292"/>
      <c r="G17" s="287"/>
      <c r="H17" s="284"/>
      <c r="I17" s="292"/>
      <c r="K17" s="287"/>
      <c r="L17" s="287"/>
      <c r="M17" s="284"/>
      <c r="N17" s="290"/>
      <c r="O17" s="292"/>
    </row>
    <row r="18" spans="1:15" ht="20" customHeight="1" x14ac:dyDescent="0.3">
      <c r="A18" s="138"/>
      <c r="B18" s="161"/>
      <c r="C18" s="284"/>
      <c r="D18" s="290"/>
      <c r="E18" s="292"/>
      <c r="G18" s="287"/>
      <c r="H18" s="284"/>
      <c r="I18" s="292"/>
      <c r="K18" s="287"/>
      <c r="L18" s="287"/>
      <c r="M18" s="284"/>
      <c r="N18" s="290"/>
      <c r="O18" s="292"/>
    </row>
    <row r="19" spans="1:15" ht="20" customHeight="1" x14ac:dyDescent="0.3">
      <c r="A19" s="138"/>
      <c r="B19" s="161"/>
      <c r="C19" s="284"/>
      <c r="D19" s="290"/>
      <c r="E19" s="292"/>
      <c r="G19" s="287"/>
      <c r="H19" s="284"/>
      <c r="I19" s="292"/>
      <c r="K19" s="287"/>
      <c r="L19" s="287"/>
      <c r="M19" s="284"/>
      <c r="N19" s="290"/>
      <c r="O19" s="292"/>
    </row>
    <row r="20" spans="1:15" ht="20" customHeight="1" x14ac:dyDescent="0.3">
      <c r="A20" s="138"/>
      <c r="B20" s="161"/>
      <c r="C20" s="284"/>
      <c r="D20" s="290"/>
      <c r="E20" s="292"/>
      <c r="G20" s="287"/>
      <c r="H20" s="284"/>
      <c r="I20" s="292"/>
      <c r="K20" s="287"/>
      <c r="L20" s="287"/>
      <c r="M20" s="284"/>
      <c r="N20" s="290"/>
      <c r="O20" s="292"/>
    </row>
    <row r="21" spans="1:15" ht="20" customHeight="1" x14ac:dyDescent="0.3">
      <c r="A21" s="138"/>
      <c r="B21" s="161"/>
      <c r="C21" s="284"/>
      <c r="D21" s="290"/>
      <c r="E21" s="292"/>
      <c r="G21" s="287"/>
      <c r="H21" s="284"/>
      <c r="I21" s="292"/>
      <c r="K21" s="287"/>
      <c r="L21" s="287"/>
      <c r="M21" s="284"/>
      <c r="N21" s="290"/>
      <c r="O21" s="292"/>
    </row>
    <row r="22" spans="1:15" ht="20" customHeight="1" x14ac:dyDescent="0.3">
      <c r="A22" s="138"/>
      <c r="B22" s="161"/>
      <c r="C22" s="284"/>
      <c r="D22" s="290"/>
      <c r="E22" s="292"/>
      <c r="G22" s="287"/>
      <c r="H22" s="284"/>
      <c r="I22" s="292"/>
      <c r="K22" s="287"/>
      <c r="L22" s="287"/>
      <c r="M22" s="284"/>
      <c r="N22" s="290"/>
      <c r="O22" s="292"/>
    </row>
    <row r="23" spans="1:15" ht="20" customHeight="1" x14ac:dyDescent="0.3">
      <c r="A23" s="138"/>
      <c r="B23" s="161"/>
      <c r="C23" s="285"/>
      <c r="D23" s="291"/>
      <c r="E23" s="292"/>
      <c r="G23" s="288"/>
      <c r="H23" s="285"/>
      <c r="I23" s="292"/>
      <c r="K23" s="288"/>
      <c r="L23" s="288"/>
      <c r="M23" s="285"/>
      <c r="N23" s="291"/>
      <c r="O23" s="292"/>
    </row>
    <row r="24" spans="1:15" ht="20" customHeight="1" x14ac:dyDescent="0.3">
      <c r="A24" s="138" t="s">
        <v>758</v>
      </c>
      <c r="B24" s="281" t="s">
        <v>753</v>
      </c>
      <c r="C24" s="283" t="b">
        <v>1</v>
      </c>
      <c r="D24" s="286">
        <v>6</v>
      </c>
      <c r="E24" s="292" t="str" cm="1">
        <f t="array" ref="E24">IF(ISBLANK(D24),IncompleteText,IF(AND(C24,D24&gt;=0.1*FuseNoiCur),OKText,ErrorText))</f>
        <v>OK</v>
      </c>
      <c r="G24" s="286"/>
      <c r="H24" s="283" t="b">
        <v>1</v>
      </c>
      <c r="I24" s="292" t="str">
        <f>IF(ISBLANK(G24),"",IF(H24,OKText,IncompleteText))</f>
        <v/>
      </c>
      <c r="K24" s="286" t="s">
        <v>759</v>
      </c>
      <c r="L24" s="286" t="s">
        <v>760</v>
      </c>
      <c r="M24" s="283" t="b">
        <v>1</v>
      </c>
      <c r="N24" s="289" t="s">
        <v>761</v>
      </c>
      <c r="O24" s="292" t="str">
        <f t="shared" si="1"/>
        <v>OK</v>
      </c>
    </row>
    <row r="25" spans="1:15" ht="20" customHeight="1" x14ac:dyDescent="0.3">
      <c r="A25" s="138"/>
      <c r="B25" s="281"/>
      <c r="C25" s="284"/>
      <c r="D25" s="287"/>
      <c r="E25" s="292"/>
      <c r="G25" s="287"/>
      <c r="H25" s="284"/>
      <c r="I25" s="292"/>
      <c r="K25" s="287"/>
      <c r="L25" s="287"/>
      <c r="M25" s="284"/>
      <c r="N25" s="290"/>
      <c r="O25" s="292"/>
    </row>
    <row r="26" spans="1:15" ht="20" customHeight="1" x14ac:dyDescent="0.3">
      <c r="A26" s="138"/>
      <c r="B26" s="281"/>
      <c r="C26" s="284"/>
      <c r="D26" s="287"/>
      <c r="E26" s="292"/>
      <c r="G26" s="287"/>
      <c r="H26" s="284"/>
      <c r="I26" s="292"/>
      <c r="K26" s="287"/>
      <c r="L26" s="287"/>
      <c r="M26" s="284"/>
      <c r="N26" s="290"/>
      <c r="O26" s="292"/>
    </row>
    <row r="27" spans="1:15" ht="20" customHeight="1" x14ac:dyDescent="0.3">
      <c r="A27" s="138"/>
      <c r="B27" s="281"/>
      <c r="C27" s="284"/>
      <c r="D27" s="287"/>
      <c r="E27" s="292"/>
      <c r="G27" s="287"/>
      <c r="H27" s="284"/>
      <c r="I27" s="292"/>
      <c r="K27" s="287"/>
      <c r="L27" s="287"/>
      <c r="M27" s="284"/>
      <c r="N27" s="290"/>
      <c r="O27" s="292"/>
    </row>
    <row r="28" spans="1:15" ht="20" customHeight="1" x14ac:dyDescent="0.3">
      <c r="A28" s="138"/>
      <c r="B28" s="281"/>
      <c r="C28" s="284"/>
      <c r="D28" s="287"/>
      <c r="E28" s="292"/>
      <c r="G28" s="287"/>
      <c r="H28" s="284"/>
      <c r="I28" s="292"/>
      <c r="K28" s="287"/>
      <c r="L28" s="287"/>
      <c r="M28" s="284"/>
      <c r="N28" s="290"/>
      <c r="O28" s="292"/>
    </row>
    <row r="29" spans="1:15" ht="20" customHeight="1" x14ac:dyDescent="0.3">
      <c r="A29" s="138"/>
      <c r="B29" s="281"/>
      <c r="C29" s="284"/>
      <c r="D29" s="287"/>
      <c r="E29" s="292"/>
      <c r="G29" s="287"/>
      <c r="H29" s="284"/>
      <c r="I29" s="292"/>
      <c r="K29" s="287"/>
      <c r="L29" s="287"/>
      <c r="M29" s="284"/>
      <c r="N29" s="290"/>
      <c r="O29" s="292"/>
    </row>
    <row r="30" spans="1:15" ht="20" customHeight="1" x14ac:dyDescent="0.3">
      <c r="A30" s="138"/>
      <c r="B30" s="281"/>
      <c r="C30" s="284"/>
      <c r="D30" s="287"/>
      <c r="E30" s="292"/>
      <c r="G30" s="287"/>
      <c r="H30" s="284"/>
      <c r="I30" s="292"/>
      <c r="K30" s="287"/>
      <c r="L30" s="287"/>
      <c r="M30" s="284"/>
      <c r="N30" s="290"/>
      <c r="O30" s="292"/>
    </row>
    <row r="31" spans="1:15" ht="20" customHeight="1" x14ac:dyDescent="0.3">
      <c r="A31" s="138"/>
      <c r="B31" s="281"/>
      <c r="C31" s="284"/>
      <c r="D31" s="287"/>
      <c r="E31" s="292"/>
      <c r="G31" s="287"/>
      <c r="H31" s="284"/>
      <c r="I31" s="292"/>
      <c r="K31" s="287"/>
      <c r="L31" s="287"/>
      <c r="M31" s="284"/>
      <c r="N31" s="290"/>
      <c r="O31" s="292"/>
    </row>
    <row r="32" spans="1:15" ht="20" customHeight="1" x14ac:dyDescent="0.3">
      <c r="A32" s="138"/>
      <c r="B32" s="281"/>
      <c r="C32" s="284"/>
      <c r="D32" s="287"/>
      <c r="E32" s="292"/>
      <c r="G32" s="287"/>
      <c r="H32" s="284"/>
      <c r="I32" s="292"/>
      <c r="K32" s="287"/>
      <c r="L32" s="287"/>
      <c r="M32" s="284"/>
      <c r="N32" s="290"/>
      <c r="O32" s="292"/>
    </row>
    <row r="33" spans="1:15" ht="20" customHeight="1" x14ac:dyDescent="0.3">
      <c r="A33" s="138"/>
      <c r="B33" s="281"/>
      <c r="C33" s="285"/>
      <c r="D33" s="288"/>
      <c r="E33" s="292"/>
      <c r="G33" s="288"/>
      <c r="H33" s="285"/>
      <c r="I33" s="292"/>
      <c r="K33" s="288"/>
      <c r="L33" s="288"/>
      <c r="M33" s="285"/>
      <c r="N33" s="291"/>
      <c r="O33" s="292"/>
    </row>
    <row r="34" spans="1:15" ht="20" customHeight="1" x14ac:dyDescent="0.3">
      <c r="A34" s="138" t="s">
        <v>762</v>
      </c>
      <c r="B34" s="281" t="s">
        <v>753</v>
      </c>
      <c r="C34" s="283" t="b">
        <v>1</v>
      </c>
      <c r="D34" s="286">
        <v>6</v>
      </c>
      <c r="E34" s="292" t="str" cm="1">
        <f t="array" ref="E34">IF(ISBLANK(D34),IncompleteText,IF(AND(C34,D34&gt;=0.1*FuseNoiCur),OKText,ErrorText))</f>
        <v>OK</v>
      </c>
      <c r="G34" s="286"/>
      <c r="H34" s="283" t="b">
        <v>1</v>
      </c>
      <c r="I34" s="292" t="str">
        <f t="shared" si="0"/>
        <v/>
      </c>
      <c r="K34" s="286"/>
      <c r="L34" s="286"/>
      <c r="M34" s="283" t="s">
        <v>763</v>
      </c>
      <c r="N34" s="289" t="s">
        <v>764</v>
      </c>
      <c r="O34" s="292" t="str">
        <f t="shared" si="1"/>
        <v/>
      </c>
    </row>
    <row r="35" spans="1:15" ht="20" customHeight="1" x14ac:dyDescent="0.3">
      <c r="A35" s="138"/>
      <c r="B35" s="281"/>
      <c r="C35" s="284"/>
      <c r="D35" s="287"/>
      <c r="E35" s="292"/>
      <c r="G35" s="287"/>
      <c r="H35" s="284"/>
      <c r="I35" s="292"/>
      <c r="K35" s="287"/>
      <c r="L35" s="287"/>
      <c r="M35" s="284"/>
      <c r="N35" s="290"/>
      <c r="O35" s="292"/>
    </row>
    <row r="36" spans="1:15" ht="20" customHeight="1" x14ac:dyDescent="0.3">
      <c r="A36" s="138"/>
      <c r="B36" s="281"/>
      <c r="C36" s="284"/>
      <c r="D36" s="287"/>
      <c r="E36" s="292"/>
      <c r="G36" s="287"/>
      <c r="H36" s="284"/>
      <c r="I36" s="292"/>
      <c r="K36" s="287"/>
      <c r="L36" s="287"/>
      <c r="M36" s="284"/>
      <c r="N36" s="290"/>
      <c r="O36" s="292"/>
    </row>
    <row r="37" spans="1:15" ht="20" customHeight="1" x14ac:dyDescent="0.3">
      <c r="A37" s="138"/>
      <c r="B37" s="281"/>
      <c r="C37" s="284"/>
      <c r="D37" s="287"/>
      <c r="E37" s="292"/>
      <c r="G37" s="287"/>
      <c r="H37" s="284"/>
      <c r="I37" s="292"/>
      <c r="K37" s="287"/>
      <c r="L37" s="287"/>
      <c r="M37" s="284"/>
      <c r="N37" s="290"/>
      <c r="O37" s="292"/>
    </row>
    <row r="38" spans="1:15" ht="20" customHeight="1" x14ac:dyDescent="0.3">
      <c r="A38" s="138"/>
      <c r="B38" s="281"/>
      <c r="C38" s="284"/>
      <c r="D38" s="287"/>
      <c r="E38" s="292"/>
      <c r="G38" s="287"/>
      <c r="H38" s="284"/>
      <c r="I38" s="292"/>
      <c r="K38" s="287"/>
      <c r="L38" s="287"/>
      <c r="M38" s="284"/>
      <c r="N38" s="290"/>
      <c r="O38" s="292"/>
    </row>
    <row r="39" spans="1:15" ht="20" customHeight="1" x14ac:dyDescent="0.3">
      <c r="A39" s="138"/>
      <c r="B39" s="281"/>
      <c r="C39" s="284"/>
      <c r="D39" s="287"/>
      <c r="E39" s="292"/>
      <c r="G39" s="287"/>
      <c r="H39" s="284"/>
      <c r="I39" s="292"/>
      <c r="K39" s="287"/>
      <c r="L39" s="287"/>
      <c r="M39" s="284"/>
      <c r="N39" s="290"/>
      <c r="O39" s="292"/>
    </row>
    <row r="40" spans="1:15" ht="20" customHeight="1" x14ac:dyDescent="0.3">
      <c r="A40" s="138"/>
      <c r="B40" s="281"/>
      <c r="C40" s="284"/>
      <c r="D40" s="287"/>
      <c r="E40" s="292"/>
      <c r="G40" s="287"/>
      <c r="H40" s="284"/>
      <c r="I40" s="292"/>
      <c r="K40" s="287"/>
      <c r="L40" s="287"/>
      <c r="M40" s="284"/>
      <c r="N40" s="290"/>
      <c r="O40" s="292"/>
    </row>
    <row r="41" spans="1:15" ht="20" customHeight="1" x14ac:dyDescent="0.3">
      <c r="A41" s="138"/>
      <c r="B41" s="281"/>
      <c r="C41" s="284"/>
      <c r="D41" s="287"/>
      <c r="E41" s="292"/>
      <c r="G41" s="287"/>
      <c r="H41" s="284"/>
      <c r="I41" s="292"/>
      <c r="K41" s="287"/>
      <c r="L41" s="287"/>
      <c r="M41" s="284"/>
      <c r="N41" s="290"/>
      <c r="O41" s="292"/>
    </row>
    <row r="42" spans="1:15" ht="20" customHeight="1" x14ac:dyDescent="0.3">
      <c r="A42" s="138"/>
      <c r="B42" s="281"/>
      <c r="C42" s="284"/>
      <c r="D42" s="287"/>
      <c r="E42" s="292"/>
      <c r="G42" s="287"/>
      <c r="H42" s="284"/>
      <c r="I42" s="292"/>
      <c r="K42" s="287"/>
      <c r="L42" s="287"/>
      <c r="M42" s="284"/>
      <c r="N42" s="290"/>
      <c r="O42" s="292"/>
    </row>
    <row r="43" spans="1:15" ht="20" customHeight="1" x14ac:dyDescent="0.3">
      <c r="A43" s="138"/>
      <c r="B43" s="281"/>
      <c r="C43" s="285"/>
      <c r="D43" s="288"/>
      <c r="E43" s="292"/>
      <c r="G43" s="288"/>
      <c r="H43" s="285"/>
      <c r="I43" s="292"/>
      <c r="K43" s="288"/>
      <c r="L43" s="288"/>
      <c r="M43" s="285"/>
      <c r="N43" s="291"/>
      <c r="O43" s="292"/>
    </row>
    <row r="44" spans="1:15" ht="20" customHeight="1" x14ac:dyDescent="0.3">
      <c r="A44" s="218" t="s">
        <v>765</v>
      </c>
      <c r="B44" s="281" t="s">
        <v>753</v>
      </c>
      <c r="C44" s="283" t="b">
        <v>1</v>
      </c>
      <c r="D44" s="286">
        <v>6</v>
      </c>
      <c r="E44" s="292" t="str" cm="1">
        <f t="array" ref="E44">IF(ISBLANK(D44),IncompleteText,IF(AND(C44,D44&gt;=0.1*FuseNoiCur),OKText,ErrorText))</f>
        <v>OK</v>
      </c>
      <c r="G44" s="286"/>
      <c r="H44" s="283" t="b">
        <v>1</v>
      </c>
      <c r="I44" s="292" t="str">
        <f t="shared" si="0"/>
        <v/>
      </c>
      <c r="K44" s="286"/>
      <c r="L44" s="286"/>
      <c r="M44" s="283" t="s">
        <v>763</v>
      </c>
      <c r="N44" s="289" t="s">
        <v>764</v>
      </c>
      <c r="O44" s="292" t="str">
        <f t="shared" si="1"/>
        <v/>
      </c>
    </row>
    <row r="45" spans="1:15" ht="20" customHeight="1" x14ac:dyDescent="0.3">
      <c r="A45" s="218"/>
      <c r="B45" s="281"/>
      <c r="C45" s="284"/>
      <c r="D45" s="287"/>
      <c r="E45" s="292"/>
      <c r="G45" s="287"/>
      <c r="H45" s="284"/>
      <c r="I45" s="292"/>
      <c r="K45" s="287"/>
      <c r="L45" s="287"/>
      <c r="M45" s="284"/>
      <c r="N45" s="290"/>
      <c r="O45" s="292"/>
    </row>
    <row r="46" spans="1:15" ht="20" customHeight="1" x14ac:dyDescent="0.3">
      <c r="A46" s="218"/>
      <c r="B46" s="281"/>
      <c r="C46" s="284"/>
      <c r="D46" s="287"/>
      <c r="E46" s="292"/>
      <c r="G46" s="287"/>
      <c r="H46" s="284"/>
      <c r="I46" s="292"/>
      <c r="K46" s="287"/>
      <c r="L46" s="287"/>
      <c r="M46" s="284"/>
      <c r="N46" s="290"/>
      <c r="O46" s="292"/>
    </row>
    <row r="47" spans="1:15" ht="20" customHeight="1" x14ac:dyDescent="0.3">
      <c r="A47" s="218"/>
      <c r="B47" s="281"/>
      <c r="C47" s="284"/>
      <c r="D47" s="287"/>
      <c r="E47" s="292"/>
      <c r="G47" s="287"/>
      <c r="H47" s="284"/>
      <c r="I47" s="292"/>
      <c r="K47" s="287"/>
      <c r="L47" s="287"/>
      <c r="M47" s="284"/>
      <c r="N47" s="290"/>
      <c r="O47" s="292"/>
    </row>
    <row r="48" spans="1:15" ht="20" customHeight="1" x14ac:dyDescent="0.3">
      <c r="A48" s="218"/>
      <c r="B48" s="281"/>
      <c r="C48" s="284"/>
      <c r="D48" s="287"/>
      <c r="E48" s="292"/>
      <c r="G48" s="287"/>
      <c r="H48" s="284"/>
      <c r="I48" s="292"/>
      <c r="K48" s="287"/>
      <c r="L48" s="287"/>
      <c r="M48" s="284"/>
      <c r="N48" s="290"/>
      <c r="O48" s="292"/>
    </row>
    <row r="49" spans="1:15" ht="20" customHeight="1" x14ac:dyDescent="0.3">
      <c r="A49" s="218"/>
      <c r="B49" s="281"/>
      <c r="C49" s="284"/>
      <c r="D49" s="287"/>
      <c r="E49" s="292"/>
      <c r="G49" s="287"/>
      <c r="H49" s="284"/>
      <c r="I49" s="292"/>
      <c r="K49" s="287"/>
      <c r="L49" s="287"/>
      <c r="M49" s="284"/>
      <c r="N49" s="290"/>
      <c r="O49" s="292"/>
    </row>
    <row r="50" spans="1:15" ht="20" customHeight="1" x14ac:dyDescent="0.3">
      <c r="A50" s="218"/>
      <c r="B50" s="281"/>
      <c r="C50" s="284"/>
      <c r="D50" s="287"/>
      <c r="E50" s="292"/>
      <c r="G50" s="287"/>
      <c r="H50" s="284"/>
      <c r="I50" s="292"/>
      <c r="K50" s="287"/>
      <c r="L50" s="287"/>
      <c r="M50" s="284"/>
      <c r="N50" s="290"/>
      <c r="O50" s="292"/>
    </row>
    <row r="51" spans="1:15" ht="20" customHeight="1" x14ac:dyDescent="0.3">
      <c r="A51" s="218"/>
      <c r="B51" s="281"/>
      <c r="C51" s="284"/>
      <c r="D51" s="287"/>
      <c r="E51" s="292"/>
      <c r="G51" s="287"/>
      <c r="H51" s="284"/>
      <c r="I51" s="292"/>
      <c r="K51" s="287"/>
      <c r="L51" s="287"/>
      <c r="M51" s="284"/>
      <c r="N51" s="290"/>
      <c r="O51" s="292"/>
    </row>
    <row r="52" spans="1:15" ht="20" customHeight="1" x14ac:dyDescent="0.3">
      <c r="A52" s="218"/>
      <c r="B52" s="281"/>
      <c r="C52" s="284"/>
      <c r="D52" s="287"/>
      <c r="E52" s="292"/>
      <c r="G52" s="287"/>
      <c r="H52" s="284"/>
      <c r="I52" s="292"/>
      <c r="K52" s="287"/>
      <c r="L52" s="287"/>
      <c r="M52" s="284"/>
      <c r="N52" s="290"/>
      <c r="O52" s="292"/>
    </row>
    <row r="53" spans="1:15" ht="20" customHeight="1" x14ac:dyDescent="0.3">
      <c r="A53" s="218"/>
      <c r="B53" s="282"/>
      <c r="C53" s="285"/>
      <c r="D53" s="288"/>
      <c r="E53" s="292"/>
      <c r="G53" s="288"/>
      <c r="H53" s="285"/>
      <c r="I53" s="292"/>
      <c r="K53" s="288"/>
      <c r="L53" s="288"/>
      <c r="M53" s="285"/>
      <c r="N53" s="291"/>
      <c r="O53" s="292"/>
    </row>
    <row r="54" spans="1:15" ht="20" customHeight="1" x14ac:dyDescent="0.3">
      <c r="A54" s="138" t="s">
        <v>766</v>
      </c>
      <c r="B54" s="158" t="s">
        <v>753</v>
      </c>
      <c r="C54" s="283" t="b">
        <v>1</v>
      </c>
      <c r="D54" s="286">
        <v>6</v>
      </c>
      <c r="E54" s="292" t="str">
        <f>IF(ISERROR(IF(B54="导电",IF(ISBLANK(D54),IncompleteText,IF(AND(C54,D54&gt;=0.1*FuseNoiCur),OKText,ErrorText)),IF(C54,OKText,ErrorText))),IncompleteText,IF(B54="导电",IF(ISBLANK(D54),IncompleteText,IF(AND(C54,D54&gt;=0.1*FuseNoiCur),OKText,ErrorText)),IF(C54,OKText,ErrorText)))</f>
        <v>OK</v>
      </c>
      <c r="G54" s="286"/>
      <c r="H54" s="283" t="b">
        <v>1</v>
      </c>
      <c r="I54" s="292" t="str">
        <f>IF(ISBLANK(G54),"",IF(H54,OKText,IncompleteText))</f>
        <v/>
      </c>
      <c r="K54" s="286"/>
      <c r="L54" s="286"/>
      <c r="M54" s="283" t="s">
        <v>763</v>
      </c>
      <c r="N54" s="289" t="s">
        <v>764</v>
      </c>
      <c r="O54" s="292" t="str">
        <f t="shared" si="1"/>
        <v/>
      </c>
    </row>
    <row r="55" spans="1:15" ht="20" customHeight="1" x14ac:dyDescent="0.3">
      <c r="A55" s="138"/>
      <c r="B55" s="161"/>
      <c r="C55" s="284"/>
      <c r="D55" s="287"/>
      <c r="E55" s="292"/>
      <c r="G55" s="287"/>
      <c r="H55" s="284"/>
      <c r="I55" s="292"/>
      <c r="K55" s="287"/>
      <c r="L55" s="287"/>
      <c r="M55" s="284"/>
      <c r="N55" s="290"/>
      <c r="O55" s="292"/>
    </row>
    <row r="56" spans="1:15" ht="20" customHeight="1" x14ac:dyDescent="0.3">
      <c r="A56" s="138"/>
      <c r="B56" s="161"/>
      <c r="C56" s="284"/>
      <c r="D56" s="287"/>
      <c r="E56" s="292"/>
      <c r="G56" s="287"/>
      <c r="H56" s="284"/>
      <c r="I56" s="292"/>
      <c r="K56" s="287"/>
      <c r="L56" s="287"/>
      <c r="M56" s="284"/>
      <c r="N56" s="290"/>
      <c r="O56" s="292"/>
    </row>
    <row r="57" spans="1:15" ht="20" customHeight="1" x14ac:dyDescent="0.3">
      <c r="A57" s="138"/>
      <c r="B57" s="161"/>
      <c r="C57" s="284"/>
      <c r="D57" s="287"/>
      <c r="E57" s="292"/>
      <c r="G57" s="287"/>
      <c r="H57" s="284"/>
      <c r="I57" s="292"/>
      <c r="K57" s="287"/>
      <c r="L57" s="287"/>
      <c r="M57" s="284"/>
      <c r="N57" s="290"/>
      <c r="O57" s="292"/>
    </row>
    <row r="58" spans="1:15" ht="20" customHeight="1" x14ac:dyDescent="0.3">
      <c r="A58" s="138"/>
      <c r="B58" s="161"/>
      <c r="C58" s="284"/>
      <c r="D58" s="287"/>
      <c r="E58" s="292"/>
      <c r="G58" s="287"/>
      <c r="H58" s="284"/>
      <c r="I58" s="292"/>
      <c r="K58" s="287"/>
      <c r="L58" s="287"/>
      <c r="M58" s="284"/>
      <c r="N58" s="290"/>
      <c r="O58" s="292"/>
    </row>
    <row r="59" spans="1:15" ht="20" customHeight="1" x14ac:dyDescent="0.3">
      <c r="A59" s="138"/>
      <c r="B59" s="161"/>
      <c r="C59" s="284"/>
      <c r="D59" s="287"/>
      <c r="E59" s="292"/>
      <c r="G59" s="287"/>
      <c r="H59" s="284"/>
      <c r="I59" s="292"/>
      <c r="K59" s="287"/>
      <c r="L59" s="287"/>
      <c r="M59" s="284"/>
      <c r="N59" s="290"/>
      <c r="O59" s="292"/>
    </row>
    <row r="60" spans="1:15" ht="20" customHeight="1" x14ac:dyDescent="0.3">
      <c r="A60" s="138"/>
      <c r="B60" s="161"/>
      <c r="C60" s="284"/>
      <c r="D60" s="287"/>
      <c r="E60" s="292"/>
      <c r="G60" s="287"/>
      <c r="H60" s="284"/>
      <c r="I60" s="292"/>
      <c r="K60" s="287"/>
      <c r="L60" s="287"/>
      <c r="M60" s="284"/>
      <c r="N60" s="290"/>
      <c r="O60" s="292"/>
    </row>
    <row r="61" spans="1:15" ht="20" customHeight="1" x14ac:dyDescent="0.3">
      <c r="A61" s="138"/>
      <c r="B61" s="161"/>
      <c r="C61" s="284"/>
      <c r="D61" s="287"/>
      <c r="E61" s="292"/>
      <c r="G61" s="287"/>
      <c r="H61" s="284"/>
      <c r="I61" s="292"/>
      <c r="K61" s="287"/>
      <c r="L61" s="287"/>
      <c r="M61" s="284"/>
      <c r="N61" s="290"/>
      <c r="O61" s="292"/>
    </row>
    <row r="62" spans="1:15" ht="20" customHeight="1" x14ac:dyDescent="0.3">
      <c r="A62" s="138"/>
      <c r="B62" s="161"/>
      <c r="C62" s="284"/>
      <c r="D62" s="287"/>
      <c r="E62" s="292"/>
      <c r="G62" s="287"/>
      <c r="H62" s="284"/>
      <c r="I62" s="292"/>
      <c r="K62" s="287"/>
      <c r="L62" s="287"/>
      <c r="M62" s="284"/>
      <c r="N62" s="290"/>
      <c r="O62" s="292"/>
    </row>
    <row r="63" spans="1:15" ht="20" customHeight="1" x14ac:dyDescent="0.3">
      <c r="A63" s="138"/>
      <c r="B63" s="164"/>
      <c r="C63" s="285"/>
      <c r="D63" s="288"/>
      <c r="E63" s="292"/>
      <c r="G63" s="288"/>
      <c r="H63" s="285"/>
      <c r="I63" s="292"/>
      <c r="K63" s="288"/>
      <c r="L63" s="288"/>
      <c r="M63" s="285"/>
      <c r="N63" s="291"/>
      <c r="O63" s="292"/>
    </row>
    <row r="64" spans="1:15" ht="20" customHeight="1" x14ac:dyDescent="0.3">
      <c r="A64" s="138" t="s">
        <v>767</v>
      </c>
      <c r="B64" s="158" t="s">
        <v>753</v>
      </c>
      <c r="C64" s="283" t="b">
        <v>1</v>
      </c>
      <c r="D64" s="286">
        <v>6</v>
      </c>
      <c r="E64" s="292" t="str">
        <f>IF(ISERROR(IF(B64="导电",IF(ISBLANK(D64),IncompleteText,IF(AND(C64,D64&gt;=0.1*FuseNoiCur),OKText,ErrorText)),IF(C64,OKText,ErrorText))),IncompleteText,IF(B64="导电",IF(ISBLANK(D64),IncompleteText,IF(AND(C64,D64&gt;=0.1*FuseNoiCur),OKText,ErrorText)),IF(C64,OKText,ErrorText)))</f>
        <v>OK</v>
      </c>
      <c r="G64" s="286"/>
      <c r="H64" s="283" t="b">
        <v>1</v>
      </c>
      <c r="I64" s="292" t="str">
        <f t="shared" si="0"/>
        <v/>
      </c>
      <c r="K64" s="286"/>
      <c r="L64" s="286"/>
      <c r="M64" s="283" t="s">
        <v>763</v>
      </c>
      <c r="N64" s="289" t="s">
        <v>764</v>
      </c>
      <c r="O64" s="292" t="str">
        <f t="shared" si="1"/>
        <v/>
      </c>
    </row>
    <row r="65" spans="1:15" ht="20" customHeight="1" x14ac:dyDescent="0.3">
      <c r="A65" s="138"/>
      <c r="B65" s="161"/>
      <c r="C65" s="284"/>
      <c r="D65" s="287"/>
      <c r="E65" s="292"/>
      <c r="G65" s="287"/>
      <c r="H65" s="284"/>
      <c r="I65" s="292"/>
      <c r="K65" s="287"/>
      <c r="L65" s="287"/>
      <c r="M65" s="284"/>
      <c r="N65" s="290"/>
      <c r="O65" s="292"/>
    </row>
    <row r="66" spans="1:15" ht="20" customHeight="1" x14ac:dyDescent="0.3">
      <c r="A66" s="138"/>
      <c r="B66" s="161"/>
      <c r="C66" s="284"/>
      <c r="D66" s="287"/>
      <c r="E66" s="292"/>
      <c r="G66" s="287"/>
      <c r="H66" s="284"/>
      <c r="I66" s="292"/>
      <c r="K66" s="287"/>
      <c r="L66" s="287"/>
      <c r="M66" s="284"/>
      <c r="N66" s="290"/>
      <c r="O66" s="292"/>
    </row>
    <row r="67" spans="1:15" ht="20" customHeight="1" x14ac:dyDescent="0.3">
      <c r="A67" s="138"/>
      <c r="B67" s="161"/>
      <c r="C67" s="284"/>
      <c r="D67" s="287"/>
      <c r="E67" s="292"/>
      <c r="G67" s="287"/>
      <c r="H67" s="284"/>
      <c r="I67" s="292"/>
      <c r="K67" s="287"/>
      <c r="L67" s="287"/>
      <c r="M67" s="284"/>
      <c r="N67" s="290"/>
      <c r="O67" s="292"/>
    </row>
    <row r="68" spans="1:15" ht="20" customHeight="1" x14ac:dyDescent="0.3">
      <c r="A68" s="138"/>
      <c r="B68" s="161"/>
      <c r="C68" s="284"/>
      <c r="D68" s="287"/>
      <c r="E68" s="292"/>
      <c r="G68" s="287"/>
      <c r="H68" s="284"/>
      <c r="I68" s="292"/>
      <c r="K68" s="287"/>
      <c r="L68" s="287"/>
      <c r="M68" s="284"/>
      <c r="N68" s="290"/>
      <c r="O68" s="292"/>
    </row>
    <row r="69" spans="1:15" ht="20" customHeight="1" x14ac:dyDescent="0.3">
      <c r="A69" s="138"/>
      <c r="B69" s="161"/>
      <c r="C69" s="284"/>
      <c r="D69" s="287"/>
      <c r="E69" s="292"/>
      <c r="G69" s="287"/>
      <c r="H69" s="284"/>
      <c r="I69" s="292"/>
      <c r="K69" s="287"/>
      <c r="L69" s="287"/>
      <c r="M69" s="284"/>
      <c r="N69" s="290"/>
      <c r="O69" s="292"/>
    </row>
    <row r="70" spans="1:15" ht="20" customHeight="1" x14ac:dyDescent="0.3">
      <c r="A70" s="138"/>
      <c r="B70" s="161"/>
      <c r="C70" s="284"/>
      <c r="D70" s="287"/>
      <c r="E70" s="292"/>
      <c r="G70" s="287"/>
      <c r="H70" s="284"/>
      <c r="I70" s="292"/>
      <c r="K70" s="287"/>
      <c r="L70" s="287"/>
      <c r="M70" s="284"/>
      <c r="N70" s="290"/>
      <c r="O70" s="292"/>
    </row>
    <row r="71" spans="1:15" ht="20" customHeight="1" x14ac:dyDescent="0.3">
      <c r="A71" s="138"/>
      <c r="B71" s="161"/>
      <c r="C71" s="284"/>
      <c r="D71" s="287"/>
      <c r="E71" s="292"/>
      <c r="G71" s="287"/>
      <c r="H71" s="284"/>
      <c r="I71" s="292"/>
      <c r="K71" s="287"/>
      <c r="L71" s="287"/>
      <c r="M71" s="284"/>
      <c r="N71" s="290"/>
      <c r="O71" s="292"/>
    </row>
    <row r="72" spans="1:15" ht="20" customHeight="1" x14ac:dyDescent="0.3">
      <c r="A72" s="138"/>
      <c r="B72" s="161"/>
      <c r="C72" s="284"/>
      <c r="D72" s="287"/>
      <c r="E72" s="292"/>
      <c r="G72" s="287"/>
      <c r="H72" s="284"/>
      <c r="I72" s="292"/>
      <c r="K72" s="287"/>
      <c r="L72" s="287"/>
      <c r="M72" s="284"/>
      <c r="N72" s="290"/>
      <c r="O72" s="292"/>
    </row>
    <row r="73" spans="1:15" ht="20" customHeight="1" x14ac:dyDescent="0.3">
      <c r="A73" s="138"/>
      <c r="B73" s="164"/>
      <c r="C73" s="285"/>
      <c r="D73" s="288"/>
      <c r="E73" s="292"/>
      <c r="G73" s="288"/>
      <c r="H73" s="285"/>
      <c r="I73" s="292"/>
      <c r="K73" s="288"/>
      <c r="L73" s="288"/>
      <c r="M73" s="285"/>
      <c r="N73" s="291"/>
      <c r="O73" s="292"/>
    </row>
    <row r="74" spans="1:15" ht="20" customHeight="1" x14ac:dyDescent="0.3">
      <c r="A74" s="138" t="s">
        <v>6</v>
      </c>
      <c r="B74" s="158" t="s">
        <v>753</v>
      </c>
      <c r="C74" s="283" t="b">
        <v>1</v>
      </c>
      <c r="D74" s="286">
        <v>6</v>
      </c>
      <c r="E74" s="292" t="str">
        <f>IF(ISERROR(IF(B74="导电",IF(ISBLANK(D74),IncompleteText,IF(AND(C74,D74&gt;=0.1*FuseNoiCur),OKText,ErrorText)),IF(C74,OKText,ErrorText))),IncompleteText,IF(B74="导电",IF(ISBLANK(D74),IncompleteText,IF(AND(C74,D74&gt;=0.1*FuseNoiCur),OKText,ErrorText)),IF(C74,OKText,ErrorText)))</f>
        <v>OK</v>
      </c>
      <c r="G74" s="286"/>
      <c r="H74" s="283" t="b">
        <v>1</v>
      </c>
      <c r="I74" s="292" t="str">
        <f t="shared" si="0"/>
        <v/>
      </c>
      <c r="K74" s="286"/>
      <c r="L74" s="286"/>
      <c r="M74" s="283" t="s">
        <v>763</v>
      </c>
      <c r="N74" s="289" t="s">
        <v>764</v>
      </c>
      <c r="O74" s="292" t="str">
        <f t="shared" si="1"/>
        <v/>
      </c>
    </row>
    <row r="75" spans="1:15" ht="20" customHeight="1" x14ac:dyDescent="0.3">
      <c r="A75" s="138"/>
      <c r="B75" s="161"/>
      <c r="C75" s="284"/>
      <c r="D75" s="287"/>
      <c r="E75" s="292"/>
      <c r="G75" s="287"/>
      <c r="H75" s="284"/>
      <c r="I75" s="292"/>
      <c r="K75" s="287"/>
      <c r="L75" s="287"/>
      <c r="M75" s="284"/>
      <c r="N75" s="290"/>
      <c r="O75" s="292"/>
    </row>
    <row r="76" spans="1:15" ht="20" customHeight="1" x14ac:dyDescent="0.3">
      <c r="A76" s="138"/>
      <c r="B76" s="161"/>
      <c r="C76" s="284"/>
      <c r="D76" s="287"/>
      <c r="E76" s="292"/>
      <c r="G76" s="287"/>
      <c r="H76" s="284"/>
      <c r="I76" s="292"/>
      <c r="K76" s="287"/>
      <c r="L76" s="287"/>
      <c r="M76" s="284"/>
      <c r="N76" s="290"/>
      <c r="O76" s="292"/>
    </row>
    <row r="77" spans="1:15" ht="20" customHeight="1" x14ac:dyDescent="0.3">
      <c r="A77" s="138"/>
      <c r="B77" s="161"/>
      <c r="C77" s="284"/>
      <c r="D77" s="287"/>
      <c r="E77" s="292"/>
      <c r="G77" s="287"/>
      <c r="H77" s="284"/>
      <c r="I77" s="292"/>
      <c r="K77" s="287"/>
      <c r="L77" s="287"/>
      <c r="M77" s="284"/>
      <c r="N77" s="290"/>
      <c r="O77" s="292"/>
    </row>
    <row r="78" spans="1:15" ht="20" customHeight="1" x14ac:dyDescent="0.3">
      <c r="A78" s="138"/>
      <c r="B78" s="161"/>
      <c r="C78" s="284"/>
      <c r="D78" s="287"/>
      <c r="E78" s="292"/>
      <c r="G78" s="287"/>
      <c r="H78" s="284"/>
      <c r="I78" s="292"/>
      <c r="K78" s="287"/>
      <c r="L78" s="287"/>
      <c r="M78" s="284"/>
      <c r="N78" s="290"/>
      <c r="O78" s="292"/>
    </row>
    <row r="79" spans="1:15" ht="20" customHeight="1" x14ac:dyDescent="0.3">
      <c r="A79" s="138"/>
      <c r="B79" s="161"/>
      <c r="C79" s="284"/>
      <c r="D79" s="287"/>
      <c r="E79" s="292"/>
      <c r="G79" s="287"/>
      <c r="H79" s="284"/>
      <c r="I79" s="292"/>
      <c r="K79" s="287"/>
      <c r="L79" s="287"/>
      <c r="M79" s="284"/>
      <c r="N79" s="290"/>
      <c r="O79" s="292"/>
    </row>
    <row r="80" spans="1:15" ht="20" customHeight="1" x14ac:dyDescent="0.3">
      <c r="A80" s="138"/>
      <c r="B80" s="161"/>
      <c r="C80" s="284"/>
      <c r="D80" s="287"/>
      <c r="E80" s="292"/>
      <c r="G80" s="287"/>
      <c r="H80" s="284"/>
      <c r="I80" s="292"/>
      <c r="K80" s="287"/>
      <c r="L80" s="287"/>
      <c r="M80" s="284"/>
      <c r="N80" s="290"/>
      <c r="O80" s="292"/>
    </row>
    <row r="81" spans="1:15" ht="20" customHeight="1" x14ac:dyDescent="0.3">
      <c r="A81" s="138"/>
      <c r="B81" s="161"/>
      <c r="C81" s="284"/>
      <c r="D81" s="287"/>
      <c r="E81" s="292"/>
      <c r="G81" s="287"/>
      <c r="H81" s="284"/>
      <c r="I81" s="292"/>
      <c r="K81" s="287"/>
      <c r="L81" s="287"/>
      <c r="M81" s="284"/>
      <c r="N81" s="290"/>
      <c r="O81" s="292"/>
    </row>
    <row r="82" spans="1:15" ht="20" customHeight="1" x14ac:dyDescent="0.3">
      <c r="A82" s="138"/>
      <c r="B82" s="161"/>
      <c r="C82" s="284"/>
      <c r="D82" s="287"/>
      <c r="E82" s="292"/>
      <c r="G82" s="287"/>
      <c r="H82" s="284"/>
      <c r="I82" s="292"/>
      <c r="K82" s="287"/>
      <c r="L82" s="287"/>
      <c r="M82" s="284"/>
      <c r="N82" s="290"/>
      <c r="O82" s="292"/>
    </row>
    <row r="83" spans="1:15" ht="20" customHeight="1" x14ac:dyDescent="0.3">
      <c r="A83" s="138"/>
      <c r="B83" s="164"/>
      <c r="C83" s="285"/>
      <c r="D83" s="288"/>
      <c r="E83" s="292"/>
      <c r="G83" s="288"/>
      <c r="H83" s="285"/>
      <c r="I83" s="292"/>
      <c r="K83" s="288"/>
      <c r="L83" s="288"/>
      <c r="M83" s="285"/>
      <c r="N83" s="291"/>
      <c r="O83" s="292"/>
    </row>
    <row r="84" spans="1:15" ht="20" customHeight="1" x14ac:dyDescent="0.3">
      <c r="A84" s="138" t="s">
        <v>768</v>
      </c>
      <c r="B84" s="158" t="s">
        <v>753</v>
      </c>
      <c r="C84" s="283" t="b">
        <v>1</v>
      </c>
      <c r="D84" s="286">
        <v>6</v>
      </c>
      <c r="E84" s="292" t="str">
        <f>IF(ISERROR(IF(B84="导电",IF(ISBLANK(D84),IncompleteText,IF(AND(C84,D84&gt;=0.1*FuseNoiCur),OKText,ErrorText)),IF(C84,OKText,ErrorText))),IncompleteText,IF(B84="导电",IF(ISBLANK(D84),IncompleteText,IF(AND(C84,D84&gt;=0.1*FuseNoiCur),OKText,ErrorText)),IF(C84,OKText,ErrorText)))</f>
        <v>OK</v>
      </c>
      <c r="G84" s="286"/>
      <c r="H84" s="283" t="b">
        <v>1</v>
      </c>
      <c r="I84" s="292" t="str">
        <f t="shared" si="0"/>
        <v/>
      </c>
      <c r="K84" s="286"/>
      <c r="L84" s="286"/>
      <c r="M84" s="283" t="s">
        <v>763</v>
      </c>
      <c r="N84" s="289" t="s">
        <v>764</v>
      </c>
      <c r="O84" s="292" t="str">
        <f t="shared" si="1"/>
        <v/>
      </c>
    </row>
    <row r="85" spans="1:15" ht="20" customHeight="1" x14ac:dyDescent="0.3">
      <c r="A85" s="138"/>
      <c r="B85" s="161"/>
      <c r="C85" s="284"/>
      <c r="D85" s="287"/>
      <c r="E85" s="292"/>
      <c r="G85" s="287"/>
      <c r="H85" s="284"/>
      <c r="I85" s="292"/>
      <c r="K85" s="287"/>
      <c r="L85" s="287"/>
      <c r="M85" s="284"/>
      <c r="N85" s="290"/>
      <c r="O85" s="292"/>
    </row>
    <row r="86" spans="1:15" ht="20" customHeight="1" x14ac:dyDescent="0.3">
      <c r="A86" s="138"/>
      <c r="B86" s="161"/>
      <c r="C86" s="284"/>
      <c r="D86" s="287"/>
      <c r="E86" s="292"/>
      <c r="G86" s="287"/>
      <c r="H86" s="284"/>
      <c r="I86" s="292"/>
      <c r="K86" s="287"/>
      <c r="L86" s="287"/>
      <c r="M86" s="284"/>
      <c r="N86" s="290"/>
      <c r="O86" s="292"/>
    </row>
    <row r="87" spans="1:15" ht="20" customHeight="1" x14ac:dyDescent="0.3">
      <c r="A87" s="138"/>
      <c r="B87" s="161"/>
      <c r="C87" s="284"/>
      <c r="D87" s="287"/>
      <c r="E87" s="292"/>
      <c r="G87" s="287"/>
      <c r="H87" s="284"/>
      <c r="I87" s="292"/>
      <c r="K87" s="287"/>
      <c r="L87" s="287"/>
      <c r="M87" s="284"/>
      <c r="N87" s="290"/>
      <c r="O87" s="292"/>
    </row>
    <row r="88" spans="1:15" ht="20" customHeight="1" x14ac:dyDescent="0.3">
      <c r="A88" s="138"/>
      <c r="B88" s="161"/>
      <c r="C88" s="284"/>
      <c r="D88" s="287"/>
      <c r="E88" s="292"/>
      <c r="G88" s="287"/>
      <c r="H88" s="284"/>
      <c r="I88" s="292"/>
      <c r="K88" s="287"/>
      <c r="L88" s="287"/>
      <c r="M88" s="284"/>
      <c r="N88" s="290"/>
      <c r="O88" s="292"/>
    </row>
    <row r="89" spans="1:15" ht="20" customHeight="1" x14ac:dyDescent="0.3">
      <c r="A89" s="138"/>
      <c r="B89" s="161"/>
      <c r="C89" s="284"/>
      <c r="D89" s="287"/>
      <c r="E89" s="292"/>
      <c r="G89" s="287"/>
      <c r="H89" s="284"/>
      <c r="I89" s="292"/>
      <c r="K89" s="287"/>
      <c r="L89" s="287"/>
      <c r="M89" s="284"/>
      <c r="N89" s="290"/>
      <c r="O89" s="292"/>
    </row>
    <row r="90" spans="1:15" ht="20" customHeight="1" x14ac:dyDescent="0.3">
      <c r="A90" s="138"/>
      <c r="B90" s="161"/>
      <c r="C90" s="284"/>
      <c r="D90" s="287"/>
      <c r="E90" s="292"/>
      <c r="G90" s="287"/>
      <c r="H90" s="284"/>
      <c r="I90" s="292"/>
      <c r="K90" s="287"/>
      <c r="L90" s="287"/>
      <c r="M90" s="284"/>
      <c r="N90" s="290"/>
      <c r="O90" s="292"/>
    </row>
    <row r="91" spans="1:15" ht="20" customHeight="1" x14ac:dyDescent="0.3">
      <c r="A91" s="138"/>
      <c r="B91" s="161"/>
      <c r="C91" s="284"/>
      <c r="D91" s="287"/>
      <c r="E91" s="292"/>
      <c r="G91" s="287"/>
      <c r="H91" s="284"/>
      <c r="I91" s="292"/>
      <c r="K91" s="287"/>
      <c r="L91" s="287"/>
      <c r="M91" s="284"/>
      <c r="N91" s="290"/>
      <c r="O91" s="292"/>
    </row>
    <row r="92" spans="1:15" ht="20" customHeight="1" x14ac:dyDescent="0.3">
      <c r="A92" s="138"/>
      <c r="B92" s="161"/>
      <c r="C92" s="284"/>
      <c r="D92" s="287"/>
      <c r="E92" s="292"/>
      <c r="G92" s="287"/>
      <c r="H92" s="284"/>
      <c r="I92" s="292"/>
      <c r="K92" s="287"/>
      <c r="L92" s="287"/>
      <c r="M92" s="284"/>
      <c r="N92" s="290"/>
      <c r="O92" s="292"/>
    </row>
    <row r="93" spans="1:15" ht="20" customHeight="1" x14ac:dyDescent="0.3">
      <c r="A93" s="138"/>
      <c r="B93" s="161"/>
      <c r="C93" s="285"/>
      <c r="D93" s="288"/>
      <c r="E93" s="292"/>
      <c r="G93" s="288"/>
      <c r="H93" s="285"/>
      <c r="I93" s="292"/>
      <c r="K93" s="288"/>
      <c r="L93" s="288"/>
      <c r="M93" s="285"/>
      <c r="N93" s="291"/>
      <c r="O93" s="292"/>
    </row>
  </sheetData>
  <sheetProtection algorithmName="SHA-512" hashValue="nI2/9rdvHGuM+2A5Q/To78ONWZxcbApZGa23zG7jN1RwEypAajKyAPMdd7dyZXZhWajia+I4lRJFEMVCCSt+6Q==" saltValue="BidK5YQ4FSlusgrsBbejCg==" spinCount="100000" sheet="1" scenarios="1" insertHyperlinks="0"/>
  <mergeCells count="120">
    <mergeCell ref="O4:O13"/>
    <mergeCell ref="O14:O23"/>
    <mergeCell ref="O24:O33"/>
    <mergeCell ref="O34:O43"/>
    <mergeCell ref="O44:O53"/>
    <mergeCell ref="O54:O63"/>
    <mergeCell ref="O64:O73"/>
    <mergeCell ref="O74:O83"/>
    <mergeCell ref="O84:O93"/>
    <mergeCell ref="N4:N13"/>
    <mergeCell ref="N14:N23"/>
    <mergeCell ref="N24:N33"/>
    <mergeCell ref="N34:N43"/>
    <mergeCell ref="N44:N53"/>
    <mergeCell ref="N54:N63"/>
    <mergeCell ref="N64:N73"/>
    <mergeCell ref="N74:N83"/>
    <mergeCell ref="N84:N93"/>
    <mergeCell ref="M4:M13"/>
    <mergeCell ref="M14:M23"/>
    <mergeCell ref="M24:M33"/>
    <mergeCell ref="M34:M43"/>
    <mergeCell ref="M44:M53"/>
    <mergeCell ref="M54:M63"/>
    <mergeCell ref="M64:M73"/>
    <mergeCell ref="M74:M83"/>
    <mergeCell ref="M84:M93"/>
    <mergeCell ref="L4:L13"/>
    <mergeCell ref="L14:L23"/>
    <mergeCell ref="L24:L33"/>
    <mergeCell ref="L34:L43"/>
    <mergeCell ref="L44:L53"/>
    <mergeCell ref="L54:L63"/>
    <mergeCell ref="L64:L73"/>
    <mergeCell ref="L74:L83"/>
    <mergeCell ref="L84:L93"/>
    <mergeCell ref="K4:K13"/>
    <mergeCell ref="K14:K23"/>
    <mergeCell ref="K24:K33"/>
    <mergeCell ref="K34:K43"/>
    <mergeCell ref="K44:K53"/>
    <mergeCell ref="K54:K63"/>
    <mergeCell ref="K64:K73"/>
    <mergeCell ref="K74:K83"/>
    <mergeCell ref="K84:K93"/>
    <mergeCell ref="H34:H43"/>
    <mergeCell ref="H44:H53"/>
    <mergeCell ref="H54:H63"/>
    <mergeCell ref="H64:H73"/>
    <mergeCell ref="H74:H83"/>
    <mergeCell ref="H84:H93"/>
    <mergeCell ref="I4:I13"/>
    <mergeCell ref="I14:I23"/>
    <mergeCell ref="I24:I33"/>
    <mergeCell ref="I34:I43"/>
    <mergeCell ref="I44:I53"/>
    <mergeCell ref="I54:I63"/>
    <mergeCell ref="I64:I73"/>
    <mergeCell ref="I74:I83"/>
    <mergeCell ref="I84:I93"/>
    <mergeCell ref="E64:E73"/>
    <mergeCell ref="E74:E83"/>
    <mergeCell ref="E84:E93"/>
    <mergeCell ref="G4:G13"/>
    <mergeCell ref="G14:G23"/>
    <mergeCell ref="G24:G33"/>
    <mergeCell ref="G34:G43"/>
    <mergeCell ref="G44:G53"/>
    <mergeCell ref="G54:G63"/>
    <mergeCell ref="G64:G73"/>
    <mergeCell ref="G74:G83"/>
    <mergeCell ref="G84:G93"/>
    <mergeCell ref="C64:C73"/>
    <mergeCell ref="C74:C83"/>
    <mergeCell ref="C84:C93"/>
    <mergeCell ref="D4:D13"/>
    <mergeCell ref="D14:D23"/>
    <mergeCell ref="D24:D33"/>
    <mergeCell ref="D34:D43"/>
    <mergeCell ref="D44:D53"/>
    <mergeCell ref="D54:D63"/>
    <mergeCell ref="D64:D73"/>
    <mergeCell ref="D74:D83"/>
    <mergeCell ref="D84:D93"/>
    <mergeCell ref="A64:A73"/>
    <mergeCell ref="A74:A83"/>
    <mergeCell ref="A84:A93"/>
    <mergeCell ref="B4:B13"/>
    <mergeCell ref="B14:B23"/>
    <mergeCell ref="B24:B33"/>
    <mergeCell ref="B34:B43"/>
    <mergeCell ref="B44:B53"/>
    <mergeCell ref="B54:B63"/>
    <mergeCell ref="B64:B73"/>
    <mergeCell ref="B74:B83"/>
    <mergeCell ref="B84:B93"/>
    <mergeCell ref="A2:D2"/>
    <mergeCell ref="G2:H2"/>
    <mergeCell ref="K2:N2"/>
    <mergeCell ref="A4:A13"/>
    <mergeCell ref="A14:A23"/>
    <mergeCell ref="A24:A33"/>
    <mergeCell ref="A34:A43"/>
    <mergeCell ref="A44:A53"/>
    <mergeCell ref="A54:A63"/>
    <mergeCell ref="C4:C13"/>
    <mergeCell ref="C14:C23"/>
    <mergeCell ref="C24:C33"/>
    <mergeCell ref="C34:C43"/>
    <mergeCell ref="C44:C53"/>
    <mergeCell ref="C54:C63"/>
    <mergeCell ref="E4:E13"/>
    <mergeCell ref="E14:E23"/>
    <mergeCell ref="E24:E33"/>
    <mergeCell ref="E34:E43"/>
    <mergeCell ref="E44:E53"/>
    <mergeCell ref="E54:E63"/>
    <mergeCell ref="H4:H13"/>
    <mergeCell ref="H14:H23"/>
    <mergeCell ref="H24:H33"/>
  </mergeCells>
  <phoneticPr fontId="17" type="noConversion"/>
  <dataValidations count="1">
    <dataValidation type="list" allowBlank="1" showInputMessage="1" showErrorMessage="1" sqref="L4 B14 L14 L24 L34 L44 B54 L54 B64 L64 B74 L74 B84 L84 L94:L95" xr:uid="{00000000-0002-0000-0A00-000000000000}">
      <formula1>"导电 Conductive,可能导电 Maybe conductive,绝缘 Isolated"</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10"/>
  <sheetViews>
    <sheetView workbookViewId="0">
      <selection activeCell="C13" sqref="C13"/>
    </sheetView>
  </sheetViews>
  <sheetFormatPr defaultColWidth="9" defaultRowHeight="14" x14ac:dyDescent="0.3"/>
  <cols>
    <col min="1" max="1" width="16.08203125" customWidth="1"/>
    <col min="2" max="2" width="42.08203125" customWidth="1"/>
    <col min="3" max="3" width="28.58203125" customWidth="1"/>
    <col min="4" max="4" width="14.08203125" customWidth="1"/>
  </cols>
  <sheetData>
    <row r="1" spans="1:4" x14ac:dyDescent="0.3">
      <c r="A1" s="1" t="s">
        <v>769</v>
      </c>
      <c r="B1" s="1" t="s">
        <v>770</v>
      </c>
      <c r="C1" s="1" t="s">
        <v>771</v>
      </c>
      <c r="D1" s="1" t="s">
        <v>772</v>
      </c>
    </row>
    <row r="2" spans="1:4" x14ac:dyDescent="0.3">
      <c r="A2" s="2" t="s">
        <v>773</v>
      </c>
      <c r="B2" s="2" t="s">
        <v>774</v>
      </c>
      <c r="C2" s="2" t="s">
        <v>775</v>
      </c>
      <c r="D2" s="3">
        <v>45047</v>
      </c>
    </row>
    <row r="3" spans="1:4" x14ac:dyDescent="0.3">
      <c r="A3" s="2" t="s">
        <v>776</v>
      </c>
      <c r="B3" s="2" t="s">
        <v>777</v>
      </c>
      <c r="C3" s="2" t="s">
        <v>778</v>
      </c>
      <c r="D3" s="3">
        <v>45056</v>
      </c>
    </row>
    <row r="4" spans="1:4" x14ac:dyDescent="0.3">
      <c r="A4" s="2" t="s">
        <v>779</v>
      </c>
      <c r="B4" s="2" t="s">
        <v>780</v>
      </c>
      <c r="C4" s="2" t="s">
        <v>781</v>
      </c>
      <c r="D4" s="3">
        <v>45449</v>
      </c>
    </row>
    <row r="5" spans="1:4" x14ac:dyDescent="0.3">
      <c r="A5" s="2" t="s">
        <v>782</v>
      </c>
      <c r="B5" s="2" t="s">
        <v>783</v>
      </c>
      <c r="C5" s="2" t="s">
        <v>784</v>
      </c>
      <c r="D5" s="3">
        <v>45783</v>
      </c>
    </row>
    <row r="6" spans="1:4" x14ac:dyDescent="0.3">
      <c r="A6" s="2" t="s">
        <v>785</v>
      </c>
      <c r="B6" s="2" t="s">
        <v>783</v>
      </c>
      <c r="C6" s="2" t="s">
        <v>786</v>
      </c>
      <c r="D6" s="3">
        <v>46160</v>
      </c>
    </row>
    <row r="7" spans="1:4" x14ac:dyDescent="0.3">
      <c r="A7" s="2" t="s">
        <v>787</v>
      </c>
      <c r="B7" s="2" t="s">
        <v>788</v>
      </c>
      <c r="C7" s="2" t="s">
        <v>786</v>
      </c>
      <c r="D7" s="3">
        <v>46167</v>
      </c>
    </row>
    <row r="8" spans="1:4" x14ac:dyDescent="0.3">
      <c r="A8" s="2" t="s">
        <v>789</v>
      </c>
      <c r="B8" s="2" t="s">
        <v>788</v>
      </c>
      <c r="C8" s="2" t="s">
        <v>786</v>
      </c>
      <c r="D8" s="3">
        <v>46169</v>
      </c>
    </row>
    <row r="9" spans="1:4" x14ac:dyDescent="0.3">
      <c r="A9" s="2" t="s">
        <v>790</v>
      </c>
      <c r="B9" s="2" t="s">
        <v>788</v>
      </c>
      <c r="C9" s="2" t="s">
        <v>786</v>
      </c>
      <c r="D9" s="3">
        <v>46172</v>
      </c>
    </row>
    <row r="10" spans="1:4" x14ac:dyDescent="0.3">
      <c r="A10" s="2" t="s">
        <v>791</v>
      </c>
      <c r="B10" s="2" t="s">
        <v>792</v>
      </c>
      <c r="C10" s="2" t="s">
        <v>786</v>
      </c>
      <c r="D10" s="3">
        <v>46181</v>
      </c>
    </row>
  </sheetData>
  <sheetProtection algorithmName="SHA-512" hashValue="LU+YU7cIQn7p3Zsmc29/AG8j2LhpqIxHvAgJ/3Zc1qBWuDGzUZ0kYhTYBkm3bAM5l/6Rt7orAHYSCaQk2C1JkA==" saltValue="xw8J9ZGkGtgzYuOOQnMoIg==" spinCount="100000" sheet="1" objects="1" scenarios="1" selectLockedCells="1" selectUnlockedCells="1"/>
  <phoneticPr fontId="1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rrUserId title="AC1" rangeCreator="" othersAccessPermission="edit"/>
  </rangeList>
  <rangeList sheetStid="2" master="" otherUserPermission="visible">
    <arrUserId title="dat2" rangeCreator="" othersAccessPermission="edit"/>
    <arrUserId title="data1" rangeCreator="" othersAccessPermission="edit"/>
    <arrUserId title="data1_1" rangeCreator="" othersAccessPermission="edit"/>
    <arrUserId title="data1_1_1" rangeCreator="" othersAccessPermission="edit"/>
    <arrUserId title="data1_1_1_1" rangeCreator="" othersAccessPermission="edit"/>
    <arrUserId title="data1_1_1_1_1" rangeCreator="" othersAccessPermission="edit"/>
    <arrUserId title="data1_2" rangeCreator="" othersAccessPermission="edit"/>
    <arrUserId title="data1_1_2" rangeCreator="" othersAccessPermission="edit"/>
    <arrUserId title="data1_1_1_2" rangeCreator="" othersAccessPermission="edit"/>
    <arrUserId title="data1_3" rangeCreator="" othersAccessPermission="edit"/>
    <arrUserId title="data1_3_1" rangeCreator="" othersAccessPermission="edit"/>
    <arrUserId title="data1_2_1" rangeCreator="" othersAccessPermission="edit"/>
    <arrUserId title="data1_2_1_1" rangeCreator="" othersAccessPermission="edit"/>
    <arrUserId title="data1_4" rangeCreator="" othersAccessPermission="edit"/>
    <arrUserId title="data1_4_1" rangeCreator="" othersAccessPermission="edit"/>
    <arrUserId title="data1_3_1_1" rangeCreator="" othersAccessPermission="edit"/>
    <arrUserId title="data1_3_1_1_1" rangeCreator="" othersAccessPermission="edit"/>
    <arrUserId title="data1_5" rangeCreator="" othersAccessPermission="edit"/>
    <arrUserId title="data1_6" rangeCreator="" othersAccessPermission="edit"/>
    <arrUserId title="data1_5_1" rangeCreator="" othersAccessPermission="edit"/>
    <arrUserId title="data1_4_1_1" rangeCreator="" othersAccessPermission="edit"/>
    <arrUserId title="data1_4_1_1_1" rangeCreator="" othersAccessPermission="edit"/>
    <arrUserId title="data1_1_1_1_1_1" rangeCreator="" othersAccessPermission="edit"/>
    <arrUserId title="data1_6_1" rangeCreator="" othersAccessPermission="edit"/>
    <arrUserId title="data1_5_1_1" rangeCreator="" othersAccessPermission="edit"/>
    <arrUserId title="data1_1_2_1" rangeCreator="" othersAccessPermission="edit"/>
    <arrUserId title="data1_6_1_1" rangeCreator="" othersAccessPermission="edit"/>
    <arrUserId title="data1_7" rangeCreator="" othersAccessPermission="edit"/>
    <arrUserId title="data1_1_3" rangeCreator="" othersAccessPermission="edit"/>
    <arrUserId title="data1_6_2" rangeCreator="" othersAccessPermission="edit"/>
    <arrUserId title="data1_8" rangeCreator="" othersAccessPermission="edit"/>
    <arrUserId title="data1_8_1" rangeCreator="" othersAccessPermission="edit"/>
    <arrUserId title="data1_8_1_1" rangeCreator="" othersAccessPermission="edit"/>
    <arrUserId title="data1_8_1_1_1" rangeCreator="" othersAccessPermission="edit"/>
    <arrUserId title="data1_2_1_1_1" rangeCreator="" othersAccessPermission="edit"/>
    <arrUserId title="data1_7_1" rangeCreator="" othersAccessPermission="edit"/>
    <arrUserId title="data1_8_1_1_1_1" rangeCreator="" othersAccessPermission="edit"/>
    <arrUserId title="data1_9" rangeCreator="" othersAccessPermission="edit"/>
    <arrUserId title="data1_10" rangeCreator="" othersAccessPermission="edit"/>
    <arrUserId title="data1_16" rangeCreator="" othersAccessPermission="edit"/>
    <arrUserId title="data1_10_2" rangeCreator="" othersAccessPermission="edit"/>
    <arrUserId title="data1_14_1" rangeCreator="" othersAccessPermission="edit"/>
    <arrUserId title="data1_11" rangeCreator="" othersAccessPermission="edit"/>
    <arrUserId title="data1_10_1" rangeCreator="" othersAccessPermission="edit"/>
    <arrUserId title="data1_11_1" rangeCreator="" othersAccessPermission="edit"/>
    <arrUserId title="data1_10_1_1" rangeCreator="" othersAccessPermission="edit"/>
    <arrUserId title="data1_3_1_1_1_1" rangeCreator="" othersAccessPermission="edit"/>
    <arrUserId title="data1_10_1_1_1" rangeCreator="" othersAccessPermission="edit"/>
    <arrUserId title="data1_12" rangeCreator="" othersAccessPermission="edit"/>
    <arrUserId title="data1_12_1" rangeCreator="" othersAccessPermission="edit"/>
    <arrUserId title="data1_12_1_1" rangeCreator="" othersAccessPermission="edit"/>
    <arrUserId title="data1_11_1_1" rangeCreator="" othersAccessPermission="edit"/>
    <arrUserId title="data1_4_1_1_1_1" rangeCreator="" othersAccessPermission="edit"/>
    <arrUserId title="data1_11_1_1_1" rangeCreator="" othersAccessPermission="edit"/>
    <arrUserId title="data1_13" rangeCreator="" othersAccessPermission="edit"/>
    <arrUserId title="data1_14" rangeCreator="" othersAccessPermission="edit"/>
    <arrUserId title="data1_14_2" rangeCreator="" othersAccessPermission="edit"/>
    <arrUserId title="data1_15" rangeCreator="" othersAccessPermission="edit"/>
    <arrUserId title="data1_12_1_1_1" rangeCreator="" othersAccessPermission="edit"/>
    <arrUserId title="data1_5_1_1_1" rangeCreator="" othersAccessPermission="edit"/>
    <arrUserId title="data1_12_1_1_1_1" rangeCreator="" othersAccessPermission="edit"/>
    <arrUserId title="data1_17" rangeCreator="" othersAccessPermission="edit"/>
    <arrUserId title="data1_15_1" rangeCreator="" othersAccessPermission="edit"/>
    <arrUserId title="data1_12_1_2" rangeCreator="" othersAccessPermission="edit"/>
    <arrUserId title="data1_5_1_2" rangeCreator="" othersAccessPermission="edit"/>
    <arrUserId title="data1_12_1_1_2" rangeCreator="" othersAccessPermission="edit"/>
    <arrUserId title="data1_18" rangeCreator="" othersAccessPermission="edit"/>
    <arrUserId title="dat2_1" rangeCreator="" othersAccessPermission="edit"/>
    <arrUserId title="dat2_1_1" rangeCreator="" othersAccessPermission="edit"/>
    <arrUserId title="dat2_1_1_1" rangeCreator="" othersAccessPermission="edit"/>
    <arrUserId title="dat2_1_1_1_1" rangeCreator="" othersAccessPermission="edit"/>
    <arrUserId title="dat2_3" rangeCreator="" othersAccessPermission="edit"/>
    <arrUserId title="dat2_2" rangeCreator="" othersAccessPermission="edit"/>
    <arrUserId title="dat2_2_1" rangeCreator="" othersAccessPermission="edit"/>
    <arrUserId title="dat2_2_1_1" rangeCreator="" othersAccessPermission="edit"/>
    <arrUserId title="dat2_2_1_1_1" rangeCreator="" othersAccessPermission="edit"/>
    <arrUserId title="dat2_1_1_1_1_1" rangeCreator="" othersAccessPermission="edit"/>
    <arrUserId title="dat2_2_1_1_1_1" rangeCreator="" othersAccessPermission="edit"/>
    <arrUserId title="dat2_4" rangeCreator="" othersAccessPermission="edit"/>
    <arrUserId title="data1_19" rangeCreator="" othersAccessPermission="edit"/>
    <arrUserId title="data1_5_2" rangeCreator="" othersAccessPermission="edit"/>
    <arrUserId title="data1_1_5" rangeCreator="" othersAccessPermission="edit"/>
    <arrUserId title="data1_20" rangeCreator="" othersAccessPermission="edit"/>
    <arrUserId title="data1_14_3" rangeCreator="" othersAccessPermission="edit"/>
    <arrUserId title="data1_14_2_1" rangeCreator="" othersAccessPermission="edit"/>
    <arrUserId title="data1_15_2" rangeCreator="" othersAccessPermission="edit"/>
    <arrUserId title="data1_12_1_1_1_2" rangeCreator="" othersAccessPermission="edit"/>
    <arrUserId title="data1_5_1_1_1_1" rangeCreator="" othersAccessPermission="edit"/>
    <arrUserId title="data1_12_1_1_1_1_1" rangeCreator="" othersAccessPermission="edit"/>
    <arrUserId title="data1_17_1" rangeCreator="" othersAccessPermission="edit"/>
    <arrUserId title="data1_15_1_1" rangeCreator="" othersAccessPermission="edit"/>
    <arrUserId title="data1_12_1_2_1" rangeCreator="" othersAccessPermission="edit"/>
    <arrUserId title="data1_5_1_2_1" rangeCreator="" othersAccessPermission="edit"/>
    <arrUserId title="data1_12_1_1_2_1" rangeCreator="" othersAccessPermission="edit"/>
  </rangeList>
  <rangeList sheetStid="3" master="" otherUserPermission="visible"/>
  <rangeList sheetStid="13" master="" otherUserPermission="visible"/>
  <rangeList sheetStid="14" master="" otherUserPermission="visible">
    <arrUserId title="data1" rangeCreator="" othersAccessPermission="edit"/>
  </rangeList>
  <rangeList sheetStid="5" master="" otherUserPermission="visible"/>
  <rangeList sheetStid="6" master="" otherUserPermission="visible"/>
  <rangeList sheetStid="8" master="" otherUserPermission="visible"/>
  <rangeList sheetStid="7" master="" otherUserPermission="visible"/>
  <rangeList sheetStid="9" master="" otherUserPermission="visible"/>
  <rangeList sheetStid="10"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32</vt:i4>
      </vt:variant>
    </vt:vector>
  </HeadingPairs>
  <TitlesOfParts>
    <vt:vector size="44" baseType="lpstr">
      <vt:lpstr>总览 Overview</vt:lpstr>
      <vt:lpstr>规格书 Datasheet</vt:lpstr>
      <vt:lpstr>驱动系统原理图 TS Schematics</vt:lpstr>
      <vt:lpstr>电池箱 Accumulator</vt:lpstr>
      <vt:lpstr>备用电池箱 Spare Accumulator</vt:lpstr>
      <vt:lpstr>预充电放电 PrechargeDischarge</vt:lpstr>
      <vt:lpstr>充电 Charging</vt:lpstr>
      <vt:lpstr>扭矩指令 Torque Security</vt:lpstr>
      <vt:lpstr>安全系统 Shutdown circuit</vt:lpstr>
      <vt:lpstr>其他 Others</vt:lpstr>
      <vt:lpstr>接地 Grounding</vt:lpstr>
      <vt:lpstr>修订历史 Revision</vt:lpstr>
      <vt:lpstr>BattCellCapacity</vt:lpstr>
      <vt:lpstr>BattCellCapacity_BK</vt:lpstr>
      <vt:lpstr>BattCellMaxV</vt:lpstr>
      <vt:lpstr>BattCellMaxV_BK</vt:lpstr>
      <vt:lpstr>BattCellNomV</vt:lpstr>
      <vt:lpstr>BattCellNomV_BK</vt:lpstr>
      <vt:lpstr>BusCap</vt:lpstr>
      <vt:lpstr>CellsPerTempSensor</vt:lpstr>
      <vt:lpstr>CellsPerTempSensor_BK</vt:lpstr>
      <vt:lpstr>ConnectorNames</vt:lpstr>
      <vt:lpstr>ConnectorsTable</vt:lpstr>
      <vt:lpstr>ConnectorTable</vt:lpstr>
      <vt:lpstr>ContactorNames</vt:lpstr>
      <vt:lpstr>ContactorsTable</vt:lpstr>
      <vt:lpstr>DischargeRes</vt:lpstr>
      <vt:lpstr>FuseName</vt:lpstr>
      <vt:lpstr>FuseNames</vt:lpstr>
      <vt:lpstr>FuseNoiCur</vt:lpstr>
      <vt:lpstr>FuseNoiCur_BK</vt:lpstr>
      <vt:lpstr>FusesTable</vt:lpstr>
      <vt:lpstr>FuseTable</vt:lpstr>
      <vt:lpstr>InsulationNames</vt:lpstr>
      <vt:lpstr>InsulationsTable</vt:lpstr>
      <vt:lpstr>MaxTSVoltage</vt:lpstr>
      <vt:lpstr>MaxTSVoltage_BK</vt:lpstr>
      <vt:lpstr>NominalTSVoltage</vt:lpstr>
      <vt:lpstr>NominalTSVoltage_BK</vt:lpstr>
      <vt:lpstr>PrechargeRes</vt:lpstr>
      <vt:lpstr>ResistorsNames</vt:lpstr>
      <vt:lpstr>ResistorsTable</vt:lpstr>
      <vt:lpstr>TotalCells</vt:lpstr>
      <vt:lpstr>TotalCells_BK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YIKAI ZENG</dc:creator>
  <cp:lastModifiedBy>孟熙 高</cp:lastModifiedBy>
  <dcterms:created xsi:type="dcterms:W3CDTF">2015-06-05T18:19:00Z</dcterms:created>
  <dcterms:modified xsi:type="dcterms:W3CDTF">2026-08-20T09:06:53Z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68D7833EEAFB404687B8EB80541C4DE6_13</vt:lpwstr>
  </property>
  <property fmtid="{D5CDD505-2E9C-101B-9397-08002B2CF9AE}" pid="3" name="KSOProductBuildVer">
    <vt:lpwstr>2052-12.1.0.28043</vt:lpwstr>
  </property>
  <property fmtid="{D5CDD505-2E9C-101B-9397-08002B2CF9AE}" pid="4" name="CalculationRule">
    <vt:i4>0</vt:i4>
  </property>
</Properties>
</file>