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C1718DA-2320-4EB3-9AA1-B60089FA6A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4" i="1"/>
  <c r="D63" i="1"/>
  <c r="D58" i="1"/>
  <c r="D56" i="1"/>
  <c r="D55" i="1"/>
  <c r="D54" i="1"/>
  <c r="D49" i="1"/>
  <c r="R43" i="1"/>
  <c r="N35" i="1"/>
  <c r="P40" i="1"/>
  <c r="O40" i="1"/>
  <c r="N40" i="1"/>
  <c r="M40" i="1"/>
  <c r="L40" i="1"/>
  <c r="I40" i="1"/>
  <c r="H40" i="1"/>
  <c r="G40" i="1"/>
  <c r="L30" i="1"/>
  <c r="K30" i="1"/>
  <c r="J30" i="1"/>
  <c r="I30" i="1"/>
  <c r="K24" i="1"/>
  <c r="J24" i="1"/>
  <c r="K40" i="1"/>
  <c r="E14" i="1"/>
  <c r="B9" i="1"/>
  <c r="C40" i="1"/>
  <c r="E39" i="1"/>
  <c r="F39" i="1" s="1"/>
  <c r="D39" i="1"/>
  <c r="N39" i="1" s="1"/>
  <c r="E38" i="1"/>
  <c r="F38" i="1" s="1"/>
  <c r="D38" i="1"/>
  <c r="N38" i="1" s="1"/>
  <c r="E37" i="1"/>
  <c r="F37" i="1" s="1"/>
  <c r="D37" i="1"/>
  <c r="E36" i="1"/>
  <c r="F36" i="1" s="1"/>
  <c r="D36" i="1"/>
  <c r="N36" i="1" s="1"/>
  <c r="E35" i="1"/>
  <c r="F35" i="1" s="1"/>
  <c r="D35" i="1"/>
  <c r="B40" i="1"/>
  <c r="F27" i="1"/>
  <c r="F24" i="1"/>
  <c r="F25" i="1"/>
  <c r="F26" i="1"/>
  <c r="F23" i="1"/>
  <c r="C28" i="1"/>
  <c r="B28" i="1"/>
  <c r="E15" i="1"/>
  <c r="F15" i="1" s="1"/>
  <c r="E16" i="1"/>
  <c r="F16" i="1" s="1"/>
  <c r="E17" i="1"/>
  <c r="F17" i="1" s="1"/>
  <c r="E18" i="1"/>
  <c r="F18" i="1" s="1"/>
  <c r="F14" i="1"/>
  <c r="D15" i="1"/>
  <c r="D16" i="1"/>
  <c r="D17" i="1"/>
  <c r="D18" i="1"/>
  <c r="D14" i="1"/>
  <c r="C19" i="1"/>
  <c r="B19" i="1"/>
  <c r="E9" i="1"/>
  <c r="F9" i="1"/>
  <c r="G5" i="1"/>
  <c r="H5" i="1" s="1"/>
  <c r="G6" i="1"/>
  <c r="H6" i="1" s="1"/>
  <c r="G7" i="1"/>
  <c r="H7" i="1" s="1"/>
  <c r="G8" i="1"/>
  <c r="H8" i="1" s="1"/>
  <c r="G4" i="1"/>
  <c r="D5" i="1"/>
  <c r="D6" i="1"/>
  <c r="D7" i="1"/>
  <c r="D8" i="1"/>
  <c r="D4" i="1"/>
  <c r="C9" i="1"/>
  <c r="D40" i="1" l="1"/>
  <c r="F40" i="1"/>
  <c r="N37" i="1"/>
  <c r="J40" i="1"/>
  <c r="D9" i="1"/>
  <c r="D45" i="1" s="1"/>
  <c r="E40" i="1"/>
  <c r="D19" i="1"/>
  <c r="D66" i="1"/>
  <c r="G9" i="1"/>
  <c r="F28" i="1"/>
  <c r="F19" i="1"/>
  <c r="E19" i="1"/>
  <c r="H4" i="1"/>
  <c r="H9" i="1" s="1"/>
  <c r="D65" i="1" l="1"/>
  <c r="D46" i="1"/>
  <c r="D47" i="1" l="1"/>
  <c r="D51" i="1"/>
  <c r="D60" i="1" s="1"/>
  <c r="D52" i="1"/>
  <c r="D61" i="1" s="1"/>
  <c r="D50" i="1" l="1"/>
  <c r="D59" i="1" s="1"/>
  <c r="D53" i="1"/>
  <c r="D62" i="1" s="1"/>
</calcChain>
</file>

<file path=xl/sharedStrings.xml><?xml version="1.0" encoding="utf-8"?>
<sst xmlns="http://schemas.openxmlformats.org/spreadsheetml/2006/main" count="169" uniqueCount="71">
  <si>
    <t xml:space="preserve">Изделия </t>
  </si>
  <si>
    <t>А</t>
  </si>
  <si>
    <t>Б</t>
  </si>
  <si>
    <t>В</t>
  </si>
  <si>
    <t xml:space="preserve">Г </t>
  </si>
  <si>
    <t>Д</t>
  </si>
  <si>
    <t>Всего</t>
  </si>
  <si>
    <t>Цена</t>
  </si>
  <si>
    <t>Товарный выпуск</t>
  </si>
  <si>
    <t>к-во</t>
  </si>
  <si>
    <t>сумма</t>
  </si>
  <si>
    <t>Остатке на складе готовой продукции</t>
  </si>
  <si>
    <t>на нач. г.</t>
  </si>
  <si>
    <t>на кон. г.</t>
  </si>
  <si>
    <t>Реализованная продукция</t>
  </si>
  <si>
    <t>Кол-во</t>
  </si>
  <si>
    <t>Матер. Затраты</t>
  </si>
  <si>
    <t>на ед.</t>
  </si>
  <si>
    <t>на весь об.</t>
  </si>
  <si>
    <t>Расходы на электр.</t>
  </si>
  <si>
    <t>Труд.</t>
  </si>
  <si>
    <t>Фэф</t>
  </si>
  <si>
    <t>Ч</t>
  </si>
  <si>
    <t>Восп</t>
  </si>
  <si>
    <t>Инж</t>
  </si>
  <si>
    <t>ФЗП осн</t>
  </si>
  <si>
    <t>-</t>
  </si>
  <si>
    <t>Фот</t>
  </si>
  <si>
    <t>ЕСН</t>
  </si>
  <si>
    <t>Расх на об.</t>
  </si>
  <si>
    <t>Цех. Расх</t>
  </si>
  <si>
    <t>Общхоз. расх.</t>
  </si>
  <si>
    <t>Проч произв</t>
  </si>
  <si>
    <t>Внепроизв.</t>
  </si>
  <si>
    <t>№</t>
  </si>
  <si>
    <t>Показ</t>
  </si>
  <si>
    <t>ед изм</t>
  </si>
  <si>
    <t>Значение показателя</t>
  </si>
  <si>
    <t>в том числе рабочих</t>
  </si>
  <si>
    <t>Товарная продукция</t>
  </si>
  <si>
    <t>т.руб</t>
  </si>
  <si>
    <t>Себестоимость товарной продукции</t>
  </si>
  <si>
    <t>Себестоимость единицы продукции</t>
  </si>
  <si>
    <t>Затраты на рубль товарной продукции</t>
  </si>
  <si>
    <t>Себестоимость реализованной продукции</t>
  </si>
  <si>
    <t>Прибыль</t>
  </si>
  <si>
    <t>Рентабельность изделий</t>
  </si>
  <si>
    <t>%</t>
  </si>
  <si>
    <t>чел</t>
  </si>
  <si>
    <t>Численность ППП</t>
  </si>
  <si>
    <t>Фонд зароботной платы</t>
  </si>
  <si>
    <t>Производительность труда одного рабочего</t>
  </si>
  <si>
    <t>Среднегодовая зп одного рабочего</t>
  </si>
  <si>
    <t xml:space="preserve">Фондоотдача </t>
  </si>
  <si>
    <t>Фондоемкость</t>
  </si>
  <si>
    <t>Фондовооружонность</t>
  </si>
  <si>
    <t xml:space="preserve">Рентабельность основных фондов </t>
  </si>
  <si>
    <t>руб/чел</t>
  </si>
  <si>
    <t>руб</t>
  </si>
  <si>
    <t>Цех себест.</t>
  </si>
  <si>
    <t>Произв. Себ</t>
  </si>
  <si>
    <t>Полн себест</t>
  </si>
  <si>
    <t>7 варинат</t>
  </si>
  <si>
    <t>1 - Планирование производственной программы</t>
  </si>
  <si>
    <t>2 - Планирование материальных затрат</t>
  </si>
  <si>
    <t>3 - Планирование численности и фонда заработной платы</t>
  </si>
  <si>
    <t>4 - Планирование себестоимости продукции</t>
  </si>
  <si>
    <t>5 - Планирование финансовых средств предприятия</t>
  </si>
  <si>
    <t>Ср коэфф выработки</t>
  </si>
  <si>
    <t>Основные рабочие</t>
  </si>
  <si>
    <t>Вспомогательные рабочие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</si>
</sst>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42" zoomScale="117" zoomScaleNormal="85" workbookViewId="0">
      <selection activeCell="E69" sqref="E69"/>
    </sheetView>
  </sheetViews>
  <sheetFormatPr defaultRowHeight="14.4" x14ac:dyDescent="0.3"/>
  <cols>
    <col min="2" max="2" width="38.88671875" customWidth="1"/>
    <col min="4" max="4" width="20.88671875" customWidth="1"/>
    <col min="5" max="5" width="23.6640625" customWidth="1"/>
    <col min="8" max="8" width="17.21875" customWidth="1"/>
    <col min="9" max="9" width="17.77734375" bestFit="1" customWidth="1"/>
    <col min="10" max="10" width="16.33203125" customWidth="1"/>
    <col min="11" max="11" width="12" customWidth="1"/>
    <col min="12" max="12" width="12.6640625" customWidth="1"/>
    <col min="14" max="16" width="11" bestFit="1" customWidth="1"/>
    <col min="18" max="18" width="11.33203125" bestFit="1" customWidth="1"/>
  </cols>
  <sheetData>
    <row r="1" spans="1:8" x14ac:dyDescent="0.3">
      <c r="A1" t="s">
        <v>62</v>
      </c>
      <c r="B1" s="2" t="s">
        <v>63</v>
      </c>
      <c r="C1" s="2"/>
      <c r="D1" s="2"/>
      <c r="E1" s="2"/>
      <c r="F1" s="2"/>
      <c r="G1" s="2"/>
      <c r="H1" s="2"/>
    </row>
    <row r="2" spans="1:8" ht="28.8" customHeight="1" x14ac:dyDescent="0.3">
      <c r="A2" s="2" t="s">
        <v>0</v>
      </c>
      <c r="B2" s="2" t="s">
        <v>7</v>
      </c>
      <c r="C2" s="2" t="s">
        <v>8</v>
      </c>
      <c r="D2" s="2"/>
      <c r="E2" s="5" t="s">
        <v>11</v>
      </c>
      <c r="G2" s="2" t="s">
        <v>14</v>
      </c>
      <c r="H2" s="2"/>
    </row>
    <row r="3" spans="1:8" x14ac:dyDescent="0.3">
      <c r="A3" s="2"/>
      <c r="B3" s="2"/>
      <c r="C3" t="s">
        <v>9</v>
      </c>
      <c r="D3" t="s">
        <v>10</v>
      </c>
      <c r="E3" t="s">
        <v>12</v>
      </c>
      <c r="F3" t="s">
        <v>13</v>
      </c>
      <c r="G3" t="s">
        <v>9</v>
      </c>
      <c r="H3" t="s">
        <v>10</v>
      </c>
    </row>
    <row r="4" spans="1:8" x14ac:dyDescent="0.3">
      <c r="A4" t="s">
        <v>1</v>
      </c>
      <c r="B4" s="1">
        <v>15.5</v>
      </c>
      <c r="C4">
        <v>738</v>
      </c>
      <c r="D4">
        <f>B4*C4</f>
        <v>11439</v>
      </c>
      <c r="E4">
        <v>10</v>
      </c>
      <c r="F4">
        <v>8</v>
      </c>
      <c r="G4">
        <f>(C4+E4)-F4</f>
        <v>740</v>
      </c>
      <c r="H4">
        <f>B4*G4</f>
        <v>11470</v>
      </c>
    </row>
    <row r="5" spans="1:8" x14ac:dyDescent="0.3">
      <c r="A5" t="s">
        <v>2</v>
      </c>
      <c r="B5" s="1">
        <v>12.2</v>
      </c>
      <c r="C5">
        <v>660</v>
      </c>
      <c r="D5">
        <f t="shared" ref="D5:D8" si="0">B5*C5</f>
        <v>8051.9999999999991</v>
      </c>
      <c r="E5">
        <v>8</v>
      </c>
      <c r="F5">
        <v>6</v>
      </c>
      <c r="G5">
        <f t="shared" ref="G5:G8" si="1">(C5+E5)-F5</f>
        <v>662</v>
      </c>
      <c r="H5">
        <f t="shared" ref="H5:H8" si="2">B5*G5</f>
        <v>8076.4</v>
      </c>
    </row>
    <row r="6" spans="1:8" x14ac:dyDescent="0.3">
      <c r="A6" t="s">
        <v>3</v>
      </c>
      <c r="B6" s="1">
        <v>10.1</v>
      </c>
      <c r="C6">
        <v>270</v>
      </c>
      <c r="D6">
        <f t="shared" si="0"/>
        <v>2727</v>
      </c>
      <c r="E6">
        <v>5</v>
      </c>
      <c r="F6">
        <v>7</v>
      </c>
      <c r="G6">
        <f t="shared" si="1"/>
        <v>268</v>
      </c>
      <c r="H6">
        <f t="shared" si="2"/>
        <v>2706.7999999999997</v>
      </c>
    </row>
    <row r="7" spans="1:8" x14ac:dyDescent="0.3">
      <c r="A7" t="s">
        <v>4</v>
      </c>
      <c r="B7" s="1">
        <v>14.4</v>
      </c>
      <c r="C7">
        <v>953</v>
      </c>
      <c r="D7">
        <f t="shared" si="0"/>
        <v>13723.2</v>
      </c>
      <c r="E7">
        <v>20</v>
      </c>
      <c r="F7">
        <v>18</v>
      </c>
      <c r="G7">
        <f t="shared" si="1"/>
        <v>955</v>
      </c>
      <c r="H7">
        <f t="shared" si="2"/>
        <v>13752</v>
      </c>
    </row>
    <row r="8" spans="1:8" x14ac:dyDescent="0.3">
      <c r="A8" t="s">
        <v>5</v>
      </c>
      <c r="B8" s="1">
        <v>11</v>
      </c>
      <c r="C8">
        <v>126</v>
      </c>
      <c r="D8">
        <f t="shared" si="0"/>
        <v>1386</v>
      </c>
      <c r="E8">
        <v>3</v>
      </c>
      <c r="F8">
        <v>5</v>
      </c>
      <c r="G8">
        <f t="shared" si="1"/>
        <v>124</v>
      </c>
      <c r="H8">
        <f t="shared" si="2"/>
        <v>1364</v>
      </c>
    </row>
    <row r="9" spans="1:8" x14ac:dyDescent="0.3">
      <c r="A9" t="s">
        <v>6</v>
      </c>
      <c r="B9">
        <f>SUM(B4:B8)</f>
        <v>63.199999999999996</v>
      </c>
      <c r="C9">
        <f>SUM(C4:C8)</f>
        <v>2747</v>
      </c>
      <c r="D9">
        <f>SUM(D4:D8)</f>
        <v>37327.199999999997</v>
      </c>
      <c r="E9">
        <f t="shared" ref="E9:H9" si="3">SUM(E4:E8)</f>
        <v>46</v>
      </c>
      <c r="F9">
        <f t="shared" si="3"/>
        <v>44</v>
      </c>
      <c r="G9">
        <f t="shared" si="3"/>
        <v>2749</v>
      </c>
      <c r="H9">
        <f t="shared" si="3"/>
        <v>37369.199999999997</v>
      </c>
    </row>
    <row r="11" spans="1:8" x14ac:dyDescent="0.3">
      <c r="A11" s="2" t="s">
        <v>64</v>
      </c>
      <c r="B11" s="2"/>
      <c r="C11" s="2"/>
      <c r="D11" s="2"/>
      <c r="E11" s="2"/>
      <c r="F11" s="2"/>
    </row>
    <row r="12" spans="1:8" x14ac:dyDescent="0.3">
      <c r="A12" s="2" t="s">
        <v>0</v>
      </c>
      <c r="B12" s="2" t="s">
        <v>15</v>
      </c>
      <c r="C12" s="2" t="s">
        <v>16</v>
      </c>
      <c r="D12" s="2"/>
      <c r="E12" s="2" t="s">
        <v>19</v>
      </c>
      <c r="F12" s="2"/>
    </row>
    <row r="13" spans="1:8" x14ac:dyDescent="0.3">
      <c r="A13" s="2"/>
      <c r="B13" s="2"/>
      <c r="C13" t="s">
        <v>17</v>
      </c>
      <c r="D13" t="s">
        <v>18</v>
      </c>
      <c r="E13" t="s">
        <v>17</v>
      </c>
      <c r="F13" t="s">
        <v>18</v>
      </c>
    </row>
    <row r="14" spans="1:8" x14ac:dyDescent="0.3">
      <c r="A14" t="s">
        <v>1</v>
      </c>
      <c r="B14">
        <v>738</v>
      </c>
      <c r="C14">
        <v>365</v>
      </c>
      <c r="D14">
        <f>B14*C14</f>
        <v>269370</v>
      </c>
      <c r="E14">
        <f>C14*0.14</f>
        <v>51.1</v>
      </c>
      <c r="F14">
        <f>B14*E14</f>
        <v>37711.800000000003</v>
      </c>
    </row>
    <row r="15" spans="1:8" x14ac:dyDescent="0.3">
      <c r="A15" t="s">
        <v>2</v>
      </c>
      <c r="B15">
        <v>660</v>
      </c>
      <c r="C15">
        <v>250</v>
      </c>
      <c r="D15">
        <f t="shared" ref="D15:D18" si="4">B15*C15</f>
        <v>165000</v>
      </c>
      <c r="E15">
        <f t="shared" ref="E15:E18" si="5">C15*0.14</f>
        <v>35</v>
      </c>
      <c r="F15">
        <f t="shared" ref="F15:F18" si="6">B15*E15</f>
        <v>23100</v>
      </c>
    </row>
    <row r="16" spans="1:8" x14ac:dyDescent="0.3">
      <c r="A16" t="s">
        <v>3</v>
      </c>
      <c r="B16">
        <v>270</v>
      </c>
      <c r="C16">
        <v>228</v>
      </c>
      <c r="D16">
        <f t="shared" si="4"/>
        <v>61560</v>
      </c>
      <c r="E16">
        <f t="shared" si="5"/>
        <v>31.92</v>
      </c>
      <c r="F16">
        <f t="shared" si="6"/>
        <v>8618.4</v>
      </c>
    </row>
    <row r="17" spans="1:12" x14ac:dyDescent="0.3">
      <c r="A17" t="s">
        <v>4</v>
      </c>
      <c r="B17">
        <v>953</v>
      </c>
      <c r="C17">
        <v>348</v>
      </c>
      <c r="D17">
        <f t="shared" si="4"/>
        <v>331644</v>
      </c>
      <c r="E17">
        <f t="shared" si="5"/>
        <v>48.720000000000006</v>
      </c>
      <c r="F17">
        <f t="shared" si="6"/>
        <v>46430.16</v>
      </c>
    </row>
    <row r="18" spans="1:12" x14ac:dyDescent="0.3">
      <c r="A18" t="s">
        <v>5</v>
      </c>
      <c r="B18">
        <v>126</v>
      </c>
      <c r="C18">
        <v>493</v>
      </c>
      <c r="D18">
        <f t="shared" si="4"/>
        <v>62118</v>
      </c>
      <c r="E18">
        <f t="shared" si="5"/>
        <v>69.02000000000001</v>
      </c>
      <c r="F18">
        <f t="shared" si="6"/>
        <v>8696.52</v>
      </c>
    </row>
    <row r="19" spans="1:12" x14ac:dyDescent="0.3">
      <c r="A19" t="s">
        <v>6</v>
      </c>
      <c r="B19">
        <f>SUM(B14:B18)</f>
        <v>2747</v>
      </c>
      <c r="C19">
        <f>SUM(C14:C18)</f>
        <v>1684</v>
      </c>
      <c r="D19">
        <f>SUM(D14:D18)</f>
        <v>889692</v>
      </c>
      <c r="E19">
        <f>SUM(E14:E18)</f>
        <v>235.76000000000002</v>
      </c>
      <c r="F19">
        <f>SUM(F14:F18)</f>
        <v>124556.88</v>
      </c>
    </row>
    <row r="20" spans="1:12" x14ac:dyDescent="0.3">
      <c r="A20" s="2" t="s">
        <v>65</v>
      </c>
      <c r="B20" s="2"/>
      <c r="C20" s="2"/>
      <c r="D20" s="2"/>
      <c r="E20" s="2"/>
      <c r="F20" s="2"/>
    </row>
    <row r="21" spans="1:12" x14ac:dyDescent="0.3">
      <c r="A21" s="2" t="s">
        <v>0</v>
      </c>
      <c r="B21" s="2" t="s">
        <v>15</v>
      </c>
      <c r="C21" s="2" t="s">
        <v>20</v>
      </c>
      <c r="D21" s="2" t="s">
        <v>21</v>
      </c>
      <c r="E21" s="4" t="s">
        <v>68</v>
      </c>
      <c r="F21" s="2" t="s">
        <v>22</v>
      </c>
    </row>
    <row r="22" spans="1:12" x14ac:dyDescent="0.3">
      <c r="A22" s="2"/>
      <c r="B22" s="2"/>
      <c r="C22" s="2"/>
      <c r="D22" s="2"/>
      <c r="E22" s="4"/>
      <c r="F22" s="2"/>
    </row>
    <row r="23" spans="1:12" ht="28.8" x14ac:dyDescent="0.3">
      <c r="A23" t="s">
        <v>1</v>
      </c>
      <c r="B23" s="3">
        <v>738</v>
      </c>
      <c r="C23">
        <v>52</v>
      </c>
      <c r="D23">
        <v>1980</v>
      </c>
      <c r="E23">
        <v>1.18</v>
      </c>
      <c r="F23">
        <f>(B23*C23)/(D23*E23)</f>
        <v>16.42526964560863</v>
      </c>
      <c r="I23" t="s">
        <v>69</v>
      </c>
      <c r="J23" s="5" t="s">
        <v>70</v>
      </c>
      <c r="K23" t="s">
        <v>24</v>
      </c>
    </row>
    <row r="24" spans="1:12" x14ac:dyDescent="0.3">
      <c r="A24" t="s">
        <v>2</v>
      </c>
      <c r="B24" s="3">
        <v>660</v>
      </c>
      <c r="C24">
        <v>55</v>
      </c>
      <c r="D24">
        <v>1980</v>
      </c>
      <c r="E24">
        <v>1.18</v>
      </c>
      <c r="F24">
        <f t="shared" ref="F24:F26" si="7">(B24*C24)/(D24*E24)</f>
        <v>15.536723163841808</v>
      </c>
      <c r="I24">
        <v>64</v>
      </c>
      <c r="J24">
        <f>I24*0.1</f>
        <v>6.4</v>
      </c>
      <c r="K24" s="1">
        <f>(I24+J25)*0.08</f>
        <v>5.6000000000000005</v>
      </c>
    </row>
    <row r="25" spans="1:12" x14ac:dyDescent="0.3">
      <c r="A25" t="s">
        <v>3</v>
      </c>
      <c r="B25" s="3">
        <v>270</v>
      </c>
      <c r="C25">
        <v>65</v>
      </c>
      <c r="D25">
        <v>1980</v>
      </c>
      <c r="E25">
        <v>1.18</v>
      </c>
      <c r="F25">
        <f t="shared" si="7"/>
        <v>7.5115562403697993</v>
      </c>
      <c r="J25">
        <v>6</v>
      </c>
      <c r="K25">
        <v>6</v>
      </c>
    </row>
    <row r="26" spans="1:12" x14ac:dyDescent="0.3">
      <c r="A26" t="s">
        <v>4</v>
      </c>
      <c r="B26" s="3">
        <v>953</v>
      </c>
      <c r="C26">
        <v>50</v>
      </c>
      <c r="D26">
        <v>1980</v>
      </c>
      <c r="E26">
        <v>1.18</v>
      </c>
      <c r="F26">
        <f t="shared" si="7"/>
        <v>20.394624208183529</v>
      </c>
    </row>
    <row r="27" spans="1:12" x14ac:dyDescent="0.3">
      <c r="A27" t="s">
        <v>5</v>
      </c>
      <c r="B27" s="3">
        <v>126</v>
      </c>
      <c r="C27">
        <v>70</v>
      </c>
      <c r="D27">
        <v>1980</v>
      </c>
      <c r="E27">
        <v>1.18</v>
      </c>
      <c r="F27">
        <f>(B27*C27)/(D27*E27)</f>
        <v>3.7750385208012327</v>
      </c>
    </row>
    <row r="28" spans="1:12" x14ac:dyDescent="0.3">
      <c r="A28" t="s">
        <v>6</v>
      </c>
      <c r="B28">
        <f>SUM(B23:B27)</f>
        <v>2747</v>
      </c>
      <c r="C28">
        <f>SUM(C23:C27)</f>
        <v>292</v>
      </c>
      <c r="F28">
        <f t="shared" ref="F28" si="8">SUM(F23:F27)</f>
        <v>63.643211778804996</v>
      </c>
    </row>
    <row r="29" spans="1:12" x14ac:dyDescent="0.3">
      <c r="I29" t="s">
        <v>25</v>
      </c>
      <c r="J29" t="s">
        <v>23</v>
      </c>
    </row>
    <row r="30" spans="1:12" x14ac:dyDescent="0.3">
      <c r="I30">
        <f>I24*D23*70</f>
        <v>8870400</v>
      </c>
      <c r="J30">
        <f>J25*D23*55</f>
        <v>653400</v>
      </c>
      <c r="K30">
        <f>K25*7500*12</f>
        <v>540000</v>
      </c>
      <c r="L30">
        <f>SUM(I30:K30)</f>
        <v>10063800</v>
      </c>
    </row>
    <row r="32" spans="1:12" x14ac:dyDescent="0.3">
      <c r="A32" s="2" t="s">
        <v>66</v>
      </c>
      <c r="B32" s="2"/>
      <c r="C32" s="2"/>
      <c r="D32" s="2"/>
      <c r="E32" s="2"/>
      <c r="F32" s="2"/>
    </row>
    <row r="33" spans="1:18" x14ac:dyDescent="0.3">
      <c r="A33" s="2" t="s">
        <v>0</v>
      </c>
      <c r="B33" s="2" t="s">
        <v>15</v>
      </c>
      <c r="C33" s="2" t="s">
        <v>16</v>
      </c>
      <c r="D33" s="2"/>
      <c r="E33" s="2" t="s">
        <v>19</v>
      </c>
      <c r="F33" s="2"/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31</v>
      </c>
      <c r="L33" s="2" t="s">
        <v>32</v>
      </c>
      <c r="M33" s="2" t="s">
        <v>33</v>
      </c>
      <c r="N33" s="2" t="s">
        <v>59</v>
      </c>
      <c r="O33" s="2" t="s">
        <v>60</v>
      </c>
      <c r="P33" s="2" t="s">
        <v>61</v>
      </c>
    </row>
    <row r="34" spans="1:18" x14ac:dyDescent="0.3">
      <c r="A34" s="2"/>
      <c r="B34" s="2"/>
      <c r="C34" t="s">
        <v>17</v>
      </c>
      <c r="D34" t="s">
        <v>18</v>
      </c>
      <c r="E34" t="s">
        <v>17</v>
      </c>
      <c r="F34" t="s">
        <v>18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8" x14ac:dyDescent="0.3">
      <c r="A35" t="s">
        <v>1</v>
      </c>
      <c r="B35" s="3">
        <v>738</v>
      </c>
      <c r="C35">
        <v>365</v>
      </c>
      <c r="D35">
        <f>B35*C35</f>
        <v>269370</v>
      </c>
      <c r="E35">
        <f>C35*0.14</f>
        <v>51.1</v>
      </c>
      <c r="F35">
        <f>B35*E35</f>
        <v>37711.800000000003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N35">
        <f>D35+F35</f>
        <v>307081.8</v>
      </c>
    </row>
    <row r="36" spans="1:18" x14ac:dyDescent="0.3">
      <c r="A36" t="s">
        <v>2</v>
      </c>
      <c r="B36" s="3">
        <v>660</v>
      </c>
      <c r="C36">
        <v>250</v>
      </c>
      <c r="D36">
        <f t="shared" ref="D36:D39" si="9">B36*C36</f>
        <v>165000</v>
      </c>
      <c r="E36">
        <f t="shared" ref="E36:E39" si="10">C36*0.14</f>
        <v>35</v>
      </c>
      <c r="F36">
        <f t="shared" ref="F36:F39" si="11">B36*E36</f>
        <v>23100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N36">
        <f>D36+F36</f>
        <v>188100</v>
      </c>
    </row>
    <row r="37" spans="1:18" x14ac:dyDescent="0.3">
      <c r="A37" t="s">
        <v>3</v>
      </c>
      <c r="B37" s="3">
        <v>270</v>
      </c>
      <c r="C37">
        <v>228</v>
      </c>
      <c r="D37">
        <f t="shared" si="9"/>
        <v>61560</v>
      </c>
      <c r="E37">
        <f t="shared" si="10"/>
        <v>31.92</v>
      </c>
      <c r="F37">
        <f t="shared" si="11"/>
        <v>8618.4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N37">
        <f>D37+F37</f>
        <v>70178.399999999994</v>
      </c>
    </row>
    <row r="38" spans="1:18" x14ac:dyDescent="0.3">
      <c r="A38" t="s">
        <v>4</v>
      </c>
      <c r="B38" s="3">
        <v>953</v>
      </c>
      <c r="C38">
        <v>348</v>
      </c>
      <c r="D38">
        <f t="shared" si="9"/>
        <v>331644</v>
      </c>
      <c r="E38">
        <f t="shared" si="10"/>
        <v>48.720000000000006</v>
      </c>
      <c r="F38">
        <f t="shared" si="11"/>
        <v>46430.16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N38">
        <f>D38+F38</f>
        <v>378074.16000000003</v>
      </c>
    </row>
    <row r="39" spans="1:18" x14ac:dyDescent="0.3">
      <c r="A39" t="s">
        <v>5</v>
      </c>
      <c r="B39" s="3">
        <v>126</v>
      </c>
      <c r="C39">
        <v>493</v>
      </c>
      <c r="D39">
        <f t="shared" si="9"/>
        <v>62118</v>
      </c>
      <c r="E39">
        <f t="shared" si="10"/>
        <v>69.02000000000001</v>
      </c>
      <c r="F39">
        <f t="shared" si="11"/>
        <v>8696.52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N39">
        <f>D39+F39</f>
        <v>70814.52</v>
      </c>
    </row>
    <row r="40" spans="1:18" x14ac:dyDescent="0.3">
      <c r="A40" t="s">
        <v>6</v>
      </c>
      <c r="B40">
        <f>SUM(B35:B39)</f>
        <v>2747</v>
      </c>
      <c r="C40">
        <f t="shared" ref="C40:F40" si="12">SUM(C35:C39)</f>
        <v>1684</v>
      </c>
      <c r="D40">
        <f t="shared" si="12"/>
        <v>889692</v>
      </c>
      <c r="E40">
        <f t="shared" si="12"/>
        <v>235.76000000000002</v>
      </c>
      <c r="F40">
        <f t="shared" si="12"/>
        <v>124556.88</v>
      </c>
      <c r="G40">
        <f>L30</f>
        <v>10063800</v>
      </c>
      <c r="H40">
        <f>0.3*G40</f>
        <v>3019140</v>
      </c>
      <c r="I40">
        <f>0.32*I30</f>
        <v>2838528</v>
      </c>
      <c r="J40">
        <f>I30*0.78</f>
        <v>6918912</v>
      </c>
      <c r="K40">
        <f>I30*0.65</f>
        <v>5765760</v>
      </c>
      <c r="L40">
        <f>11250000*0.108</f>
        <v>1215000</v>
      </c>
      <c r="M40">
        <f>0.02*(J40+K40+L40)</f>
        <v>277993.44</v>
      </c>
      <c r="N40">
        <f>D40+F40+$G$40+$H$40+$I$40+$J$40</f>
        <v>23854628.880000003</v>
      </c>
      <c r="O40">
        <f>N40+$K$40+$L$40</f>
        <v>30835388.880000003</v>
      </c>
      <c r="P40">
        <f>O40+$M$40</f>
        <v>31113382.320000004</v>
      </c>
    </row>
    <row r="42" spans="1:18" x14ac:dyDescent="0.3">
      <c r="A42" s="2" t="s">
        <v>67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8" x14ac:dyDescent="0.3">
      <c r="R43">
        <f>P40-D40-F40</f>
        <v>30099133.440000005</v>
      </c>
    </row>
    <row r="44" spans="1:18" x14ac:dyDescent="0.3">
      <c r="A44" t="s">
        <v>34</v>
      </c>
      <c r="B44" t="s">
        <v>35</v>
      </c>
      <c r="C44" t="s">
        <v>36</v>
      </c>
      <c r="D44" t="s">
        <v>37</v>
      </c>
    </row>
    <row r="45" spans="1:18" x14ac:dyDescent="0.3">
      <c r="A45">
        <v>1</v>
      </c>
      <c r="B45" t="s">
        <v>39</v>
      </c>
      <c r="C45" t="s">
        <v>40</v>
      </c>
      <c r="D45">
        <f>D9</f>
        <v>37327.199999999997</v>
      </c>
    </row>
    <row r="46" spans="1:18" x14ac:dyDescent="0.3">
      <c r="A46">
        <v>2</v>
      </c>
      <c r="B46" t="s">
        <v>14</v>
      </c>
      <c r="C46" t="s">
        <v>40</v>
      </c>
      <c r="D46">
        <f>H9</f>
        <v>37369.199999999997</v>
      </c>
    </row>
    <row r="47" spans="1:18" x14ac:dyDescent="0.3">
      <c r="A47">
        <v>3</v>
      </c>
      <c r="B47" t="s">
        <v>41</v>
      </c>
      <c r="C47" t="s">
        <v>40</v>
      </c>
      <c r="D47">
        <f>P40</f>
        <v>31113382.320000004</v>
      </c>
    </row>
    <row r="48" spans="1:18" x14ac:dyDescent="0.3">
      <c r="A48">
        <v>4</v>
      </c>
      <c r="B48" t="s">
        <v>42</v>
      </c>
      <c r="C48" t="s">
        <v>40</v>
      </c>
      <c r="D48" t="s">
        <v>26</v>
      </c>
    </row>
    <row r="49" spans="1:4" x14ac:dyDescent="0.3">
      <c r="B49" t="s">
        <v>1</v>
      </c>
      <c r="C49" t="s">
        <v>40</v>
      </c>
      <c r="D49" s="1">
        <f>(N35/C4)+($R$43/$C$9)</f>
        <v>11373.192624681473</v>
      </c>
    </row>
    <row r="50" spans="1:4" x14ac:dyDescent="0.3">
      <c r="B50" t="s">
        <v>2</v>
      </c>
      <c r="C50" t="s">
        <v>40</v>
      </c>
      <c r="D50" s="1">
        <f t="shared" ref="D50:D53" si="13">(N36/C5)+($R$43/$C$9)</f>
        <v>11242.092624681472</v>
      </c>
    </row>
    <row r="51" spans="1:4" x14ac:dyDescent="0.3">
      <c r="B51" t="s">
        <v>3</v>
      </c>
      <c r="C51" t="s">
        <v>40</v>
      </c>
      <c r="D51" s="1">
        <f t="shared" si="13"/>
        <v>11217.012624681473</v>
      </c>
    </row>
    <row r="52" spans="1:4" x14ac:dyDescent="0.3">
      <c r="B52" t="s">
        <v>4</v>
      </c>
      <c r="C52" t="s">
        <v>40</v>
      </c>
      <c r="D52" s="1">
        <f t="shared" si="13"/>
        <v>11353.812624681472</v>
      </c>
    </row>
    <row r="53" spans="1:4" x14ac:dyDescent="0.3">
      <c r="B53" t="s">
        <v>5</v>
      </c>
      <c r="C53" t="s">
        <v>40</v>
      </c>
      <c r="D53" s="1">
        <f t="shared" si="13"/>
        <v>11519.112624681473</v>
      </c>
    </row>
    <row r="54" spans="1:4" x14ac:dyDescent="0.3">
      <c r="A54">
        <v>5</v>
      </c>
      <c r="B54" t="s">
        <v>43</v>
      </c>
      <c r="C54" t="s">
        <v>58</v>
      </c>
      <c r="D54">
        <f>P40/(D9*1000)</f>
        <v>0.83353110653893148</v>
      </c>
    </row>
    <row r="55" spans="1:4" x14ac:dyDescent="0.3">
      <c r="A55">
        <v>6</v>
      </c>
      <c r="B55" t="s">
        <v>44</v>
      </c>
      <c r="C55" t="s">
        <v>40</v>
      </c>
      <c r="D55" s="1">
        <f>D54*D46</f>
        <v>31148.390626474637</v>
      </c>
    </row>
    <row r="56" spans="1:4" x14ac:dyDescent="0.3">
      <c r="A56">
        <v>7</v>
      </c>
      <c r="B56" t="s">
        <v>45</v>
      </c>
      <c r="C56" t="s">
        <v>40</v>
      </c>
      <c r="D56">
        <f>((B4*1000)-D49)*G4+((B5*1000)-D50)*G5+((B6*1000)-D51)*G6+((B7*1000)-D52)*G7+((B8*1000)-D53)*G8</f>
        <v>6233351.7347506331</v>
      </c>
    </row>
    <row r="57" spans="1:4" x14ac:dyDescent="0.3">
      <c r="A57">
        <v>8</v>
      </c>
      <c r="B57" t="s">
        <v>46</v>
      </c>
      <c r="C57" t="s">
        <v>47</v>
      </c>
    </row>
    <row r="58" spans="1:4" x14ac:dyDescent="0.3">
      <c r="B58" t="s">
        <v>1</v>
      </c>
      <c r="C58" t="s">
        <v>47</v>
      </c>
      <c r="D58">
        <f>(((B4*1000)-D49)/D49)*100</f>
        <v>36.285390668252276</v>
      </c>
    </row>
    <row r="59" spans="1:4" x14ac:dyDescent="0.3">
      <c r="B59" t="s">
        <v>2</v>
      </c>
      <c r="C59" t="s">
        <v>47</v>
      </c>
      <c r="D59">
        <f t="shared" ref="D59:D62" si="14">(((B5*1000)-D50)/D50)*100</f>
        <v>8.5207212509127359</v>
      </c>
    </row>
    <row r="60" spans="1:4" x14ac:dyDescent="0.3">
      <c r="B60" t="s">
        <v>3</v>
      </c>
      <c r="C60" t="s">
        <v>47</v>
      </c>
      <c r="D60">
        <f t="shared" si="14"/>
        <v>-9.9582006551694686</v>
      </c>
    </row>
    <row r="61" spans="1:4" x14ac:dyDescent="0.3">
      <c r="B61" t="s">
        <v>4</v>
      </c>
      <c r="C61" t="s">
        <v>47</v>
      </c>
      <c r="D61">
        <f t="shared" si="14"/>
        <v>26.829642834659591</v>
      </c>
    </row>
    <row r="62" spans="1:4" x14ac:dyDescent="0.3">
      <c r="B62" t="s">
        <v>5</v>
      </c>
      <c r="C62" t="s">
        <v>47</v>
      </c>
      <c r="D62">
        <f t="shared" si="14"/>
        <v>-4.5065331123613994</v>
      </c>
    </row>
    <row r="63" spans="1:4" x14ac:dyDescent="0.3">
      <c r="A63">
        <v>9</v>
      </c>
      <c r="B63" t="s">
        <v>49</v>
      </c>
      <c r="C63" t="s">
        <v>48</v>
      </c>
      <c r="D63">
        <f>I24+J25+K25</f>
        <v>76</v>
      </c>
    </row>
    <row r="64" spans="1:4" x14ac:dyDescent="0.3">
      <c r="B64" t="s">
        <v>38</v>
      </c>
      <c r="C64" t="s">
        <v>48</v>
      </c>
      <c r="D64">
        <f>I24</f>
        <v>64</v>
      </c>
    </row>
    <row r="65" spans="1:4" x14ac:dyDescent="0.3">
      <c r="A65">
        <v>10</v>
      </c>
      <c r="B65" t="s">
        <v>50</v>
      </c>
      <c r="C65" t="s">
        <v>40</v>
      </c>
      <c r="D65">
        <f>L30</f>
        <v>10063800</v>
      </c>
    </row>
    <row r="66" spans="1:4" x14ac:dyDescent="0.3">
      <c r="B66" t="s">
        <v>38</v>
      </c>
      <c r="C66" t="s">
        <v>40</v>
      </c>
      <c r="D66">
        <f>I30</f>
        <v>8870400</v>
      </c>
    </row>
    <row r="67" spans="1:4" x14ac:dyDescent="0.3">
      <c r="A67">
        <v>11</v>
      </c>
      <c r="B67" t="s">
        <v>51</v>
      </c>
      <c r="C67" t="s">
        <v>40</v>
      </c>
      <c r="D67">
        <f>H9/I24</f>
        <v>583.89374999999995</v>
      </c>
    </row>
    <row r="68" spans="1:4" x14ac:dyDescent="0.3">
      <c r="A68">
        <v>12</v>
      </c>
      <c r="B68" t="s">
        <v>52</v>
      </c>
      <c r="C68" t="s">
        <v>40</v>
      </c>
      <c r="D68">
        <f>I30/I24</f>
        <v>138600</v>
      </c>
    </row>
    <row r="69" spans="1:4" x14ac:dyDescent="0.3">
      <c r="A69">
        <v>13</v>
      </c>
      <c r="B69" t="s">
        <v>53</v>
      </c>
      <c r="C69" t="s">
        <v>58</v>
      </c>
      <c r="D69">
        <f>H9/11250</f>
        <v>3.3217066666666666</v>
      </c>
    </row>
    <row r="70" spans="1:4" x14ac:dyDescent="0.3">
      <c r="A70">
        <v>14</v>
      </c>
      <c r="B70" t="s">
        <v>54</v>
      </c>
      <c r="C70" t="s">
        <v>58</v>
      </c>
      <c r="D70">
        <f>1/D69</f>
        <v>0.30105006261841305</v>
      </c>
    </row>
    <row r="71" spans="1:4" x14ac:dyDescent="0.3">
      <c r="A71">
        <v>15</v>
      </c>
      <c r="B71" t="s">
        <v>55</v>
      </c>
      <c r="C71" t="s">
        <v>57</v>
      </c>
      <c r="D71">
        <f>11250/I24</f>
        <v>175.78125</v>
      </c>
    </row>
    <row r="72" spans="1:4" x14ac:dyDescent="0.3">
      <c r="A72">
        <v>16</v>
      </c>
      <c r="B72" t="s">
        <v>56</v>
      </c>
      <c r="C72" t="s">
        <v>47</v>
      </c>
      <c r="D72">
        <f>D56/11250000</f>
        <v>0.55407570975561182</v>
      </c>
    </row>
  </sheetData>
  <mergeCells count="33">
    <mergeCell ref="A42:N42"/>
    <mergeCell ref="N33:N34"/>
    <mergeCell ref="O33:O34"/>
    <mergeCell ref="P33:P34"/>
    <mergeCell ref="H33:H34"/>
    <mergeCell ref="I33:I34"/>
    <mergeCell ref="J33:J34"/>
    <mergeCell ref="K33:K34"/>
    <mergeCell ref="L33:L34"/>
    <mergeCell ref="M33:M34"/>
    <mergeCell ref="G33:G34"/>
    <mergeCell ref="C12:D12"/>
    <mergeCell ref="A32:F32"/>
    <mergeCell ref="A33:A34"/>
    <mergeCell ref="B33:B34"/>
    <mergeCell ref="C33:D33"/>
    <mergeCell ref="E33:F33"/>
    <mergeCell ref="E12:F12"/>
    <mergeCell ref="B1:H1"/>
    <mergeCell ref="A21:A22"/>
    <mergeCell ref="B21:B22"/>
    <mergeCell ref="C21:C22"/>
    <mergeCell ref="D21:D22"/>
    <mergeCell ref="E21:E22"/>
    <mergeCell ref="F21:F22"/>
    <mergeCell ref="A20:F20"/>
    <mergeCell ref="A11:F11"/>
    <mergeCell ref="A2:A3"/>
    <mergeCell ref="B2:B3"/>
    <mergeCell ref="C2:D2"/>
    <mergeCell ref="G2:H2"/>
    <mergeCell ref="A12:A13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2024-12-06T11:03:56Z</dcterms:modified>
</cp:coreProperties>
</file>