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анные" sheetId="1" r:id="rId4"/>
    <sheet state="visible" name="Сводная таблица по качественном" sheetId="2" r:id="rId5"/>
    <sheet state="visible" name="Сводные таблица по количетвен" sheetId="3" r:id="rId6"/>
    <sheet state="visible" name="лр4" sheetId="4" r:id="rId7"/>
    <sheet state="visible" name="лр3" sheetId="5" r:id="rId8"/>
    <sheet state="visible" name="лр5" sheetId="6" r:id="rId9"/>
  </sheets>
  <definedNames/>
  <calcPr/>
  <pivotCaches>
    <pivotCache cacheId="0" r:id="rId10"/>
    <pivotCache cacheId="1" r:id="rId11"/>
    <pivotCache cacheId="2" r:id="rId12"/>
    <pivotCache cacheId="3" r:id="rId13"/>
  </pivotCaches>
</workbook>
</file>

<file path=xl/sharedStrings.xml><?xml version="1.0" encoding="utf-8"?>
<sst xmlns="http://schemas.openxmlformats.org/spreadsheetml/2006/main" count="215" uniqueCount="95">
  <si>
    <t>Легенда</t>
  </si>
  <si>
    <t>Win rate %</t>
  </si>
  <si>
    <t>Pick rate %</t>
  </si>
  <si>
    <t>Total games</t>
  </si>
  <si>
    <t>Level</t>
  </si>
  <si>
    <t>Rank</t>
  </si>
  <si>
    <t>Conduit</t>
  </si>
  <si>
    <t xml:space="preserve">Bronze3 </t>
  </si>
  <si>
    <t>Horizon</t>
  </si>
  <si>
    <t>Gold3</t>
  </si>
  <si>
    <t>Bangalore</t>
  </si>
  <si>
    <t>Silver2</t>
  </si>
  <si>
    <t>Revenant</t>
  </si>
  <si>
    <t>Silver4</t>
  </si>
  <si>
    <t>Pathfinder</t>
  </si>
  <si>
    <t>Gold4</t>
  </si>
  <si>
    <t>Loba</t>
  </si>
  <si>
    <t>Bronze2</t>
  </si>
  <si>
    <t>Bloodhound</t>
  </si>
  <si>
    <t>Rookie1</t>
  </si>
  <si>
    <t>Catalyst</t>
  </si>
  <si>
    <t>Diamond2</t>
  </si>
  <si>
    <t>Wraith</t>
  </si>
  <si>
    <t>Lifeline</t>
  </si>
  <si>
    <t>Octane</t>
  </si>
  <si>
    <t>Rampart</t>
  </si>
  <si>
    <t>Crypto</t>
  </si>
  <si>
    <t>Newcastle</t>
  </si>
  <si>
    <t>Mad Maggie</t>
  </si>
  <si>
    <t>Wattson</t>
  </si>
  <si>
    <t>Valkyrie</t>
  </si>
  <si>
    <t>Gibraltar</t>
  </si>
  <si>
    <t>Fuse</t>
  </si>
  <si>
    <t>Ash</t>
  </si>
  <si>
    <t>Vantage</t>
  </si>
  <si>
    <t>Mirage</t>
  </si>
  <si>
    <t>Caustic</t>
  </si>
  <si>
    <t>Ballistic</t>
  </si>
  <si>
    <t>Seer</t>
  </si>
  <si>
    <t>Максимум по полю Total games</t>
  </si>
  <si>
    <t>Итого</t>
  </si>
  <si>
    <t>Максимум по полю Level</t>
  </si>
  <si>
    <t>Максимум по полю Win rate %</t>
  </si>
  <si>
    <t>Группа данных "Pick rate %"</t>
  </si>
  <si>
    <t>0 - 4</t>
  </si>
  <si>
    <t>4 - 8</t>
  </si>
  <si>
    <t>8 - 12</t>
  </si>
  <si>
    <t>12 - 16</t>
  </si>
  <si>
    <t>16 - 20</t>
  </si>
  <si>
    <t>20 - 20,1</t>
  </si>
  <si>
    <t>Группа данных "Level"</t>
  </si>
  <si>
    <t>Минимум по полю Win rate %</t>
  </si>
  <si>
    <t>100 - 199</t>
  </si>
  <si>
    <t>300 - 399</t>
  </si>
  <si>
    <t>400 - 499</t>
  </si>
  <si>
    <t>500 - 530</t>
  </si>
  <si>
    <t>Группа данных "Win rate %"</t>
  </si>
  <si>
    <t>Максимум по полю Pick rate %</t>
  </si>
  <si>
    <t>&gt; 0,86</t>
  </si>
  <si>
    <t>№</t>
  </si>
  <si>
    <t>Pick</t>
  </si>
  <si>
    <t>Win</t>
  </si>
  <si>
    <t>Корреляция</t>
  </si>
  <si>
    <t>Детерминация</t>
  </si>
  <si>
    <t>xi</t>
  </si>
  <si>
    <t>(xi-x)2</t>
  </si>
  <si>
    <t>сумма</t>
  </si>
  <si>
    <t>Сумма</t>
  </si>
  <si>
    <t>кол-во</t>
  </si>
  <si>
    <t>Кол-во</t>
  </si>
  <si>
    <t>Дисперсия гр</t>
  </si>
  <si>
    <t>дисперсия меж гр</t>
  </si>
  <si>
    <t>Дисперсия вн гр</t>
  </si>
  <si>
    <t>Правила сложения</t>
  </si>
  <si>
    <t>сумма ГЛ</t>
  </si>
  <si>
    <t>n</t>
  </si>
  <si>
    <t>x общ</t>
  </si>
  <si>
    <t>Dобщ</t>
  </si>
  <si>
    <t>&lt;0.5 =&gt; ВЗАИМОСВЯЗИ НЕТ</t>
  </si>
  <si>
    <t>Абс прирос т</t>
  </si>
  <si>
    <t>Темпы роста,%</t>
  </si>
  <si>
    <t>Темпы прироста,%</t>
  </si>
  <si>
    <t>T</t>
  </si>
  <si>
    <t>Y</t>
  </si>
  <si>
    <t>Базисные</t>
  </si>
  <si>
    <t>Цепные</t>
  </si>
  <si>
    <t>январь</t>
  </si>
  <si>
    <t>-</t>
  </si>
  <si>
    <t>февраль</t>
  </si>
  <si>
    <t>март</t>
  </si>
  <si>
    <t>апрель</t>
  </si>
  <si>
    <t>Среднее</t>
  </si>
  <si>
    <t>средний абсолютный прирост</t>
  </si>
  <si>
    <t>средний темп роста</t>
  </si>
  <si>
    <t>средний темп прироста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</si>
</sst>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BE4D5"/>
        <bgColor rgb="FFFBE4D5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1" numFmtId="0" xfId="0" applyBorder="1" applyFont="1"/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0" fontId="2" numFmtId="2" xfId="0" applyAlignment="1" applyBorder="1" applyFont="1" applyNumberFormat="1">
      <alignment shrinkToFit="0" wrapText="1"/>
    </xf>
    <xf borderId="0" fillId="0" fontId="2" numFmtId="0" xfId="0" applyFont="1"/>
    <xf borderId="1" fillId="0" fontId="2" numFmtId="0" xfId="0" applyBorder="1" applyFont="1"/>
    <xf borderId="0" fillId="0" fontId="3" numFmtId="0" xfId="0" applyFont="1"/>
    <xf borderId="0" fillId="0" fontId="2" numFmtId="0" xfId="0" applyAlignment="1" applyFont="1">
      <alignment horizontal="left"/>
    </xf>
    <xf borderId="0" fillId="0" fontId="2" numFmtId="1" xfId="0" applyFont="1" applyNumberFormat="1"/>
    <xf borderId="0" fillId="0" fontId="2" numFmtId="2" xfId="0" applyFont="1" applyNumberFormat="1"/>
    <xf borderId="0" fillId="0" fontId="2" numFmtId="10" xfId="0" applyAlignment="1" applyFont="1" applyNumberFormat="1">
      <alignment horizontal="left"/>
    </xf>
    <xf borderId="1" fillId="0" fontId="2" numFmtId="2" xfId="0" applyBorder="1" applyFont="1" applyNumberFormat="1"/>
    <xf borderId="1" fillId="3" fontId="2" numFmtId="2" xfId="0" applyBorder="1" applyFill="1" applyFont="1" applyNumberFormat="1"/>
    <xf borderId="2" fillId="4" fontId="2" numFmtId="0" xfId="0" applyBorder="1" applyFill="1" applyFont="1"/>
    <xf borderId="3" fillId="0" fontId="2" numFmtId="0" xfId="0" applyAlignment="1" applyBorder="1" applyFont="1">
      <alignment horizontal="center"/>
    </xf>
    <xf borderId="4" fillId="0" fontId="4" numFmtId="0" xfId="0" applyBorder="1" applyFont="1"/>
    <xf borderId="1" fillId="0" fontId="2" numFmtId="9" xfId="0" applyBorder="1" applyFont="1" applyNumberFormat="1"/>
    <xf borderId="1" fillId="0" fontId="2" numFmtId="10" xfId="0" applyBorder="1" applyFont="1" applyNumberFormat="1"/>
    <xf borderId="1" fillId="0" fontId="2" numFmtId="0" xfId="0" applyAlignment="1" applyBorder="1" applyFont="1">
      <alignment readingOrder="0"/>
    </xf>
    <xf borderId="1" fillId="5" fontId="2" numFmtId="0" xfId="0" applyAlignment="1" applyBorder="1" applyFill="1" applyFont="1">
      <alignment horizontal="center" vertical="center"/>
    </xf>
    <xf borderId="1" fillId="5" fontId="2" numFmtId="2" xfId="0" applyBorder="1" applyFont="1" applyNumberFormat="1"/>
    <xf borderId="1" fillId="5" fontId="2" numFmtId="0" xfId="0" applyAlignment="1" applyBorder="1" applyFont="1">
      <alignment horizontal="center" shrinkToFit="0" vertical="center" wrapText="1"/>
    </xf>
    <xf borderId="1" fillId="5" fontId="2" numFmtId="2" xfId="0" applyAlignment="1" applyBorder="1" applyFont="1" applyNumberFormat="1">
      <alignment horizontal="right"/>
    </xf>
    <xf borderId="1" fillId="5" fontId="2" numFmtId="9" xfId="0" applyAlignment="1" applyBorder="1" applyFont="1" applyNumberFormat="1">
      <alignment horizontal="right"/>
    </xf>
    <xf borderId="5" fillId="5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'Сводная таблица по качественном'!$A$2:$A$10</c:f>
            </c:strRef>
          </c:cat>
          <c:val>
            <c:numRef>
              <c:f>'Сводная таблица по качественном'!$B$2:$B$10</c:f>
              <c:numCache/>
            </c:numRef>
          </c:val>
        </c:ser>
        <c:axId val="1871977268"/>
        <c:axId val="47009827"/>
      </c:barChart>
      <c:catAx>
        <c:axId val="1871977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47009827"/>
      </c:catAx>
      <c:valAx>
        <c:axId val="47009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87197726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'Сводная таблица по качественном'!$A$17:$A$25</c:f>
            </c:strRef>
          </c:cat>
          <c:val>
            <c:numRef>
              <c:f>'Сводная таблица по качественном'!$B$17:$B$25</c:f>
              <c:numCache/>
            </c:numRef>
          </c:val>
        </c:ser>
        <c:axId val="1329227369"/>
        <c:axId val="1665541814"/>
      </c:barChart>
      <c:catAx>
        <c:axId val="1329227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665541814"/>
      </c:catAx>
      <c:valAx>
        <c:axId val="1665541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32922736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'Сводная таблица по качественном'!$A$34:$A$42</c:f>
            </c:strRef>
          </c:cat>
          <c:val>
            <c:numRef>
              <c:f>'Сводная таблица по качественном'!$B$34:$B$42</c:f>
              <c:numCache/>
            </c:numRef>
          </c:val>
        </c:ser>
        <c:axId val="709061796"/>
        <c:axId val="1397829844"/>
      </c:barChart>
      <c:catAx>
        <c:axId val="709061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397829844"/>
      </c:catAx>
      <c:valAx>
        <c:axId val="1397829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70906179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'Сводные таблица по количетвен'!$A$2:$A$8</c:f>
            </c:strRef>
          </c:cat>
          <c:val>
            <c:numRef>
              <c:f>'Сводные таблица по количетвен'!$B$2:$B$8</c:f>
              <c:numCache/>
            </c:numRef>
          </c:val>
        </c:ser>
        <c:axId val="140544716"/>
        <c:axId val="1713407537"/>
      </c:barChart>
      <c:catAx>
        <c:axId val="140544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713407537"/>
      </c:catAx>
      <c:valAx>
        <c:axId val="1713407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4054471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'Сводные таблица по количетвен'!$A$15:$A$19</c:f>
            </c:strRef>
          </c:cat>
          <c:val>
            <c:numRef>
              <c:f>'Сводные таблица по количетвен'!$B$15:$B$19</c:f>
              <c:numCache/>
            </c:numRef>
          </c:val>
        </c:ser>
        <c:axId val="1288543001"/>
        <c:axId val="584670670"/>
      </c:barChart>
      <c:catAx>
        <c:axId val="1288543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584670670"/>
      </c:catAx>
      <c:valAx>
        <c:axId val="584670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28854300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1025371828521434"/>
          <c:y val="0.17171296296296298"/>
          <c:w val="0.7903591426071741"/>
          <c:h val="0.6293157626130067"/>
        </c:manualLayout>
      </c:layout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'Сводные таблица по количетвен'!$A$24:$A$29</c:f>
            </c:strRef>
          </c:cat>
          <c:val>
            <c:numRef>
              <c:f>'Сводные таблица по количетвен'!$B$24:$B$29</c:f>
              <c:numCache/>
            </c:numRef>
          </c:val>
        </c:ser>
        <c:axId val="657413210"/>
        <c:axId val="1684016995"/>
      </c:barChart>
      <c:catAx>
        <c:axId val="657413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684016995"/>
      </c:catAx>
      <c:valAx>
        <c:axId val="1684016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65741321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Win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Linear (Win)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'лр4'!$B$2:$B$26</c:f>
            </c:numRef>
          </c:xVal>
          <c:yVal>
            <c:numRef>
              <c:f>'лр4'!$C$2:$C$26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587089"/>
        <c:axId val="886476501"/>
      </c:scatterChart>
      <c:valAx>
        <c:axId val="9105870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886476501"/>
      </c:valAx>
      <c:valAx>
        <c:axId val="886476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91058708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Количество сыгранных игр за кварталы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'лр5'!$A$3:$A$6</c:f>
            </c:strRef>
          </c:cat>
          <c:val>
            <c:numRef>
              <c:f>'лр5'!$B$3:$B$6</c:f>
              <c:numCache/>
            </c:numRef>
          </c:val>
          <c:smooth val="0"/>
        </c:ser>
        <c:axId val="1009824704"/>
        <c:axId val="1777391830"/>
      </c:lineChart>
      <c:catAx>
        <c:axId val="100982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777391830"/>
      </c:catAx>
      <c:valAx>
        <c:axId val="1777391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009824704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0</xdr:row>
      <xdr:rowOff>0</xdr:rowOff>
    </xdr:from>
    <xdr:ext cx="4019550" cy="1933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47625</xdr:colOff>
      <xdr:row>13</xdr:row>
      <xdr:rowOff>123825</xdr:rowOff>
    </xdr:from>
    <xdr:ext cx="4105275" cy="22955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142875</xdr:colOff>
      <xdr:row>30</xdr:row>
      <xdr:rowOff>57150</xdr:rowOff>
    </xdr:from>
    <xdr:ext cx="3990975" cy="27432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0</xdr:row>
      <xdr:rowOff>0</xdr:rowOff>
    </xdr:from>
    <xdr:ext cx="4362450" cy="14954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28575</xdr:colOff>
      <xdr:row>10</xdr:row>
      <xdr:rowOff>66675</xdr:rowOff>
    </xdr:from>
    <xdr:ext cx="3571875" cy="16668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57150</xdr:colOff>
      <xdr:row>21</xdr:row>
      <xdr:rowOff>95250</xdr:rowOff>
    </xdr:from>
    <xdr:ext cx="3590925" cy="157162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133350</xdr:rowOff>
    </xdr:from>
    <xdr:ext cx="5572125" cy="274320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8</xdr:row>
      <xdr:rowOff>38100</xdr:rowOff>
    </xdr:from>
    <xdr:ext cx="4905375" cy="264795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6" sheet="Данные"/>
  </cacheSource>
  <cacheFields>
    <cacheField name="Легенда" numFmtId="0">
      <sharedItems>
        <s v="Conduit"/>
        <s v="Horizon"/>
        <s v="Bangalore"/>
        <s v="Revenant"/>
        <s v="Pathfinder"/>
        <s v="Loba"/>
        <s v="Bloodhound"/>
        <s v="Catalyst"/>
        <s v="Wraith"/>
        <s v="Lifeline"/>
        <s v="Octane"/>
        <s v="Rampart"/>
        <s v="Crypto"/>
        <s v="Newcastle"/>
        <s v="Mad Maggie"/>
        <s v="Wattson"/>
        <s v="Valkyrie"/>
        <s v="Gibraltar"/>
        <s v="Fuse"/>
        <s v="Ash"/>
        <s v="Vantage"/>
        <s v="Mirage"/>
        <s v="Caustic"/>
        <s v="Ballistic"/>
        <s v="Seer"/>
      </sharedItems>
    </cacheField>
    <cacheField name="Win rate %" numFmtId="2">
      <sharedItems containsSemiMixedTypes="0" containsString="0" containsNumber="1">
        <n v="68.6"/>
        <n v="64.9"/>
        <n v="66.0"/>
        <n v="70.0"/>
        <n v="81.0"/>
        <n v="63.0"/>
        <n v="84.0"/>
        <n v="71.0"/>
        <n v="86.0"/>
        <n v="69.0"/>
        <n v="67.0"/>
        <n v="65.0"/>
        <n v="72.0"/>
        <n v="64.0"/>
        <n v="61.0"/>
      </sharedItems>
    </cacheField>
    <cacheField name="Pick rate %" numFmtId="0">
      <sharedItems containsSemiMixedTypes="0" containsString="0" containsNumber="1">
        <n v="20.1"/>
        <n v="17.6"/>
        <n v="14.0"/>
        <n v="13.3"/>
        <n v="11.6"/>
        <n v="4.9"/>
        <n v="4.3"/>
        <n v="2.4"/>
        <n v="2.2"/>
        <n v="1.4"/>
        <n v="1.2"/>
        <n v="0.9"/>
        <n v="0.8"/>
        <n v="0.7"/>
        <n v="0.6"/>
        <n v="0.5"/>
        <n v="0.4"/>
        <n v="0.3"/>
        <n v="0.2"/>
        <n v="0.18"/>
        <n v="0.02"/>
      </sharedItems>
    </cacheField>
    <cacheField name="Total games" numFmtId="0">
      <sharedItems containsSemiMixedTypes="0" containsString="0" containsNumber="1">
        <n v="29.948"/>
        <n v="26.17"/>
        <n v="20.901"/>
        <n v="19.812"/>
        <n v="17.295"/>
        <n v="7.289"/>
        <n v="6.432"/>
        <n v="3.605"/>
        <n v="3.213"/>
        <n v="2.031"/>
        <n v="1.795"/>
        <n v="1.31"/>
        <n v="1.169"/>
        <n v="1.094"/>
        <n v="1.093"/>
        <n v="1.058"/>
        <n v="925.0"/>
        <n v="898.0"/>
        <n v="671.0"/>
        <n v="582.0"/>
        <n v="578.0"/>
        <n v="461.0"/>
        <n v="316.0"/>
        <n v="272.0"/>
        <n v="51.0"/>
      </sharedItems>
    </cacheField>
    <cacheField name="Level" numFmtId="0">
      <sharedItems containsSemiMixedTypes="0" containsString="0" containsNumber="1" containsInteger="1">
        <n v="530.0"/>
        <n v="474.0"/>
        <n v="423.0"/>
        <n v="353.0"/>
        <n v="422.0"/>
        <n v="438.0"/>
        <n v="324.0"/>
        <n v="445.0"/>
        <n v="437.0"/>
        <n v="364.0"/>
        <n v="175.0"/>
        <n v="432.0"/>
        <n v="398.0"/>
        <n v="430.0"/>
        <n v="449.0"/>
        <n v="477.0"/>
        <n v="410.0"/>
        <n v="384.0"/>
        <n v="368.0"/>
        <n v="407.0"/>
        <n v="387.0"/>
        <n v="340.0"/>
      </sharedItems>
    </cacheField>
    <cacheField name="Rank" numFmtId="0">
      <sharedItems>
        <s v="Bronze3 "/>
        <s v="Gold3"/>
        <s v="Silver2"/>
        <s v="Silver4"/>
        <s v="Gold4"/>
        <s v="Bronze2"/>
        <s v="Rookie1"/>
        <s v="Diamond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6" sheet="Данные"/>
  </cacheSource>
  <cacheFields>
    <cacheField name="Легенда" numFmtId="0">
      <sharedItems>
        <s v="Conduit"/>
        <s v="Horizon"/>
        <s v="Bangalore"/>
        <s v="Revenant"/>
        <s v="Pathfinder"/>
        <s v="Loba"/>
        <s v="Bloodhound"/>
        <s v="Catalyst"/>
        <s v="Wraith"/>
        <s v="Lifeline"/>
        <s v="Octane"/>
        <s v="Rampart"/>
        <s v="Crypto"/>
        <s v="Newcastle"/>
        <s v="Mad Maggie"/>
        <s v="Wattson"/>
        <s v="Valkyrie"/>
        <s v="Gibraltar"/>
        <s v="Fuse"/>
        <s v="Ash"/>
        <s v="Vantage"/>
        <s v="Mirage"/>
        <s v="Caustic"/>
        <s v="Ballistic"/>
        <s v="Seer"/>
      </sharedItems>
    </cacheField>
    <cacheField name="Win rate %" numFmtId="2">
      <sharedItems containsSemiMixedTypes="0" containsString="0" containsNumber="1">
        <n v="68.6"/>
        <n v="64.9"/>
        <n v="66.0"/>
        <n v="70.0"/>
        <n v="81.0"/>
        <n v="63.0"/>
        <n v="84.0"/>
        <n v="71.0"/>
        <n v="86.0"/>
        <n v="69.0"/>
        <n v="67.0"/>
        <n v="65.0"/>
        <n v="72.0"/>
        <n v="64.0"/>
        <n v="61.0"/>
      </sharedItems>
    </cacheField>
    <cacheField name="Pick rate %" numFmtId="0">
      <sharedItems containsSemiMixedTypes="0" containsString="0" containsNumber="1">
        <n v="20.1"/>
        <n v="17.6"/>
        <n v="14.0"/>
        <n v="13.3"/>
        <n v="11.6"/>
        <n v="4.9"/>
        <n v="4.3"/>
        <n v="2.4"/>
        <n v="2.2"/>
        <n v="1.4"/>
        <n v="1.2"/>
        <n v="0.9"/>
        <n v="0.8"/>
        <n v="0.7"/>
        <n v="0.6"/>
        <n v="0.5"/>
        <n v="0.4"/>
        <n v="0.3"/>
        <n v="0.2"/>
        <n v="0.18"/>
        <n v="0.02"/>
      </sharedItems>
      <fieldGroup base="2">
        <rangePr autoStart="0" autoEnd="0" endNum="20.1" groupInterval="4.0"/>
        <groupItems>
          <s v="&lt;0.0"/>
          <s v="0 - 4"/>
          <s v="4 - 8"/>
          <s v="8 - 12"/>
          <s v="12 - 16"/>
          <s v="16 - 20"/>
          <s v="20 - 20.1"/>
          <s v="&gt;20.1"/>
        </groupItems>
      </fieldGroup>
    </cacheField>
    <cacheField name="Total games" numFmtId="0">
      <sharedItems containsSemiMixedTypes="0" containsString="0" containsNumber="1">
        <n v="29.948"/>
        <n v="26.17"/>
        <n v="20.901"/>
        <n v="19.812"/>
        <n v="17.295"/>
        <n v="7.289"/>
        <n v="6.432"/>
        <n v="3.605"/>
        <n v="3.213"/>
        <n v="2.031"/>
        <n v="1.795"/>
        <n v="1.31"/>
        <n v="1.169"/>
        <n v="1.094"/>
        <n v="1.093"/>
        <n v="1.058"/>
        <n v="925.0"/>
        <n v="898.0"/>
        <n v="671.0"/>
        <n v="582.0"/>
        <n v="578.0"/>
        <n v="461.0"/>
        <n v="316.0"/>
        <n v="272.0"/>
        <n v="51.0"/>
      </sharedItems>
    </cacheField>
    <cacheField name="Level" numFmtId="0">
      <sharedItems containsSemiMixedTypes="0" containsString="0" containsNumber="1" containsInteger="1">
        <n v="530.0"/>
        <n v="474.0"/>
        <n v="423.0"/>
        <n v="353.0"/>
        <n v="422.0"/>
        <n v="438.0"/>
        <n v="324.0"/>
        <n v="445.0"/>
        <n v="437.0"/>
        <n v="364.0"/>
        <n v="175.0"/>
        <n v="432.0"/>
        <n v="398.0"/>
        <n v="430.0"/>
        <n v="449.0"/>
        <n v="477.0"/>
        <n v="410.0"/>
        <n v="384.0"/>
        <n v="368.0"/>
        <n v="407.0"/>
        <n v="387.0"/>
        <n v="340.0"/>
      </sharedItems>
    </cacheField>
    <cacheField name="Rank" numFmtId="0">
      <sharedItems>
        <s v="Bronze3 "/>
        <s v="Gold3"/>
        <s v="Silver2"/>
        <s v="Silver4"/>
        <s v="Gold4"/>
        <s v="Bronze2"/>
        <s v="Rookie1"/>
        <s v="Diamond2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6" sheet="Данные"/>
  </cacheSource>
  <cacheFields>
    <cacheField name="Легенда" numFmtId="0">
      <sharedItems>
        <s v="Conduit"/>
        <s v="Horizon"/>
        <s v="Bangalore"/>
        <s v="Revenant"/>
        <s v="Pathfinder"/>
        <s v="Loba"/>
        <s v="Bloodhound"/>
        <s v="Catalyst"/>
        <s v="Wraith"/>
        <s v="Lifeline"/>
        <s v="Octane"/>
        <s v="Rampart"/>
        <s v="Crypto"/>
        <s v="Newcastle"/>
        <s v="Mad Maggie"/>
        <s v="Wattson"/>
        <s v="Valkyrie"/>
        <s v="Gibraltar"/>
        <s v="Fuse"/>
        <s v="Ash"/>
        <s v="Vantage"/>
        <s v="Mirage"/>
        <s v="Caustic"/>
        <s v="Ballistic"/>
        <s v="Seer"/>
      </sharedItems>
    </cacheField>
    <cacheField name="Win rate %" numFmtId="2">
      <sharedItems containsSemiMixedTypes="0" containsString="0" containsNumber="1">
        <n v="68.6"/>
        <n v="64.9"/>
        <n v="66.0"/>
        <n v="70.0"/>
        <n v="81.0"/>
        <n v="63.0"/>
        <n v="84.0"/>
        <n v="71.0"/>
        <n v="86.0"/>
        <n v="69.0"/>
        <n v="67.0"/>
        <n v="65.0"/>
        <n v="72.0"/>
        <n v="64.0"/>
        <n v="61.0"/>
      </sharedItems>
    </cacheField>
    <cacheField name="Pick rate %" numFmtId="0">
      <sharedItems containsSemiMixedTypes="0" containsString="0" containsNumber="1">
        <n v="20.1"/>
        <n v="17.6"/>
        <n v="14.0"/>
        <n v="13.3"/>
        <n v="11.6"/>
        <n v="4.9"/>
        <n v="4.3"/>
        <n v="2.4"/>
        <n v="2.2"/>
        <n v="1.4"/>
        <n v="1.2"/>
        <n v="0.9"/>
        <n v="0.8"/>
        <n v="0.7"/>
        <n v="0.6"/>
        <n v="0.5"/>
        <n v="0.4"/>
        <n v="0.3"/>
        <n v="0.2"/>
        <n v="0.18"/>
        <n v="0.02"/>
      </sharedItems>
    </cacheField>
    <cacheField name="Total games" numFmtId="0">
      <sharedItems containsSemiMixedTypes="0" containsString="0" containsNumber="1">
        <n v="29.948"/>
        <n v="26.17"/>
        <n v="20.901"/>
        <n v="19.812"/>
        <n v="17.295"/>
        <n v="7.289"/>
        <n v="6.432"/>
        <n v="3.605"/>
        <n v="3.213"/>
        <n v="2.031"/>
        <n v="1.795"/>
        <n v="1.31"/>
        <n v="1.169"/>
        <n v="1.094"/>
        <n v="1.093"/>
        <n v="1.058"/>
        <n v="925.0"/>
        <n v="898.0"/>
        <n v="671.0"/>
        <n v="582.0"/>
        <n v="578.0"/>
        <n v="461.0"/>
        <n v="316.0"/>
        <n v="272.0"/>
        <n v="51.0"/>
      </sharedItems>
    </cacheField>
    <cacheField name="Level" numFmtId="0">
      <sharedItems containsSemiMixedTypes="0" containsString="0" containsNumber="1" containsInteger="1">
        <n v="530.0"/>
        <n v="474.0"/>
        <n v="423.0"/>
        <n v="353.0"/>
        <n v="422.0"/>
        <n v="438.0"/>
        <n v="324.0"/>
        <n v="445.0"/>
        <n v="437.0"/>
        <n v="364.0"/>
        <n v="175.0"/>
        <n v="432.0"/>
        <n v="398.0"/>
        <n v="430.0"/>
        <n v="449.0"/>
        <n v="477.0"/>
        <n v="410.0"/>
        <n v="384.0"/>
        <n v="368.0"/>
        <n v="407.0"/>
        <n v="387.0"/>
        <n v="340.0"/>
      </sharedItems>
      <fieldGroup base="4">
        <rangePr autoStart="0" autoEnd="0" endNum="530.0" groupInterval="100.0"/>
        <groupItems>
          <s v="&lt;0.0"/>
          <s v="100 - 199"/>
          <s v="300 - 399"/>
          <s v="400 - 499"/>
          <s v="500 - 530"/>
          <s v="&gt;530.0"/>
        </groupItems>
      </fieldGroup>
    </cacheField>
    <cacheField name="Rank" numFmtId="0">
      <sharedItems>
        <s v="Bronze3 "/>
        <s v="Gold3"/>
        <s v="Silver2"/>
        <s v="Silver4"/>
        <s v="Gold4"/>
        <s v="Bronze2"/>
        <s v="Rookie1"/>
        <s v="Diamond2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6" sheet="Данные"/>
  </cacheSource>
  <cacheFields>
    <cacheField name="Легенда" numFmtId="0">
      <sharedItems>
        <s v="Conduit"/>
        <s v="Horizon"/>
        <s v="Bangalore"/>
        <s v="Revenant"/>
        <s v="Pathfinder"/>
        <s v="Loba"/>
        <s v="Bloodhound"/>
        <s v="Catalyst"/>
        <s v="Wraith"/>
        <s v="Lifeline"/>
        <s v="Octane"/>
        <s v="Rampart"/>
        <s v="Crypto"/>
        <s v="Newcastle"/>
        <s v="Mad Maggie"/>
        <s v="Wattson"/>
        <s v="Valkyrie"/>
        <s v="Gibraltar"/>
        <s v="Fuse"/>
        <s v="Ash"/>
        <s v="Vantage"/>
        <s v="Mirage"/>
        <s v="Caustic"/>
        <s v="Ballistic"/>
        <s v="Seer"/>
      </sharedItems>
    </cacheField>
    <cacheField name="Win rate %" numFmtId="2">
      <sharedItems containsSemiMixedTypes="0" containsString="0" containsNumber="1">
        <n v="68.6"/>
        <n v="64.9"/>
        <n v="66.0"/>
        <n v="70.0"/>
        <n v="81.0"/>
        <n v="63.0"/>
        <n v="84.0"/>
        <n v="71.0"/>
        <n v="86.0"/>
        <n v="69.0"/>
        <n v="67.0"/>
        <n v="65.0"/>
        <n v="72.0"/>
        <n v="64.0"/>
        <n v="61.0"/>
      </sharedItems>
      <fieldGroup base="1">
        <rangePr autoStart="0" autoEnd="0" startNum="0.608" endNum="0.855" groupInterval="0.05"/>
        <groupItems>
          <s v="&lt;0.608"/>
          <s v="&gt; 0.86"/>
        </groupItems>
      </fieldGroup>
    </cacheField>
    <cacheField name="Pick rate %" numFmtId="0">
      <sharedItems containsSemiMixedTypes="0" containsString="0" containsNumber="1">
        <n v="20.1"/>
        <n v="17.6"/>
        <n v="14.0"/>
        <n v="13.3"/>
        <n v="11.6"/>
        <n v="4.9"/>
        <n v="4.3"/>
        <n v="2.4"/>
        <n v="2.2"/>
        <n v="1.4"/>
        <n v="1.2"/>
        <n v="0.9"/>
        <n v="0.8"/>
        <n v="0.7"/>
        <n v="0.6"/>
        <n v="0.5"/>
        <n v="0.4"/>
        <n v="0.3"/>
        <n v="0.2"/>
        <n v="0.18"/>
        <n v="0.02"/>
      </sharedItems>
    </cacheField>
    <cacheField name="Total games" numFmtId="0">
      <sharedItems containsSemiMixedTypes="0" containsString="0" containsNumber="1">
        <n v="29.948"/>
        <n v="26.17"/>
        <n v="20.901"/>
        <n v="19.812"/>
        <n v="17.295"/>
        <n v="7.289"/>
        <n v="6.432"/>
        <n v="3.605"/>
        <n v="3.213"/>
        <n v="2.031"/>
        <n v="1.795"/>
        <n v="1.31"/>
        <n v="1.169"/>
        <n v="1.094"/>
        <n v="1.093"/>
        <n v="1.058"/>
        <n v="925.0"/>
        <n v="898.0"/>
        <n v="671.0"/>
        <n v="582.0"/>
        <n v="578.0"/>
        <n v="461.0"/>
        <n v="316.0"/>
        <n v="272.0"/>
        <n v="51.0"/>
      </sharedItems>
    </cacheField>
    <cacheField name="Level" numFmtId="0">
      <sharedItems containsSemiMixedTypes="0" containsString="0" containsNumber="1" containsInteger="1">
        <n v="530.0"/>
        <n v="474.0"/>
        <n v="423.0"/>
        <n v="353.0"/>
        <n v="422.0"/>
        <n v="438.0"/>
        <n v="324.0"/>
        <n v="445.0"/>
        <n v="437.0"/>
        <n v="364.0"/>
        <n v="175.0"/>
        <n v="432.0"/>
        <n v="398.0"/>
        <n v="430.0"/>
        <n v="449.0"/>
        <n v="477.0"/>
        <n v="410.0"/>
        <n v="384.0"/>
        <n v="368.0"/>
        <n v="407.0"/>
        <n v="387.0"/>
        <n v="340.0"/>
      </sharedItems>
    </cacheField>
    <cacheField name="Rank" numFmtId="0">
      <sharedItems>
        <s v="Bronze3 "/>
        <s v="Gold3"/>
        <s v="Silver2"/>
        <s v="Silver4"/>
        <s v="Gold4"/>
        <s v="Bronze2"/>
        <s v="Rookie1"/>
        <s v="Diamond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Сводная таблица по качественном" cacheId="0" dataCaption="" compact="0" compactData="0">
  <location ref="A1:B10" firstHeaderRow="0" firstDataRow="1" firstDataCol="0"/>
  <pivotFields>
    <pivotField name="Легенд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Win rate %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ick rate 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al gam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ank" axis="axisRow" compact="0" outline="0" multipleItemSelectionAllowed="1" showAll="0" sortType="ascending">
      <items>
        <item x="5"/>
        <item x="0"/>
        <item x="7"/>
        <item x="1"/>
        <item x="4"/>
        <item x="6"/>
        <item x="2"/>
        <item x="3"/>
        <item t="default"/>
      </items>
    </pivotField>
  </pivotFields>
  <rowFields>
    <field x="5"/>
  </rowFields>
  <dataFields>
    <dataField name="Максимум по полю Total games" fld="3" subtotal="max" baseField="0"/>
  </dataFields>
</pivotTableDefinition>
</file>

<file path=xl/pivotTables/pivotTable2.xml><?xml version="1.0" encoding="utf-8"?>
<pivotTableDefinition xmlns="http://schemas.openxmlformats.org/spreadsheetml/2006/main" name="Сводная таблица по качественном 2" cacheId="0" dataCaption="" compact="0" compactData="0">
  <location ref="A16:B25" firstHeaderRow="0" firstDataRow="1" firstDataCol="0"/>
  <pivotFields>
    <pivotField name="Легенд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Win rate %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ick rate 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al ga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Leve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ank" axis="axisRow" compact="0" outline="0" multipleItemSelectionAllowed="1" showAll="0" sortType="ascending">
      <items>
        <item x="5"/>
        <item x="0"/>
        <item x="7"/>
        <item x="1"/>
        <item x="4"/>
        <item x="6"/>
        <item x="2"/>
        <item x="3"/>
        <item t="default"/>
      </items>
    </pivotField>
  </pivotFields>
  <rowFields>
    <field x="5"/>
  </rowFields>
  <dataFields>
    <dataField name="Максимум по полю Level" fld="4" subtotal="max" baseField="0"/>
  </dataFields>
</pivotTableDefinition>
</file>

<file path=xl/pivotTables/pivotTable3.xml><?xml version="1.0" encoding="utf-8"?>
<pivotTableDefinition xmlns="http://schemas.openxmlformats.org/spreadsheetml/2006/main" name="Сводная таблица по качественном 3" cacheId="0" dataCaption="" compact="0" compactData="0">
  <location ref="A33:B42" firstHeaderRow="0" firstDataRow="1" firstDataCol="0"/>
  <pivotFields>
    <pivotField name="Легенд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Win rate %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ick rate 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al ga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ank" axis="axisRow" compact="0" outline="0" multipleItemSelectionAllowed="1" showAll="0" sortType="ascending">
      <items>
        <item x="5"/>
        <item x="0"/>
        <item x="7"/>
        <item x="1"/>
        <item x="4"/>
        <item x="6"/>
        <item x="2"/>
        <item x="3"/>
        <item t="default"/>
      </items>
    </pivotField>
  </pivotFields>
  <rowFields>
    <field x="5"/>
  </rowFields>
  <dataFields>
    <dataField name="Максимум по полю Win rate %" fld="1" subtotal="max" baseField="0"/>
  </dataFields>
</pivotTableDefinition>
</file>

<file path=xl/pivotTables/pivotTable4.xml><?xml version="1.0" encoding="utf-8"?>
<pivotTableDefinition xmlns="http://schemas.openxmlformats.org/spreadsheetml/2006/main" name="Сводные таблица по количетвен" cacheId="1" dataCaption="" compact="0" compactData="0">
  <location ref="A1:B8" firstHeaderRow="0" firstDataRow="1" firstDataCol="0"/>
  <pivotFields>
    <pivotField name="Легенд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Win rate %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ick rate %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 ga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2"/>
  </rowFields>
  <dataFields>
    <dataField name="Максимум по полю Win rate %" fld="1" subtotal="max" baseField="0"/>
  </dataFields>
</pivotTableDefinition>
</file>

<file path=xl/pivotTables/pivotTable5.xml><?xml version="1.0" encoding="utf-8"?>
<pivotTableDefinition xmlns="http://schemas.openxmlformats.org/spreadsheetml/2006/main" name="Сводные таблица по количетвен 2" cacheId="2" dataCaption="" compact="0" compactData="0">
  <location ref="A14:B19" firstHeaderRow="0" firstDataRow="1" firstDataCol="0"/>
  <pivotFields>
    <pivotField name="Легенд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Win rate %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ick rate 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al ga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Level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4"/>
  </rowFields>
  <dataFields>
    <dataField name="Минимум по полю Win rate %" fld="1" subtotal="min" baseField="0"/>
  </dataFields>
</pivotTableDefinition>
</file>

<file path=xl/pivotTables/pivotTable6.xml><?xml version="1.0" encoding="utf-8"?>
<pivotTableDefinition xmlns="http://schemas.openxmlformats.org/spreadsheetml/2006/main" name="Сводные таблица по количетвен 3" cacheId="3" dataCaption="" compact="0" compactData="0">
  <location ref="A23:B25" firstHeaderRow="0" firstDataRow="1" firstDataCol="0"/>
  <pivotFields>
    <pivotField name="Легенд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Win rate %" axis="axisRow" compact="0" numFmtId="2" outline="0" multipleItemSelectionAllowed="1" showAll="0" sortType="ascending">
      <items>
        <item x="0"/>
        <item x="1"/>
        <item t="default"/>
      </items>
    </pivotField>
    <pivotField name="Pick rate %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al ga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1"/>
  </rowFields>
  <dataFields>
    <dataField name="Максимум по полю Pick rate %" fld="2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I1" s="3"/>
    </row>
    <row r="2" ht="12.75" customHeight="1">
      <c r="A2" s="4" t="s">
        <v>6</v>
      </c>
      <c r="B2" s="5">
        <v>68.6</v>
      </c>
      <c r="C2" s="4">
        <v>20.1</v>
      </c>
      <c r="D2" s="4">
        <v>29.948</v>
      </c>
      <c r="E2" s="4">
        <v>530.0</v>
      </c>
      <c r="F2" s="4" t="s">
        <v>7</v>
      </c>
      <c r="I2" s="6"/>
    </row>
    <row r="3" ht="12.75" customHeight="1">
      <c r="A3" s="4" t="s">
        <v>8</v>
      </c>
      <c r="B3" s="5">
        <v>64.9</v>
      </c>
      <c r="C3" s="4">
        <v>17.6</v>
      </c>
      <c r="D3" s="4">
        <v>26.17</v>
      </c>
      <c r="E3" s="4">
        <v>474.0</v>
      </c>
      <c r="F3" s="7" t="s">
        <v>9</v>
      </c>
      <c r="I3" s="6"/>
    </row>
    <row r="4" ht="12.75" customHeight="1">
      <c r="A4" s="4" t="s">
        <v>10</v>
      </c>
      <c r="B4" s="5">
        <v>66.0</v>
      </c>
      <c r="C4" s="4">
        <v>14.0</v>
      </c>
      <c r="D4" s="4">
        <v>20.901</v>
      </c>
      <c r="E4" s="4">
        <v>423.0</v>
      </c>
      <c r="F4" s="7" t="s">
        <v>11</v>
      </c>
      <c r="I4" s="6"/>
    </row>
    <row r="5" ht="12.75" customHeight="1">
      <c r="A5" s="4" t="s">
        <v>12</v>
      </c>
      <c r="B5" s="5">
        <v>70.0</v>
      </c>
      <c r="C5" s="4">
        <v>13.3</v>
      </c>
      <c r="D5" s="4">
        <v>19.812</v>
      </c>
      <c r="E5" s="4">
        <v>353.0</v>
      </c>
      <c r="F5" s="7" t="s">
        <v>13</v>
      </c>
      <c r="I5" s="6"/>
    </row>
    <row r="6" ht="12.75" customHeight="1">
      <c r="A6" s="4" t="s">
        <v>14</v>
      </c>
      <c r="B6" s="5">
        <v>70.0</v>
      </c>
      <c r="C6" s="4">
        <v>11.6</v>
      </c>
      <c r="D6" s="4">
        <v>17.295</v>
      </c>
      <c r="E6" s="4">
        <v>422.0</v>
      </c>
      <c r="F6" s="7" t="s">
        <v>15</v>
      </c>
      <c r="I6" s="6"/>
    </row>
    <row r="7" ht="12.75" customHeight="1">
      <c r="A7" s="4" t="s">
        <v>16</v>
      </c>
      <c r="B7" s="5">
        <v>81.0</v>
      </c>
      <c r="C7" s="4">
        <v>4.9</v>
      </c>
      <c r="D7" s="4">
        <v>7.289</v>
      </c>
      <c r="E7" s="4">
        <v>438.0</v>
      </c>
      <c r="F7" s="7" t="s">
        <v>17</v>
      </c>
      <c r="I7" s="6"/>
    </row>
    <row r="8" ht="12.75" customHeight="1">
      <c r="A8" s="4" t="s">
        <v>18</v>
      </c>
      <c r="B8" s="5">
        <v>63.0</v>
      </c>
      <c r="C8" s="4">
        <v>4.3</v>
      </c>
      <c r="D8" s="4">
        <v>6.432</v>
      </c>
      <c r="E8" s="4">
        <v>324.0</v>
      </c>
      <c r="F8" s="7" t="s">
        <v>19</v>
      </c>
      <c r="I8" s="6"/>
    </row>
    <row r="9" ht="12.75" customHeight="1">
      <c r="A9" s="4" t="s">
        <v>20</v>
      </c>
      <c r="B9" s="5">
        <v>66.0</v>
      </c>
      <c r="C9" s="4">
        <v>2.4</v>
      </c>
      <c r="D9" s="4">
        <v>3.605</v>
      </c>
      <c r="E9" s="4">
        <v>445.0</v>
      </c>
      <c r="F9" s="7" t="s">
        <v>21</v>
      </c>
      <c r="I9" s="6"/>
    </row>
    <row r="10" ht="12.75" customHeight="1">
      <c r="A10" s="4" t="s">
        <v>22</v>
      </c>
      <c r="B10" s="5">
        <v>66.0</v>
      </c>
      <c r="C10" s="4">
        <v>2.2</v>
      </c>
      <c r="D10" s="4">
        <v>3.213</v>
      </c>
      <c r="E10" s="4">
        <v>437.0</v>
      </c>
      <c r="F10" s="7" t="s">
        <v>7</v>
      </c>
    </row>
    <row r="11" ht="12.75" customHeight="1">
      <c r="A11" s="4" t="s">
        <v>23</v>
      </c>
      <c r="B11" s="5">
        <v>84.0</v>
      </c>
      <c r="C11" s="4">
        <v>1.4</v>
      </c>
      <c r="D11" s="4">
        <v>2.031</v>
      </c>
      <c r="E11" s="4">
        <v>364.0</v>
      </c>
      <c r="F11" s="7" t="s">
        <v>21</v>
      </c>
    </row>
    <row r="12" ht="12.75" customHeight="1">
      <c r="A12" s="4" t="s">
        <v>24</v>
      </c>
      <c r="B12" s="5">
        <v>66.0</v>
      </c>
      <c r="C12" s="4">
        <v>1.2</v>
      </c>
      <c r="D12" s="4">
        <v>1.795</v>
      </c>
      <c r="E12" s="4">
        <v>175.0</v>
      </c>
      <c r="F12" s="7" t="s">
        <v>11</v>
      </c>
    </row>
    <row r="13" ht="12.75" customHeight="1">
      <c r="A13" s="4" t="s">
        <v>25</v>
      </c>
      <c r="B13" s="5">
        <v>71.0</v>
      </c>
      <c r="C13" s="4">
        <v>0.9</v>
      </c>
      <c r="D13" s="4">
        <v>1.31</v>
      </c>
      <c r="E13" s="4">
        <v>432.0</v>
      </c>
      <c r="F13" s="7" t="s">
        <v>13</v>
      </c>
    </row>
    <row r="14" ht="12.75" customHeight="1">
      <c r="A14" s="4" t="s">
        <v>26</v>
      </c>
      <c r="B14" s="5">
        <v>86.0</v>
      </c>
      <c r="C14" s="4">
        <v>0.8</v>
      </c>
      <c r="D14" s="4">
        <v>1.169</v>
      </c>
      <c r="E14" s="4">
        <v>398.0</v>
      </c>
      <c r="F14" s="7" t="s">
        <v>15</v>
      </c>
    </row>
    <row r="15" ht="12.75" customHeight="1">
      <c r="A15" s="4" t="s">
        <v>27</v>
      </c>
      <c r="B15" s="5">
        <v>71.0</v>
      </c>
      <c r="C15" s="4">
        <v>0.7</v>
      </c>
      <c r="D15" s="4">
        <v>1.094</v>
      </c>
      <c r="E15" s="4">
        <v>430.0</v>
      </c>
      <c r="F15" s="4" t="s">
        <v>7</v>
      </c>
    </row>
    <row r="16" ht="12.75" customHeight="1">
      <c r="A16" s="4" t="s">
        <v>28</v>
      </c>
      <c r="B16" s="5">
        <v>69.0</v>
      </c>
      <c r="C16" s="4">
        <v>0.7</v>
      </c>
      <c r="D16" s="4">
        <v>1.093</v>
      </c>
      <c r="E16" s="4">
        <v>449.0</v>
      </c>
      <c r="F16" s="7" t="s">
        <v>9</v>
      </c>
    </row>
    <row r="17" ht="12.75" customHeight="1">
      <c r="A17" s="4" t="s">
        <v>29</v>
      </c>
      <c r="B17" s="5">
        <v>69.0</v>
      </c>
      <c r="C17" s="4">
        <v>0.7</v>
      </c>
      <c r="D17" s="4">
        <v>1.058</v>
      </c>
      <c r="E17" s="4">
        <v>477.0</v>
      </c>
      <c r="F17" s="7" t="s">
        <v>11</v>
      </c>
    </row>
    <row r="18" ht="12.75" customHeight="1">
      <c r="A18" s="4" t="s">
        <v>30</v>
      </c>
      <c r="B18" s="5">
        <v>84.0</v>
      </c>
      <c r="C18" s="4">
        <v>0.6</v>
      </c>
      <c r="D18" s="4">
        <v>925.0</v>
      </c>
      <c r="E18" s="4">
        <v>410.0</v>
      </c>
      <c r="F18" s="7" t="s">
        <v>17</v>
      </c>
    </row>
    <row r="19" ht="12.75" customHeight="1">
      <c r="A19" s="4" t="s">
        <v>31</v>
      </c>
      <c r="B19" s="5">
        <v>67.0</v>
      </c>
      <c r="C19" s="4">
        <v>0.6</v>
      </c>
      <c r="D19" s="4">
        <v>898.0</v>
      </c>
      <c r="E19" s="4">
        <v>384.0</v>
      </c>
      <c r="F19" s="7" t="s">
        <v>19</v>
      </c>
    </row>
    <row r="20" ht="12.75" customHeight="1">
      <c r="A20" s="4" t="s">
        <v>32</v>
      </c>
      <c r="B20" s="5">
        <v>65.0</v>
      </c>
      <c r="C20" s="4">
        <v>0.5</v>
      </c>
      <c r="D20" s="4">
        <v>671.0</v>
      </c>
      <c r="E20" s="4">
        <v>430.0</v>
      </c>
      <c r="F20" s="7" t="s">
        <v>21</v>
      </c>
    </row>
    <row r="21" ht="12.75" customHeight="1">
      <c r="A21" s="4" t="s">
        <v>33</v>
      </c>
      <c r="B21" s="5">
        <v>69.0</v>
      </c>
      <c r="C21" s="4">
        <v>0.4</v>
      </c>
      <c r="D21" s="4">
        <v>582.0</v>
      </c>
      <c r="E21" s="4">
        <v>368.0</v>
      </c>
      <c r="F21" s="7" t="s">
        <v>7</v>
      </c>
    </row>
    <row r="22" ht="12.75" customHeight="1">
      <c r="A22" s="4" t="s">
        <v>34</v>
      </c>
      <c r="B22" s="5">
        <v>72.0</v>
      </c>
      <c r="C22" s="4">
        <v>0.4</v>
      </c>
      <c r="D22" s="4">
        <v>578.0</v>
      </c>
      <c r="E22" s="4">
        <v>407.0</v>
      </c>
      <c r="F22" s="7" t="s">
        <v>21</v>
      </c>
    </row>
    <row r="23" ht="12.75" customHeight="1">
      <c r="A23" s="4" t="s">
        <v>35</v>
      </c>
      <c r="B23" s="5">
        <v>63.0</v>
      </c>
      <c r="C23" s="4">
        <v>0.3</v>
      </c>
      <c r="D23" s="4">
        <v>461.0</v>
      </c>
      <c r="E23" s="4">
        <v>445.0</v>
      </c>
      <c r="F23" s="7" t="s">
        <v>11</v>
      </c>
    </row>
    <row r="24" ht="12.75" customHeight="1">
      <c r="A24" s="4" t="s">
        <v>36</v>
      </c>
      <c r="B24" s="5">
        <v>64.0</v>
      </c>
      <c r="C24" s="4">
        <v>0.2</v>
      </c>
      <c r="D24" s="4">
        <v>316.0</v>
      </c>
      <c r="E24" s="4">
        <v>437.0</v>
      </c>
      <c r="F24" s="7" t="s">
        <v>13</v>
      </c>
    </row>
    <row r="25" ht="12.75" customHeight="1">
      <c r="A25" s="4" t="s">
        <v>37</v>
      </c>
      <c r="B25" s="5">
        <v>61.0</v>
      </c>
      <c r="C25" s="4">
        <v>0.18</v>
      </c>
      <c r="D25" s="4">
        <v>272.0</v>
      </c>
      <c r="E25" s="4">
        <v>387.0</v>
      </c>
      <c r="F25" s="7" t="s">
        <v>19</v>
      </c>
    </row>
    <row r="26" ht="12.75" customHeight="1">
      <c r="A26" s="4" t="s">
        <v>38</v>
      </c>
      <c r="B26" s="5">
        <v>61.0</v>
      </c>
      <c r="C26" s="4">
        <v>0.02</v>
      </c>
      <c r="D26" s="4">
        <v>51.0</v>
      </c>
      <c r="E26" s="4">
        <v>340.0</v>
      </c>
      <c r="F26" s="7" t="s">
        <v>21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31.38"/>
    <col customWidth="1" min="3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30.0"/>
    <col customWidth="1" min="3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>
      <c r="A26" s="12"/>
      <c r="B26" s="6"/>
    </row>
    <row r="27" ht="12.75" customHeight="1">
      <c r="A27" s="12"/>
      <c r="B27" s="6"/>
    </row>
    <row r="28" ht="12.75" customHeight="1">
      <c r="A28" s="12"/>
      <c r="B28" s="6"/>
    </row>
    <row r="29" ht="12.75" customHeight="1">
      <c r="A29" s="12"/>
      <c r="B29" s="6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4.5"/>
    <col customWidth="1" min="3" max="3" width="5.5"/>
    <col customWidth="1" min="4" max="4" width="8.63"/>
    <col customWidth="1" min="5" max="5" width="12.5"/>
    <col customWidth="1" min="6" max="6" width="13.5"/>
    <col customWidth="1" min="7" max="26" width="8.63"/>
  </cols>
  <sheetData>
    <row r="1" ht="12.75" customHeight="1">
      <c r="A1" s="7" t="s">
        <v>59</v>
      </c>
      <c r="B1" s="7" t="s">
        <v>60</v>
      </c>
      <c r="C1" s="7" t="s">
        <v>61</v>
      </c>
    </row>
    <row r="2" ht="12.75" customHeight="1">
      <c r="A2" s="7">
        <v>1.0</v>
      </c>
      <c r="B2" s="4">
        <v>20.1</v>
      </c>
      <c r="C2" s="5">
        <v>68.6</v>
      </c>
    </row>
    <row r="3" ht="12.75" customHeight="1">
      <c r="A3" s="7">
        <v>2.0</v>
      </c>
      <c r="B3" s="4">
        <v>17.6</v>
      </c>
      <c r="C3" s="5">
        <v>64.9</v>
      </c>
      <c r="L3" s="8">
        <v>100.0</v>
      </c>
    </row>
    <row r="4" ht="12.75" customHeight="1">
      <c r="A4" s="7">
        <v>3.0</v>
      </c>
      <c r="B4" s="4">
        <v>14.0</v>
      </c>
      <c r="C4" s="5">
        <v>66.0</v>
      </c>
    </row>
    <row r="5" ht="12.75" customHeight="1">
      <c r="A5" s="7">
        <v>4.0</v>
      </c>
      <c r="B5" s="4">
        <v>13.3</v>
      </c>
      <c r="C5" s="5">
        <v>70.0</v>
      </c>
    </row>
    <row r="6" ht="12.75" customHeight="1">
      <c r="A6" s="7">
        <v>5.0</v>
      </c>
      <c r="B6" s="4">
        <v>11.6</v>
      </c>
      <c r="C6" s="5">
        <v>70.0</v>
      </c>
    </row>
    <row r="7" ht="12.75" customHeight="1">
      <c r="A7" s="7">
        <v>6.0</v>
      </c>
      <c r="B7" s="4">
        <v>4.9</v>
      </c>
      <c r="C7" s="5">
        <v>81.0</v>
      </c>
    </row>
    <row r="8" ht="12.75" customHeight="1">
      <c r="A8" s="7">
        <v>7.0</v>
      </c>
      <c r="B8" s="4">
        <v>4.3</v>
      </c>
      <c r="C8" s="5">
        <v>63.0</v>
      </c>
    </row>
    <row r="9" ht="12.75" customHeight="1">
      <c r="A9" s="7">
        <v>8.0</v>
      </c>
      <c r="B9" s="4">
        <v>2.4</v>
      </c>
      <c r="C9" s="5">
        <v>66.0</v>
      </c>
    </row>
    <row r="10" ht="12.75" customHeight="1">
      <c r="A10" s="7">
        <v>9.0</v>
      </c>
      <c r="B10" s="4">
        <v>2.2</v>
      </c>
      <c r="C10" s="5">
        <v>66.0</v>
      </c>
    </row>
    <row r="11" ht="12.75" customHeight="1">
      <c r="A11" s="7">
        <v>10.0</v>
      </c>
      <c r="B11" s="4">
        <v>1.4</v>
      </c>
      <c r="C11" s="5">
        <v>84.0</v>
      </c>
    </row>
    <row r="12" ht="12.75" customHeight="1">
      <c r="A12" s="7">
        <v>11.0</v>
      </c>
      <c r="B12" s="4">
        <v>1.2</v>
      </c>
      <c r="C12" s="5">
        <v>66.0</v>
      </c>
    </row>
    <row r="13" ht="12.75" customHeight="1">
      <c r="A13" s="7">
        <v>12.0</v>
      </c>
      <c r="B13" s="4">
        <v>0.9</v>
      </c>
      <c r="C13" s="5">
        <v>71.0</v>
      </c>
    </row>
    <row r="14" ht="12.75" customHeight="1">
      <c r="A14" s="7">
        <v>13.0</v>
      </c>
      <c r="B14" s="4">
        <v>0.8</v>
      </c>
      <c r="C14" s="5">
        <v>86.0</v>
      </c>
    </row>
    <row r="15" ht="12.75" customHeight="1">
      <c r="A15" s="7">
        <v>14.0</v>
      </c>
      <c r="B15" s="4">
        <v>0.7</v>
      </c>
      <c r="C15" s="5">
        <v>71.0</v>
      </c>
    </row>
    <row r="16" ht="12.75" customHeight="1">
      <c r="A16" s="7">
        <v>15.0</v>
      </c>
      <c r="B16" s="4">
        <v>0.7</v>
      </c>
      <c r="C16" s="5">
        <v>69.0</v>
      </c>
    </row>
    <row r="17" ht="12.75" customHeight="1">
      <c r="A17" s="7">
        <v>16.0</v>
      </c>
      <c r="B17" s="4">
        <v>0.7</v>
      </c>
      <c r="C17" s="5">
        <v>69.0</v>
      </c>
    </row>
    <row r="18" ht="12.75" customHeight="1">
      <c r="A18" s="7">
        <v>17.0</v>
      </c>
      <c r="B18" s="4">
        <v>0.6</v>
      </c>
      <c r="C18" s="5">
        <v>84.0</v>
      </c>
    </row>
    <row r="19" ht="12.75" customHeight="1">
      <c r="A19" s="7">
        <v>18.0</v>
      </c>
      <c r="B19" s="4">
        <v>0.6</v>
      </c>
      <c r="C19" s="5">
        <v>67.0</v>
      </c>
      <c r="E19" s="8" t="s">
        <v>62</v>
      </c>
      <c r="F19" s="8" t="s">
        <v>63</v>
      </c>
    </row>
    <row r="20" ht="12.75" customHeight="1">
      <c r="A20" s="7">
        <v>19.0</v>
      </c>
      <c r="B20" s="4">
        <v>0.5</v>
      </c>
      <c r="C20" s="5">
        <v>65.0</v>
      </c>
      <c r="E20" s="8">
        <f>CORREL(B2:B26,C2:C26)</f>
        <v>-0.08897385418</v>
      </c>
      <c r="F20" s="8">
        <f>RSQ(C2:C26,B2:B26)</f>
        <v>0.007916346728</v>
      </c>
    </row>
    <row r="21" ht="12.75" customHeight="1">
      <c r="A21" s="7">
        <v>20.0</v>
      </c>
      <c r="B21" s="4">
        <v>0.4</v>
      </c>
      <c r="C21" s="5">
        <v>69.0</v>
      </c>
    </row>
    <row r="22" ht="12.75" customHeight="1">
      <c r="A22" s="7">
        <v>21.0</v>
      </c>
      <c r="B22" s="4">
        <v>0.4</v>
      </c>
      <c r="C22" s="5">
        <v>72.0</v>
      </c>
    </row>
    <row r="23" ht="12.75" customHeight="1">
      <c r="A23" s="7">
        <v>22.0</v>
      </c>
      <c r="B23" s="4">
        <v>0.3</v>
      </c>
      <c r="C23" s="5">
        <v>63.0</v>
      </c>
    </row>
    <row r="24" ht="12.75" customHeight="1">
      <c r="A24" s="7">
        <v>23.0</v>
      </c>
      <c r="B24" s="4">
        <v>0.2</v>
      </c>
      <c r="C24" s="5">
        <v>64.0</v>
      </c>
    </row>
    <row r="25" ht="12.75" customHeight="1">
      <c r="A25" s="7">
        <v>24.0</v>
      </c>
      <c r="B25" s="4">
        <v>0.18</v>
      </c>
      <c r="C25" s="5">
        <v>61.0</v>
      </c>
    </row>
    <row r="26" ht="12.75" customHeight="1">
      <c r="A26" s="7">
        <v>25.0</v>
      </c>
      <c r="B26" s="4">
        <v>0.02</v>
      </c>
      <c r="C26" s="5">
        <v>61.0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0.75"/>
    <col customWidth="1" min="3" max="3" width="11.0"/>
    <col customWidth="1" min="4" max="4" width="11.5"/>
    <col customWidth="1" min="5" max="7" width="8.63"/>
    <col customWidth="1" min="8" max="8" width="16.5"/>
    <col customWidth="1" min="9" max="9" width="13.75"/>
    <col customWidth="1" min="10" max="11" width="8.63"/>
    <col customWidth="1" min="12" max="12" width="26.5"/>
    <col customWidth="1" min="13" max="13" width="11.0"/>
    <col customWidth="1" min="14" max="26" width="8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I1" s="7" t="s">
        <v>64</v>
      </c>
      <c r="J1" s="7" t="s">
        <v>64</v>
      </c>
      <c r="K1" s="7" t="s">
        <v>64</v>
      </c>
      <c r="M1" s="7" t="s">
        <v>65</v>
      </c>
      <c r="N1" s="7" t="s">
        <v>65</v>
      </c>
      <c r="O1" s="7" t="s">
        <v>65</v>
      </c>
      <c r="Q1" s="7" t="s">
        <v>65</v>
      </c>
    </row>
    <row r="2" ht="12.75" customHeight="1">
      <c r="A2" s="4" t="s">
        <v>38</v>
      </c>
      <c r="B2" s="5">
        <f t="shared" ref="B2:B3" si="1">61/100</f>
        <v>0.61</v>
      </c>
      <c r="C2" s="4">
        <v>0.02</v>
      </c>
      <c r="D2" s="4">
        <v>51.0</v>
      </c>
      <c r="E2" s="4">
        <v>340.0</v>
      </c>
      <c r="F2" s="7" t="s">
        <v>21</v>
      </c>
      <c r="I2" s="5">
        <f t="shared" ref="I2:I3" si="2">61/100</f>
        <v>0.61</v>
      </c>
      <c r="J2" s="5">
        <f t="shared" ref="J2:J3" si="3">70/100</f>
        <v>0.7</v>
      </c>
      <c r="K2" s="5">
        <f>81/100</f>
        <v>0.81</v>
      </c>
      <c r="M2" s="7">
        <f t="shared" ref="M2:M17" si="4">POWER(I2*$I$21,2)</f>
        <v>0.1597925673</v>
      </c>
      <c r="N2" s="7">
        <f t="shared" ref="N2:N6" si="5">POWER(J2*$J$21,2)</f>
        <v>0.24561936</v>
      </c>
      <c r="O2" s="7">
        <f t="shared" ref="O2:O5" si="6">POWER(K2*$K$21,2)</f>
        <v>0.4601926406</v>
      </c>
      <c r="Q2" s="7">
        <f t="shared" ref="Q2:Q26" si="7">POWER(B2-$I$27,2)</f>
        <v>0.007225</v>
      </c>
    </row>
    <row r="3" ht="12.75" customHeight="1">
      <c r="A3" s="4" t="s">
        <v>37</v>
      </c>
      <c r="B3" s="5">
        <f t="shared" si="1"/>
        <v>0.61</v>
      </c>
      <c r="C3" s="4">
        <v>0.18</v>
      </c>
      <c r="D3" s="4">
        <v>272.0</v>
      </c>
      <c r="E3" s="4">
        <v>387.0</v>
      </c>
      <c r="F3" s="7" t="s">
        <v>19</v>
      </c>
      <c r="I3" s="5">
        <f t="shared" si="2"/>
        <v>0.61</v>
      </c>
      <c r="J3" s="5">
        <f t="shared" si="3"/>
        <v>0.7</v>
      </c>
      <c r="K3" s="5">
        <f t="shared" ref="K3:K4" si="8">84/100</f>
        <v>0.84</v>
      </c>
      <c r="M3" s="7">
        <f t="shared" si="4"/>
        <v>0.1597925673</v>
      </c>
      <c r="N3" s="7">
        <f t="shared" si="5"/>
        <v>0.24561936</v>
      </c>
      <c r="O3" s="7">
        <f t="shared" si="6"/>
        <v>0.49491225</v>
      </c>
      <c r="Q3" s="7">
        <f t="shared" si="7"/>
        <v>0.007225</v>
      </c>
    </row>
    <row r="4" ht="12.75" customHeight="1">
      <c r="A4" s="4" t="s">
        <v>18</v>
      </c>
      <c r="B4" s="5">
        <f t="shared" ref="B4:B5" si="9">63/100</f>
        <v>0.63</v>
      </c>
      <c r="C4" s="4">
        <v>4.3</v>
      </c>
      <c r="D4" s="4">
        <v>6.432</v>
      </c>
      <c r="E4" s="4">
        <v>324.0</v>
      </c>
      <c r="F4" s="7" t="s">
        <v>19</v>
      </c>
      <c r="I4" s="5">
        <f t="shared" ref="I4:I5" si="10">63/100</f>
        <v>0.63</v>
      </c>
      <c r="J4" s="5">
        <f t="shared" ref="J4:J5" si="11">71/100</f>
        <v>0.71</v>
      </c>
      <c r="K4" s="5">
        <f t="shared" si="8"/>
        <v>0.84</v>
      </c>
      <c r="M4" s="7">
        <f t="shared" si="4"/>
        <v>0.1704425422</v>
      </c>
      <c r="N4" s="7">
        <f t="shared" si="5"/>
        <v>0.2526871824</v>
      </c>
      <c r="O4" s="7">
        <f t="shared" si="6"/>
        <v>0.49491225</v>
      </c>
      <c r="Q4" s="7">
        <f t="shared" si="7"/>
        <v>0.004225</v>
      </c>
    </row>
    <row r="5" ht="12.75" customHeight="1">
      <c r="A5" s="4" t="s">
        <v>35</v>
      </c>
      <c r="B5" s="5">
        <f t="shared" si="9"/>
        <v>0.63</v>
      </c>
      <c r="C5" s="4">
        <v>0.3</v>
      </c>
      <c r="D5" s="4">
        <v>461.0</v>
      </c>
      <c r="E5" s="4">
        <v>445.0</v>
      </c>
      <c r="F5" s="7" t="s">
        <v>11</v>
      </c>
      <c r="I5" s="5">
        <f t="shared" si="10"/>
        <v>0.63</v>
      </c>
      <c r="J5" s="5">
        <f t="shared" si="11"/>
        <v>0.71</v>
      </c>
      <c r="K5" s="5">
        <f>86/100</f>
        <v>0.86</v>
      </c>
      <c r="M5" s="7">
        <f t="shared" si="4"/>
        <v>0.1704425422</v>
      </c>
      <c r="N5" s="7">
        <f t="shared" si="5"/>
        <v>0.2526871824</v>
      </c>
      <c r="O5" s="7">
        <f t="shared" si="6"/>
        <v>0.5187600625</v>
      </c>
      <c r="Q5" s="7">
        <f t="shared" si="7"/>
        <v>0.004225</v>
      </c>
    </row>
    <row r="6" ht="12.75" customHeight="1">
      <c r="A6" s="4" t="s">
        <v>36</v>
      </c>
      <c r="B6" s="5">
        <f>64/100</f>
        <v>0.64</v>
      </c>
      <c r="C6" s="4">
        <v>0.2</v>
      </c>
      <c r="D6" s="4">
        <v>316.0</v>
      </c>
      <c r="E6" s="4">
        <v>437.0</v>
      </c>
      <c r="F6" s="7" t="s">
        <v>13</v>
      </c>
      <c r="I6" s="5">
        <f>64/100</f>
        <v>0.64</v>
      </c>
      <c r="J6" s="5">
        <f>72/100</f>
        <v>0.72</v>
      </c>
      <c r="M6" s="7">
        <f t="shared" si="4"/>
        <v>0.17589636</v>
      </c>
      <c r="N6" s="7">
        <f t="shared" si="5"/>
        <v>0.2598552576</v>
      </c>
      <c r="O6" s="7"/>
      <c r="Q6" s="7">
        <f t="shared" si="7"/>
        <v>0.003025</v>
      </c>
    </row>
    <row r="7" ht="12.75" customHeight="1">
      <c r="A7" s="4" t="s">
        <v>8</v>
      </c>
      <c r="B7" s="5">
        <f>64.9/100</f>
        <v>0.649</v>
      </c>
      <c r="C7" s="4">
        <v>17.6</v>
      </c>
      <c r="D7" s="4">
        <v>26.17</v>
      </c>
      <c r="E7" s="4">
        <v>474.0</v>
      </c>
      <c r="F7" s="7" t="s">
        <v>9</v>
      </c>
      <c r="I7" s="5">
        <f>64.9/100</f>
        <v>0.649</v>
      </c>
      <c r="M7" s="7">
        <f t="shared" si="4"/>
        <v>0.1808782293</v>
      </c>
      <c r="N7" s="7"/>
      <c r="O7" s="7"/>
      <c r="Q7" s="7">
        <f t="shared" si="7"/>
        <v>0.002116</v>
      </c>
    </row>
    <row r="8" ht="12.75" customHeight="1">
      <c r="A8" s="4" t="s">
        <v>32</v>
      </c>
      <c r="B8" s="5">
        <f>65/100</f>
        <v>0.65</v>
      </c>
      <c r="C8" s="4">
        <v>0.5</v>
      </c>
      <c r="D8" s="4">
        <v>671.0</v>
      </c>
      <c r="E8" s="4">
        <v>430.0</v>
      </c>
      <c r="F8" s="7" t="s">
        <v>21</v>
      </c>
      <c r="I8" s="5">
        <f>65/100</f>
        <v>0.65</v>
      </c>
      <c r="M8" s="7">
        <f t="shared" si="4"/>
        <v>0.1814360647</v>
      </c>
      <c r="N8" s="7"/>
      <c r="O8" s="7"/>
      <c r="Q8" s="7">
        <f t="shared" si="7"/>
        <v>0.002025</v>
      </c>
    </row>
    <row r="9" ht="12.75" customHeight="1">
      <c r="A9" s="4" t="s">
        <v>22</v>
      </c>
      <c r="B9" s="5">
        <f t="shared" ref="B9:B12" si="12">66/100</f>
        <v>0.66</v>
      </c>
      <c r="C9" s="4">
        <v>2.2</v>
      </c>
      <c r="D9" s="4">
        <v>3.213</v>
      </c>
      <c r="E9" s="4">
        <v>437.0</v>
      </c>
      <c r="F9" s="7" t="s">
        <v>7</v>
      </c>
      <c r="I9" s="5">
        <f t="shared" ref="I9:I12" si="13">66/100</f>
        <v>0.66</v>
      </c>
      <c r="M9" s="7">
        <f t="shared" si="4"/>
        <v>0.1870616563</v>
      </c>
      <c r="N9" s="7"/>
      <c r="O9" s="7"/>
      <c r="Q9" s="7">
        <f t="shared" si="7"/>
        <v>0.001225</v>
      </c>
    </row>
    <row r="10" ht="12.75" customHeight="1">
      <c r="A10" s="4" t="s">
        <v>20</v>
      </c>
      <c r="B10" s="5">
        <f t="shared" si="12"/>
        <v>0.66</v>
      </c>
      <c r="C10" s="4">
        <v>2.4</v>
      </c>
      <c r="D10" s="4">
        <v>3.605</v>
      </c>
      <c r="E10" s="4">
        <v>445.0</v>
      </c>
      <c r="F10" s="7" t="s">
        <v>21</v>
      </c>
      <c r="I10" s="5">
        <f t="shared" si="13"/>
        <v>0.66</v>
      </c>
      <c r="M10" s="7">
        <f t="shared" si="4"/>
        <v>0.1870616563</v>
      </c>
      <c r="N10" s="7"/>
      <c r="O10" s="7"/>
      <c r="Q10" s="7">
        <f t="shared" si="7"/>
        <v>0.001225</v>
      </c>
    </row>
    <row r="11" ht="12.75" customHeight="1">
      <c r="A11" s="4" t="s">
        <v>10</v>
      </c>
      <c r="B11" s="5">
        <f t="shared" si="12"/>
        <v>0.66</v>
      </c>
      <c r="C11" s="4">
        <v>14.0</v>
      </c>
      <c r="D11" s="4">
        <v>20.901</v>
      </c>
      <c r="E11" s="4">
        <v>423.0</v>
      </c>
      <c r="F11" s="7" t="s">
        <v>11</v>
      </c>
      <c r="I11" s="5">
        <f t="shared" si="13"/>
        <v>0.66</v>
      </c>
      <c r="M11" s="7">
        <f t="shared" si="4"/>
        <v>0.1870616563</v>
      </c>
      <c r="N11" s="7"/>
      <c r="O11" s="7"/>
      <c r="Q11" s="7">
        <f t="shared" si="7"/>
        <v>0.001225</v>
      </c>
    </row>
    <row r="12" ht="12.75" customHeight="1">
      <c r="A12" s="4" t="s">
        <v>24</v>
      </c>
      <c r="B12" s="5">
        <f t="shared" si="12"/>
        <v>0.66</v>
      </c>
      <c r="C12" s="4">
        <v>1.2</v>
      </c>
      <c r="D12" s="4">
        <v>1.795</v>
      </c>
      <c r="E12" s="4">
        <v>175.0</v>
      </c>
      <c r="F12" s="7" t="s">
        <v>11</v>
      </c>
      <c r="I12" s="5">
        <f t="shared" si="13"/>
        <v>0.66</v>
      </c>
      <c r="M12" s="7">
        <f t="shared" si="4"/>
        <v>0.1870616563</v>
      </c>
      <c r="N12" s="7"/>
      <c r="O12" s="7"/>
      <c r="Q12" s="7">
        <f t="shared" si="7"/>
        <v>0.001225</v>
      </c>
    </row>
    <row r="13" ht="12.75" customHeight="1">
      <c r="A13" s="4" t="s">
        <v>31</v>
      </c>
      <c r="B13" s="5">
        <f>67/100</f>
        <v>0.67</v>
      </c>
      <c r="C13" s="4">
        <v>0.6</v>
      </c>
      <c r="D13" s="4">
        <v>898.0</v>
      </c>
      <c r="E13" s="4">
        <v>384.0</v>
      </c>
      <c r="F13" s="7" t="s">
        <v>19</v>
      </c>
      <c r="I13" s="5">
        <f>67/100</f>
        <v>0.67</v>
      </c>
      <c r="M13" s="7">
        <f t="shared" si="4"/>
        <v>0.1927731348</v>
      </c>
      <c r="N13" s="7"/>
      <c r="O13" s="7"/>
      <c r="Q13" s="7">
        <f t="shared" si="7"/>
        <v>0.000625</v>
      </c>
    </row>
    <row r="14" ht="12.75" customHeight="1">
      <c r="A14" s="4" t="s">
        <v>6</v>
      </c>
      <c r="B14" s="5">
        <f>68.6/100</f>
        <v>0.686</v>
      </c>
      <c r="C14" s="4">
        <v>20.1</v>
      </c>
      <c r="D14" s="4">
        <v>29.948</v>
      </c>
      <c r="E14" s="4">
        <v>530.0</v>
      </c>
      <c r="F14" s="4" t="s">
        <v>7</v>
      </c>
      <c r="I14" s="5">
        <f>68.6/100</f>
        <v>0.686</v>
      </c>
      <c r="M14" s="7">
        <f t="shared" si="4"/>
        <v>0.2020901451</v>
      </c>
      <c r="N14" s="7"/>
      <c r="O14" s="7"/>
      <c r="Q14" s="7">
        <f t="shared" si="7"/>
        <v>0.000081</v>
      </c>
    </row>
    <row r="15" ht="12.75" customHeight="1">
      <c r="A15" s="4" t="s">
        <v>33</v>
      </c>
      <c r="B15" s="5">
        <f t="shared" ref="B15:B17" si="14">69/100</f>
        <v>0.69</v>
      </c>
      <c r="C15" s="4">
        <v>0.4</v>
      </c>
      <c r="D15" s="4">
        <v>582.0</v>
      </c>
      <c r="E15" s="4">
        <v>368.0</v>
      </c>
      <c r="F15" s="7" t="s">
        <v>7</v>
      </c>
      <c r="I15" s="5">
        <f t="shared" ref="I15:I17" si="15">69/100</f>
        <v>0.69</v>
      </c>
      <c r="M15" s="7">
        <f t="shared" si="4"/>
        <v>0.2044537524</v>
      </c>
      <c r="N15" s="7"/>
      <c r="O15" s="7"/>
      <c r="Q15" s="7">
        <f t="shared" si="7"/>
        <v>0.000025</v>
      </c>
    </row>
    <row r="16" ht="12.75" customHeight="1">
      <c r="A16" s="4" t="s">
        <v>28</v>
      </c>
      <c r="B16" s="5">
        <f t="shared" si="14"/>
        <v>0.69</v>
      </c>
      <c r="C16" s="4">
        <v>0.7</v>
      </c>
      <c r="D16" s="4">
        <v>1.093</v>
      </c>
      <c r="E16" s="4">
        <v>449.0</v>
      </c>
      <c r="F16" s="7" t="s">
        <v>9</v>
      </c>
      <c r="I16" s="5">
        <f t="shared" si="15"/>
        <v>0.69</v>
      </c>
      <c r="M16" s="7">
        <f t="shared" si="4"/>
        <v>0.2044537524</v>
      </c>
      <c r="N16" s="7"/>
      <c r="O16" s="7"/>
      <c r="Q16" s="7">
        <f t="shared" si="7"/>
        <v>0.000025</v>
      </c>
    </row>
    <row r="17" ht="12.75" customHeight="1">
      <c r="A17" s="4" t="s">
        <v>29</v>
      </c>
      <c r="B17" s="5">
        <f t="shared" si="14"/>
        <v>0.69</v>
      </c>
      <c r="C17" s="4">
        <v>0.7</v>
      </c>
      <c r="D17" s="4">
        <v>1.058</v>
      </c>
      <c r="E17" s="4">
        <v>477.0</v>
      </c>
      <c r="F17" s="7" t="s">
        <v>11</v>
      </c>
      <c r="I17" s="5">
        <f t="shared" si="15"/>
        <v>0.69</v>
      </c>
      <c r="M17" s="7">
        <f t="shared" si="4"/>
        <v>0.2044537524</v>
      </c>
      <c r="N17" s="7"/>
      <c r="O17" s="7"/>
      <c r="Q17" s="7">
        <f t="shared" si="7"/>
        <v>0.000025</v>
      </c>
    </row>
    <row r="18" ht="12.75" customHeight="1">
      <c r="A18" s="4" t="s">
        <v>14</v>
      </c>
      <c r="B18" s="5">
        <f t="shared" ref="B18:B19" si="16">70/100</f>
        <v>0.7</v>
      </c>
      <c r="C18" s="4">
        <v>11.6</v>
      </c>
      <c r="D18" s="4">
        <v>17.295</v>
      </c>
      <c r="E18" s="4">
        <v>422.0</v>
      </c>
      <c r="F18" s="7" t="s">
        <v>15</v>
      </c>
      <c r="Q18" s="7">
        <f t="shared" si="7"/>
        <v>0.000025</v>
      </c>
    </row>
    <row r="19" ht="12.75" customHeight="1">
      <c r="A19" s="4" t="s">
        <v>12</v>
      </c>
      <c r="B19" s="5">
        <f t="shared" si="16"/>
        <v>0.7</v>
      </c>
      <c r="C19" s="4">
        <v>13.3</v>
      </c>
      <c r="D19" s="4">
        <v>19.812</v>
      </c>
      <c r="E19" s="4">
        <v>353.0</v>
      </c>
      <c r="F19" s="7" t="s">
        <v>13</v>
      </c>
      <c r="H19" s="7" t="s">
        <v>66</v>
      </c>
      <c r="I19" s="13">
        <f>SUM(I2:I17)</f>
        <v>10.485</v>
      </c>
      <c r="J19" s="13">
        <f>SUM(J2:J6)</f>
        <v>3.54</v>
      </c>
      <c r="K19" s="13">
        <f>SUM(K2:K5)</f>
        <v>3.35</v>
      </c>
      <c r="L19" s="13" t="s">
        <v>67</v>
      </c>
      <c r="M19" s="13">
        <f>SUM(M2:M17)</f>
        <v>2.955152035</v>
      </c>
      <c r="N19" s="13">
        <f>SUM(N2:N6)</f>
        <v>1.256468342</v>
      </c>
      <c r="O19" s="13">
        <f>SUM(O2:O5)</f>
        <v>1.968777203</v>
      </c>
      <c r="Q19" s="7">
        <f t="shared" si="7"/>
        <v>0.000025</v>
      </c>
    </row>
    <row r="20" ht="12.75" customHeight="1">
      <c r="A20" s="4" t="s">
        <v>27</v>
      </c>
      <c r="B20" s="5">
        <f t="shared" ref="B20:B21" si="17">71/100</f>
        <v>0.71</v>
      </c>
      <c r="C20" s="4">
        <v>0.7</v>
      </c>
      <c r="D20" s="4">
        <v>1.094</v>
      </c>
      <c r="E20" s="4">
        <v>430.0</v>
      </c>
      <c r="F20" s="4" t="s">
        <v>7</v>
      </c>
      <c r="H20" s="7" t="s">
        <v>68</v>
      </c>
      <c r="I20" s="5">
        <v>16.0</v>
      </c>
      <c r="J20" s="7">
        <v>5.0</v>
      </c>
      <c r="K20" s="7">
        <v>4.0</v>
      </c>
      <c r="L20" s="13" t="s">
        <v>69</v>
      </c>
      <c r="M20" s="13">
        <v>16.0</v>
      </c>
      <c r="N20" s="14">
        <v>5.0</v>
      </c>
      <c r="O20" s="13">
        <v>4.0</v>
      </c>
      <c r="Q20" s="7">
        <f t="shared" si="7"/>
        <v>0.000225</v>
      </c>
    </row>
    <row r="21" ht="12.75" customHeight="1">
      <c r="A21" s="4" t="s">
        <v>25</v>
      </c>
      <c r="B21" s="5">
        <f t="shared" si="17"/>
        <v>0.71</v>
      </c>
      <c r="C21" s="4">
        <v>0.9</v>
      </c>
      <c r="D21" s="4">
        <v>1.31</v>
      </c>
      <c r="E21" s="4">
        <v>432.0</v>
      </c>
      <c r="F21" s="7" t="s">
        <v>13</v>
      </c>
      <c r="H21" s="7" t="s">
        <v>64</v>
      </c>
      <c r="I21" s="7">
        <f t="shared" ref="I21:K21" si="18">I19/I20</f>
        <v>0.6553125</v>
      </c>
      <c r="J21" s="7">
        <f t="shared" si="18"/>
        <v>0.708</v>
      </c>
      <c r="K21" s="7">
        <f t="shared" si="18"/>
        <v>0.8375</v>
      </c>
      <c r="L21" s="13" t="s">
        <v>70</v>
      </c>
      <c r="M21" s="13">
        <f t="shared" ref="M21:O21" si="19">M19/M20</f>
        <v>0.1846970022</v>
      </c>
      <c r="N21" s="13">
        <f t="shared" si="19"/>
        <v>0.2512936685</v>
      </c>
      <c r="O21" s="13">
        <f t="shared" si="19"/>
        <v>0.4921943008</v>
      </c>
      <c r="Q21" s="7">
        <f t="shared" si="7"/>
        <v>0.000225</v>
      </c>
    </row>
    <row r="22" ht="12.75" customHeight="1">
      <c r="A22" s="4" t="s">
        <v>34</v>
      </c>
      <c r="B22" s="5">
        <f>72/100</f>
        <v>0.72</v>
      </c>
      <c r="C22" s="4">
        <v>0.4</v>
      </c>
      <c r="D22" s="4">
        <v>578.0</v>
      </c>
      <c r="E22" s="4">
        <v>407.0</v>
      </c>
      <c r="F22" s="7" t="s">
        <v>21</v>
      </c>
      <c r="H22" s="7" t="s">
        <v>71</v>
      </c>
      <c r="I22" s="7">
        <f>POWER(I21-$I$27,2)*I20</f>
        <v>0.0252015625</v>
      </c>
      <c r="L22" s="13" t="s">
        <v>72</v>
      </c>
      <c r="M22" s="13">
        <f>SUM(M21:O21)/SUM(M20:O20)</f>
        <v>0.03712739886</v>
      </c>
      <c r="N22" s="11"/>
      <c r="O22" s="11"/>
      <c r="Q22" s="7">
        <f t="shared" si="7"/>
        <v>0.000625</v>
      </c>
    </row>
    <row r="23" ht="12.75" customHeight="1">
      <c r="A23" s="4" t="s">
        <v>16</v>
      </c>
      <c r="B23" s="5">
        <f>81/100</f>
        <v>0.81</v>
      </c>
      <c r="C23" s="4">
        <v>4.9</v>
      </c>
      <c r="D23" s="4">
        <v>7.289</v>
      </c>
      <c r="E23" s="4">
        <v>438.0</v>
      </c>
      <c r="F23" s="7" t="s">
        <v>17</v>
      </c>
      <c r="H23" s="7" t="s">
        <v>73</v>
      </c>
      <c r="I23" s="13">
        <f>I22+M22</f>
        <v>0.06232896136</v>
      </c>
      <c r="Q23" s="7">
        <f t="shared" si="7"/>
        <v>0.013225</v>
      </c>
    </row>
    <row r="24" ht="12.75" customHeight="1">
      <c r="A24" s="4" t="s">
        <v>30</v>
      </c>
      <c r="B24" s="5">
        <f t="shared" ref="B24:B25" si="20">84/100</f>
        <v>0.84</v>
      </c>
      <c r="C24" s="4">
        <v>0.6</v>
      </c>
      <c r="D24" s="4">
        <v>925.0</v>
      </c>
      <c r="E24" s="4">
        <v>410.0</v>
      </c>
      <c r="F24" s="7" t="s">
        <v>17</v>
      </c>
      <c r="Q24" s="7">
        <f t="shared" si="7"/>
        <v>0.021025</v>
      </c>
    </row>
    <row r="25" ht="12.75" customHeight="1">
      <c r="A25" s="4" t="s">
        <v>23</v>
      </c>
      <c r="B25" s="5">
        <f t="shared" si="20"/>
        <v>0.84</v>
      </c>
      <c r="C25" s="4">
        <v>1.4</v>
      </c>
      <c r="D25" s="4">
        <v>2.031</v>
      </c>
      <c r="E25" s="4">
        <v>364.0</v>
      </c>
      <c r="F25" s="7" t="s">
        <v>21</v>
      </c>
      <c r="H25" s="7" t="s">
        <v>74</v>
      </c>
      <c r="I25" s="13">
        <f>SUM(I2:K17)</f>
        <v>17.375</v>
      </c>
      <c r="Q25" s="7">
        <f t="shared" si="7"/>
        <v>0.021025</v>
      </c>
    </row>
    <row r="26" ht="12.75" customHeight="1">
      <c r="A26" s="4" t="s">
        <v>26</v>
      </c>
      <c r="B26" s="5">
        <f>86/100</f>
        <v>0.86</v>
      </c>
      <c r="C26" s="4">
        <v>0.8</v>
      </c>
      <c r="D26" s="4">
        <v>1.169</v>
      </c>
      <c r="E26" s="4">
        <v>398.0</v>
      </c>
      <c r="F26" s="7" t="s">
        <v>15</v>
      </c>
      <c r="H26" s="7" t="s">
        <v>75</v>
      </c>
      <c r="I26" s="7">
        <v>25.0</v>
      </c>
      <c r="Q26" s="7">
        <f t="shared" si="7"/>
        <v>0.027225</v>
      </c>
    </row>
    <row r="27" ht="12.75" customHeight="1">
      <c r="H27" s="7" t="s">
        <v>76</v>
      </c>
      <c r="I27" s="7">
        <f>I25/I26</f>
        <v>0.695</v>
      </c>
      <c r="P27" s="8" t="s">
        <v>66</v>
      </c>
      <c r="Q27" s="7">
        <f>SUM(Q2:Q26)</f>
        <v>0.119372</v>
      </c>
    </row>
    <row r="28" ht="12.75" customHeight="1">
      <c r="H28" s="7" t="s">
        <v>77</v>
      </c>
      <c r="I28" s="7">
        <f>Q27/I26</f>
        <v>0.00477488</v>
      </c>
    </row>
    <row r="29" ht="12.75" customHeight="1"/>
    <row r="30" ht="12.75" customHeight="1"/>
    <row r="31" ht="12.75" customHeight="1">
      <c r="K31" s="15">
        <f>POWER(I22,2)/I28</f>
        <v>0.1330125055</v>
      </c>
      <c r="L31" s="15" t="s">
        <v>78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C1" s="16" t="s">
        <v>79</v>
      </c>
      <c r="D1" s="17"/>
      <c r="E1" s="16" t="s">
        <v>80</v>
      </c>
      <c r="F1" s="17"/>
      <c r="G1" s="16" t="s">
        <v>81</v>
      </c>
      <c r="H1" s="17"/>
    </row>
    <row r="2" ht="12.75" customHeight="1">
      <c r="A2" s="7" t="s">
        <v>82</v>
      </c>
      <c r="B2" s="7" t="s">
        <v>83</v>
      </c>
      <c r="C2" s="7" t="s">
        <v>84</v>
      </c>
      <c r="D2" s="7" t="s">
        <v>85</v>
      </c>
      <c r="E2" s="7" t="s">
        <v>84</v>
      </c>
      <c r="F2" s="7" t="s">
        <v>85</v>
      </c>
      <c r="G2" s="7" t="s">
        <v>84</v>
      </c>
      <c r="H2" s="7" t="s">
        <v>85</v>
      </c>
    </row>
    <row r="3" ht="12.75" customHeight="1">
      <c r="A3" s="7" t="s">
        <v>86</v>
      </c>
      <c r="B3" s="13">
        <v>4899.0</v>
      </c>
      <c r="C3" s="7">
        <v>0.0</v>
      </c>
      <c r="D3" s="7" t="s">
        <v>87</v>
      </c>
      <c r="E3" s="18">
        <v>1.0</v>
      </c>
      <c r="F3" s="18" t="s">
        <v>87</v>
      </c>
      <c r="G3" s="7" t="s">
        <v>87</v>
      </c>
      <c r="H3" s="7" t="s">
        <v>87</v>
      </c>
    </row>
    <row r="4" ht="12.75" customHeight="1">
      <c r="A4" s="7" t="s">
        <v>88</v>
      </c>
      <c r="B4" s="7">
        <v>6760.0</v>
      </c>
      <c r="C4" s="7">
        <f>B5-$C$3</f>
        <v>5633</v>
      </c>
      <c r="D4" s="13">
        <f>B5-B3</f>
        <v>734</v>
      </c>
      <c r="E4" s="19">
        <f>B5/$B$3</f>
        <v>1.149826495</v>
      </c>
      <c r="F4" s="18">
        <f>B5/B3</f>
        <v>1.149826495</v>
      </c>
      <c r="G4" s="19">
        <f t="shared" ref="G4:H4" si="1">E4-1</f>
        <v>0.1498264952</v>
      </c>
      <c r="H4" s="18">
        <f t="shared" si="1"/>
        <v>0.1498264952</v>
      </c>
    </row>
    <row r="5" ht="12.75" customHeight="1">
      <c r="A5" s="7" t="s">
        <v>89</v>
      </c>
      <c r="B5" s="7">
        <v>5633.0</v>
      </c>
      <c r="C5" s="7">
        <f>B4-$C$3</f>
        <v>6760</v>
      </c>
      <c r="D5" s="7">
        <f>B4-B5</f>
        <v>1127</v>
      </c>
      <c r="E5" s="19">
        <f>B4/$B$3</f>
        <v>1.379873444</v>
      </c>
      <c r="F5" s="18">
        <f>B4/B5</f>
        <v>1.20007101</v>
      </c>
      <c r="G5" s="19">
        <f t="shared" ref="G5:H5" si="2">E5-1</f>
        <v>0.3798734436</v>
      </c>
      <c r="H5" s="18">
        <f t="shared" si="2"/>
        <v>0.2000710101</v>
      </c>
    </row>
    <row r="6" ht="12.75" customHeight="1">
      <c r="A6" s="7" t="s">
        <v>90</v>
      </c>
      <c r="B6" s="20">
        <v>5379.0</v>
      </c>
      <c r="C6" s="7">
        <f>B6-$C$3</f>
        <v>5379</v>
      </c>
      <c r="D6" s="7">
        <f>B6-B4</f>
        <v>-1381</v>
      </c>
      <c r="E6" s="19">
        <f>B6/$B$3</f>
        <v>1.097979179</v>
      </c>
      <c r="F6" s="18">
        <f>B6/B4</f>
        <v>0.7957100592</v>
      </c>
      <c r="G6" s="19">
        <f t="shared" ref="G6:H6" si="3">E6-1</f>
        <v>0.09797917942</v>
      </c>
      <c r="H6" s="18">
        <f t="shared" si="3"/>
        <v>-0.2042899408</v>
      </c>
    </row>
    <row r="7" ht="12.75" customHeight="1">
      <c r="A7" s="21" t="s">
        <v>91</v>
      </c>
      <c r="B7" s="22">
        <f>AVERAGE(B3:B6)</f>
        <v>5667.75</v>
      </c>
      <c r="C7" s="23" t="s">
        <v>92</v>
      </c>
      <c r="D7" s="24">
        <f>(B6-B3)/3</f>
        <v>160</v>
      </c>
      <c r="E7" s="23" t="s">
        <v>93</v>
      </c>
      <c r="F7" s="25">
        <f>POWER((E6/E3),1/3)</f>
        <v>1.031647591</v>
      </c>
      <c r="G7" s="26" t="s">
        <v>94</v>
      </c>
      <c r="H7" s="25">
        <f>F7-1</f>
        <v>0.03164759072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C1:D1"/>
    <mergeCell ref="E1:F1"/>
    <mergeCell ref="G1:H1"/>
  </mergeCells>
  <printOptions/>
  <pageMargins bottom="0.75" footer="0.0" header="0.0" left="0.7" right="0.7" top="0.75"/>
  <pageSetup orientation="landscape"/>
  <drawing r:id="rId1"/>
</worksheet>
</file>